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简介" sheetId="1" r:id="rId5"/>
    <sheet state="visible" name="DPS计算器" sheetId="2" r:id="rId6"/>
    <sheet state="visible" name="数值设定" sheetId="3" r:id="rId7"/>
    <sheet state="visible" name="道具性价比" sheetId="4" r:id="rId8"/>
    <sheet state="visible" name="计算器" sheetId="5" r:id="rId9"/>
    <sheet state="visible" name="敌人计算器" sheetId="6" r:id="rId10"/>
    <sheet state="visible" name="敌人计算" sheetId="7" r:id="rId11"/>
    <sheet state="visible" name="武器数据" sheetId="8" r:id="rId12"/>
    <sheet state="visible" name="敌人数据" sheetId="9" r:id="rId13"/>
    <sheet state="visible" name="无尽数据" sheetId="10" r:id="rId14"/>
  </sheets>
  <definedNames>
    <definedName name="EnemyHPSlider">'敌人计算器'!$D$2</definedName>
    <definedName name="DPS_Range_Stat">'DPS计算器'!$G$8</definedName>
    <definedName name="Enemy_Endless_Curse_DMG">'敌人计算'!$E$39</definedName>
    <definedName name="DPS_Graph_True_Speed">'DPS计算器'!$A$21</definedName>
    <definedName name="Enemy_Wave">'敌人计算'!$D$3</definedName>
    <definedName name="Enemy_HP_Per_Wave">'敌人计算'!$J$16</definedName>
    <definedName name="DPS_Pumpkin">'DPS计算器'!$B$11</definedName>
    <definedName name="DPS_Reload_Cooldown">'DPS计算器'!$V$8</definedName>
    <definedName name="DPS_Frozen_Heart">'DPS计算器'!$G$11</definedName>
    <definedName name="DPS_Spawn_Final_Crit">'DPS计算器'!$K$33</definedName>
    <definedName name="Enemy_Endless_HP">'敌人计算'!$A$39</definedName>
    <definedName name="Shop_Wave">'数值设定'!$D$9</definedName>
    <definedName name="DPS_ATK_TYPE">'DPS计算器'!$O$20</definedName>
    <definedName name="Shop_Life_Steal">'数值设定'!$B$16</definedName>
    <definedName name="DPS_Spawn_T_Bounces">'DPS计算器'!$T$14</definedName>
    <definedName name="Enemy_Character_DMG">'敌人计算'!$D$31</definedName>
    <definedName name="Enemy_Boost_Speed">'敌人计算'!$C$37</definedName>
    <definedName name="Shop_Dodge">'数值设定'!$B$2</definedName>
    <definedName name="DPS_Back_Dur">'DPS计算器'!$E$33</definedName>
    <definedName name="DPS_Range_Factor">'DPS计算器'!$F$33</definedName>
    <definedName name="DPS_Spawn_Stat">'DPS计算器'!$J$33</definedName>
    <definedName name="Enemy_Danger_DMG">'敌人计算'!$B$31</definedName>
    <definedName name="Enemy_Base_DMG">'敌人计算'!$K$14</definedName>
    <definedName name="EnemyJackDMG">'敌人计算器'!$O$2</definedName>
    <definedName name="Enemy_Buffed">'敌人计算'!$E$3</definedName>
    <definedName name="DPS_Weapon_Range">'DPS计算器'!$M$20</definedName>
    <definedName name="DPS_INC_WPN_SPD">'DPS计算器'!$D$31</definedName>
    <definedName name="Shop_Crit">'数值设定'!$B$6</definedName>
    <definedName name="DPS_Melee_Damage">'DPS计算器'!$A$8</definedName>
    <definedName name="DPS_Base_Wpn_Spd">'DPS计算器'!$B$31</definedName>
    <definedName name="DPS_Bandana">'DPS计算器'!$A$11</definedName>
    <definedName name="DPS_Crit_DPS_Inc">'DPS计算器'!$P$8</definedName>
    <definedName name="DPS_Projectiles">'DPS计算器'!$Q$23</definedName>
    <definedName name="DPS_Renegade">'DPS计算器'!$F$11</definedName>
    <definedName name="DPS_Bounce_Falloff">'DPS计算器'!$P$23</definedName>
    <definedName name="Enemy_Type">'敌人计算'!$I$3</definedName>
    <definedName name="DPS_Graph_Max">'DPS计算器'!$D$21</definedName>
    <definedName name="Enemy_Character_Speed">'敌人计算'!$E$31</definedName>
    <definedName name="Enemy_Consumable_Guaranteed">'敌人计算'!$L$19</definedName>
    <definedName name="DPS_Graph_Speed_Min">'DPS计算器'!$C$21</definedName>
    <definedName name="Shop_Engineering">'数值设定'!$B$15</definedName>
    <definedName name="DPS_Ricochet">'DPS计算器'!$C$11</definedName>
    <definedName name="Shop_Atk_Spd">'数值设定'!$B$13</definedName>
    <definedName name="Shop_Melee_Dmg">'数值设定'!$B$7</definedName>
    <definedName name="Enemy_Endless_DMG">'敌人计算'!$B$39</definedName>
    <definedName name="DPS_Creature">'DPS计算器'!$I$11</definedName>
    <definedName name="DPS_Sharp_Bullet">'DPS计算器'!$E$11</definedName>
    <definedName name="DPS_Base_Burn_DMG">'DPS计算器'!$M$11</definedName>
    <definedName name="DPS_Burn_Ticks">'DPS计算器'!$O$11</definedName>
    <definedName name="EnemyDMGDanger">'敌人计算器'!$N$2</definedName>
    <definedName name="EnemyHPDanger">'敌人计算器'!$M$2</definedName>
    <definedName name="Enemy_Boost_Damage">'敌人计算'!$B$37</definedName>
    <definedName name="DPS_Base_Range">'DPS计算器'!$I$14</definedName>
    <definedName name="Enemy_Base_HP">'敌人计算'!$J$14</definedName>
    <definedName name="Enemy_Endless_Curse_HP">'敌人计算'!$D$39</definedName>
    <definedName name="DPS_Special_Stat">'DPS计算器'!$J$8</definedName>
    <definedName name="DPS_Eyes_Surgery">'DPS计算器'!$D$11</definedName>
    <definedName name="EnemyJackHP">'敌人计算器'!$P$2</definedName>
    <definedName name="Shop_Weapon_Price">'数值设定'!$F$11</definedName>
    <definedName name="DPS_Nail">'DPS计算器'!$H$11</definedName>
    <definedName name="DPS_Crit_Hit_Dmg">'DPS计算器'!$N$8</definedName>
    <definedName name="DPS_Max_HP">'DPS计算器'!$I$8</definedName>
    <definedName name="DPS_Weapon_Randomization">'DPS计算器'!$W$36</definedName>
    <definedName name="DPS_Spawn_DMG_Per_Hit">'DPS计算器'!$N$14</definedName>
    <definedName name="Shop_Speed">'数值设定'!$B$10</definedName>
    <definedName name="DPS_Base_Recoil">'DPS计算器'!$C$31</definedName>
    <definedName name="Shop_Inflated_Price">'数值设定'!$B$19</definedName>
    <definedName name="Shop_HP_Regen">'数值设定'!$B$11</definedName>
    <definedName name="DPS_Pierce">'DPS计算器'!$M$23</definedName>
    <definedName name="DPS_Weapon_Random_Graph">#REF!</definedName>
    <definedName name="DPS_Attacks_P_Sec">'DPS计算器'!$O$6</definedName>
    <definedName name="DPS_DMG_Percent">'DPS计算器'!$D$8</definedName>
    <definedName name="Enemy_Players">'敌人计算'!$A$3</definedName>
    <definedName name="DPS_Inc_Recoil">'DPS计算器'!$E$31</definedName>
    <definedName name="DPS_Weapon">'DPS计算器'!$A$5</definedName>
    <definedName name="Enemy_Armor">'敌人计算'!$F$3</definedName>
    <definedName name="Shop_Price_Modifier">'数值设定'!$F$9</definedName>
    <definedName name="DPS_Elemental_Damage">'DPS计算器'!$C$8</definedName>
    <definedName name="DPS_Reload_Multiplier">'DPS计算器'!$H$17</definedName>
    <definedName name="DPS_Piercing_Falloff">'DPS计算器'!$N$23</definedName>
    <definedName name="DPS_Cooldown_W_Bonus">'DPS计算器'!$M$6</definedName>
    <definedName name="DPS_Ranged_Damage">'DPS计算器'!$B$8</definedName>
    <definedName name="EnemySpeedSlider">'敌人计算器'!$F$2</definedName>
    <definedName name="DPS_Attack_Speed">'DPS计算器'!$E$8</definedName>
    <definedName name="Enemy_Endless_Factor">'敌人计算'!$A$14</definedName>
    <definedName name="Enemy_Danger_HP">'敌人计算'!$A$31</definedName>
    <definedName name="Enemy_Coop_Damage">'敌人计算'!$B$35</definedName>
    <definedName name="EnemyEndlessWave">'敌人计算器'!$G$2</definedName>
    <definedName name="DPS_Crit_WPN_Base">'DPS计算器'!$G$14</definedName>
    <definedName name="DPS_Spawn_T_Piercing">'DPS计算器'!$W$14</definedName>
    <definedName name="DPS_Spawn_Scaling">'DPS计算器'!$D$14</definedName>
    <definedName name="Shop_Endless_Factor">'数值设定'!$D$11</definedName>
    <definedName name="DPS_Bounces">'DPS计算器'!$O$23</definedName>
    <definedName name="DPS_Buffed_Burn_DMG">'DPS计算器'!$N$11</definedName>
    <definedName name="EnemyDMGTaken">'敌人计算器'!$L$2</definedName>
    <definedName name="Enemy_Danger_Level">'敌人计算'!$C$3</definedName>
    <definedName name="Enemy_Map">'敌人计算'!$J$3</definedName>
    <definedName name="Shop_Armor">'数值设定'!$B$4</definedName>
    <definedName name="Shop_Elemental_DMG">'数值设定'!$B$3</definedName>
    <definedName name="DPS_Base_DMG">'DPS计算器'!$E$14</definedName>
    <definedName name="DPS_Total_BP_Per_Hit">'DPS计算器'!$S$17</definedName>
    <definedName name="DPS_DPS">'DPS计算器'!$M$17</definedName>
    <definedName name="DPS_Graph_Tooltip_Speed">'DPS计算器'!$B$21</definedName>
    <definedName name="Shop_Max_HP">'数值设定'!$B$9</definedName>
    <definedName name="DPS_ReloadX_Shots">'DPS计算器'!$G$17</definedName>
    <definedName name="DPS_Engineering">'DPS计算器'!$H$8</definedName>
    <definedName name="Enemy_Boost_HP">'敌人计算'!$A$37</definedName>
    <definedName name="Enemy_HP_Slider">'敌人计算'!$A$9</definedName>
    <definedName name="DPS_Spawn_Crit_chance">'DPS计算器'!$K$31</definedName>
    <definedName name="Enemy_Endless_Speed">'敌人计算'!$C$39</definedName>
    <definedName name="DPS_Ball_and_Chain">'DPS计算器'!$I$21</definedName>
    <definedName name="DPS_Curse">'DPS计算器'!$K$8</definedName>
    <definedName name="Enemy_Coop_Enemies">'敌人计算'!$D$35</definedName>
    <definedName name="DPS_Atk_Dur">'DPS计算器'!$D$33</definedName>
    <definedName name="Enemy_Character_HP">'敌人计算'!$C$31</definedName>
    <definedName name="Enemy_Coop_Materials">'敌人计算'!$C$35</definedName>
    <definedName name="Enemy_Enemy">'敌人计算'!$G$3</definedName>
    <definedName name="Shop_Dmg">'数值设定'!$B$17</definedName>
    <definedName name="DPS_Ice_Cube">'DPS计算器'!$J$21</definedName>
    <definedName name="Shop_Luck">'数值设定'!$B$12</definedName>
    <definedName name="DPS_DMG_Per_Hit">'DPS计算器'!$M$8</definedName>
    <definedName name="DPS_SpawnCritMult">'DPS计算器'!$I$31</definedName>
    <definedName name="Enemy_Curse_Stat">'敌人计算'!$F$6</definedName>
    <definedName name="EnemyDamageSlider">'敌人计算器'!$E$2</definedName>
    <definedName name="Shop_Ranged_Dmg">'数值设定'!$B$14</definedName>
    <definedName name="DPS_Weapon_Type">'DPS计算器'!$A$31</definedName>
    <definedName name="DPS_Crit_Chance_Final">'DPS计算器'!$O$8</definedName>
    <definedName name="EnemyBuffed">'敌人计算器'!$K$2</definedName>
    <definedName name="Enemy_Character">'敌人计算'!$B$3</definedName>
    <definedName name="DPS_Crit_Chance_Stat">'DPS计算器'!$F$8</definedName>
    <definedName name="Shop_Range">'数值设定'!$B$5</definedName>
    <definedName name="EnemyJack">'敌人计算器'!$J$2</definedName>
    <definedName name="Shop_Harvesting">'数值设定'!$B$8</definedName>
    <definedName name="Enemy_Coop_HP">'敌人计算'!$A$35</definedName>
    <definedName hidden="1" localSheetId="4" name="Z_DBF0331A_7161_4710_9928_0F97B5489D4D_.wvu.FilterData">计算器!$D$15</definedName>
    <definedName hidden="1" localSheetId="3" name="Z_DBF0331A_7161_4710_9928_0F97B5489D4D_.wvu.FilterData">'道具性价比'!$A$1:$Y$999</definedName>
    <definedName name="ATKSPDRANGE">LAMBDA(baserange, rangestat, basewpnspd, baserecoil, atkspd, ROUNDDOWN(MAX(2,IF(atkspd&gt;=0, basewpnspd/(1+atkspd),basewpnspd*(1+ABS(atkspd)))))/60+IF(atkspd&gt;=0, baserecoil/(1+atkspd),baserecoil)*2)</definedName>
  </definedNames>
  <calcPr/>
  <customWorkbookViews>
    <customWorkbookView activeSheetId="0" maximized="1" windowHeight="0" windowWidth="0" guid="{DBF0331A-7161-4710-9928-0F97B5489D4D}"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Fixed Recycling prices for endless mode.</t>
      </text>
    </comment>
    <comment authorId="0" ref="A32">
      <text>
        <t xml:space="preserve">Fixed Crit Chance for spawned Projectiles.
Named a few more ranges
fixed negative attack speed not being graphed in a few situations
Value for Luck decreased in Value Settings 6 -&gt; 7.5 - This reflects how low we are on luck currently
Metal detector CE now mentions that it doesn't account for downsides.</t>
      </text>
    </comment>
    <comment authorId="0" ref="A31">
      <text>
        <t xml:space="preserve">Fixed the Base damage of 木棍 II in the Dps calculator 9 -&gt; 8
Updated the Description of some item uses.
Fixed total DPS with Spawned projectiles not including Pierce/bounce (got bugged during naming change)
旗帜 Updated to the Lifesteal Meta by not counting downsides for the shown efficiency.
碎牙 now does include the Downside.</t>
      </text>
    </comment>
    <comment authorId="0" ref="A30">
      <text>
        <t xml:space="preserve">- Added more Defined names to make equations easier to read. (Not that they are easy to read)
- DPS for 手里剑 and 十字弓 Fixed. They do still have some possible issues, such as if you pick up piercing on shuriken. or bouncing on crossbows, since it doesn't account for the multiple chances to trigger a crit. Might try to fix that next time. (Just have 100% crit and you won't have an issue either way in these edge cases :p)</t>
      </text>
    </comment>
    <comment authorId="0" ref="A47">
      <text>
        <t xml:space="preserve">Improvement to DPS calc from Taukhan</t>
      </text>
    </comment>
    <comment authorId="0" ref="A46">
      <text>
        <t xml:space="preserve">Work begins on updating for the NIghtmare Difficulty Patch.
* Weapon changes added.
* New Enemies Added to the Calc. It still doesn't work
* Nightmare Inflation added to the Calc
* Fixed a mixing Max for negative %dmg</t>
      </text>
    </comment>
    <comment authorId="0" ref="A45">
      <text>
        <t xml:space="preserve">Added 斩首剑 per request
Removed Flat scaling numbers that were 0%</t>
      </text>
    </comment>
    <comment authorId="0" ref="A44">
      <text>
        <t xml:space="preserve">Base Price added for all weapons.
Work begins on the Enemy Calc (Slowly)
* Hp Nearly done
* DEX毁灭者 added to the DPS calc. was missing due to me forgetting it :d</t>
      </text>
    </comment>
    <comment authorId="0" ref="A43">
      <text>
        <t xml:space="preserve">DLC Enemy Data updated.
Triple stat scaling for weapons fixed.
Endless Calc Rerolls updated
Added explosion chance/sizes for all weapons in wnpstat.
Added Weapon notes to the DPS Calc.
Fixed 勺子's COoldown and dmg being switched.
Fixed grenadelauncher tier 2 color
Added more Projectile Speeds.</t>
      </text>
    </comment>
    <comment authorId="0" ref="A42">
      <text>
        <t xml:space="preserve">左轮手枪 Tooltip updated.
电锯 data for reload fixed
Reroll updated for 1.1.7.1 patch</t>
      </text>
    </comment>
    <comment authorId="0" ref="A41">
      <text>
        <t xml:space="preserve">Work begins for the DLC.</t>
      </text>
    </comment>
    <comment authorId="0" ref="A40">
      <text>
        <t xml:space="preserve">Hitboxes Added under weapon stats.
* The Work on the Revamped Enemy Calc begins</t>
      </text>
    </comment>
    <comment authorId="0" ref="A39">
      <text>
        <t xml:space="preserve">New Weapons Added. New Items added.
Added pictures.
* Started fixing Enemy Calc and redesigning it.</t>
      </text>
    </comment>
    <comment authorId="0" ref="A38">
      <text>
        <t xml:space="preserve">Beta is being added.
Several incorrect values fixed for enemy calc</t>
      </text>
    </comment>
    <comment authorId="0" ref="A37">
      <text>
        <t xml:space="preserve">DPS Calc is nearly done. Graph is working, 
Weapon Randomization has been added, and I'm working out the kinks.</t>
      </text>
    </comment>
    <comment authorId="0" ref="A36">
      <text>
        <t xml:space="preserve">* Fixed Spawn DPS, Added more Spawn Stats to streamline the equations.
* Color Coded the WPNStats
* More fixed and small changes in the DPS equations. Mostly just for readability.
* Fixes for Piercing/Bouncing.</t>
      </text>
    </comment>
    <comment authorId="0" ref="A35">
      <text>
        <t xml:space="preserve">Melee Attack Speed has been solved and is being implemented.
Xlookup is being implemented.
Looking to update the Graph with Melee weapons. Maybe also have the Tooltip attack speed.
激光加特林 name fixed :s</t>
      </text>
    </comment>
    <comment authorId="0" ref="A34">
      <text>
        <t xml:space="preserve">The Work for 2.0 Will begin Slowly. Large Changes are coming for the DPS Calculator
* Ranged Weapons now account for accurate ingame rounding for Recoil duration and Weapon speed. (Melee weapons still lacks it for range factors)
* Fixed a bug of the DPS Calc not having the minimum 25 Range on melee weapons when calculating attack speed
* Attack Speed Graph now works with new attack speed.
* Reloading Weapons Now Account for new Attack Speed.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
      <text>
        <t xml:space="preserve">For ranged weapons that spawn projectiles, the amount of spawned projectiles can increase. This is only the case for the Sniper gun. The sniper gun spawns 5/8 projectiles on each hit, so if you pick up some bounces or piercing, the amount of total spawned projectiles goes up.</t>
      </text>
    </comment>
    <comment authorId="0" ref="T19">
      <text>
        <t xml:space="preserve">The Base Price is the price of the weapon in the shop before inflation and other factors are added on. See the Calculators page for a price calculator.</t>
      </text>
    </comment>
    <comment authorId="0" ref="U19">
      <text>
        <t xml:space="preserve">Weapon Accuracy matters for projectile/Ranged weapons. If a weapon has less than 1 accuracy , then projectiles will have their direction changed by +- a random number. The random number is chosen from an interval being 1 +- the weapon's difference from 1 in accuracy.  Measured in radians.</t>
      </text>
    </comment>
    <comment authorId="0" ref="V19">
      <text>
        <t xml:space="preserve">Weapon Spread is specifically for ranged weapons with multiple projectiles. It creates a spread between each projectile being fired.</t>
      </text>
    </comment>
    <comment authorId="0" ref="M5">
      <text>
        <t xml:space="preserve">This is the Actual Attack Speed of your Weapon after the Attack Speed Stat has been applied.
See the Tooltip to the right if you want to see what the ingame Tooltip would say</t>
      </text>
    </comment>
    <comment authorId="0" ref="N5">
      <text>
        <t xml:space="preserve">This is the Value shown in the Tooltip. On faster Weapons, it is wildly incorrect.
It doesn't include the Frame rounding that the game does for calculations. And it doesn't include Weapon Randomization.</t>
      </text>
    </comment>
    <comment authorId="0" ref="P7">
      <text>
        <t xml:space="preserve">This shows how much having Critical hits increase your overall DPS.</t>
      </text>
    </comment>
    <comment authorId="0" ref="U7">
      <text>
        <t xml:space="preserve">The Tooltips for reloading are bugged. This is the Value shown. The Reload Cooldown is the Actual Cooldown.</t>
      </text>
    </comment>
    <comment authorId="0" ref="V7">
      <text>
        <t xml:space="preserve">The Actual cooldown of a reloading shot. which is 8x the normal rate.</t>
      </text>
    </comment>
    <comment authorId="0" ref="W7">
      <text>
        <t xml:space="preserve">The Average Cooldown includes the Reload cooldown and gives the Average cooldown per cycle. This is used to Calculate the DPS.</t>
      </text>
    </comment>
    <comment authorId="0" ref="F20">
      <text>
        <t xml:space="preserve">Not Implemented yet.</t>
      </text>
    </comment>
    <comment authorId="0" ref="G20">
      <text>
        <t xml:space="preserve">Not Implemented yet.</t>
      </text>
    </comment>
    <comment authorId="0" ref="S32">
      <text>
        <t xml:space="preserve">Don't mess with this. You can change the amount of weapons from 1-6.</t>
      </text>
    </comment>
    <comment authorId="0" ref="H20">
      <text>
        <t xml:space="preserve">Not Implemented yet.</t>
      </text>
    </comment>
    <comment authorId="0" ref="I20">
      <text>
        <t xml:space="preserve">Not Implemented yet.</t>
      </text>
    </comment>
    <comment authorId="0" ref="J20">
      <text>
        <t xml:space="preserve">///NOT DONE// While Active, All hits deal 10% more damage, rounded. Includes burn and any Bounce/Piercing.</t>
      </text>
    </comment>
    <comment authorId="0" ref="E10">
      <text>
        <t xml:space="preserve">Checking this gives +1 Piercing and +20% Pierce Damage Falloff.</t>
      </text>
    </comment>
    <comment authorId="0" ref="F10">
      <text>
        <t xml:space="preserve">Checking this On gives +1 Piercing and +2 Projectiles. 
You have to account for the %Dmg changes manually.</t>
      </text>
    </comment>
    <comment authorId="0" ref="G10">
      <text>
        <t xml:space="preserve">Adds 10% Elemental Scaling to the Damage per Hit.
Adds 100% to time between each burn tick (Additive with 眼部手术)</t>
      </text>
    </comment>
    <comment authorId="0" ref="H10">
      <text>
        <t xml:space="preserve">Makes Weapons Scale with 20% Engineering Stat</t>
      </text>
    </comment>
    <comment authorId="0" ref="A2">
      <text>
        <t xml:space="preserve">* Download a copy to your Computer. Make sure to update regularly, I patch a lot of things.
* Choose a Weapon from the dropdown menu.
* Enter your Stats and items. (The two top rows with blue texts).
* Most things have notes you can read that explains them.
* Don't touch the rest unless you know what you're doing.</t>
      </text>
    </comment>
    <comment authorId="0" ref="I10">
      <text>
        <t xml:space="preserve">Makes Weapons Scale with 35% Curse Stat.</t>
      </text>
    </comment>
    <comment authorId="0" ref="J10">
      <text>
        <t xml:space="preserve">This makes Precise Weapons have +200% crit damage.</t>
      </text>
    </comment>
    <comment authorId="0" ref="C2">
      <text>
        <t xml:space="preserve">Here's some information
* Curse isn't covered by the 
* The "Special Stat" is for weapons that scale with things such as Armor, HP, Engineering, or even "Additional 木棍s" (If you have 6 木棍s, put in 5 as the number)
* Explosions are not covered by this Calculator. But you can see the chance and Size.</t>
      </text>
    </comment>
    <comment authorId="0" ref="F2">
      <text>
        <t xml:space="preserve">Here's a list of currently known issues.
* 冲锋枪 at 0% Attack speed shoots faster from game to game. I've not uncovered how this bug works.
* Melee Swing attacks last longer depending on the distance to the target. This isn't an issue for thrust weapons. It is separate from the increase by the range stat.
* Gladiator 长矛 -40% attack speed is off by 0,015 second. I don't know why.
* The Calculator struggles to handle 手里剑 and 十字弓s if you add Bounce and Piercing to them. You can't trust the math
* If you're lagging, or using a weak laptop, you might experience less dps.</t>
      </text>
    </comment>
    <comment authorId="0" ref="J13">
      <text>
        <t xml:space="preserve">Keep this at 6 for most cases.
This is the amount of Weapons you're holding. It affects your Attack speed slightly. Should always be 1-6. Setting it to 0 removes Weapon Randomization. Going above 6 does nothing.</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Here you can set the settings to a certain character. This sets certain stat values to 0, while using the default value for the other stats
So for example, if you set it to hunter, Harvesting's value becomes 0.</t>
      </text>
    </comment>
    <comment authorId="0" ref="D10">
      <text>
        <t xml:space="preserve">The Endless Factor begins to grow if you set the wave number to above 20. It allows you to see the prices of items in endless mode.</t>
      </text>
    </comment>
    <comment authorId="0" ref="D8">
      <text>
        <t xml:space="preserve">The Shop is considered to be at the end of each wave. So when you finish wave 5, that number is used to determine the contents of Loot Crates and the following Shop.
Wave 0 means no Inflation.
Wave 1 is the first shop.
Wave 10 is a good average.
Wave 20 is first endless shop.</t>
      </text>
    </comment>
    <comment authorId="0" ref="F10">
      <text>
        <t xml:space="preserve">The Weapon/Item Price allows you to simulate the Arms Dealer's Ability. (Set it to 5%) There are currently no way to make items cheaper in this way in the game. - Keep it on 100%.</t>
      </text>
    </comment>
    <comment authorId="0" ref="D6">
      <text>
        <t xml:space="preserve">When you make the Price modifier lower, all items become more cost effective. This setting allows you to compensate for that and keep items at the same efficiency numbers.</t>
      </text>
    </comment>
    <comment authorId="0" ref="F8">
      <text>
        <t xml:space="preserve">The Price Modifier is the Secondary stat changed by 优惠券、or by characters such as Entrepreneur or Saver.
5 优惠券s: 75%
Saver: 150%</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Welcome to the Item Efficiency Calculator You can change</t>
      </text>
    </comment>
    <comment authorId="0" ref="D1">
      <text>
        <t xml:space="preserve">Each Item and Weapon in the Game have a base price that you can see here or on the wikipedia.
However you'll never encounter the base price in the game, since inflation already affects the first shop you see.</t>
      </text>
    </comment>
    <comment authorId="0" ref="E1">
      <text>
        <t xml:space="preserve">This is the price of the item  when you see it in wave/shop x
Typically this is set to wave/shop 10</t>
      </text>
    </comment>
    <comment authorId="0" ref="H1">
      <text>
        <t xml:space="preserve">My Quick Rating of an Item's Power Level.
S - Super Powerful. Always buy in most builds, or Build defining in a few builds.
A - Powerful. Items that have above average Cost Efficiency, or are key Items in some builds.
B - Average. Workhorse Items, not super powerful, but they do their job. Either items that are decently cost effective, or items that decent in specific builds, but not critical to those builds.
C - Under Average. These items are typically not cost effective enough for you to buy.
D - Bad, unless specific Case. These items are too weak to buy, unless you have a character with specific synergy with the item.
Situational - These items are only good in certain cases, and that case isn't obvious
The Grade is based on how it it is in the most common builds it is used in. So 炸药 is A tier, because it is mostly used in full explosive builds, while 镜片es are rated C because all builds have a use for it, so the grade is based on that rather than 十字弓 builds.</t>
      </text>
    </comment>
    <comment authorId="0" ref="A183">
      <text>
        <t xml:space="preserve">Generally a fine Engineering Item. Useful early. Not a powerhouse, but its cheap.
Can be picked up for elemental builds to spread flames with 受惊香肠.</t>
      </text>
    </comment>
    <comment authorId="0" ref="A150">
      <text>
        <t xml:space="preserve">Unless you're doing a Esty's Couch standstill build, this is a pass. 
You're not getting the full 30%, because you're not standing still most of the time.</t>
      </text>
    </comment>
    <comment authorId="0" ref="A117">
      <text>
        <t xml:space="preserve">The 铅笔 is a quite powerful engineering option. And I usually never pass it when playing an engineeering build.</t>
      </text>
    </comment>
    <comment authorId="0" ref="A84">
      <text>
        <t xml:space="preserve">Surprisingly often I take this item just for the 10% attack speed. 
S Tier item for engineering builds that have built up some positive Attack Speed.</t>
      </text>
    </comment>
    <comment authorId="0" ref="A51">
      <text>
        <t xml:space="preserve">The 危险兔子 saves you a ton of money over the duration of a game. It is quite cheap.
It is an always pickup for me when seen at the Wave 16th Shop or earlier.</t>
      </text>
    </comment>
    <comment authorId="0" ref="A18">
      <text>
        <t xml:space="preserve">路障 offers a lot of Armor. But how often are you standing still when you get hit?
Temporary Armor in a sense have diminishing returns, making it worse.
Still, it is a lot of armor, and can be helpful Spiked Shield/Knight / Standstill builds.</t>
      </text>
    </comment>
    <comment authorId="0" ref="U1">
      <text>
        <t xml:space="preserve">This is the Efficiency that only takes some of the stats into account. 
This usually covers a common situation where the item is used.</t>
      </text>
    </comment>
    <comment authorId="0" ref="A167">
      <text>
        <t xml:space="preserve">Not super Cost Efficient. But I often find myself with a ton of Speed, but lacking a bit of tankiness, especially Armor.
In those cases the 战士头盔 is a decent pickup.</t>
      </text>
    </comment>
    <comment authorId="0" ref="A134">
      <text>
        <t xml:space="preserve">Decent item even on non engineering builds if you only use either Life steal or Regen. Armor is king.
Insane item for Engineering builds.</t>
      </text>
    </comment>
    <comment authorId="0" ref="A101">
      <text>
        <t xml:space="preserve">The Gold Standard for getting Melee Damage. 
If you're looking for Melee Damage, you'll always buy this.
Always avoid if you're using Ranged damage.</t>
      </text>
    </comment>
    <comment authorId="0" ref="A68">
      <text>
        <t xml:space="preserve">赌场筹码 is not very cost efficient. And its downside is also affecting your survivability, so it can't be ignored. 
Gambling token can be a fine pickup if you need to get the last 10-20% dodge to get to 60%.
It is also an amazing pickup on Ghost, and good if you have Hoodie.</t>
      </text>
    </comment>
    <comment authorId="0" ref="A35">
      <text>
        <t xml:space="preserve">营火 is really bad if you're not making use of the HP Regeneration.
But if you do, 营火 is quite solid.</t>
      </text>
    </comment>
    <comment authorId="0" ref="A2">
      <text>
        <t xml:space="preserve">酸液 is really not cost efficient if you're using Dodge.
If you have dumped Dodge, 酸液 is a little bit more cost efficient than cake. Here it becomes a fine, but not premium option for max hp.
Its a good pickup from crates, even if you have dodge.</t>
      </text>
    </comment>
    <comment authorId="0" ref="A184">
      <text>
        <t xml:space="preserve">Insane Item for Elemental Builds. 
Can even be picked up just for the luck if you're needy.</t>
      </text>
    </comment>
    <comment authorId="0" ref="A151">
      <text>
        <t xml:space="preserve">石肤 wants you to have at least 18-20 Armor before you want to look at it. 
It can be worth it for Masochist, Golem, Knight, Bull. But the -2 Armor and hefty price is quite a lot.</t>
      </text>
    </comment>
    <comment authorId="0" ref="A118">
      <text>
        <t xml:space="preserve">存钱罐 can bring you a lot of money, if you can afford saving up money.
But aside from the initial price of the item, having to not use your money at each shop is also quite a downside. It means you're going to pay extra later on to reroll multiple times, and buy more items later when inflation have made them more expensive. 
That said the 存钱罐 does give you enough money to make up for this. So the question is mostly if you can still be powerful enough to clear the map while saving up money.</t>
      </text>
    </comment>
    <comment authorId="0" ref="A85">
      <text>
        <t xml:space="preserve">Quite powerful turret.
Great pickup for engineering builds, but can also be used outside of engineering builds.
- Applies ugly tooth.
- 蛇 helps spreading the flames.
- 伤疤ed sausage gives +1 damage, which is the same as +3 engineeering.</t>
      </text>
    </comment>
    <comment authorId="0" ref="A52">
      <text>
        <t xml:space="preserve">劣质类固醇 is an ok item you can get if you need Melee damage early.
Not super cost effective, and you're often not looking to lose Attack Speed.</t>
      </text>
    </comment>
    <comment authorId="0" ref="A19">
      <text>
        <t xml:space="preserve">蝙蝠 isn't great early game, but is a fine pickup late game for builds using life steal.</t>
      </text>
    </comment>
    <comment authorId="0" ref="A168">
      <text>
        <t xml:space="preserve">I'm a big fan of Consumable Healing, and I'm a big fan of 怪异食物. The healing is powerful early, and the negative dodge doesn't matter much early. 
The item is worth it even when accounted for the negative dodge too.</t>
      </text>
    </comment>
    <comment authorId="0" ref="A135">
      <text>
        <t xml:space="preserve">悲伤番茄 can be super powerful since it gives a good amount of Regen for its cost.
In many cases you won't be taking damage for the first 10 seconds of a wave, so if you can heal up in that time span, Sad Boy is great.</t>
      </text>
    </comment>
    <comment authorId="0" ref="A102">
      <text>
        <t xml:space="preserve">Ok item if you need that stats, and don't depend on crit.
A strong item if you can use the stats and you have dumped Crit.</t>
      </text>
    </comment>
    <comment authorId="0" ref="A69">
      <text>
        <t xml:space="preserve">花园 can be a decent source of healing if you have some consumable heals. But it is also quite an investment.
I find myself often skipping it tho.
Great on Farmer, Glutton, Chunky.</t>
      </text>
    </comment>
    <comment authorId="0" ref="A36">
      <text>
        <t xml:space="preserve">The 蜡烛 is a very situational item. 
For the most part, it should be passed, since it gives -10% enemies, and thuse money.
But it can be good in specific situations. I like buying it on the last 2-3 shops for elemental builds.</t>
      </text>
    </comment>
    <comment authorId="0" ref="A3">
      <text>
        <t xml:space="preserve">Just the Dodge alone already beats out some of the terrible items. The healing ability is quite powerful.
肾上腺素 is a pick up in most cases if you plan to build dodge. But it also requires you to have a good amount of dodge before it becomes worth it.</t>
      </text>
    </comment>
    <comment authorId="0" ref="A185">
      <text>
        <t xml:space="preserve">The Basic Max HP Option. Just ok. If you need Max HP, you take it, but otherwise it is fine to pass.
碎牙 is much more cost efficient, if you're not going HP Regeneration.</t>
      </text>
    </comment>
    <comment authorId="0" ref="A152">
      <text>
        <t xml:space="preserve">Useless item for most situations. But super great with 木板, especially on Artificer. Otherwise no builds want this.</t>
      </text>
    </comment>
    <comment authorId="0" ref="A119">
      <text>
        <t xml:space="preserve">This Item is Busted. If you're going for HP regen, this is the item that will carry you to victory.
But I end up skipping it often because I dump HP Regen often.</t>
      </text>
    </comment>
    <comment authorId="0" ref="A86">
      <text>
        <t xml:space="preserve">Not super cost efficient. Especially early when Max HP is valued highly.
But a decent option later, and a good way to pump your Dmg % when you need to. Great if you have too much Max HP.</t>
      </text>
    </comment>
    <comment authorId="0" ref="A53">
      <text>
        <t xml:space="preserve">Just a Super Solid item for engineering. Always a pickup if you're going engineering.</t>
      </text>
    </comment>
    <comment authorId="0" ref="A20">
      <text>
        <t xml:space="preserve">I like 豆豆老师 less than 伤疤. But it does offer a good amount of additional XP Gain.
Buy Sometimes. Think of it as an economy item.
XP Gain isn't worth stacking, but is extra important on characters that start with less XP Gain.</t>
      </text>
    </comment>
    <comment authorId="0" ref="A169">
      <text>
        <t xml:space="preserve">怪异幽灵 is quite cost efficient, and a great pickup if you can get away with it without dying.
But there are many cases where it isn't worth the risk.</t>
      </text>
    </comment>
    <comment authorId="0" ref="A136">
      <text>
        <t xml:space="preserve">伤疤 is an okay "economy" item to invest in your XP Gain.
I will pick it up if I have the money to spare and it fits into my shopping. But I also often skip it.
I Like 伤疤 better than 豆豆老师 and 黑带.</t>
      </text>
    </comment>
    <comment authorId="0" ref="A103">
      <text>
        <t xml:space="preserve">Great for Engineering builds, situational item outside of it.
医疗炮塔 provides 3 healing every 2.2 second, which is the same as 14 HP Regeneration.
It can be a decent healing option if you really need it. But I find having to play around the turret to be quite annoying for non engineering builds.
If you do pick up medical turret, avoid the ritual item, since any amount of negative engineering will reduce the healing to 2 per shot.</t>
      </text>
    </comment>
    <comment authorId="0" ref="A70">
      <text>
        <t xml:space="preserve">温和异形 can be super powerful.
It is quite cost efficient, especially for early % Damage items.
And the "Downside" can be an upside if you can handle it.
5% more enemies also means more money.</t>
      </text>
    </comment>
    <comment authorId="0" ref="A37">
      <text>
        <t xml:space="preserve">披风 is a super powerful legendary item for the mid-late game. It allows you to get to 60% dodge, and also grants you a sizable amount of life steal.
While the negative damage can be rough, especially for ranged builds, the 披风 simply offers tons of stats at a super cheap cost.</t>
      </text>
    </comment>
    <comment authorId="0" ref="A4">
      <text>
        <t xml:space="preserve">While the 15 HP is neat, permanently speeding up the Enemies tend to be a hefty downside.
It might be worth it sometimes from a loot crate if you need the Max HP. But otherwise I mostly just pass this.</t>
      </text>
    </comment>
    <comment authorId="0" ref="A186">
      <text>
        <t xml:space="preserve">The Basic Max HP Option. Just ok. If you need Max HP, you take it, but otherwise it is fine to pass.
碎牙 is much more cost efficient, if you're not going HP Regeneration.</t>
      </text>
    </comment>
    <comment authorId="0" ref="A153">
      <text>
        <t xml:space="preserve">While not being super cost effective, the ability to trade armor into a large amount of Crit is powerful in several cases, and allows you to get started on crit based builds.
Great for crit builds, good if you need to glass cannon up.</t>
      </text>
    </comment>
    <comment authorId="0" ref="A120">
      <text>
        <t xml:space="preserve">Key Item for Explosive Builds. Super powerful if all your damage is explosive based.
Also decent if just some of your damage is explosions.</t>
      </text>
    </comment>
    <comment authorId="0" ref="A87">
      <text>
        <t xml:space="preserve">疯狂 is a great way to increase your Crit Chance. Premium item for crit builds.
But for regular builds, it doesn't improve your damage output much early. It still becomes powerful later in the game for those builds.</t>
      </text>
    </comment>
    <comment authorId="0" ref="A54">
      <text>
        <t xml:space="preserve">胶带 is a skip most of the time. It has the same cost efficiency as helmet if you don't use engineering.
Engineering builds has more cost efficient options.</t>
      </text>
    </comment>
    <comment authorId="0" ref="A21">
      <text>
        <t xml:space="preserve">Solid Item to get some speed. You often don't mind the downside, making it a quite cost efficient item.
Buy often.</t>
      </text>
    </comment>
    <comment authorId="0" ref="A170">
      <text>
        <t xml:space="preserve">小麦 is pretty good if you can get some value out of the harvesting.
Significantly stronger on ranged builds.
Skip if you're using Elemental damage.</t>
      </text>
    </comment>
    <comment authorId="0" ref="A137">
      <text>
        <t xml:space="preserve">受惊香肠 is a powerful item for elemental builds. 
If you're using elemental weapons such as 电击枪 or 闪电短刃, that don't apply burn themselves, Sausages are a great pickup.
Otherwise I would skip the Sausage, since it isn't doing much for 法杖s/火把es/火焰喷射器s</t>
      </text>
    </comment>
    <comment authorId="0" ref="A104">
      <text>
        <t xml:space="preserve">Pretty decent Item if you can pick it up late where the luck downside doesn't matter too much.
But not one of the super strong legendaries.</t>
      </text>
    </comment>
    <comment authorId="0" ref="A71">
      <text>
        <t xml:space="preserve">巨人腰带 is an insanely powerful item. It adds tons of damage to crit builds.
And it doesn't take a lot of Crit Chance before it begins to shred Bosses and Elites.</t>
      </text>
    </comment>
    <comment authorId="0" ref="A38">
      <text>
        <t xml:space="preserve">变色龙 can often sit in an akward situation. You want to use its 20% dodge to get to 60%, but that also means you're limited to 40% while moving. 
I mostly pick it up for Standstill builds, or if I'm not able to reach 60% before the Boss fight.
It is also super powerful if you have retromation's hoodie.</t>
      </text>
    </comment>
    <comment authorId="0" ref="A5">
      <text>
        <t xml:space="preserve">异形之眼 is often not worth it. While you might see a big damage number, such random unrealiable single target damage doesn't actually do much for you.
Alien eyes can be great on HP focused builds like Chunky or Demon, especially if you get ricochet or 头巾. But it isn't worth it otherwise.
It is a key item for endless mode tho.</t>
      </text>
    </comment>
    <comment authorId="0" ref="A187">
      <text>
        <t xml:space="preserve">The Basic Max HP Option. Just ok. If you need Max HP, you take it, but otherwise it is fine to pass.
碎牙 is much more cost efficient, if you're not going HP Regeneration.</t>
      </text>
    </comment>
    <comment authorId="0" ref="A154">
      <text>
        <t xml:space="preserve">水熊虫 is rarely worth it. Even on ghost it isn't super great.
It does have some uses on super glass cannon builds, that rely on never being hit.</t>
      </text>
    </comment>
    <comment authorId="0" ref="A121">
      <text>
        <t xml:space="preserve">Situational item. It is super pricy for the amount of engineering it gives and perhaps 1-2 turrets.
You need to have some trees,  and an engineering or scared sausage build.</t>
      </text>
    </comment>
    <comment authorId="0" ref="A88">
      <text>
        <t xml:space="preserve">The Downside are awful, but maxing out your dodge, and getting enough speed for the boss battle can be more than enough to make 喷气背包 good.
So it is a situational item.
Items like Hoodie or Power generator can also help swing the value of this item.</t>
      </text>
    </comment>
    <comment authorId="0" ref="A55">
      <text>
        <t xml:space="preserve">炸药 gives +15% damage at an unreal price. Even if only half your damage is explosive, it is still great.
Always buy for explosive builds. Works with 爆炸炮塔s, Bull, landmines, anything that explodes.</t>
      </text>
    </comment>
    <comment authorId="0" ref="A22">
      <text>
        <t xml:space="preserve">One of the Worst legendaries. 
Its decent if you benefit from both damage types.
I also have gotten in a few times for the Ranged damage if I'm desperate.</t>
      </text>
    </comment>
    <comment authorId="0" ref="A171">
      <text>
        <t xml:space="preserve">独轮车 is a strong item when picked up early. Armor doesn't matter too much early, and the +16 Harvesting can really add up to a lot over time.</t>
      </text>
    </comment>
    <comment authorId="0" ref="A138">
      <text>
        <t xml:space="preserve">You're paying a lot for this +2 ranged damage. Normally I'm looking to increase my attack speed, and decrease my range.
I mostly Pass scope, and only Pick it up if I'm desperate for either or both stats.</t>
      </text>
    </comment>
    <comment authorId="0" ref="A105">
      <text>
        <t xml:space="preserve">Great early eco item for engineering builds that don't mind the -5% damage.
You can expect the ability to give about 5-25 Materials per wave.
Bad outside of engineering,</t>
      </text>
    </comment>
    <comment authorId="0" ref="A72">
      <text>
        <t xml:space="preserve">玻璃大炮 is not a cost effective item. But it lets you quickly get a good chunk of additional damage. So if you're behind on DPS, or if you don't care about defenses, you can pick it up.
I skip the item often, when I'm done fine, but I pick it up when I really need the damage.</t>
      </text>
    </comment>
    <comment authorId="0" ref="A39">
      <text>
        <t xml:space="preserve">Can be worth it on hybrid builds that can use both damage types like 闪电短刃, but it still isn't super great.
Otherwise I skip it unless I am super desperate for the Damage.</t>
      </text>
    </comment>
    <comment authorId="0" ref="A6">
      <text>
        <t xml:space="preserve">Not super cost effective. But if you're doing HP Regen and need the Max HP, I've found it to be great in the mid-late game where dumping a bit of luck doesn't matter as much.</t>
      </text>
    </comment>
    <comment authorId="0" ref="A188">
      <text>
        <t xml:space="preserve">
</t>
      </text>
    </comment>
    <comment authorId="0" ref="A155">
      <text>
        <t xml:space="preserve">触手 is already giving +3% Crit which is decent. But its ability to heal in Crit builds is amazing. 
Its S Tier for 100% Crit builds, and quite a good pickup in most builds if you have 10-30% crit.</t>
      </text>
    </comment>
    <comment authorId="0" ref="A122">
      <text>
        <t xml:space="preserve">毒药水 offers a good mix of stats that many builds like during the mid-late game. 
It is one of the reasons for why you dump HP Regeneration.
The Range isn't super important, and it is worth it just for the attack speed and crit.</t>
      </text>
    </comment>
    <comment authorId="0" ref="A89">
      <text>
        <t xml:space="preserve">Great for Landmine Builds, okay for 扳手 Builds.
Skip outside of engineering builds</t>
      </text>
    </comment>
    <comment authorId="0" ref="A56">
      <text>
        <t xml:space="preserve">能量手环 isn't super powerful because you usually don't make full use of the Crit, so the item isn't very cost efficient without it.
But it still can be picked up with a more weapon heavy elemental build.</t>
      </text>
    </comment>
    <comment authorId="0" ref="A23">
      <text>
        <t xml:space="preserve">Skip most of the time, unless I really need the Melee Damage.
I hate losing Luck Early, and early is when you want the extra XP. You are paying a lot for that extra XP</t>
      </text>
    </comment>
    <comment authorId="0" ref="A172">
      <text>
        <t xml:space="preserve">Premium way to get life steal.
There are cases where the loss of Knockback is significant, but if you can pick up this item in situations where you don't mind the loss of Knockback, it is great.
Even if you account for the Price of a boxing glove, it is still a pretty good item with a cost efficiency of around 5.</t>
      </text>
    </comment>
    <comment authorId="0" ref="A139">
      <text>
        <t xml:space="preserve">Powerful Lategame item that gives some good stats.
Great for the HP Regen and Range, Great for engineering builds. But you have to find it late enough</t>
      </text>
    </comment>
    <comment authorId="0" ref="A106">
      <text>
        <t xml:space="preserve">金属板, despite not being cost efficient, is often a decent pickup later in the game when you're trying to stack up on Armor.
Skip early, pick up sometimes later.</t>
      </text>
    </comment>
    <comment authorId="0" ref="A73">
      <text>
        <t xml:space="preserve">Generally I skip this outside of 十字弓 builds. 
But sometimes when using 电击枪s or 弹弓s, my range dips below what I'm comfortable with, and this item is a cheap way to get the range back up.
I mostly look for a lucky High tier range upgrade to fix my range, or wings tho.</t>
      </text>
    </comment>
    <comment authorId="0" ref="A40">
      <text>
        <t xml:space="preserve">Not super cost efficient. But I like to buy it on melee crit builds like 手里剑, 盗贼匕首, 匕首 Etc.
Or if I have Hunting Trophy.</t>
      </text>
    </comment>
    <comment authorId="0" ref="A7">
      <text>
        <t xml:space="preserve">异形之舌 actually give a decent effect, but it isn't important enough to pay to get it.
I usually take it from crates but pass it in the shop.
I have sometimes picked up one if I'm playing Lucky, Glutton or Chunky, where your pickup range is super important.</t>
      </text>
    </comment>
    <comment authorId="0" ref="A156">
      <text>
        <t xml:space="preserve">Terrible Item. You pay to lose about the same amount of stats as you gain.
I skip it in Loot Crates.
I have picked it up sometimes when getting ready for wave 20 if I was behind on Speed.</t>
      </text>
    </comment>
    <comment authorId="0" ref="A123">
      <text>
        <t xml:space="preserve">土豆 is just an all around pretty good boost. While you're not going to make use of all the stats it gives, it is still quite good.</t>
      </text>
    </comment>
    <comment authorId="0" ref="A90">
      <text>
        <t xml:space="preserve">Good Pickup for Engineering Builds. Skip outside of Engineering builds.</t>
      </text>
    </comment>
    <comment authorId="0" ref="A57">
      <text>
        <t xml:space="preserve">Etsy的沙发 is a funny meme build that sometimes works. When it works, it seems super powerful.
But I would just steer clear of it most of the time, unless you're having fun.</t>
      </text>
    </comment>
    <comment authorId="0" ref="A24">
      <text>
        <t xml:space="preserve">眼罩 offers a good amount of stats efficiently. 
It is better mid-late game when Crit and Dodge become more valuable, unless you're doing a crit build.
But there are several cases where you are dumping either Crit or Dodge. In these situations the item becomes rather bad.</t>
      </text>
    </comment>
    <comment authorId="0" ref="A173">
      <text>
        <t xml:space="preserve">Nearly always a Skip. Less enemies means less materials.
There are some Challenge builds that have issues with killing enemies. And the flag can be picked up to ease the Wave 20 boss fight.</t>
      </text>
    </comment>
    <comment authorId="0" ref="A140">
      <text>
        <t xml:space="preserve">Even with the HP Regeneration downside, this item is cost effective. If you dump HP Regeneration, it becomes one of the best items in the game.
Super powerful, and along with 碎牙, its the reason to dump HP Regeneration.</t>
      </text>
    </comment>
    <comment authorId="0" ref="A107">
      <text>
        <t xml:space="preserve">导弹 is expensive and loses you attack speed, which you don't want to lose. Its fine to pick from a crate if you need the damage, but I skip it most of the time in the shop.</t>
      </text>
    </comment>
    <comment authorId="0" ref="A74">
      <text>
        <t xml:space="preserve">Not super cost effective, but a decent chunk of Damage, if you're using one of the damage types.
But if you use both, its insane. Lightning shiv, 雷霆之剑, Plasma 锤子, 木板.</t>
      </text>
    </comment>
    <comment authorId="0" ref="A41">
      <text>
        <t xml:space="preserve">Insane Item for Elemental Builds. 
Can even be picked up just for the luck if you're needy.</t>
      </text>
    </comment>
    <comment authorId="0" ref="A8">
      <text>
        <t xml:space="preserve">Alien worm is a pass in many cases, since consumable healing is good, and I mostly Dump HP Regeneration.
But some characters can benefit from Alien worm (Doctor, Golem, Lich come to mind).</t>
      </text>
    </comment>
    <comment authorId="0" ref="A157">
      <text>
        <t xml:space="preserve">Good Engineering item in some cases, sadly it actually is quite bad if you got 改良工具.</t>
      </text>
    </comment>
    <comment authorId="0" ref="A124">
      <text>
        <t xml:space="preserve">发电机 is a very powerful source of % Damage. Once you have +25% Speed, it becomes one of the most cost efficient ways to increase your Damage.</t>
      </text>
    </comment>
    <comment authorId="0" ref="A91">
      <text>
        <t xml:space="preserve">Later in the Game when you need to get your Armor and Dodge up, this is a godsend. 
Very cost efficient, especially since you often don't mind losing a bit of max HP, when your EHP still increases.</t>
      </text>
    </comment>
    <comment authorId="0" ref="A58">
      <text>
        <t xml:space="preserve">外骨骼 is an insanely powerful item. Whether you use the Engineering, or the Crit, it is a very cost effective item that gives a great +5 Armor.</t>
      </text>
    </comment>
    <comment authorId="0" ref="A25">
      <text>
        <t xml:space="preserve">献血 offers an immense amount of Harvesting, which can be game changing.
Getting an early Blood donation can be insanely strong if you have a character that can handle it: Lich, Bull, Masochist, Wildling, Sick, Doctor..</t>
      </text>
    </comment>
    <comment authorId="0" ref="A174">
      <text>
        <t xml:space="preserve">I pick up 翅膀 very often. The speed boost is very powerful for the midgame when you find it.
The Range is also often useful. Very mid on builds that use elemental damage. But if you need the speed...</t>
      </text>
    </comment>
    <comment authorId="0" ref="A141">
      <text>
        <t xml:space="preserve">Super powerful item that really helps builds with 冲锋枪, 左轮手枪, 法杖, 电击枪, 火箭发射器, Medigun, 幽灵权杖.
But it is Highly Situational</t>
      </text>
    </comment>
    <comment authorId="0" ref="A108">
      <text>
        <t xml:space="preserve">The item is quite cost effective before looking at the extra enemy stat. So if you can handle the extra enemies, mouse is insanely strong, as you'll earn more Materials from those enemies.</t>
      </text>
    </comment>
    <comment authorId="0" ref="A75">
      <text>
        <t xml:space="preserve">Pretty bad if you're using your crit. But can be a fine pickup if you are in need for +3 melee damage.
However if you're dumping crit, this becomes very cost efficient, same as 精通</t>
      </text>
    </comment>
    <comment authorId="0" ref="A42">
      <text>
        <t xml:space="preserve">Everyone's Favorite Item. 咖啡 is super cost efficient.
Nearly always a Buy. Worth locking in the first two shops.</t>
      </text>
    </comment>
    <comment authorId="0" ref="A9">
      <text>
        <t xml:space="preserve">Allow isn't worth it for Melee and Engineering in many cases. - if you aren't dumping dodge.
But it is great for ranged builds that go for glass cannon.
It is also great for Hybrid Builds.</t>
      </text>
    </comment>
    <comment authorId="0" ref="A158">
      <text>
        <t xml:space="preserve">拷问 is insanely powerful if you find it before you have invested in healing.
Picking up 拷问 can fix your defenses with a single Item.
It is terrible if you're playing for endless mode.</t>
      </text>
    </comment>
    <comment authorId="0" ref="A125">
      <text>
        <t xml:space="preserve">A Pretty good option for luck. Not as good as 迷路小鸭, but still a fine pick up.
I buy it often if I can afford to invest in Eco Items.</t>
      </text>
    </comment>
    <comment authorId="0" ref="A92">
      <text>
        <t xml:space="preserve">I love consumable healing on most builds. And lemonade offers a lot of healing for a very cheap price.
I buy it most of the time.</t>
      </text>
    </comment>
    <comment authorId="0" ref="A59">
      <text>
        <t xml:space="preserve">爆炸弹壳 is a premium item for Explosive Builds. It is useless outside of those builds, and auto pickup for those builds.
It is even better for engineering builds, since the -15% damage won't matter here.</t>
      </text>
    </comment>
    <comment authorId="0" ref="A26">
      <text>
        <t xml:space="preserve">Blood leech is pretty bad for the most part. But if you are using both Life steal and HP Regen, and the run is nearly over, the item is actually a decent pickup as you ready yourself for the boss fight. 
But its a skip for the most of the game, since you don't want to hurt your harvesting.</t>
      </text>
    </comment>
    <comment authorId="0" ref="A175">
      <text>
        <t xml:space="preserve">智慧 is super expensive for its ability. While the ability is good, you also have to account for the damage you could have gotten by buying other, more cost efficient items.
I skip it most of the time in the shop, maybe with streamer as an exception.
I do take it from crates most of the time, Unless I have recycling machine.</t>
      </text>
    </comment>
    <comment authorId="0" ref="A142">
      <text>
        <t xml:space="preserve">Not a great item for Melee and Ranged builds. 
But it is a good item for Pacifist, Elemental, and Engineering builds if you have invested in HP Regeneration.</t>
      </text>
    </comment>
    <comment authorId="0" ref="A109">
      <text>
        <t xml:space="preserve">蘑菇 is the Basic option for HP Regeneration. You pick it up when you really need HP Regen.
But I mostly Pass it since I'm not in the market for HP Regeneration.
Also the negative Luck isn't great early.</t>
      </text>
    </comment>
    <comment authorId="0" ref="A76">
      <text>
        <t xml:space="preserve">The Magical Leaf provides tons of stats. Lets say you have dumped HP Regen or Life steal. In that case you still only need 3 triggers for the item to be pretty good for the boss wave.
And sometimes you might be able to use both HP Regen and Life Steal, making it even better.
So I would buy it at the shop after wave 16 at the latest. Anytime before that is great.</t>
      </text>
    </comment>
    <comment authorId="0" ref="A43">
      <text>
        <t xml:space="preserve">Stellar Engineering Item. Great rate and you don't care much about the downside.</t>
      </text>
    </comment>
    <comment authorId="0" ref="A10">
      <text>
        <t xml:space="preserve">Super Powerful Item. I tend to buy it if I can get 3 or more uses. 
If you can get 4,5 or more uses, 铁砧 begins to become insanely powerful.
On Endless Mode, 铁砧 is a Core item.</t>
      </text>
    </comment>
    <comment authorId="0" ref="A159">
      <text>
        <t xml:space="preserve">毒泥 is fine way of getting Elemental Damage even if you're going for Dodge, slightly better than boiling Water.
If you're not going for Dodge, 毒泥 becomes insanely efficient.</t>
      </text>
    </comment>
    <comment authorId="0" ref="A126">
      <text>
        <t xml:space="preserve">Pretty good pickup for Builds with Piercing damage, especially shotguns.
But not important. You are paying a decent amount to just increase your clear a bit.</t>
      </text>
    </comment>
    <comment authorId="0" ref="A93">
      <text>
        <t xml:space="preserve">Ranged Damage is super hard to come by via items. I like 镜片, since the Downside is tiny.
I pick it up most of the time on ranged builds.</t>
      </text>
    </comment>
    <comment authorId="0" ref="A60">
      <text>
        <t xml:space="preserve">Key item for engineering builds. Basically a 7th weapon slot. 
Scales super well with Plasitic explosives, 炸药 and 爆炸弹壳.</t>
      </text>
    </comment>
    <comment authorId="0" ref="A27">
      <text>
        <t xml:space="preserve">血手 provides an insane amount of stats, and is capable of handling its own downside. 
It is a super powerful item for most standard builds that use life steal.</t>
      </text>
    </comment>
    <comment authorId="0" ref="A176">
      <text>
        <t xml:space="preserve">Insane Item for Elemental Builds. 
Can even be picked up just for the luck if you're needy.</t>
      </text>
    </comment>
    <comment authorId="0" ref="A143">
      <text>
        <t xml:space="preserve">Its a fine effect, but just not worth the price tag in many cases.
It can actually be powerful for some ranged glass cannon builds that might not have an easy time gathering</t>
      </text>
    </comment>
    <comment authorId="0" ref="A110">
      <text>
        <t xml:space="preserve">Garbage. I skip it most of the time even in loot crates. You must be truely desperate to pick this item up.
that said, there have been cases where i really needed that ranged damage.</t>
      </text>
    </comment>
    <comment authorId="0" ref="A77">
      <text>
        <t xml:space="preserve">软糖狂战士 doesn't offer too much. it is a skip most of the time
 But sometimes you are super glass cannon and don't care about your defenses. And it can be okay.
It is pretty good on Hunter going 十字弓 glass cannon, but it still isn't a cost efficient item.</t>
      </text>
    </comment>
    <comment authorId="0" ref="A44">
      <text>
        <t xml:space="preserve">社区支持 offers several powerful things.
- It allows you to trade defense into offense.
- It can give a large amount of attack speed. Something you might not be able to get otherwise even if you look for it.
- It gives you a super powerful safeguard against falling behind, which is super powerful on Horde and even Elite waves.
For these reasons it is often one of the most powerful items you can find.</t>
      </text>
    </comment>
    <comment authorId="0" ref="A11">
      <text>
        <t xml:space="preserve">Typically not worth it for most builds.
Great on Lucky, and other characters that have synergy with luck builds such as One-armed, Arms Dealer, King, Glutton. (But only if you actually build Luck)</t>
      </text>
    </comment>
    <comment authorId="0" ref="A160">
      <text>
        <t xml:space="preserve">Harvesting is a super powerful stat. And 拖拉机 is one of the most powerful items in the game depending on when you get it. 
Depending on the situation and how much I am ahead/Behind, I would buy this up to about wave 15.  Its great on wave 12 and earlier.</t>
      </text>
    </comment>
    <comment authorId="0" ref="A127">
      <text>
        <t xml:space="preserve">I tend to build a lot of luck on my builds, which results in a lot of crates with higher tier items in them. 
If you build like me, 回收机 is S tier. It gives so many materials over the duration of a game, And its great if you ever need to sell a weapon.</t>
      </text>
    </comment>
    <comment authorId="0" ref="A94">
      <text>
        <t xml:space="preserve">小青蛙 can be pretty good early, if you're not going for dodge. The early harvesting can be powerful.
Otherwise the item quickly becomes quite awful.</t>
      </text>
    </comment>
    <comment authorId="0" ref="A61">
      <text>
        <t xml:space="preserve">额外胃袋 can provide an extraordinary amount of Max HP. (If you are able to pick up 10 consumables while at full hp)
- 树s, garden, and luck can help you get enough consumables to Max out the +10 Max HP each wave.
- I would consider picking this up until around the shop after wave 17. but not after that</t>
      </text>
    </comment>
    <comment authorId="0" ref="A28">
      <text>
        <t xml:space="preserve">沸水 is an okay source of Elemental Damage. 
I buy it if I need Elemental Damage, but I also often pass it, looking for the more cost effective options.</t>
      </text>
    </comment>
    <comment authorId="0" ref="A177">
      <text>
        <t xml:space="preserve">Great Item for Any build with structures. 
Can be fine without structures if you really need the speed.</t>
      </text>
    </comment>
    <comment authorId="0" ref="A144">
      <text>
        <t xml:space="preserve">银弹 gives multiplicative damage scaling, so even if you have +200  %Damage, it will still make you do +25% more damage to the boss.
The value of the Silver bullet depends a lot on your build, and the number of incoming Elites. It can be super helpful to help you kill the Elites and get the Legendary Loot Crates.</t>
      </text>
    </comment>
    <comment authorId="0" ref="A111">
      <text>
        <t xml:space="preserve">I don't love the downsides, but it is a decent item if you can make use of the crit and range.  
Great on crossbow/狙击枪 builds, except you often already have maxed out your Crit.</t>
      </text>
    </comment>
    <comment authorId="0" ref="A78">
      <text>
        <t xml:space="preserve">Ranged Damage is harder to get than Elemental and melee damage. So the item is best for Ranged Builds.
手铐 are also quite insane if you use 2 of the 3 damage types.
手cufffs locks your Max HP, so you don't want to buy it too early. You can lock it in the shop for a wave, but don't let it sit there for 3-4 waves.</t>
      </text>
    </comment>
    <comment authorId="0" ref="A45">
      <text>
        <t xml:space="preserve">Busted Item for Engineering Builds.
Can sometimes be worth it to buy just for the Speed if you really need it.</t>
      </text>
    </comment>
    <comment authorId="0" ref="A12">
      <text>
        <t xml:space="preserve">I really don't like this item.
Since it only picks up 20%, you still need to move around anyway to pick up materials, so you gain little advantage.
And having to pay for it, and losing life steal is just a hefty price for nothing.</t>
      </text>
    </comment>
    <comment authorId="0" ref="A161">
      <text>
        <t xml:space="preserve">Very Cost efficient item if you can avoid being hit too much. I like it a lot on glass cannon ranged builds.
The downside is that you can't take blood donation and Bloody hand. Which is terrible when playing endless mode generally.</t>
      </text>
    </comment>
    <comment authorId="0" ref="A128">
      <text>
        <t xml:space="preserve">Very Powerful item for HP Regen Builds. Can really keep you alive through the boss fight if you have 20--30 or more HP regen.</t>
      </text>
    </comment>
    <comment authorId="0" ref="A95">
      <text>
        <t xml:space="preserve">Pretty solid item for melee builds. You often don't mind the Range downside too much, making the item quite cost efficient.
I buy it most of the time.</t>
      </text>
    </comment>
    <comment authorId="0" ref="A62">
      <text>
        <t xml:space="preserve">眼部手术 makes your Burn tick faster, increasing the DPS of your Burn by 11%/25%/43%.
This makes it a good way to scale your burn into the late game, but it isn't doing a lot early.</t>
      </text>
    </comment>
    <comment authorId="0" ref="A29">
      <text>
        <t xml:space="preserve">书 due to its cheap price, and how inflation works, becomes less effective in the later game. During wave 2-8 it is quite good.</t>
      </text>
    </comment>
    <comment authorId="0" ref="A178">
      <text>
        <t xml:space="preserve">Situational Engineering item. You need to have some crit for this to pay off. It isn't worth it for just the 3 engineering.
And often engineering builds dump crit from pencil + compass.</t>
      </text>
    </comment>
    <comment authorId="0" ref="A145">
      <text>
        <t xml:space="preserve">小弹匣 gives two stats you're very interested in. 
So while the minus Damage is sad, 小弹匣 is amazing for most Ranged Builds.</t>
      </text>
    </comment>
    <comment authorId="0" ref="A112">
      <text>
        <t xml:space="preserve">Pretty powerful item if you're not doing a build that depends heavily on Crit. It is worth it even if you have crit. The HP and Life steal can really help you tank up for the mid-late game.</t>
      </text>
    </comment>
    <comment authorId="0" ref="A79">
      <text>
        <t xml:space="preserve">头部创伤 is one of the most "filler" items in the game. It isn't cost efficient, but if you don't mind the range downside, it becomes a bit better. 
Its an okay pickup but also super passable.</t>
      </text>
    </comment>
    <comment authorId="0" ref="A46">
      <text>
        <t xml:space="preserve">S Tier Item. Worth Locking. Always buy unless it is one of the last shops.</t>
      </text>
    </comment>
    <comment authorId="0" ref="A13">
      <text>
        <t xml:space="preserve">长胡子的宝宝 deals no damage unless you have a good deal of Ranged Damage.
But for builds with that, the Beard provides a lot of additional damage which can help you deal with big crowds of enemies.
It is really powerful once you get it going. It works with Bouncing and piercing, and if you get multiple of the item, it can cause chain procs that clear the screen.</t>
      </text>
    </comment>
    <comment authorId="0" ref="A162">
      <text>
        <t xml:space="preserve">Generally a fine Engineering Item. Useful early. Not a powerhouse, but its cheap.
Can be picked up for elemental builds to spread flames with 受惊香肠.</t>
      </text>
    </comment>
    <comment authorId="0" ref="A129">
      <text>
        <t xml:space="preserve">One of the Strongest items in the game if you have 60+ dodge. 
The minus range even makes melee weapons attack even faster!</t>
      </text>
    </comment>
    <comment authorId="0" ref="A96">
      <text>
        <t xml:space="preserve">Premium item. I will often lock this in the Shop during the first 2 waves.
Not super good if you use elemental damage. But a pickup in most other cases.</t>
      </text>
    </comment>
    <comment authorId="0" ref="A63">
      <text>
        <t xml:space="preserve">one of the strongest item in the game currently. It easily gives you 10-20 HP Regen at a very cost efficient price.</t>
      </text>
    </comment>
    <comment authorId="0" ref="A30">
      <text>
        <t xml:space="preserve">Super Powerful Economy item. 
Great if you can afford the setback. 
I buy it often, since I'm greedy.</t>
      </text>
    </comment>
    <comment authorId="0" ref="A179">
      <text>
        <t xml:space="preserve">A good pickup on most engineering builds, as the +5 alone is worth it. The additional scaling is also fine for some free damage on your weapons.
There's some characters that have further synergy with the item.
* Great for Builder, Cyborg, Dwarf.</t>
      </text>
    </comment>
    <comment authorId="0" ref="A146">
      <text>
        <t xml:space="preserve">蜗牛 is an okay item. I pick it up sometimes during the mid-late game if I have the money to spare.
 But otherwise it doesn't provide much direct advantage, so I skip it</t>
      </text>
    </comment>
    <comment authorId="0" ref="A113">
      <text>
        <t xml:space="preserve">护垫 is not worth it except on Saver.
If you're doing Endless Mode, 护垫 is S+ Tier</t>
      </text>
    </comment>
    <comment authorId="0" ref="A80">
      <text>
        <t xml:space="preserve">The Downsides are also quite Heavy, but +5 Ranged Damage is really powerful. 
Not a super great item, but often worth the buy for ranged builds.</t>
      </text>
    </comment>
    <comment authorId="0" ref="A47">
      <text>
        <t xml:space="preserve">Super Powerful item. Can cause builds to spiral out of control. But it also does require a good chunk of Harvesting, and it must be found somewhat early/mid.
If I find it Wave 5-9 I will buy it even if I have little to no Harvesting, because then I'll make sure to get some.</t>
      </text>
    </comment>
    <comment authorId="0" ref="A14">
      <text>
        <t xml:space="preserve">袋子 is one of the best economy items. S Tier. 
袋子 will typically pull in several hundred materials in over the duration of the game, depending on how early you get it, plus your luck stat etc.</t>
      </text>
    </comment>
    <comment authorId="0" ref="A163">
      <text>
        <t xml:space="preserve">Okay 炮塔. Quite expensive for what it actually gets done. I buy it most of the time, when doing an engineering build, but It can be skipped.</t>
      </text>
    </comment>
    <comment authorId="0" ref="A130">
      <text>
        <t xml:space="preserve">弹跳 lets projectiles bounce +1 times. If a weapon doesn't have bouncing by default, the bounce will deal 50% damage.
弹跳 is expensive and comes with a hefty -35% damage. But the effect is well worth it on weapons without any bounce or piercing.
- Watch out for weapons that have piercing, since the -50% damage on bounce will affect the piercing hits afterwards.</t>
      </text>
    </comment>
    <comment authorId="0" ref="A97">
      <text>
        <t xml:space="preserve">Nearly always a pickup. Losing either 1 ranged damage or 2 Melee damage is worth it.</t>
      </text>
    </comment>
    <comment authorId="0" ref="A64">
      <text>
        <t xml:space="preserve">肥料 is perhaps the strongest item to see in the shop wave 1. 
It doesn't matter if you use melee damage.
It is the only item that I buy in the two first shops.</t>
      </text>
    </comment>
    <comment authorId="0" ref="A31">
      <text>
        <t xml:space="preserve">Situational Item. Skip in many cases.
But it is super powerful, and the only way to supply knockback. One Boxing glove can give you enough knockback to deal with the wave 11 追击者s. You pick the item up as a silver bullet against those enemies on weapons that have low knockback and lack the dps to kill them.
For example - 粉碎者 or screwdriver.</t>
      </text>
    </comment>
    <comment authorId="0" ref="A180">
      <text>
        <t xml:space="preserve">Generally a fine Engineering Item. Useful early. Not a powerhouse, but its cheap.
Can be picked up for elemental builds to spread flames with 受惊香肠.</t>
      </text>
    </comment>
    <comment authorId="0" ref="A147">
      <text>
        <t xml:space="preserve">蛇 is a Key item for any elemental build that relies on burning. 
蛇 also works with the Blue 炮塔 and is a decent pickup for the midgame for some engineering builds if you have some blue turrets.</t>
      </text>
    </comment>
    <comment authorId="0" ref="A114">
      <text>
        <t xml:space="preserve">With its Buff, 熊猫 has become quite a powerful pickup. It just gives a lot of stats. The Luck gives more consumables, and the +12 HP is welcome. It is neat for tanking up in the late game.</t>
      </text>
    </comment>
    <comment authorId="0" ref="A81">
      <text>
        <t xml:space="preserve">刺猬 is good if you're using both Stats. But generally it is not a cost efficient option. 
And this is assuming you are dumping HP Regen. 
I do sometimes take it for the ranged Damage if I need it. (And Especially if I would otherwise reroll)</t>
      </text>
    </comment>
    <comment authorId="0" ref="A48">
      <text>
        <t xml:space="preserve">可爱猴子 is a powerful source of healing, especially for melee builds, since you're closer to the materials as they drop.
- Don't get it if you're using Ranged Damage.</t>
      </text>
    </comment>
    <comment authorId="0" ref="A15">
      <text>
        <t xml:space="preserve">诱饵 is a super cost efficient way of building damage. Especially when you account for the materials you get back from killing the extra enemies.
However 诱饵 can truely be 诱饵. It is easy to get killed by the spawned enemies.
Take the bait if you can handle it, but don't throw away a good build just to be greedy.</t>
      </text>
    </comment>
    <comment authorId="0" ref="A164">
      <text>
        <t xml:space="preserve">Powerful item. Buy on most build during the Mid-End Game. Don't buy it too early.
The Tooth provides a strong 30% slow which lasts the rest of the wave. It is really powerful against strong enemies, elites and the bosses.</t>
      </text>
    </comment>
    <comment authorId="0" ref="A131">
      <text>
        <t xml:space="preserve">撕咬撕裂 can provide some decent area damage. But the randomness of the damage also makes it less useful. The Negative Harvesting also hurts.
I like it on builds that use explosions and a lot of melee damage. 木板, Plasma 锤子, Bull. It is also useful to help shuriken clear enemies.
- it can mess with your ability to life steal, if it kills enemies before your weapons get to hit the enemies.
- 撕咬撕裂 scales in both damage and % chance to trigger. So having 2 is four times stronger than 1. When you have 5, it is 100% chance to explode for 5x the damage.</t>
      </text>
    </comment>
    <comment authorId="0" ref="A98">
      <text>
        <t xml:space="preserve">This item can range between useless and powerful. Buying it on a 冲锋枪 build increases your 
A lot of builds simply don't struggle with killing trees, so you can pass it often.
Buying it does remove it from the shop, which is nice.</t>
      </text>
    </comment>
    <comment authorId="0" ref="A65">
      <text>
        <t xml:space="preserve">鱼鳍 usually shows up around the midgame right when you need to speed up and also get some sustain. And it is a powerful option for that.
While the negative luck sucks, the stats are well worth it. It is very cost efficient.</t>
      </text>
    </comment>
    <comment authorId="0" ref="A32">
      <text>
        <t xml:space="preserve">碎牙 is a premium way to gain Max HP. It along with shaky potion is the reason to dump HP Regeneration.
If you're not dumping HP Regeneration, the mouth is worse than cake, but can still be picked up if you need the HP.</t>
      </text>
    </comment>
    <comment authorId="0" ref="A181">
      <text>
        <t xml:space="preserve">Insane Item for Elemental Builds. 
Can even be picked up just for the luck if you're needy.</t>
      </text>
    </comment>
    <comment authorId="0" ref="A148">
      <text>
        <t xml:space="preserve">The unreliable random damage just isn't worth much.
Both the Damage and % chance to happen increases when you buy more, so you need all 4 for it to be powerful.</t>
      </text>
    </comment>
    <comment authorId="0" ref="A115">
      <text>
        <t xml:space="preserve">Peaceful bee can be a really nice early pickup for the harvesting, if you plan to get dodge later in the game.
I pick it up on pacifist builds, engineering, and elemental. 
It can also be fine on melee builds, since -1 melee isn't too rough.</t>
      </text>
    </comment>
    <comment authorId="0" ref="A82">
      <text>
        <t xml:space="preserve">Skip always. Terrible item.
It is super rare for me to buy this in a shop. I sometimes discard this from loot crates too.
Its an ok item on Chunky, but that is about it.</t>
      </text>
    </comment>
    <comment authorId="0" ref="A49">
      <text>
        <t xml:space="preserve">Slightly better than 小象. But I would still only get it if I got quite a good amount of Luck/%Dmg
Ranged builds benefit more from the random damage from 电子球. Melee weapons just cleave everything anyway.</t>
      </text>
    </comment>
    <comment authorId="0" ref="A16">
      <text>
        <t xml:space="preserve">头巾 adds an extra piercing to your projectiles. This increases your general DPS a lot、and allows you to better deal with hordes.
头巾 is a key item for several builds. Look for it.
Not super important for ranged weapons that already come with 3+ Bounce/Piercing.</t>
      </text>
    </comment>
    <comment authorId="0" ref="A165">
      <text>
        <t xml:space="preserve">The 私刑者之戒 offers Damage at a discount, but at the downside that you're getting the damage later in the game. So in that sense it is also an investment.
Generally speaking, the ring is great if you can get it on wave 9 or earlier. It is pretty good on wave 10-11. And  
12 is meh, 13 and later is when I'm not looking to buy it in many cases.</t>
      </text>
    </comment>
    <comment authorId="0" ref="A132">
      <text>
        <t xml:space="preserve">I've never seen its damage ability be useful. So this is just some of the most inefficient +2 melee damage on the marked.
its fine if you find it in a crate for the +2</t>
      </text>
    </comment>
    <comment authorId="0" ref="A99">
      <text>
        <t xml:space="preserve">Super Powerful Economy Item that pays itself more than back over a single wave. But It requires you to have enough DPS to kill the looters.
- the loot hoarders drop a crate and 8 materials
- gives 2x 15 gold per bag item you have.</t>
      </text>
    </comment>
    <comment authorId="0" ref="A66">
      <text>
        <t xml:space="preserve">Focus is a great way to gain a large amount of % Damage at once.
It is great if you only have 1-2 different weapons.</t>
      </text>
    </comment>
    <comment authorId="0" ref="A33">
      <text>
        <t xml:space="preserve">The 蝴蝶 is the basic Life Steal option. 
You buy it if you need life steal, but it isn't cost effective enough to be a "premium always buy" option.
If you're using Elemental Damage, it is an always skip.</t>
      </text>
    </comment>
    <comment authorId="0" ref="A182">
      <text>
        <t xml:space="preserve">Generally a fine Engineering Item. Useful early. Not a powerhouse, but its cheap.
Can be picked up for elemental builds to spread flames with 受惊香肠.</t>
      </text>
    </comment>
    <comment authorId="0" ref="A149">
      <text>
        <t xml:space="preserve">蜘蛛 is just super expensive and comes with two downsides. 
You want 4 or more different weapons before this becomes good. Or 2 if you don't care about the dodge.</t>
      </text>
    </comment>
    <comment authorId="0" ref="A116">
      <text>
        <t xml:space="preserve">孔雀 is quite expensive for just its 25% bonus, so the +100% burst of exp is where the value is. I like to buy 孔雀 if I can afford investing and survive the next wave. But I also regularly skip it.
Locking the Item for Horde and Wave 9 can earn you some extra XP.</t>
      </text>
    </comment>
    <comment authorId="0" ref="A83">
      <text>
        <t xml:space="preserve">Hunting Trophy can be the most powerful economy item if you have 100% Crit Chance. Key item for crit builds. Can be stacked for insane gains.
Can also be worth it for non crit builds if you find it early. You can then go into crit for this item.</t>
      </text>
    </comment>
    <comment authorId="0" ref="A50">
      <text>
        <t xml:space="preserve">Premium % Damage item. I tend to buy it most of the time.</t>
      </text>
    </comment>
    <comment authorId="0" ref="A17">
      <text>
        <t xml:space="preserve">旗帜 is overrated by many people in my opinon. The cost efficiency is terrible, and it gets worse if you're not fully using the Range you gain from the banner.
So often I skip
but sometimes you just need attack speed, and so you buy the banner.</t>
      </text>
    </comment>
    <comment authorId="0" ref="A166">
      <text>
        <t xml:space="preserve">Situational Item, mostly skip
I like 流浪机器人 on builds that have to navigate a lot of close encounters. The slow from 流浪机器人 affects even enemies that can't be knocked back, so it provides an additional layer of defense.
Pacfist, Bull, Engineering builds. These like having a bit of additional protection. But the item is also very skippable. It is a lot of money that could be put into defense or dmg.</t>
      </text>
    </comment>
    <comment authorId="0" ref="A133">
      <text>
        <t xml:space="preserve">仪式 is a decent item for the mid game. I often skip it in the first 5 shops, since you're paying for the life steal, which isn't something I want to invest in early.
But it is quite decent later in the game.</t>
      </text>
    </comment>
    <comment authorId="0" ref="A100">
      <text>
        <t xml:space="preserve">猛犸象 can be a good way to get a lot of Melee damage, if you are falling behind on it.
However the downsides are big, and you rarely get to use the HP Regen.</t>
      </text>
    </comment>
    <comment authorId="0" ref="A67">
      <text>
        <t xml:space="preserve">Super Efficient item for elemental damage. Getting a "Tier 4" upgrade for 45 base price is a steal.
If you are mainly using Elemental Damage, I would always pick it up.</t>
      </text>
    </comment>
    <comment authorId="0" ref="A34">
      <text>
        <t xml:space="preserve">The Basic Max HP Option. Just ok. If you need Max HP, you take it, but otherwise it is fine to pass.
碎牙 is much more cost efficient, if you're not going HP Regeneration.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Effective Hit Points is a term for the actual amount of damage you can take before you die. If you have a eHP factor of 200%, and have 100 hit points, it will take 200 damage to kill you. Put in the amount of Armor, Dodge, Max HP, and HP Regen and the calculator will tell you how much each factor increases your eHP. It also shows you how much eHP you regenerate per sec.</t>
      </text>
    </comment>
    <comment authorId="0" ref="J8">
      <text>
        <t xml:space="preserve">The Item price is increased by the Endless Factor /5. So when this shows 50%, it means that items are made 50% more expensive by endless mode.
Note that item price also increases with wave number above 20.</t>
      </text>
    </comment>
    <comment authorId="0" ref="F19">
      <text>
        <t xml:space="preserve">This is the Reduction that you can get from spyglass. There's a maximum of 90%.</t>
      </text>
    </comment>
    <comment authorId="0" ref="G3">
      <text>
        <t xml:space="preserve">Price% is the secondary stat that determines the price percentage cost of items and weapons in the shop.
Default: 100%
5 优惠券s: 75%
Saver/Mutant: 150%</t>
      </text>
    </comment>
    <comment authorId="0" ref="H3">
      <text>
        <t xml:space="preserve">Recycle % is the percentage you get back on Recycling. You gain 25% back at Default. 回收机 adds +35% for a total of 60%. And Entrepreneur gets another +25%</t>
      </text>
    </comment>
    <comment authorId="0" ref="K1">
      <text>
        <t xml:space="preserve">Here are tables over how Harvest scales. You can play around with the starting harvest and the interest rate as you please. Set the Wave to the number where you want to count from. The Entrepreneur tables have the 50% increase to harvesting accounted for.</t>
      </text>
    </comment>
    <comment authorId="0" ref="D5">
      <text>
        <t xml:space="preserve">The Tooltip for Armor is rounded to the nearest 1%. But the game uses the unrounded value to calculate how much damage you take.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The Danger Level increases the Damage and Health of Enemies: $
Danger 3: +12%
Danger 4: +26%
Danger 5: +40%</t>
      </text>
    </comment>
    <comment authorId="0" ref="G1">
      <text>
        <t xml:space="preserve">This sets the Endless Wave. For each Catagory, there is a number for the Endless wave at the Bottom. You can read more about how Endless Mode works on the Wiki</t>
      </text>
    </comment>
    <comment authorId="0" ref="J1">
      <text>
        <t xml:space="preserve">Enemies have +250% HP and +50% Damage when playing Jack.</t>
      </text>
    </comment>
    <comment authorId="0" ref="K1">
      <text>
        <t xml:space="preserve">Buffed Enemies have +150% HP, +25% Damage, and +50% Speed.</t>
      </text>
    </comment>
    <comment authorId="0" ref="L1">
      <text>
        <t xml:space="preserve">This is the Percentage of Damage you take after Armor has been taken into account.</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Blue Characters - Have a modifier on Material Drops.
Red Characters - Change enemy Stats.
Purple Characters - Both
Green - Druid - Higher Consumable rate.</t>
      </text>
    </comment>
    <comment authorId="0" ref="E5">
      <text>
        <t xml:space="preserve">Buffed Enemies have +150% HP, +25% Damage, and +50% Speed.</t>
      </text>
    </comment>
    <comment authorId="0" ref="C2">
      <text>
        <t xml:space="preserve">The Danger Level increases the Damage and Health of Enemies:
Danger 3: +12%
Danger 4: +26%
Danger 5: +40%</t>
      </text>
    </comment>
    <comment authorId="0" ref="F5">
      <text>
        <t xml:space="preserve">This is used to show how hard enemies will hit you.
15 Armor = 1/2 damage taken
30 Armor = 1/3 damage taken
45 Armor = 1/4 damage taken
You get the point</t>
      </text>
    </comment>
    <comment authorId="0" ref="D2">
      <text>
        <t xml:space="preserve">This sets the Endless Wave. For each Catagory, there is a number for the Endless wave at the Bottom. You can read more about how Endless Mode works on the Wiki</t>
      </text>
    </comment>
    <comment authorId="0" ref="E2">
      <text>
        <t xml:space="preserve">Buffed Enemies have +150% HP, +25% Damage, and +50% Speed.</t>
      </text>
    </comment>
    <comment authorId="0" ref="F2">
      <text>
        <t xml:space="preserve">This is used to show how hard enemies will hit you.
15 Armor = 1/2 damage taken
30 Armor = 1/3 damage taken
45 Armor = 1/4 damage taken
You get the point</t>
      </text>
    </comment>
    <comment authorId="0" ref="A13">
      <text>
        <t xml:space="preserve">This is the Percentage of Damage you take after Armor has been taken into account.</t>
      </text>
    </comment>
    <comment authorId="0" ref="B13">
      <text>
        <t xml:space="preserve">Elites have  when you meet them on lower Waves.
Bosses have 75% HP on D5 since you're facing two bosses.</t>
      </text>
    </comment>
    <comment authorId="0" ref="A11">
      <text>
        <t xml:space="preserve">This is the Percentage of Damage you take after Armor has been taken into account.</t>
      </text>
    </comment>
    <comment authorId="0" ref="J20">
      <text>
        <t xml:space="preserve">When an enemy dies, they drop materials and have a chance of dropping a consumable, which have a chance to be a loot crate.
* Read the Wiki page on materials, Consumables, and Loot Crates.</t>
      </text>
    </comment>
    <comment authorId="0" ref="B11">
      <text>
        <t xml:space="preserve">This is the Percentage of Damage you take after Armor has been taken into account.</t>
      </text>
    </comment>
    <comment authorId="0" ref="C11">
      <text>
        <t xml:space="preserve">This is the Percentage of Damage you take after Armor has been taken into account.</t>
      </text>
    </comment>
    <comment authorId="0" ref="D11">
      <text>
        <t xml:space="preserve">This is the Percentage of Damage you take after Armor has been taken into account.</t>
      </text>
    </comment>
    <comment authorId="0" ref="J17">
      <text>
        <t xml:space="preserve">When an enemy dies, they drop materials and have a chance of dropping a consumable, which have a chance to be a loot crate.
* Read the Wiki page on materials, Consumables, and Loot Crates.</t>
      </text>
    </comment>
    <comment authorId="0" ref="J12">
      <text>
        <t xml:space="preserve">When an enemy dies, they drop materials and have a chance of dropping a consumable, which have a chance to be a loot crate.
* Read the Wiki page on materials, Consumables, and Loot Crates.</t>
      </text>
    </comment>
    <comment authorId="0" ref="D5">
      <text>
        <t xml:space="preserve">Buffed Enemies have +150% HP, +25% Damage, and +50% Speed.</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S1">
      <text>
        <t xml:space="preserve">This is the Hitbox of the Weapon. For melee weapons, it is the size of the weapon you swing.
All Ranged Weapon projectiles are circles with 44 radius.</t>
      </text>
    </comment>
  </commentList>
</comments>
</file>

<file path=xl/sharedStrings.xml><?xml version="1.0" encoding="utf-8"?>
<sst xmlns="http://schemas.openxmlformats.org/spreadsheetml/2006/main" count="3694" uniqueCount="1377">
  <si>
    <t>简介</t>
  </si>
  <si>
    <t>道具</t>
  </si>
  <si>
    <t>等级</t>
  </si>
  <si>
    <t>道具性价比</t>
  </si>
  <si>
    <t>游戏</t>
  </si>
  <si>
    <t>属性</t>
  </si>
  <si>
    <t>基础价格</t>
  </si>
  <si>
    <t>通胀后价格</t>
  </si>
  <si>
    <t>每升级属性值</t>
  </si>
  <si>
    <t>性价比</t>
  </si>
  <si>
    <t>每属性升级数</t>
  </si>
  <si>
    <t>性价比计算</t>
  </si>
  <si>
    <t>设定</t>
  </si>
  <si>
    <t>强度榜</t>
  </si>
  <si>
    <t>数值设定</t>
  </si>
  <si>
    <t>升级效率</t>
  </si>
  <si>
    <t>属性1</t>
  </si>
  <si>
    <t>数值</t>
  </si>
  <si>
    <t>属性2</t>
  </si>
  <si>
    <t>DPS计算器</t>
  </si>
  <si>
    <t>数值2</t>
  </si>
  <si>
    <t>属性3</t>
  </si>
  <si>
    <t>数值3</t>
  </si>
  <si>
    <t>属性4</t>
  </si>
  <si>
    <t>计算器</t>
  </si>
  <si>
    <t>数值4</t>
  </si>
  <si>
    <t>其余属性</t>
  </si>
  <si>
    <t>闪避</t>
  </si>
  <si>
    <t>数值5</t>
  </si>
  <si>
    <t>性价比·全部</t>
  </si>
  <si>
    <t>性价比·正面</t>
  </si>
  <si>
    <t>敌人计算器</t>
  </si>
  <si>
    <t>性价比·部分</t>
  </si>
  <si>
    <t>备注</t>
  </si>
  <si>
    <t>全部数值</t>
  </si>
  <si>
    <t>无尽模式</t>
  </si>
  <si>
    <t>正面数值</t>
  </si>
  <si>
    <t>部分数值</t>
  </si>
  <si>
    <t>模组制作</t>
  </si>
  <si>
    <t>酸液</t>
  </si>
  <si>
    <t>本页计算道具的性价比。你可以通过"数值设定"页修改各属性的价值，以及通过波数修改通胀。</t>
  </si>
  <si>
    <t>基础</t>
  </si>
  <si>
    <t>在这里你可以修改各属性的价值。例如玩猎人时可将采集设为0，玩骑士时将攻速减半。你也可以修改波数，从而改变通胀。越便宜的道具受通胀影响越大。默认值为第11波，正好是中间点，也是不错的平均值。</t>
  </si>
  <si>
    <t>本计算器可计算任意武器在任意属性与穿透/弹射数量下的DPS。它使用游戏代码中的公式。</t>
  </si>
  <si>
    <t xml:space="preserve">这是我制作的各种计算器。每一个都附有文字说明。请下载本文档的副本后再编辑数字。只修改蓝色文字的数字！</t>
  </si>
  <si>
    <t>本页主要是无尽模式数值成长的数据表，对大多数玩家用处不大。建议改为阅读我写的无尽模式 Wiki 页面。</t>
  </si>
  <si>
    <t>如果你为 Brotato 制作了模组，可以轻松地将你的道具和武器添加到计算器中。</t>
  </si>
  <si>
    <t>你好，欢迎使用我的多功能工具。它可以计算 Brotato 中的大部分内容。本工具针对PC版游戏制作。我会定期更新本文档，记得偶尔下载新版本。如果你发现任何错误，请联系我以便修正。</t>
  </si>
  <si>
    <t>Brotato Wiki 无尽模式</t>
  </si>
  <si>
    <t>ArosRising 数值</t>
  </si>
  <si>
    <t>未计入击退</t>
  </si>
  <si>
    <t>一级</t>
  </si>
  <si>
    <t>C</t>
  </si>
  <si>
    <t>生命值+8</t>
  </si>
  <si>
    <t>二级</t>
  </si>
  <si>
    <t>三级</t>
  </si>
  <si>
    <t>四级</t>
  </si>
  <si>
    <t>元素伤害</t>
  </si>
  <si>
    <t>我制作的指南与资料</t>
  </si>
  <si>
    <t>闪避-2%</t>
  </si>
  <si>
    <t>我参与制作的模组：</t>
  </si>
  <si>
    <t>Brotato 通用指南</t>
  </si>
  <si>
    <t>DarkTwinge 的平衡模组</t>
  </si>
  <si>
    <t>肾上腺素</t>
  </si>
  <si>
    <t>采集计算器</t>
  </si>
  <si>
    <t>护甲</t>
  </si>
  <si>
    <t>全角色指南</t>
  </si>
  <si>
    <t>Kana's Pototos</t>
  </si>
  <si>
    <t>默认</t>
  </si>
  <si>
    <t>性价比：未计入治疗</t>
  </si>
  <si>
    <t>A</t>
  </si>
  <si>
    <t>闪避+5%</t>
  </si>
  <si>
    <t>% Run 计算器</t>
  </si>
  <si>
    <t>射程</t>
  </si>
  <si>
    <t>厌倦了危险5？来挑战吧</t>
  </si>
  <si>
    <t>刷新计算器</t>
  </si>
  <si>
    <t>异形宝宝</t>
  </si>
  <si>
    <t>我的无尽模式指南</t>
  </si>
  <si>
    <t>暴击率</t>
  </si>
  <si>
    <t>未计入敌人生命值</t>
  </si>
  <si>
    <t>D</t>
  </si>
  <si>
    <t>生命值+15</t>
  </si>
  <si>
    <t>道具价格计算器</t>
  </si>
  <si>
    <t>制作 Brotato 强度榜</t>
  </si>
  <si>
    <t>有效生命值计算器</t>
  </si>
  <si>
    <t>相比100%定价的效率</t>
  </si>
  <si>
    <t>%Run 记录</t>
  </si>
  <si>
    <t>异形之眼</t>
  </si>
  <si>
    <t>无法计算</t>
  </si>
  <si>
    <t>看情况</t>
  </si>
  <si>
    <t>官方链接：</t>
  </si>
  <si>
    <t>我的反馈与建议</t>
  </si>
  <si>
    <t>异形魔法</t>
  </si>
  <si>
    <t>鸣谢与致谢</t>
  </si>
  <si>
    <t>官方 Brotato Discord</t>
  </si>
  <si>
    <t>近战伤害</t>
  </si>
  <si>
    <t>关于新内容的建议</t>
  </si>
  <si>
    <t>B</t>
  </si>
  <si>
    <t>生命回复+3</t>
  </si>
  <si>
    <t>Darkly77</t>
  </si>
  <si>
    <t>Vergir</t>
  </si>
  <si>
    <t>Brotato Wiki</t>
  </si>
  <si>
    <t>幸运-8</t>
  </si>
  <si>
    <t>关于Bug与平衡的反馈</t>
  </si>
  <si>
    <t>采集</t>
  </si>
  <si>
    <t>northTip</t>
  </si>
  <si>
    <t>Brotato 子论坛</t>
  </si>
  <si>
    <t>波数</t>
  </si>
  <si>
    <t>异形之舌</t>
  </si>
  <si>
    <t>工程学创意 - 陷阱</t>
  </si>
  <si>
    <t>价格修正</t>
  </si>
  <si>
    <t>Ta1ha</t>
  </si>
  <si>
    <t>关于更高危险等级的建议</t>
  </si>
  <si>
    <t>最大生命值</t>
  </si>
  <si>
    <t>异形蠕虫</t>
  </si>
  <si>
    <t>DarkTwinge</t>
  </si>
  <si>
    <t>关于 Brotato 多人模式的建议</t>
  </si>
  <si>
    <t>未计入消耗品带来的-1治疗。</t>
  </si>
  <si>
    <t>生命值+3</t>
  </si>
  <si>
    <t>生命回复+2</t>
  </si>
  <si>
    <t>Mastabambou</t>
  </si>
  <si>
    <t>Imoartel</t>
  </si>
  <si>
    <t>otDan</t>
  </si>
  <si>
    <t>移动速度</t>
  </si>
  <si>
    <t>tauKhan</t>
  </si>
  <si>
    <t>WL</t>
  </si>
  <si>
    <t>要完整使用本文档（可编辑数值），请将其副本保存到你的云端硬盘！(在普通 Excel 中格式可能会出问题)</t>
  </si>
  <si>
    <t>商店无尽系数</t>
  </si>
  <si>
    <t>武器/道具价格</t>
  </si>
  <si>
    <t>合金</t>
  </si>
  <si>
    <t>生命回复</t>
  </si>
  <si>
    <t>更新日志</t>
  </si>
  <si>
    <t>性价比：随机伤害+暴击+闪避</t>
  </si>
  <si>
    <t>近战伤害+3</t>
  </si>
  <si>
    <t>远程伤害+3</t>
  </si>
  <si>
    <t>闪避-6%</t>
  </si>
  <si>
    <t>暴击+5%</t>
  </si>
  <si>
    <t>工程学+3、元素伤害+3</t>
  </si>
  <si>
    <t>幸运</t>
  </si>
  <si>
    <t>旧版 1.0.1.3，联机与DLC补丁之前</t>
  </si>
  <si>
    <t>部分计入：远程伤害+暴击+闪避</t>
  </si>
  <si>
    <t xml:space="preserve">道具会按"性价比"评级：即该道具每100金币（含通胀）所提供的升级等效属性数量。例如某道具提供2点护甲、售价50金币，即相当于2个升级的属性量，其性价比为 2*100/50=4。在这里你可以控制用于计算道具性价比的各项设定。
你可以选择属性价值的计算体系：使用一级升级、一至三级升级的平均值，或使用我认为最贴合实际游戏的数值。你也可以自定义数值。
你可以修改"默认"以适配不同角色，例如幽灵不使用护甲，从而看出这对道具价值的影响。此功能有时会产生误导，请谨慎使用。
你还可以修改波数，以影响诸如"私刑者之戒"这类道具，并改变通胀带来的整体物价上涨。价格低廉的道具受通胀冲击更大，在高波数时性价比会略微下降。
</t>
  </si>
  <si>
    <t>铁砧</t>
  </si>
  <si>
    <t>攻击速度</t>
  </si>
  <si>
    <t>仅护甲，按波数设定计算（默认10）</t>
  </si>
  <si>
    <t>S</t>
  </si>
  <si>
    <t>护甲+2/波</t>
  </si>
  <si>
    <t>远程伤害</t>
  </si>
  <si>
    <t>小象</t>
  </si>
  <si>
    <t>工程学</t>
  </si>
  <si>
    <t>无法计算。</t>
  </si>
  <si>
    <t>工程学+3</t>
  </si>
  <si>
    <t>小壁虎</t>
  </si>
  <si>
    <t>长胡子的宝宝</t>
  </si>
  <si>
    <t>生命偷取</t>
  </si>
  <si>
    <t>袋子</t>
  </si>
  <si>
    <t>诱饵</t>
  </si>
  <si>
    <t>伤害%</t>
  </si>
  <si>
    <t>性价比：未计入额外敌人</t>
  </si>
  <si>
    <t>伤害+8%</t>
  </si>
  <si>
    <t>道具平均基础价格</t>
  </si>
  <si>
    <t>头巾</t>
  </si>
  <si>
    <t>旗帜</t>
  </si>
  <si>
    <t>无击退</t>
  </si>
  <si>
    <t>射程+20</t>
  </si>
  <si>
    <t>攻速+10</t>
  </si>
  <si>
    <t>部分计入：仅攻速</t>
  </si>
  <si>
    <t>路障</t>
  </si>
  <si>
    <t>未计入站立不动、击退</t>
  </si>
  <si>
    <t>护甲+8</t>
  </si>
  <si>
    <t>移动速度-5%</t>
  </si>
  <si>
    <t>蝙蝠</t>
  </si>
  <si>
    <t>生命偷取+2</t>
  </si>
  <si>
    <t>采集-2</t>
  </si>
  <si>
    <t>豆豆老师</t>
  </si>
  <si>
    <t>毛线帽</t>
  </si>
  <si>
    <t>移动速度+4%</t>
  </si>
  <si>
    <t>射程-6</t>
  </si>
  <si>
    <t>DPS计算器</t>
  </si>
  <si>
    <t>武器备注</t>
  </si>
  <si>
    <t>粗壮手臂</t>
  </si>
  <si>
    <t>使用方法（请阅读此处批注）</t>
  </si>
  <si>
    <t>基本信息</t>
  </si>
  <si>
    <t>已知问题</t>
  </si>
  <si>
    <t>性价比：仅单一伤害类型。无击退</t>
  </si>
  <si>
    <t>近战伤害+12</t>
  </si>
  <si>
    <t>远程伤害+6</t>
  </si>
  <si>
    <t>攻击速度-3%</t>
  </si>
  <si>
    <t>移动速度-3%</t>
  </si>
  <si>
    <t>部分计入：仅其中一种伤害类型受益。</t>
  </si>
  <si>
    <t>黑带</t>
  </si>
  <si>
    <t>未计入经验值获取与击退。</t>
  </si>
  <si>
    <t>冲锋枪1</t>
  </si>
  <si>
    <t>眼罩</t>
  </si>
  <si>
    <t>真实冷却</t>
  </si>
  <si>
    <t>提示框冷却</t>
  </si>
  <si>
    <t>每秒攻击次数</t>
  </si>
  <si>
    <t>属性 - 添加你想纳入计算的属性</t>
  </si>
  <si>
    <t>暴击+5</t>
  </si>
  <si>
    <t>闪避+5</t>
  </si>
  <si>
    <t>射程-15</t>
  </si>
  <si>
    <t>献血</t>
  </si>
  <si>
    <t>装填型武器</t>
  </si>
  <si>
    <t>伤害%</t>
  </si>
  <si>
    <t xml:space="preserve">每秒伤害按生命回复计算。</t>
  </si>
  <si>
    <t>采集+40</t>
  </si>
  <si>
    <t>额外暴击率</t>
  </si>
  <si>
    <t>射程数值</t>
  </si>
  <si>
    <t>生命回复-11,24</t>
  </si>
  <si>
    <t>诅咒</t>
  </si>
  <si>
    <t>每次命中伤害</t>
  </si>
  <si>
    <t>暴击伤害</t>
  </si>
  <si>
    <t>暴击率</t>
  </si>
  <si>
    <t>暴击DPS提升</t>
  </si>
  <si>
    <t>每次攻击帧数</t>
  </si>
  <si>
    <t>装填提示</t>
  </si>
  <si>
    <t>装填冷却</t>
  </si>
  <si>
    <t>平均冷却（含装填）</t>
  </si>
  <si>
    <t>吸血水蛭</t>
  </si>
  <si>
    <t>生命回复+2</t>
  </si>
  <si>
    <t>采集-3</t>
  </si>
  <si>
    <t>部分计入：仅生命偷取</t>
  </si>
  <si>
    <t>血手</t>
  </si>
  <si>
    <t>输入道具数量。</t>
  </si>
  <si>
    <t>性价比：伤害基于12%生命偷取</t>
  </si>
  <si>
    <t>头巾s</t>
  </si>
  <si>
    <t>伤害+20%</t>
  </si>
  <si>
    <t>南瓜s</t>
  </si>
  <si>
    <t>跳弹</t>
  </si>
  <si>
    <t>眼部手术</t>
  </si>
  <si>
    <t>锋利子弹</t>
  </si>
  <si>
    <t>叛徒</t>
  </si>
  <si>
    <t>生命偷取+10</t>
  </si>
  <si>
    <t>冰封之心</t>
  </si>
  <si>
    <t>钉子</t>
  </si>
  <si>
    <t>生物</t>
  </si>
  <si>
    <t>潜水员 +200% 暴击</t>
  </si>
  <si>
    <t>基础燃烧伤害</t>
  </si>
  <si>
    <t>强化燃烧伤害</t>
  </si>
  <si>
    <t>燃烧跳数</t>
  </si>
  <si>
    <t>燃烧DPS</t>
  </si>
  <si>
    <t>持续时间内总燃烧伤害</t>
  </si>
  <si>
    <t>沸水</t>
  </si>
  <si>
    <t>元素伤害+2</t>
  </si>
  <si>
    <t>武器数据 - 所选武器的数值</t>
  </si>
  <si>
    <t>生命值-1</t>
  </si>
  <si>
    <t>固定伤害成长</t>
  </si>
  <si>
    <t>2点伤害成长</t>
  </si>
  <si>
    <t>3点伤害成长</t>
  </si>
  <si>
    <t>生成成长</t>
  </si>
  <si>
    <t>基础伤害</t>
  </si>
  <si>
    <t>基础冷却</t>
  </si>
  <si>
    <t>基础暴击率</t>
  </si>
  <si>
    <t>暴击倍率</t>
  </si>
  <si>
    <t>基础射程</t>
  </si>
  <si>
    <t>武器随机范围</t>
  </si>
  <si>
    <t>生成弹幕总数</t>
  </si>
  <si>
    <t>生成每次命中伤害</t>
  </si>
  <si>
    <t>生成DPS</t>
  </si>
  <si>
    <t>含弹射与穿透的生成DPS</t>
  </si>
  <si>
    <t>生成基础弹射次数</t>
  </si>
  <si>
    <t>生成总弹射次数</t>
  </si>
  <si>
    <t>生成弹射衰减</t>
  </si>
  <si>
    <t>生成基础穿透</t>
  </si>
  <si>
    <t>生成总穿透次数</t>
  </si>
  <si>
    <t>生成穿透衰减</t>
  </si>
  <si>
    <t>书</t>
  </si>
  <si>
    <t>工程学+1</t>
  </si>
  <si>
    <t>圆顶礼帽</t>
  </si>
  <si>
    <t>幸运+15</t>
  </si>
  <si>
    <t>采集+18</t>
  </si>
  <si>
    <t>攻击速度-5%</t>
  </si>
  <si>
    <t>暴击-3%</t>
  </si>
  <si>
    <t>部分计入：无采集</t>
  </si>
  <si>
    <t>拳击手套</t>
  </si>
  <si>
    <t>近战伤害+1</t>
  </si>
  <si>
    <t>碎牙</t>
  </si>
  <si>
    <t>生命值+5</t>
  </si>
  <si>
    <t>生命回复-1</t>
  </si>
  <si>
    <t>蝴蝶</t>
  </si>
  <si>
    <t>武器数据·弹射/穿透</t>
  </si>
  <si>
    <t>固有穿透</t>
  </si>
  <si>
    <t>基础穿透衰减</t>
  </si>
  <si>
    <t>固有弹射</t>
  </si>
  <si>
    <t>基础弹射衰减</t>
  </si>
  <si>
    <t>固有弹幕</t>
  </si>
  <si>
    <t>暴击额外命中</t>
  </si>
  <si>
    <t>性价比：无负面效果</t>
  </si>
  <si>
    <t>每x发装填</t>
  </si>
  <si>
    <t>装填倍率</t>
  </si>
  <si>
    <t>DPS</t>
  </si>
  <si>
    <t>含弹射/穿透的DPS</t>
  </si>
  <si>
    <t>含生成弹幕的总DPS</t>
  </si>
  <si>
    <t>每次命中总弹射/穿透伤害</t>
  </si>
  <si>
    <t>元素伤害-1</t>
  </si>
  <si>
    <t>蛋糕</t>
  </si>
  <si>
    <t>生命值+3</t>
  </si>
  <si>
    <t>伤害-1%</t>
  </si>
  <si>
    <t>营火</t>
  </si>
  <si>
    <t>图表设置</t>
  </si>
  <si>
    <t>移动速度-2%</t>
  </si>
  <si>
    <t>武器射程</t>
  </si>
  <si>
    <t>基础击退</t>
  </si>
  <si>
    <t>攻击类型</t>
  </si>
  <si>
    <t>爆炸范围</t>
  </si>
  <si>
    <t>爆炸几率</t>
  </si>
  <si>
    <t>弹速</t>
  </si>
  <si>
    <t>武器精准</t>
  </si>
  <si>
    <t>武器扩散</t>
  </si>
  <si>
    <t>真实攻速</t>
  </si>
  <si>
    <t>提示框攻速</t>
  </si>
  <si>
    <t>图表最小攻速</t>
  </si>
  <si>
    <t>图表最大攻速</t>
  </si>
  <si>
    <t>水手 +200% 伤害</t>
  </si>
  <si>
    <t>厨师 +200% 伤害</t>
  </si>
  <si>
    <t>潜水员 +300% 伤害</t>
  </si>
  <si>
    <t>铁球锁链</t>
  </si>
  <si>
    <t>冰块</t>
  </si>
  <si>
    <t>部分计入：无生命回复</t>
  </si>
  <si>
    <t>有效生命值计算器</t>
  </si>
  <si>
    <t>蜡烛</t>
  </si>
  <si>
    <t>价格%</t>
  </si>
  <si>
    <t>回收%</t>
  </si>
  <si>
    <t>-10% 敌人未计入。</t>
  </si>
  <si>
    <t>军火商价格</t>
  </si>
  <si>
    <t>元素伤害+4</t>
  </si>
  <si>
    <t>难度 - 通胀</t>
  </si>
  <si>
    <t>起始波数</t>
  </si>
  <si>
    <t>默认+王冠</t>
  </si>
  <si>
    <t>生命回复+1</t>
  </si>
  <si>
    <t>农夫</t>
  </si>
  <si>
    <t>农夫+王冠</t>
  </si>
  <si>
    <t>企业家</t>
  </si>
  <si>
    <t>企业家+王冠</t>
  </si>
  <si>
    <t>伤害-5%</t>
  </si>
  <si>
    <t>噩梦</t>
  </si>
  <si>
    <t>起始采集</t>
  </si>
  <si>
    <t>利息率</t>
  </si>
  <si>
    <t>总穿透次数</t>
  </si>
  <si>
    <t>总穿透衰减</t>
  </si>
  <si>
    <t>总弹射次数</t>
  </si>
  <si>
    <t>部分计入：不含生命回复</t>
  </si>
  <si>
    <t>总弹射衰减</t>
  </si>
  <si>
    <t>总弹幕数。</t>
  </si>
  <si>
    <t>伤害减免</t>
  </si>
  <si>
    <t>护甲有效生命系数</t>
  </si>
  <si>
    <t>提示框%</t>
  </si>
  <si>
    <t>通胀</t>
  </si>
  <si>
    <t>披风</t>
  </si>
  <si>
    <t>性价比：仅以远程伤害为负面效果。</t>
  </si>
  <si>
    <t>闪避+20</t>
  </si>
  <si>
    <t>生命偷取+5</t>
  </si>
  <si>
    <t>远程伤害-2</t>
  </si>
  <si>
    <t>武器数据 - 仅供编辑者。</t>
  </si>
  <si>
    <t>武器类型</t>
  </si>
  <si>
    <t>基础武器速度</t>
  </si>
  <si>
    <t>基础后坐力</t>
  </si>
  <si>
    <t>武器速度增加</t>
  </si>
  <si>
    <t>后坐力增加</t>
  </si>
  <si>
    <t>近战伤害-2</t>
  </si>
  <si>
    <t>加成属性折算的升级数</t>
  </si>
  <si>
    <t>当前采集</t>
  </si>
  <si>
    <t>生成暴击倍率</t>
  </si>
  <si>
    <t>累计获得</t>
  </si>
  <si>
    <t>生成基础暴击率</t>
  </si>
  <si>
    <t>元素伤害-2</t>
  </si>
  <si>
    <t>闪避%</t>
  </si>
  <si>
    <t>闪避有效生命系数</t>
  </si>
  <si>
    <t>结果</t>
  </si>
  <si>
    <t>部分计入：远程伤害+生命偷取+闪避。</t>
  </si>
  <si>
    <t>变色龙</t>
  </si>
  <si>
    <t>商店价格</t>
  </si>
  <si>
    <t>回收价值</t>
  </si>
  <si>
    <t>军火商回收</t>
  </si>
  <si>
    <t>恶魔价格</t>
  </si>
  <si>
    <t>无尽系数 /5</t>
  </si>
  <si>
    <t>未计入站立不动</t>
  </si>
  <si>
    <t>闪避+23</t>
  </si>
  <si>
    <t>伤害-4%</t>
  </si>
  <si>
    <t>主属性</t>
  </si>
  <si>
    <t>次要属性</t>
  </si>
  <si>
    <t>第三属性</t>
  </si>
  <si>
    <t>攻击持续时间</t>
  </si>
  <si>
    <t>后摇持续时间</t>
  </si>
  <si>
    <t>射程系数</t>
  </si>
  <si>
    <t>基础攻击持续时间</t>
  </si>
  <si>
    <t>基础后摇</t>
  </si>
  <si>
    <t>基础射程系数</t>
  </si>
  <si>
    <t>生成属性成长</t>
  </si>
  <si>
    <t>生成最终暴击率</t>
  </si>
  <si>
    <t>木炭</t>
  </si>
  <si>
    <t>性价比：仅单一伤害类型。</t>
  </si>
  <si>
    <t>元素伤害+1</t>
  </si>
  <si>
    <t>近战伤害+2</t>
  </si>
  <si>
    <t>有效生命系数</t>
  </si>
  <si>
    <t>部分计入：仅其中一种伤害类型。</t>
  </si>
  <si>
    <t>爪树</t>
  </si>
  <si>
    <t>暴击+3</t>
  </si>
  <si>
    <t>部分计入：仅暴击与生命值</t>
  </si>
  <si>
    <t>武器数量</t>
  </si>
  <si>
    <t>随机%</t>
  </si>
  <si>
    <t>四叶草</t>
  </si>
  <si>
    <t>武器冷却</t>
  </si>
  <si>
    <t>最小帧</t>
  </si>
  <si>
    <t>取整平均值</t>
  </si>
  <si>
    <t>攻击</t>
  </si>
  <si>
    <t>弹射</t>
  </si>
  <si>
    <t>弹射暴击</t>
  </si>
  <si>
    <t>穿透</t>
  </si>
  <si>
    <t>穿透暴击</t>
  </si>
  <si>
    <t>暴击额外命中</t>
  </si>
  <si>
    <t>生成弹射</t>
  </si>
  <si>
    <t>生成基础暴击</t>
  </si>
  <si>
    <t>生成穿透</t>
  </si>
  <si>
    <t>生成穿透暴击</t>
  </si>
  <si>
    <t>闪避+6%</t>
  </si>
  <si>
    <t>幸运+20</t>
  </si>
  <si>
    <t>生命偷取-4</t>
  </si>
  <si>
    <t>帧间隔</t>
  </si>
  <si>
    <t>部分计入：无闪避</t>
  </si>
  <si>
    <t>射程最小值</t>
  </si>
  <si>
    <t>射程最大值</t>
  </si>
  <si>
    <t>平均</t>
  </si>
  <si>
    <t>有效最大生命</t>
  </si>
  <si>
    <t>最终</t>
  </si>
  <si>
    <t xml:space="preserve">波数=1代表第一家商店、第一次刷新，以及第1波掉落箱开出的道具。
基础价格是你在 Wiki 或道具性价比表中看到的价格。
价格100%即你的商店价格，参见你的次要属性。例如配合"储蓄者"设为150%，配合"优惠券"设为95%、90%…75%，或配合"企业家"设为75%。</t>
  </si>
  <si>
    <t>咖啡</t>
  </si>
  <si>
    <t>伤害-2%</t>
  </si>
  <si>
    <t>生命回复</t>
  </si>
  <si>
    <t>每秒生命</t>
  </si>
  <si>
    <t>每秒有效生命</t>
  </si>
  <si>
    <t>齿轮</t>
  </si>
  <si>
    <t>工程学+4</t>
  </si>
  <si>
    <t>社区支持</t>
  </si>
  <si>
    <t>性价比：假定平均30个敌人。</t>
  </si>
  <si>
    <t>攻速+30%</t>
  </si>
  <si>
    <t>百分比通关计算器</t>
  </si>
  <si>
    <t>护甲-2</t>
  </si>
  <si>
    <t>本项计算百分比通关的难度百分比（各数值的几何平均数）。数值可设在25%到200%之间，速度的上限为150%。</t>
  </si>
  <si>
    <t>指南针</t>
  </si>
  <si>
    <t>刷新</t>
  </si>
  <si>
    <t>移动速度+5%</t>
  </si>
  <si>
    <t>工程学+3</t>
  </si>
  <si>
    <t>暴击-3</t>
  </si>
  <si>
    <t>玩家人数（联机）</t>
  </si>
  <si>
    <t>危险等级</t>
  </si>
  <si>
    <t>你的护甲</t>
  </si>
  <si>
    <t>生命滑块</t>
  </si>
  <si>
    <t>伤害滑块</t>
  </si>
  <si>
    <t>速度滑块</t>
  </si>
  <si>
    <t>无尽波数</t>
  </si>
  <si>
    <t>茶 / 异形宝宝</t>
  </si>
  <si>
    <t>孔雀</t>
  </si>
  <si>
    <t>Jack？</t>
  </si>
  <si>
    <t>强化版</t>
  </si>
  <si>
    <t>刷新价格减免</t>
  </si>
  <si>
    <t>第N次刷新</t>
  </si>
  <si>
    <t>护甲（受到的%伤害）</t>
  </si>
  <si>
    <t>无尽系数</t>
  </si>
  <si>
    <t>危险等级生命</t>
  </si>
  <si>
    <t>危险等级伤害</t>
  </si>
  <si>
    <t>Jack伤害系数</t>
  </si>
  <si>
    <t>Jack生命系数</t>
  </si>
  <si>
    <t>优惠券</t>
  </si>
  <si>
    <t>王冠</t>
  </si>
  <si>
    <t>可爱猴子</t>
  </si>
  <si>
    <t>敌人生命值</t>
  </si>
  <si>
    <t>敌人伤害</t>
  </si>
  <si>
    <t>电子球</t>
  </si>
  <si>
    <t>敌人速度</t>
  </si>
  <si>
    <t>首次刷新</t>
  </si>
  <si>
    <t>刷新费用增幅</t>
  </si>
  <si>
    <t>第N次刷新价格</t>
  </si>
  <si>
    <t>独眼蠕虫</t>
  </si>
  <si>
    <t>速度（相对你基础速度的百分比）</t>
  </si>
  <si>
    <t>敌人</t>
  </si>
  <si>
    <t>树</t>
  </si>
  <si>
    <t>伤害+12%</t>
  </si>
  <si>
    <t>异形幼体</t>
  </si>
  <si>
    <t>追猎者</t>
  </si>
  <si>
    <t>喷射者</t>
  </si>
  <si>
    <t>冲锋者</t>
  </si>
  <si>
    <t>追击者</t>
  </si>
  <si>
    <t>蛮兵</t>
  </si>
  <si>
    <t>增益者</t>
  </si>
  <si>
    <t>苍蝇</t>
  </si>
  <si>
    <t>治疗者</t>
  </si>
  <si>
    <t>射程-12</t>
  </si>
  <si>
    <t>掠夺者</t>
  </si>
  <si>
    <t>头盔异形</t>
  </si>
  <si>
    <t>鳍异形</t>
  </si>
  <si>
    <t>孵化者</t>
  </si>
  <si>
    <t>瘾君子</t>
  </si>
  <si>
    <t>重甲蛮兵</t>
  </si>
  <si>
    <t>尖角冲锋者</t>
  </si>
  <si>
    <t>切割者之卵</t>
  </si>
  <si>
    <t>切割者</t>
  </si>
  <si>
    <t>触手</t>
  </si>
  <si>
    <t xml:space="preserve">犀牛</t>
  </si>
  <si>
    <t>屠夫</t>
  </si>
  <si>
    <t>武僧</t>
  </si>
  <si>
    <t>掠食者</t>
  </si>
  <si>
    <t>祈求者</t>
  </si>
  <si>
    <t>七鳃鳗</t>
  </si>
  <si>
    <t>危险兔子</t>
  </si>
  <si>
    <t xml:space="preserve">难度</t>
  </si>
  <si>
    <t>劣质类固醇</t>
  </si>
  <si>
    <t>生命值+2</t>
  </si>
  <si>
    <t>文凭</t>
  </si>
  <si>
    <t>黑帮被抓几率</t>
  </si>
  <si>
    <t>未计入经验值获取。</t>
  </si>
  <si>
    <t>工程学+10</t>
  </si>
  <si>
    <t>本项计算从偷窃道具中获得精英怪的概率</t>
  </si>
  <si>
    <t>生命值-3</t>
  </si>
  <si>
    <t>胶带</t>
  </si>
  <si>
    <t>护甲+1</t>
  </si>
  <si>
    <t>生命值-2</t>
  </si>
  <si>
    <t>当前波数</t>
  </si>
  <si>
    <t>道具等级</t>
  </si>
  <si>
    <t>道具价格</t>
  </si>
  <si>
    <t>部分计入：无工程学</t>
  </si>
  <si>
    <t>炸药</t>
  </si>
  <si>
    <t>最终偷窃几率</t>
  </si>
  <si>
    <t>假定所有伤害均为爆炸伤害</t>
  </si>
  <si>
    <t>伤害+15%</t>
  </si>
  <si>
    <t>能量手环</t>
  </si>
  <si>
    <t>暴击+4%</t>
  </si>
  <si>
    <t>部分计入：仅暴击</t>
  </si>
  <si>
    <t>Etsy的沙发</t>
  </si>
  <si>
    <t>性价比：视为0速度</t>
  </si>
  <si>
    <t>F</t>
  </si>
  <si>
    <t>生命回复+40</t>
  </si>
  <si>
    <t>生命值+5</t>
  </si>
  <si>
    <t>移动速度-20%</t>
  </si>
  <si>
    <t>外骨骼</t>
  </si>
  <si>
    <t>性价比：无工程学、无生命回复。</t>
  </si>
  <si>
    <t>护甲+3</t>
  </si>
  <si>
    <t>工程学+5</t>
  </si>
  <si>
    <t>生命回复-2</t>
  </si>
  <si>
    <t>生命偷取-2</t>
  </si>
  <si>
    <t>暴击+5、移动速度+5%</t>
  </si>
  <si>
    <t>部分计入：无工程学、无生命回复。</t>
  </si>
  <si>
    <t>爆炸弹壳</t>
  </si>
  <si>
    <t>假定所有伤害均为爆炸伤害，未计入爆炸范围</t>
  </si>
  <si>
    <t>伤害-15%</t>
  </si>
  <si>
    <t>伤害+60%</t>
  </si>
  <si>
    <t>爆炸炮塔</t>
  </si>
  <si>
    <t>额外胃袋</t>
  </si>
  <si>
    <t xml:space="preserve">性价比：每波+10最大生命值，使用波数设定</t>
  </si>
  <si>
    <t>最大生命值/波+10</t>
  </si>
  <si>
    <t>精灵</t>
  </si>
  <si>
    <t>按15点生命回复计算性价比</t>
  </si>
  <si>
    <t>生命回复+15</t>
  </si>
  <si>
    <t>肥料</t>
  </si>
  <si>
    <t>采集+8</t>
  </si>
  <si>
    <t>近战伤害-1</t>
  </si>
  <si>
    <t>鱼鳍</t>
  </si>
  <si>
    <t>移动速度+10%</t>
  </si>
  <si>
    <t>生命偷取+3</t>
  </si>
  <si>
    <t>部分计入：仅速度</t>
  </si>
  <si>
    <t>专注（单一武器类型）</t>
  </si>
  <si>
    <t>伤害+30%</t>
  </si>
  <si>
    <t>攻速-3</t>
  </si>
  <si>
    <t>油箱</t>
  </si>
  <si>
    <t>远程伤害-1</t>
  </si>
  <si>
    <t>赌场筹码</t>
  </si>
  <si>
    <t>闪避+8</t>
  </si>
  <si>
    <t>护甲-1</t>
  </si>
  <si>
    <t>施工中</t>
  </si>
  <si>
    <t>角色</t>
  </si>
  <si>
    <t xml:space="preserve">选择敌人</t>
  </si>
  <si>
    <t>敌人类型</t>
  </si>
  <si>
    <t>花园</t>
  </si>
  <si>
    <t>探险家</t>
  </si>
  <si>
    <t>温和异形</t>
  </si>
  <si>
    <t>邪恶暴民</t>
  </si>
  <si>
    <t>+5% 敌人未计入</t>
  </si>
  <si>
    <t>伤害+5%</t>
  </si>
  <si>
    <t>生命值+2</t>
  </si>
  <si>
    <t>道具与杂项</t>
  </si>
  <si>
    <t>信息</t>
  </si>
  <si>
    <t>生效的芹菜茶</t>
  </si>
  <si>
    <t>生效的孔雀</t>
  </si>
  <si>
    <t>异形宝宝</t>
  </si>
  <si>
    <t>蜗牛</t>
  </si>
  <si>
    <t>丑陋牙齿层数</t>
  </si>
  <si>
    <t>诅咒数值</t>
  </si>
  <si>
    <t>可调节滑块 / %Run</t>
  </si>
  <si>
    <t>提示</t>
  </si>
  <si>
    <t>巨人腰带</t>
  </si>
  <si>
    <t>效果系数·生命</t>
  </si>
  <si>
    <t>效果系数·伤害</t>
  </si>
  <si>
    <t>效果系数·速度</t>
  </si>
  <si>
    <t>玻璃大炮</t>
  </si>
  <si>
    <t>伤害+25%</t>
  </si>
  <si>
    <t>基础数值</t>
  </si>
  <si>
    <t>护甲-3</t>
  </si>
  <si>
    <t>精英/Boss系数</t>
  </si>
  <si>
    <t>生命值</t>
  </si>
  <si>
    <t>基础生命值</t>
  </si>
  <si>
    <t>基础伤害</t>
  </si>
  <si>
    <t>击退抗性</t>
  </si>
  <si>
    <t>眼镜</t>
  </si>
  <si>
    <t>地精</t>
  </si>
  <si>
    <t>每波生命成长</t>
  </si>
  <si>
    <t>每波伤害</t>
  </si>
  <si>
    <t>速度随机范围</t>
  </si>
  <si>
    <t>材料掉落</t>
  </si>
  <si>
    <t>消耗品掉率</t>
  </si>
  <si>
    <t>掉落箱几率</t>
  </si>
  <si>
    <t>未计入拾取范围。性价比：仅元素伤害</t>
  </si>
  <si>
    <t>近战伤害+10</t>
  </si>
  <si>
    <t>元素伤害+10</t>
  </si>
  <si>
    <t>射程-20</t>
  </si>
  <si>
    <t>消耗品</t>
  </si>
  <si>
    <t>消耗品几率</t>
  </si>
  <si>
    <t>必掉消耗品</t>
  </si>
  <si>
    <t>部分计入：仅一种伤害类型受益。</t>
  </si>
  <si>
    <t>材料</t>
  </si>
  <si>
    <t>山羊头骨</t>
  </si>
  <si>
    <t>基础材料掉落</t>
  </si>
  <si>
    <t>材料修正</t>
  </si>
  <si>
    <t>按波数的掉率</t>
  </si>
  <si>
    <t xml:space="preserve">修正后</t>
  </si>
  <si>
    <t>最终平均材料掉落</t>
  </si>
  <si>
    <t>暴击-2%</t>
  </si>
  <si>
    <t>编辑器</t>
  </si>
  <si>
    <t>角色生命系数</t>
  </si>
  <si>
    <t>角色伤害系数</t>
  </si>
  <si>
    <t>角色速度系数</t>
  </si>
  <si>
    <t>Grind的魔法叶</t>
  </si>
  <si>
    <t>各属性按波数设定计算（默认10）</t>
  </si>
  <si>
    <t>生命值/波+3</t>
  </si>
  <si>
    <t>生命回复+1/波</t>
  </si>
  <si>
    <t>敌人材料修正</t>
  </si>
  <si>
    <t>材料总修正</t>
  </si>
  <si>
    <t>生命偷取+1/波</t>
  </si>
  <si>
    <t>联机生命系数</t>
  </si>
  <si>
    <t>联机伤害系数</t>
  </si>
  <si>
    <t>联机材料系数</t>
  </si>
  <si>
    <t>联机额外敌人</t>
  </si>
  <si>
    <t>部分计入：仅生命偷取</t>
  </si>
  <si>
    <t>生命增幅</t>
  </si>
  <si>
    <t>伤害增幅</t>
  </si>
  <si>
    <t>速度增幅</t>
  </si>
  <si>
    <t>无尽生命</t>
  </si>
  <si>
    <t>软糖狂战士</t>
  </si>
  <si>
    <t>无尽伤害</t>
  </si>
  <si>
    <t>无尽速度</t>
  </si>
  <si>
    <t>无尽诅咒生命</t>
  </si>
  <si>
    <t>无尽诅咒伤害</t>
  </si>
  <si>
    <t>攻速+5%</t>
  </si>
  <si>
    <t>射程+25</t>
  </si>
  <si>
    <t>部分计入：不计射程</t>
  </si>
  <si>
    <t>手铐</t>
  </si>
  <si>
    <t>未计入生命上限：仅远程伤害。</t>
  </si>
  <si>
    <t>近战伤害+8</t>
  </si>
  <si>
    <t>远程伤害+8</t>
  </si>
  <si>
    <t>元素伤害+8</t>
  </si>
  <si>
    <t>部分计入：仅远程伤害。</t>
  </si>
  <si>
    <t>头部创伤</t>
  </si>
  <si>
    <t>伤害+6%</t>
  </si>
  <si>
    <t>射程-8</t>
  </si>
  <si>
    <t>重型子弹</t>
  </si>
  <si>
    <t>远程伤害+5</t>
  </si>
  <si>
    <t>伤害+10%</t>
  </si>
  <si>
    <t>射程+10</t>
  </si>
  <si>
    <t>暴击-5%</t>
  </si>
  <si>
    <t>部分计入：无射程、无暴击。</t>
  </si>
  <si>
    <t>基础生命值</t>
  </si>
  <si>
    <t>刺猬</t>
  </si>
  <si>
    <t>生命/波</t>
  </si>
  <si>
    <t>性价比：仅单一伤害类型。无生命回复</t>
  </si>
  <si>
    <t>远程伤害+1</t>
  </si>
  <si>
    <t>部分计入：仅其中一种伤害类型。未计入回复。</t>
  </si>
  <si>
    <t>头盔</t>
  </si>
  <si>
    <t>猎人战利品</t>
  </si>
  <si>
    <t>改良工具</t>
  </si>
  <si>
    <t xml:space="preserve">性价比：未计入特殊能力。</t>
  </si>
  <si>
    <t>攻速+10%</t>
  </si>
  <si>
    <t>燃烧炮塔</t>
  </si>
  <si>
    <t>注射剂</t>
  </si>
  <si>
    <t>伤害+7%</t>
  </si>
  <si>
    <t>疯狂</t>
  </si>
  <si>
    <t>暴击+6</t>
  </si>
  <si>
    <t>伤害-3%</t>
  </si>
  <si>
    <t>喷气背包</t>
  </si>
  <si>
    <t>移动速度+15%</t>
  </si>
  <si>
    <t>闪避+10</t>
  </si>
  <si>
    <t>生命值-5</t>
  </si>
  <si>
    <t>武器</t>
  </si>
  <si>
    <t>图片</t>
  </si>
  <si>
    <t>冷却数值</t>
  </si>
  <si>
    <t>后坐力持续时间</t>
  </si>
  <si>
    <t>地雷</t>
  </si>
  <si>
    <t>弹幕数量</t>
  </si>
  <si>
    <t>弹射次数</t>
  </si>
  <si>
    <t>弹射伤害衰减</t>
  </si>
  <si>
    <t>穿透数量</t>
  </si>
  <si>
    <t>基础穿透伤害衰减</t>
  </si>
  <si>
    <t>基础生成伤害</t>
  </si>
  <si>
    <t>生成的弹幕</t>
  </si>
  <si>
    <t>生成基础弹射衰减</t>
  </si>
  <si>
    <t>生成基础穿透衰减</t>
  </si>
  <si>
    <t>生成属性</t>
  </si>
  <si>
    <t>1点固定成长</t>
  </si>
  <si>
    <t>2点固定成长</t>
  </si>
  <si>
    <t>3点固定成长</t>
  </si>
  <si>
    <t>特殊属性名称</t>
  </si>
  <si>
    <t>主属性</t>
  </si>
  <si>
    <t>2点属性成长</t>
  </si>
  <si>
    <t>3点属性成长</t>
  </si>
  <si>
    <t>击退</t>
  </si>
  <si>
    <t>精准</t>
  </si>
  <si>
    <t>弹道扩散</t>
  </si>
  <si>
    <t>激光炮塔</t>
  </si>
  <si>
    <t>判定框X</t>
  </si>
  <si>
    <t>判定框Y</t>
  </si>
  <si>
    <t>武器备注</t>
  </si>
  <si>
    <t>仙人掌棍1</t>
  </si>
  <si>
    <t>皮背心</t>
  </si>
  <si>
    <t>近战</t>
  </si>
  <si>
    <t>挥砍</t>
  </si>
  <si>
    <t>护甲+2</t>
  </si>
  <si>
    <t>特殊成长</t>
  </si>
  <si>
    <t>闪避+6</t>
  </si>
  <si>
    <t>每命中一个敌人生成一根尖刺，尖刺可以生命偷取，搭配受惊香肠/丑陋牙齿可施加燃烧与减速</t>
  </si>
  <si>
    <t>仙人掌棍2</t>
  </si>
  <si>
    <t>仙人掌棍3</t>
  </si>
  <si>
    <t>部分计入：无闪避。</t>
  </si>
  <si>
    <t>仙人掌棍4</t>
  </si>
  <si>
    <t>柠檬水</t>
  </si>
  <si>
    <t>加特林机枪4</t>
  </si>
  <si>
    <t>远程</t>
  </si>
  <si>
    <t>弹幕</t>
  </si>
  <si>
    <t>镜片</t>
  </si>
  <si>
    <t>菜刀1</t>
  </si>
  <si>
    <t>射程-5</t>
  </si>
  <si>
    <t>菜刀2</t>
  </si>
  <si>
    <t>菜刀3</t>
  </si>
  <si>
    <t>小青蛙</t>
  </si>
  <si>
    <t>菜刀4</t>
  </si>
  <si>
    <t>圆锯2</t>
  </si>
  <si>
    <t>未计入拾取范围。</t>
  </si>
  <si>
    <t>采集+10</t>
  </si>
  <si>
    <t>闪避-3%</t>
  </si>
  <si>
    <t>圆锯3</t>
  </si>
  <si>
    <t>图表·真实攻速</t>
  </si>
  <si>
    <t>小肌肉男</t>
  </si>
  <si>
    <t>圆锯4</t>
  </si>
  <si>
    <t>区间内攻速</t>
  </si>
  <si>
    <t>利爪1</t>
  </si>
  <si>
    <t>刺击</t>
  </si>
  <si>
    <t>利爪2</t>
  </si>
  <si>
    <t>利爪3</t>
  </si>
  <si>
    <t>迷路小鸭</t>
  </si>
  <si>
    <t>利爪4</t>
  </si>
  <si>
    <t>幸运+8</t>
  </si>
  <si>
    <t>十字弓1</t>
  </si>
  <si>
    <t>强力武器，但启动较慢。应堆叠射程而非远程伤害。暴击很重要。伤害%和攻速一如既往地重要。</t>
  </si>
  <si>
    <t>十字弓2</t>
  </si>
  <si>
    <t>幸运符</t>
  </si>
  <si>
    <t>十字弓3</t>
  </si>
  <si>
    <t>性价比：仅一种伤害类型作为负面效果</t>
  </si>
  <si>
    <t>幸运+30</t>
  </si>
  <si>
    <t>近战伤害-2</t>
  </si>
  <si>
    <t>十字弓4</t>
  </si>
  <si>
    <t>DEX毁灭者4</t>
  </si>
  <si>
    <t>部分计入：仅幸运和其中一种伤害类型。</t>
  </si>
  <si>
    <t>伐木工衬衫</t>
  </si>
  <si>
    <t>近战 / 3000</t>
  </si>
  <si>
    <t>双管霰弹枪1</t>
  </si>
  <si>
    <t>鱼饵</t>
  </si>
  <si>
    <t>双管霰弹枪2</t>
  </si>
  <si>
    <t>未计入生成的战利品</t>
  </si>
  <si>
    <t>双管霰弹枪3</t>
  </si>
  <si>
    <t>猛犸象</t>
  </si>
  <si>
    <t>双管霰弹枪4</t>
  </si>
  <si>
    <t>钻头4</t>
  </si>
  <si>
    <t>性价比：无生命回复</t>
  </si>
  <si>
    <t>近战伤害+20</t>
  </si>
  <si>
    <t>生命回复+5</t>
  </si>
  <si>
    <t>伤害-8%</t>
  </si>
  <si>
    <t>攻速加成会提升你实际的攻速属性，影响所有武器。注意其较低的基础射程。</t>
  </si>
  <si>
    <t>石中剑4</t>
  </si>
  <si>
    <t>火球2</t>
  </si>
  <si>
    <t>精通</t>
  </si>
  <si>
    <t>使爆炸命中的每个敌人燃烧。</t>
  </si>
  <si>
    <t>火球3</t>
  </si>
  <si>
    <t>近战伤害+6</t>
  </si>
  <si>
    <t>远程伤害-3</t>
  </si>
  <si>
    <t>火球4</t>
  </si>
  <si>
    <t>勋章</t>
  </si>
  <si>
    <t>拳套1</t>
  </si>
  <si>
    <t>拳套2</t>
  </si>
  <si>
    <t>移动速度+3%</t>
  </si>
  <si>
    <t>伤害+3%</t>
  </si>
  <si>
    <t>暴击-4%</t>
  </si>
  <si>
    <t>拳套3</t>
  </si>
  <si>
    <t>拳套4</t>
  </si>
  <si>
    <t>火焰喷射器2</t>
  </si>
  <si>
    <t>医疗炮塔</t>
  </si>
  <si>
    <t>800，随射程成长</t>
  </si>
  <si>
    <t>特殊弹幕——弹速随射程成长，使其拥有固定存活时间。与弹射配合效果不佳。</t>
  </si>
  <si>
    <t>火焰喷射器3</t>
  </si>
  <si>
    <t>医疗包</t>
  </si>
  <si>
    <t>火焰喷射器4</t>
  </si>
  <si>
    <t>燃烧指虎2</t>
  </si>
  <si>
    <t>生命回复+10</t>
  </si>
  <si>
    <t>幸运-10</t>
  </si>
  <si>
    <t xml:space="preserve">注意其判定框比拳套和重拳套更大。武器本身不随元素成长，只有燃烧效果随元素成长。这是唯一有此特性的元素武器。</t>
  </si>
  <si>
    <t>生命回复+12</t>
  </si>
  <si>
    <t>燃烧指虎3</t>
  </si>
  <si>
    <t>燃烧指虎4</t>
  </si>
  <si>
    <t>金属探测器</t>
  </si>
  <si>
    <t>激光加特林4</t>
  </si>
  <si>
    <t>幽灵斧1</t>
  </si>
  <si>
    <t>无负面效果，未计入额外材料%。</t>
  </si>
  <si>
    <t>幸运+6</t>
  </si>
  <si>
    <t>幽灵斧2</t>
  </si>
  <si>
    <t>工程学+2</t>
  </si>
  <si>
    <t>幽灵斧3</t>
  </si>
  <si>
    <t>幽灵斧4</t>
  </si>
  <si>
    <t>幽灵燧发枪1</t>
  </si>
  <si>
    <t>部分计入：无工程学。未计入额外材料%。</t>
  </si>
  <si>
    <t>幽灵燧发枪2</t>
  </si>
  <si>
    <t>金属板</t>
  </si>
  <si>
    <t>幽灵燧发枪3</t>
  </si>
  <si>
    <t>幽灵燧发枪4</t>
  </si>
  <si>
    <t>幽灵权杖1</t>
  </si>
  <si>
    <t>导弹</t>
  </si>
  <si>
    <t>幽灵权杖2</t>
  </si>
  <si>
    <t>幽灵权杖3</t>
  </si>
  <si>
    <t>攻速-4</t>
  </si>
  <si>
    <t>幽灵权杖4</t>
  </si>
  <si>
    <t>老鼠</t>
  </si>
  <si>
    <t>锤子2</t>
  </si>
  <si>
    <t xml:space="preserve">拥有10%击退穿透。提供 +2 击退</t>
  </si>
  <si>
    <t>锤子3</t>
  </si>
  <si>
    <t>+10% 敌人未计入。</t>
  </si>
  <si>
    <t>采集-5</t>
  </si>
  <si>
    <t xml:space="preserve">拥有15%击退穿透。提供 +4 击退</t>
  </si>
  <si>
    <t>锤子4</t>
  </si>
  <si>
    <t xml:space="preserve">拥有20%击退穿透。提供 +6 击退</t>
  </si>
  <si>
    <t>手1</t>
  </si>
  <si>
    <t>蘑菇</t>
  </si>
  <si>
    <t>提供 +3 采集</t>
  </si>
  <si>
    <t>手2</t>
  </si>
  <si>
    <t>生命回复+3</t>
  </si>
  <si>
    <t>提供 +6 采集</t>
  </si>
  <si>
    <t>手3</t>
  </si>
  <si>
    <t>幸运-2</t>
  </si>
  <si>
    <t>提供 +12 采集</t>
  </si>
  <si>
    <t>手4</t>
  </si>
  <si>
    <t>变异</t>
  </si>
  <si>
    <t>提供 +25 采集</t>
  </si>
  <si>
    <t>短柄斧1</t>
  </si>
  <si>
    <t>性价比：单一伤害类型。未计入击退</t>
  </si>
  <si>
    <t>短柄斧2</t>
  </si>
  <si>
    <t>短柄斧3</t>
  </si>
  <si>
    <t>夜视仪</t>
  </si>
  <si>
    <t>短柄斧4</t>
  </si>
  <si>
    <t>暴击+15</t>
  </si>
  <si>
    <t>骑枪1</t>
  </si>
  <si>
    <t>射程+50</t>
  </si>
  <si>
    <t>最大生命值-3</t>
  </si>
  <si>
    <t>骑枪2</t>
  </si>
  <si>
    <t>骑枪3</t>
  </si>
  <si>
    <t>部分计入：暴击、护甲、生命值</t>
  </si>
  <si>
    <t>骑枪4</t>
  </si>
  <si>
    <t>章鱼</t>
  </si>
  <si>
    <t>匕首1</t>
  </si>
  <si>
    <t>匕首2</t>
  </si>
  <si>
    <t>生命值+12</t>
  </si>
  <si>
    <t>暴击-8%</t>
  </si>
  <si>
    <t>匕首3</t>
  </si>
  <si>
    <t>匕首4</t>
  </si>
  <si>
    <t>冰锥1</t>
  </si>
  <si>
    <t>部分计入：生命值、暴击</t>
  </si>
  <si>
    <t>冰锥2</t>
  </si>
  <si>
    <t>护垫</t>
  </si>
  <si>
    <t>冰锥3</t>
  </si>
  <si>
    <t>熊猫</t>
  </si>
  <si>
    <t>冰锥4</t>
  </si>
  <si>
    <t>激光枪1</t>
  </si>
  <si>
    <t>幸运+25</t>
  </si>
  <si>
    <t>激光枪2</t>
  </si>
  <si>
    <t>激光枪3</t>
  </si>
  <si>
    <t>激光枪4</t>
  </si>
  <si>
    <t>部分计入：无幸运</t>
  </si>
  <si>
    <t>闪电短刃1</t>
  </si>
  <si>
    <t>和平蜜蜂</t>
  </si>
  <si>
    <t>闪电会弹射0/1/2/3次，游戏内提示有误。生成的弹幕可以暴击、生命偷取，若你有受惊香肠甚至能施加燃烧。</t>
  </si>
  <si>
    <t>闪电短刃2</t>
  </si>
  <si>
    <t>闪电短刃3</t>
  </si>
  <si>
    <t>性价比：仅近战伤害。</t>
  </si>
  <si>
    <t>采集+4</t>
  </si>
  <si>
    <t>闪避+4</t>
  </si>
  <si>
    <t>闪电短刃4</t>
  </si>
  <si>
    <t>医疗枪1</t>
  </si>
  <si>
    <t>拥有 50% 固有生命偷取</t>
  </si>
  <si>
    <t>医疗枪2</t>
  </si>
  <si>
    <t>部分计入：采集、闪避、近战伤害。</t>
  </si>
  <si>
    <t>拥有 55% 固有生命偷取</t>
  </si>
  <si>
    <t>医疗枪3</t>
  </si>
  <si>
    <t>拥有 60% 固有生命偷取</t>
  </si>
  <si>
    <t>医疗枪4</t>
  </si>
  <si>
    <t>拥有 65% 固有生命偷取</t>
  </si>
  <si>
    <t>迷你机枪3</t>
  </si>
  <si>
    <t>迷你机枪4</t>
  </si>
  <si>
    <t>铅笔</t>
  </si>
  <si>
    <t>核弹发射器3</t>
  </si>
  <si>
    <t>核弹发射器4</t>
  </si>
  <si>
    <t>工程学+2</t>
  </si>
  <si>
    <t>攻击速度-1%</t>
  </si>
  <si>
    <t>暴击-1%</t>
  </si>
  <si>
    <t>湮灭者3</t>
  </si>
  <si>
    <t>湮灭者4</t>
  </si>
  <si>
    <t>部分计入：无暴击</t>
  </si>
  <si>
    <t>粒子加速器3</t>
  </si>
  <si>
    <t>存钱罐</t>
  </si>
  <si>
    <t>该武器无法弹射。</t>
  </si>
  <si>
    <t>粒子加速器4</t>
  </si>
  <si>
    <t>植物</t>
  </si>
  <si>
    <t>手枪1</t>
  </si>
  <si>
    <t>手枪2</t>
  </si>
  <si>
    <t>手枪3</t>
  </si>
  <si>
    <t>生命偷取-1</t>
  </si>
  <si>
    <t>手枪4</t>
  </si>
  <si>
    <t>木板1</t>
  </si>
  <si>
    <t>塑胶炸药</t>
  </si>
  <si>
    <t>木板2</t>
  </si>
  <si>
    <t>袖珍工厂</t>
  </si>
  <si>
    <t>木板3</t>
  </si>
  <si>
    <t>木板4</t>
  </si>
  <si>
    <t>毒药水</t>
  </si>
  <si>
    <t>等离子大锤3</t>
  </si>
  <si>
    <t>等离子大锤4</t>
  </si>
  <si>
    <t>射程+15</t>
  </si>
  <si>
    <t>土豆投掷器2</t>
  </si>
  <si>
    <t>土豆投掷器3</t>
  </si>
  <si>
    <t>部分计入：攻速、暴击</t>
  </si>
  <si>
    <t>土豆投掷器4</t>
  </si>
  <si>
    <t>土豆</t>
  </si>
  <si>
    <t>重拳套3</t>
  </si>
  <si>
    <t>重拳套4</t>
  </si>
  <si>
    <t>幸运+5</t>
  </si>
  <si>
    <t>修枝刀1</t>
  </si>
  <si>
    <t>闪避+3</t>
  </si>
  <si>
    <t>生命偷取+1、伤害+5%、移动速度+3%、护甲+1、攻击速度+5%</t>
  </si>
  <si>
    <t>修枝刀2</t>
  </si>
  <si>
    <t>修枝刀3</t>
  </si>
  <si>
    <t>部分计入：无生命回复、无幸运</t>
  </si>
  <si>
    <t>修枝刀4</t>
  </si>
  <si>
    <t>长棍1</t>
  </si>
  <si>
    <t>挥砍/刺击</t>
  </si>
  <si>
    <t>等级</t>
  </si>
  <si>
    <t>发电机</t>
  </si>
  <si>
    <t>长棍2</t>
  </si>
  <si>
    <t>长棍3</t>
  </si>
  <si>
    <t>性价比：30%速度</t>
  </si>
  <si>
    <t>长棍4</t>
  </si>
  <si>
    <t>左轮手枪1</t>
  </si>
  <si>
    <t>螺旋桨帽</t>
  </si>
  <si>
    <t>左轮手枪2</t>
  </si>
  <si>
    <t>幸运+10</t>
  </si>
  <si>
    <t>左轮手枪3</t>
  </si>
  <si>
    <t>左轮手枪4</t>
  </si>
  <si>
    <t>南瓜</t>
  </si>
  <si>
    <t>石头1</t>
  </si>
  <si>
    <t>回收机</t>
  </si>
  <si>
    <t>石头升级后提供额外护甲/最大生命值。尽管暴击倍率为1.5，它仍拥有较高的基础暴击率。</t>
  </si>
  <si>
    <t>石头2</t>
  </si>
  <si>
    <t>再生药水</t>
  </si>
  <si>
    <t>石头3</t>
  </si>
  <si>
    <t>Retromation的连帽衫</t>
  </si>
  <si>
    <t>石头4</t>
  </si>
  <si>
    <t>火箭发射器2</t>
  </si>
  <si>
    <t>假定60%闪避。</t>
  </si>
  <si>
    <t>攻速+120%</t>
  </si>
  <si>
    <t>射程-80</t>
  </si>
  <si>
    <t>火箭发射器3</t>
  </si>
  <si>
    <t>火箭发射器4</t>
  </si>
  <si>
    <t>剪刀1</t>
  </si>
  <si>
    <t>弹跳</t>
  </si>
  <si>
    <t>剪刀2</t>
  </si>
  <si>
    <t>撕咬撕裂</t>
  </si>
  <si>
    <t>剪刀3</t>
  </si>
  <si>
    <t>反击</t>
  </si>
  <si>
    <t>剪刀4</t>
  </si>
  <si>
    <t>螺丝刀1</t>
  </si>
  <si>
    <t>螺丝刀2</t>
  </si>
  <si>
    <t>螺丝刀3</t>
  </si>
  <si>
    <t>仪式</t>
  </si>
  <si>
    <t>螺丝刀4</t>
  </si>
  <si>
    <t>镰刀4</t>
  </si>
  <si>
    <t>100%的固有生命偷取不计入武器因生命偷取产生的伤害成长。只有提升生命偷取属性才计入成长。+3%伤害会提升伤害%属性，因此影响你的所有伤害。</t>
  </si>
  <si>
    <t>利齿1</t>
  </si>
  <si>
    <t>工程学-2</t>
  </si>
  <si>
    <t>利齿2</t>
  </si>
  <si>
    <t>机械臂</t>
  </si>
  <si>
    <t>性价比：仅工程学+生命值，3波加成。</t>
  </si>
  <si>
    <t>近战伤害+9</t>
  </si>
  <si>
    <t>利齿3</t>
  </si>
  <si>
    <t>工程学+9</t>
  </si>
  <si>
    <t>利齿4</t>
  </si>
  <si>
    <t>部分计入：护甲 + 生命偷取</t>
  </si>
  <si>
    <t>悲伤番茄</t>
  </si>
  <si>
    <t>粉碎者1</t>
  </si>
  <si>
    <t>未计入初始50%生命值。</t>
  </si>
  <si>
    <t>生命回复+8</t>
  </si>
  <si>
    <t>粉碎者2</t>
  </si>
  <si>
    <t>粉碎者3</t>
  </si>
  <si>
    <t>伤疤</t>
  </si>
  <si>
    <t>粉碎者4</t>
  </si>
  <si>
    <t>手里剑1</t>
  </si>
  <si>
    <t>受惊香肠</t>
  </si>
  <si>
    <t>手里剑2</t>
  </si>
  <si>
    <t>瞄准镜</t>
  </si>
  <si>
    <t>手里剑3</t>
  </si>
  <si>
    <t>手里剑4</t>
  </si>
  <si>
    <t>远程伤害+2</t>
  </si>
  <si>
    <t>射程+25</t>
  </si>
  <si>
    <t>弹弓1</t>
  </si>
  <si>
    <t>攻击速度-7%</t>
  </si>
  <si>
    <t>弹弓2</t>
  </si>
  <si>
    <t>弹弓3</t>
  </si>
  <si>
    <t>镣铐</t>
  </si>
  <si>
    <t>弹弓4</t>
  </si>
  <si>
    <t>性价比：无工程学</t>
  </si>
  <si>
    <t>生命回复+8</t>
  </si>
  <si>
    <t>射程+80</t>
  </si>
  <si>
    <t>冲锋枪2</t>
  </si>
  <si>
    <t>工程学+8</t>
  </si>
  <si>
    <t>冲锋枪3</t>
  </si>
  <si>
    <t>冲锋枪4</t>
  </si>
  <si>
    <t>狙击枪3</t>
  </si>
  <si>
    <t>来路不明的药水</t>
  </si>
  <si>
    <t>该武器通过穿透或弹射会大幅增强。主弹幕每次穿透或弹射都会生成5/8个满伤害弹幕。狙击枪从射程中获得的收益远大于远程伤害。</t>
  </si>
  <si>
    <t>狙击枪4</t>
  </si>
  <si>
    <t>长矛1</t>
  </si>
  <si>
    <t>长矛2</t>
  </si>
  <si>
    <t>长矛3</t>
  </si>
  <si>
    <t>长矛4</t>
  </si>
  <si>
    <t>尖刺盾1</t>
  </si>
  <si>
    <t>Shmoop</t>
  </si>
  <si>
    <t>尖刺盾2</t>
  </si>
  <si>
    <t>生命值+6</t>
  </si>
  <si>
    <t>尖刺盾3</t>
  </si>
  <si>
    <t>尖刺盾4</t>
  </si>
  <si>
    <t>木棍1</t>
  </si>
  <si>
    <t>额外木棍</t>
  </si>
  <si>
    <t>部分计入：生命值、生命回复、一种伤害类型。</t>
  </si>
  <si>
    <t>木棍2</t>
  </si>
  <si>
    <t>Sifd的遗物</t>
  </si>
  <si>
    <t>木棍3</t>
  </si>
  <si>
    <t>木棍4</t>
  </si>
  <si>
    <t>剑2</t>
  </si>
  <si>
    <t>剑3</t>
  </si>
  <si>
    <t>银弹</t>
  </si>
  <si>
    <t>剑4</t>
  </si>
  <si>
    <t>电击枪1</t>
  </si>
  <si>
    <t>小弹匣</t>
  </si>
  <si>
    <t>电击枪2</t>
  </si>
  <si>
    <t>电击枪3</t>
  </si>
  <si>
    <t>伤害-6%</t>
  </si>
  <si>
    <t>电击枪4</t>
  </si>
  <si>
    <t>盗贼匕首1</t>
  </si>
  <si>
    <t>盗贼匕首2</t>
  </si>
  <si>
    <t>盗贼匕首3</t>
  </si>
  <si>
    <t>蛇</t>
  </si>
  <si>
    <t>盗贼匕首4</t>
  </si>
  <si>
    <t>辣酱</t>
  </si>
  <si>
    <t>雷霆之剑3</t>
  </si>
  <si>
    <t>雷霆之剑4</t>
  </si>
  <si>
    <t>火把1</t>
  </si>
  <si>
    <t>火把2</t>
  </si>
  <si>
    <t>蜘蛛</t>
  </si>
  <si>
    <t>火把3</t>
  </si>
  <si>
    <t>性价比：仅1种武器，无采集</t>
  </si>
  <si>
    <t>攻速+6%</t>
  </si>
  <si>
    <t>火把4</t>
  </si>
  <si>
    <t>法杖1</t>
  </si>
  <si>
    <t>法杖2</t>
  </si>
  <si>
    <t>部分计入：无采集，假定1把武器</t>
  </si>
  <si>
    <t>法杖3</t>
  </si>
  <si>
    <t>法杖4</t>
  </si>
  <si>
    <t>雕像</t>
  </si>
  <si>
    <t>扳手1</t>
  </si>
  <si>
    <t>攻速+40</t>
  </si>
  <si>
    <t>扳手2</t>
  </si>
  <si>
    <t>移动速度-10%</t>
  </si>
  <si>
    <t>扳手3</t>
  </si>
  <si>
    <t>石肤</t>
  </si>
  <si>
    <t>扳手4</t>
  </si>
  <si>
    <t>DLC武器</t>
  </si>
  <si>
    <t>假定15点护甲。</t>
  </si>
  <si>
    <t>最大生命值+15</t>
  </si>
  <si>
    <t>攻速-6%</t>
  </si>
  <si>
    <t>船锚2</t>
  </si>
  <si>
    <t>船锚3</t>
  </si>
  <si>
    <t>船锚4</t>
  </si>
  <si>
    <t>怪异之书</t>
  </si>
  <si>
    <t>砖头1</t>
  </si>
  <si>
    <t>砖头2</t>
  </si>
  <si>
    <t>假定10点元素伤害。不含远程伤害。</t>
  </si>
  <si>
    <t>砖头3</t>
  </si>
  <si>
    <t>砖头4</t>
  </si>
  <si>
    <t>部分计入：不以远程伤害为负面效果。</t>
  </si>
  <si>
    <t>船长之剑3</t>
  </si>
  <si>
    <t>空武器栏位</t>
  </si>
  <si>
    <t>墨镜</t>
  </si>
  <si>
    <t>船长之剑4</t>
  </si>
  <si>
    <t>暴击+10</t>
  </si>
  <si>
    <t>电锯3</t>
  </si>
  <si>
    <t>生命百分比伤害未计入这些计算。电锯拥有15%/30%的固有生命偷取，这不计入其DPS。只有生命偷取属性本身才计入伤害。电锯也是唯一的装填型近战武器。</t>
  </si>
  <si>
    <t>电锯4</t>
  </si>
  <si>
    <t>水熊虫</t>
  </si>
  <si>
    <t>登山杖1</t>
  </si>
  <si>
    <t>登山杖2</t>
  </si>
  <si>
    <t>登山杖3</t>
  </si>
  <si>
    <t>登山杖4</t>
  </si>
  <si>
    <t>鲁特琴1</t>
  </si>
  <si>
    <t>鲁特琴2</t>
  </si>
  <si>
    <t>惊恐洋葱</t>
  </si>
  <si>
    <t>鲁特琴3</t>
  </si>
  <si>
    <t>幸运-5</t>
  </si>
  <si>
    <t>鲁特琴4</t>
  </si>
  <si>
    <t>钉头锤2</t>
  </si>
  <si>
    <t>工具箱</t>
  </si>
  <si>
    <t>钉头锤3</t>
  </si>
  <si>
    <t>钉头锤4</t>
  </si>
  <si>
    <t>工程学+6</t>
  </si>
  <si>
    <t>攻速-8%</t>
  </si>
  <si>
    <t>镰刃1</t>
  </si>
  <si>
    <t>镰刃2</t>
  </si>
  <si>
    <t>拷问</t>
  </si>
  <si>
    <t>镰刃3</t>
  </si>
  <si>
    <t>每秒4点生命按生命回复计算。未计入无法治疗的情况</t>
  </si>
  <si>
    <t>生命值+15</t>
  </si>
  <si>
    <t>镰刃4</t>
  </si>
  <si>
    <t>生命回复+44</t>
  </si>
  <si>
    <t>勺子1</t>
  </si>
  <si>
    <t>攻击燃烧中的目标必定暴击。</t>
  </si>
  <si>
    <t>勺子2</t>
  </si>
  <si>
    <t>毒泥</t>
  </si>
  <si>
    <t>勺子3</t>
  </si>
  <si>
    <t>勺子4</t>
  </si>
  <si>
    <t>三叉戟2</t>
  </si>
  <si>
    <t>拖拉机</t>
  </si>
  <si>
    <t>三叉戟3</t>
  </si>
  <si>
    <t>三叉戟4</t>
  </si>
  <si>
    <t>战锤3</t>
  </si>
  <si>
    <t>力量三角</t>
  </si>
  <si>
    <t>攻击时重置建筑冷却。</t>
  </si>
  <si>
    <t>战锤4</t>
  </si>
  <si>
    <t>数值为受伤前。</t>
  </si>
  <si>
    <t>喇叭枪2</t>
  </si>
  <si>
    <t>拾取一份材料只会重置一把喇叭枪。因此避免拥有超过1-2把喇叭枪，那可就失策了。</t>
  </si>
  <si>
    <t>喇叭枪3</t>
  </si>
  <si>
    <t>喇叭枪4</t>
  </si>
  <si>
    <t>炮塔</t>
  </si>
  <si>
    <t>长笛1</t>
  </si>
  <si>
    <t>Tyler</t>
  </si>
  <si>
    <t>长笛2</t>
  </si>
  <si>
    <t>丑陋牙齿</t>
  </si>
  <si>
    <t>长笛3</t>
  </si>
  <si>
    <t>私刑者之戒</t>
  </si>
  <si>
    <t>长笛4</t>
  </si>
  <si>
    <t>榴弹发射器2</t>
  </si>
  <si>
    <t>伤害按波数设定计算（默认10）</t>
  </si>
  <si>
    <t>3%伤害 × 波数</t>
  </si>
  <si>
    <t>榴弹发射器3</t>
  </si>
  <si>
    <t>榴弹发射器4</t>
  </si>
  <si>
    <t>鱼叉枪2</t>
  </si>
  <si>
    <t>鱼叉枪3</t>
  </si>
  <si>
    <t>流浪机器人</t>
  </si>
  <si>
    <t>鱼叉枪4</t>
  </si>
  <si>
    <t>战士头盔</t>
  </si>
  <si>
    <t>标枪1</t>
  </si>
  <si>
    <t>标枪2</t>
  </si>
  <si>
    <t>标枪3</t>
  </si>
  <si>
    <t>标枪4</t>
  </si>
  <si>
    <t>EE武器</t>
  </si>
  <si>
    <t>斩首剑2</t>
  </si>
  <si>
    <t>怪异食物</t>
  </si>
  <si>
    <t>斩首剑是剑的稍贵版本。攻击略快，但基础伤害较低。拥有1%/2%/3%的几率秒杀敌人（包括Boss）。其判定框比普通剑更小。</t>
  </si>
  <si>
    <t>斩首剑3</t>
  </si>
  <si>
    <t>怪异幽灵</t>
  </si>
  <si>
    <t>斩首剑4</t>
  </si>
  <si>
    <t>电磁炮1</t>
  </si>
  <si>
    <t>未计入起始的1点生命值。</t>
  </si>
  <si>
    <t>每5秒未受伤获得3点伤害。未计入计算。</t>
  </si>
  <si>
    <t>电磁炮2</t>
  </si>
  <si>
    <t>每5秒未受伤获得4点伤害。未计入计算。</t>
  </si>
  <si>
    <t>电磁炮3</t>
  </si>
  <si>
    <t>每5秒未受伤获得5点伤害。未计入计算。</t>
  </si>
  <si>
    <t>电磁炮4</t>
  </si>
  <si>
    <t>小麦</t>
  </si>
  <si>
    <t>每5秒未受伤获得6点伤害。未计入计算。</t>
  </si>
  <si>
    <t>性价比：无负面效果，单一伤害类型</t>
  </si>
  <si>
    <t>近战伤害+4</t>
  </si>
  <si>
    <t>部分计入：采集、一种伤害类型。</t>
  </si>
  <si>
    <t>独轮车</t>
  </si>
  <si>
    <t>采集+16</t>
  </si>
  <si>
    <t>磨刀石</t>
  </si>
  <si>
    <t>未计入击退降低。</t>
  </si>
  <si>
    <t>生命偷取+4</t>
  </si>
  <si>
    <t>白旗</t>
  </si>
  <si>
    <t>未计入 -5% 敌人。</t>
  </si>
  <si>
    <t>采集+5</t>
  </si>
  <si>
    <t>翅膀</t>
  </si>
  <si>
    <t>移动速度+10%</t>
  </si>
  <si>
    <t>射程+30</t>
  </si>
  <si>
    <t>智慧</t>
  </si>
  <si>
    <t>性价比：按60秒波平均，忽略前5秒。</t>
  </si>
  <si>
    <t>狼头盔</t>
  </si>
  <si>
    <t>工程学-5</t>
  </si>
  <si>
    <t>部分计入：仅幸运</t>
  </si>
  <si>
    <t>发条黄蜂</t>
  </si>
  <si>
    <t>仅计入5%速度。</t>
  </si>
  <si>
    <t>移动速度+5%</t>
  </si>
  <si>
    <t>一摞书</t>
  </si>
  <si>
    <t>部分计入：仅暴击</t>
  </si>
  <si>
    <t>仅计入工程学属性。</t>
  </si>
  <si>
    <t>未计入击退或0.75上限</t>
  </si>
  <si>
    <t>护甲+3</t>
  </si>
  <si>
    <t>雪球</t>
  </si>
  <si>
    <t>假定3点元素伤害</t>
  </si>
  <si>
    <t>元素伤害+3</t>
  </si>
  <si>
    <t>强化钢</t>
  </si>
  <si>
    <t>仅远程伤害与速度</t>
  </si>
  <si>
    <t>部分计入：远程伤害</t>
  </si>
  <si>
    <t>蜂蜜</t>
  </si>
  <si>
    <t>爆炸伤害+10%</t>
  </si>
  <si>
    <t>假定 10% 伤害</t>
  </si>
  <si>
    <t>果冻</t>
  </si>
  <si>
    <t>假定 +3 生命值</t>
  </si>
  <si>
    <t>羽毛</t>
  </si>
  <si>
    <t>DLC</t>
  </si>
  <si>
    <t>骨制骰子</t>
  </si>
  <si>
    <t>假定20次投掷的平均值</t>
  </si>
  <si>
    <t>水晶</t>
  </si>
  <si>
    <t>假定平均15%攻速</t>
  </si>
  <si>
    <t>攻速+15%</t>
  </si>
  <si>
    <t>围巾</t>
  </si>
  <si>
    <t>未计入某一波敌人速度+25%</t>
  </si>
  <si>
    <t>移动速度+4%</t>
  </si>
  <si>
    <t>生命回复+4</t>
  </si>
  <si>
    <t>部分计入：仅速度与生命回复。</t>
  </si>
  <si>
    <t>企鹅</t>
  </si>
  <si>
    <t>假定2点生命回复</t>
  </si>
  <si>
    <t>灯塔</t>
  </si>
  <si>
    <t>假定1个建筑</t>
  </si>
  <si>
    <t>工程学+18</t>
  </si>
  <si>
    <t>骨灰</t>
  </si>
  <si>
    <t>假定 -3 护甲</t>
  </si>
  <si>
    <t>攻速+20%</t>
  </si>
  <si>
    <t>射程+100</t>
  </si>
  <si>
    <t>部分计入：无射程。</t>
  </si>
  <si>
    <t>小鱿鱼</t>
  </si>
  <si>
    <t>假定10点生命回复。无拾取范围</t>
  </si>
  <si>
    <t>生命回复+10</t>
  </si>
  <si>
    <t>攻速-3%</t>
  </si>
  <si>
    <t>藤壶</t>
  </si>
  <si>
    <t>黑旗</t>
  </si>
  <si>
    <t>大锅</t>
  </si>
  <si>
    <t>假定始终有20%伤害</t>
  </si>
  <si>
    <t>珊瑚</t>
  </si>
  <si>
    <t>未计入站立不动。</t>
  </si>
  <si>
    <t>射程-10</t>
  </si>
  <si>
    <t>腐化碎片</t>
  </si>
  <si>
    <t>未计入诅咒。</t>
  </si>
  <si>
    <t>眼罩</t>
  </si>
  <si>
    <t>未计入精准或穿透。</t>
  </si>
  <si>
    <t>假定240金币。</t>
  </si>
  <si>
    <t>生命值+6</t>
  </si>
  <si>
    <t>类型</t>
  </si>
  <si>
    <t>最低难度</t>
  </si>
  <si>
    <t>每波生命成长</t>
  </si>
  <si>
    <t>伤害</t>
  </si>
  <si>
    <t>每波伤害成长</t>
  </si>
  <si>
    <t>速度随机范围</t>
  </si>
  <si>
    <t>掉落材料</t>
  </si>
  <si>
    <t>消耗品几率</t>
  </si>
  <si>
    <t>每波护甲成长</t>
  </si>
  <si>
    <t>中立</t>
  </si>
  <si>
    <t>基础游戏</t>
  </si>
  <si>
    <t>D0</t>
  </si>
  <si>
    <t>否</t>
  </si>
  <si>
    <t>囤积者</t>
  </si>
  <si>
    <t>是</t>
  </si>
  <si>
    <t>尖角蛮兵</t>
  </si>
  <si>
    <t>七鳃鳗</t>
  </si>
  <si>
    <t>犀牛</t>
  </si>
  <si>
    <t>精英</t>
  </si>
  <si>
    <t>D2</t>
  </si>
  <si>
    <t>D3</t>
  </si>
  <si>
    <t>D4</t>
  </si>
  <si>
    <t>鳄鱼</t>
  </si>
  <si>
    <t>D5</t>
  </si>
  <si>
    <t>巨像</t>
  </si>
  <si>
    <t>D6</t>
  </si>
  <si>
    <t>螳螂虾</t>
  </si>
  <si>
    <t>D7</t>
  </si>
  <si>
    <t>母体</t>
  </si>
  <si>
    <t>D8</t>
  </si>
  <si>
    <t>石像鬼</t>
  </si>
  <si>
    <t>D9</t>
  </si>
  <si>
    <t>Boss</t>
  </si>
  <si>
    <t>肿胀孵化者</t>
  </si>
  <si>
    <t>腐化增益者</t>
  </si>
  <si>
    <t>凶暴瘾君子</t>
  </si>
  <si>
    <t>感染的切割者之卵</t>
  </si>
  <si>
    <t>狂暴切割者</t>
  </si>
  <si>
    <t>尖角苍蝇</t>
  </si>
  <si>
    <t>尖角喷射者</t>
  </si>
  <si>
    <t>深渊恐惧</t>
  </si>
  <si>
    <t>树（DLC）</t>
  </si>
  <si>
    <t>海葵</t>
  </si>
  <si>
    <t>鮟鱇鱼</t>
  </si>
  <si>
    <t>水滴鱼</t>
  </si>
  <si>
    <t>蛤蜊</t>
  </si>
  <si>
    <t>大王乌贼</t>
  </si>
  <si>
    <t>螃蟹</t>
  </si>
  <si>
    <t>笠头螈</t>
  </si>
  <si>
    <t>龙鱼</t>
  </si>
  <si>
    <t>哥布林鲨</t>
  </si>
  <si>
    <t>寄居蟹</t>
  </si>
  <si>
    <t>铁肺</t>
  </si>
  <si>
    <t>龙虾</t>
  </si>
  <si>
    <t>拾荒猪</t>
  </si>
  <si>
    <t>独角鲸</t>
  </si>
  <si>
    <t>浮游生物</t>
  </si>
  <si>
    <t>河豚</t>
  </si>
  <si>
    <t>海猪</t>
  </si>
  <si>
    <t>虾</t>
  </si>
  <si>
    <t>蜘蛛蟹</t>
  </si>
  <si>
    <t>瞻星鱼</t>
  </si>
  <si>
    <t>石头鱼</t>
  </si>
  <si>
    <t>吸血乌贼</t>
  </si>
  <si>
    <t>蝰鱼</t>
  </si>
  <si>
    <t>海象</t>
  </si>
  <si>
    <t>邪恶暴民（游泳者）</t>
  </si>
  <si>
    <t>巨人</t>
  </si>
  <si>
    <t>巨型等足虫</t>
  </si>
  <si>
    <t>穿刺蠕虫</t>
  </si>
  <si>
    <t>水母</t>
  </si>
  <si>
    <t>巨齿鲨</t>
  </si>
  <si>
    <t>囚犯</t>
  </si>
  <si>
    <t>海龟</t>
  </si>
  <si>
    <t>死鲸</t>
  </si>
  <si>
    <t>鳗鱼</t>
  </si>
  <si>
    <t>肿胀河豚</t>
  </si>
  <si>
    <t>智囊鱿</t>
  </si>
  <si>
    <t>酷海象</t>
  </si>
  <si>
    <t>消防员海葵</t>
  </si>
  <si>
    <t>感染的水滴鱼</t>
  </si>
  <si>
    <t>狂暴龙鱼</t>
  </si>
  <si>
    <t>覆鳞哥布林鲨</t>
  </si>
  <si>
    <t>覆鳞瞻星鱼</t>
  </si>
  <si>
    <t>护盾笠头螈</t>
  </si>
  <si>
    <t>尖刺肺</t>
  </si>
  <si>
    <t>原初恐惧</t>
  </si>
  <si>
    <t>变异霸王龙</t>
  </si>
  <si>
    <t>始祖</t>
  </si>
  <si>
    <t>无敌帧系数</t>
  </si>
  <si>
    <t>伤害系数</t>
  </si>
  <si>
    <t>生命系数</t>
  </si>
  <si>
    <t>速度系数</t>
  </si>
  <si>
    <t>商店价格涨幅（占基础价格的百分比）</t>
  </si>
  <si>
    <t>刷新费用增幅（由无尽系数决定）</t>
  </si>
  <si>
    <t xml:space="preserve">近战伤害（护甲结算后）</t>
  </si>
  <si>
    <t>基础伤害</t>
  </si>
  <si>
    <t>伤害/波</t>
  </si>
  <si>
    <t xml:space="preserve">弹幕伤害（护甲结算后）</t>
  </si>
  <si>
    <t>基础速度</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</si>
</sst>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00"/>
    <numFmt numFmtId="165" formatCode="0.00000"/>
    <numFmt numFmtId="166" formatCode="0.000"/>
    <numFmt numFmtId="167" formatCode="0.0"/>
    <numFmt numFmtId="168" formatCode="0.0%"/>
  </numFmts>
  <fonts count="67">
    <font>
      <sz val="11.0"/>
      <color rgb="FF000000"/>
      <name val="Arial"/>
      <scheme val="minor"/>
    </font>
    <font>
      <b/>
      <sz val="14.0"/>
      <color theme="1"/>
      <name val="Arial"/>
      <scheme val="minor"/>
    </font>
    <font>
      <b/>
      <sz val="14.0"/>
      <color rgb="FF000000"/>
      <name val="Calibri"/>
    </font>
    <font>
      <b/>
      <sz val="18.0"/>
      <color rgb="FF000000"/>
      <name val="Calibri"/>
    </font>
    <font>
      <b/>
      <sz val="14.0"/>
      <color theme="1"/>
      <name val="Calibri"/>
    </font>
    <font>
      <b/>
      <u/>
      <color rgb="FF0000FF"/>
    </font>
    <font>
      <b/>
      <sz val="18.0"/>
      <color rgb="FF000000"/>
      <name val="Arial"/>
      <scheme val="minor"/>
    </font>
    <font>
      <b/>
      <sz val="11.0"/>
      <color rgb="FF000000"/>
      <name val="Calibri"/>
    </font>
    <font>
      <b/>
      <sz val="18.0"/>
      <color theme="1"/>
      <name val="Arial"/>
      <scheme val="minor"/>
    </font>
    <font>
      <sz val="11.0"/>
      <color rgb="FF000000"/>
      <name val="Calibri"/>
    </font>
    <font>
      <color theme="1"/>
      <name val="Arial"/>
      <scheme val="minor"/>
    </font>
    <font>
      <b/>
      <sz val="13.0"/>
      <color theme="1"/>
      <name val="Arial"/>
      <scheme val="minor"/>
    </font>
    <font>
      <sz val="13.0"/>
      <color theme="1"/>
      <name val="Arial"/>
      <scheme val="minor"/>
    </font>
    <font>
      <u/>
      <color rgb="FF0000FF"/>
    </font>
    <font>
      <sz val="11.0"/>
      <color theme="1"/>
      <name val="Calibri"/>
    </font>
    <font>
      <b/>
      <sz val="12.0"/>
      <color theme="1"/>
      <name val="Arial"/>
      <scheme val="minor"/>
    </font>
    <font>
      <u/>
      <color rgb="FF0000FF"/>
    </font>
    <font>
      <b/>
      <color theme="1"/>
      <name val="Arial"/>
      <scheme val="minor"/>
    </font>
    <font>
      <u/>
      <color rgb="FF0000FF"/>
    </font>
    <font>
      <u/>
      <sz val="10.0"/>
      <color rgb="FF0000FF"/>
    </font>
    <font>
      <sz val="11.0"/>
      <color theme="1"/>
      <name val="Arial"/>
    </font>
    <font>
      <u/>
      <color rgb="FF0000FF"/>
    </font>
    <font>
      <sz val="11.0"/>
      <color theme="1"/>
      <name val="Arial"/>
      <scheme val="minor"/>
    </font>
    <font/>
    <font>
      <u/>
      <color rgb="FF0000FF"/>
    </font>
    <font>
      <sz val="10.0"/>
      <color theme="1"/>
      <name val="Arial"/>
      <scheme val="minor"/>
    </font>
    <font>
      <u/>
      <sz val="10.0"/>
      <color rgb="FF0000FF"/>
    </font>
    <font>
      <b/>
      <sz val="12.0"/>
      <color rgb="FF6D9EEB"/>
      <name val="Arial"/>
      <scheme val="minor"/>
    </font>
    <font>
      <b/>
      <sz val="12.0"/>
      <color rgb="FF9900FF"/>
      <name val="Arial"/>
      <scheme val="minor"/>
    </font>
    <font>
      <b/>
      <sz val="10.0"/>
      <color theme="1"/>
      <name val="Calibri"/>
    </font>
    <font>
      <b/>
      <sz val="11.0"/>
      <color theme="1"/>
      <name val="Arial"/>
      <scheme val="minor"/>
    </font>
    <font>
      <b/>
      <sz val="11.0"/>
      <color theme="1"/>
      <name val="Calibri"/>
    </font>
    <font>
      <sz val="18.0"/>
      <color theme="1"/>
      <name val="Arial"/>
      <scheme val="minor"/>
    </font>
    <font>
      <b/>
      <sz val="10.0"/>
      <color theme="1"/>
      <name val="Arial"/>
      <scheme val="minor"/>
    </font>
    <font>
      <b/>
      <color rgb="FF4A86E8"/>
      <name val="Arial"/>
      <scheme val="minor"/>
    </font>
    <font>
      <b/>
      <sz val="12.0"/>
      <color theme="1"/>
      <name val="Arial"/>
    </font>
    <font>
      <b/>
      <sz val="11.0"/>
      <color theme="1"/>
      <name val="Arial"/>
    </font>
    <font>
      <b/>
      <color rgb="FFFF0000"/>
      <name val="Arial"/>
      <scheme val="minor"/>
    </font>
    <font>
      <b/>
      <sz val="11.0"/>
      <color rgb="FF4A86E8"/>
      <name val="Arial"/>
    </font>
    <font>
      <b/>
      <color rgb="FF9900FF"/>
      <name val="Arial"/>
      <scheme val="minor"/>
    </font>
    <font>
      <b/>
      <sz val="9.0"/>
      <color theme="1"/>
      <name val="Arial"/>
      <scheme val="minor"/>
    </font>
    <font>
      <color rgb="FF9900FF"/>
      <name val="Arial"/>
      <scheme val="minor"/>
    </font>
    <font>
      <b/>
      <sz val="24.0"/>
      <color rgb="FF000000"/>
      <name val="Arial"/>
      <scheme val="minor"/>
    </font>
    <font>
      <b/>
      <sz val="24.0"/>
      <color theme="1"/>
      <name val="Arial"/>
      <scheme val="minor"/>
    </font>
    <font>
      <b/>
      <sz val="9.0"/>
      <color theme="1"/>
      <name val="Arial"/>
    </font>
    <font>
      <b/>
      <sz val="10.0"/>
      <color theme="1"/>
      <name val="Arial"/>
    </font>
    <font>
      <sz val="11.0"/>
      <color rgb="FF4285F4"/>
      <name val="Arial"/>
    </font>
    <font>
      <sz val="11.0"/>
      <color theme="4"/>
      <name val="Arial"/>
    </font>
    <font>
      <b/>
      <sz val="11.0"/>
      <color rgb="FF4285F4"/>
      <name val="Arial"/>
    </font>
    <font>
      <b/>
      <color rgb="FF3C78D8"/>
      <name val="Arial"/>
      <scheme val="minor"/>
    </font>
    <font>
      <b/>
      <color rgb="FF4285F4"/>
      <name val="Arial"/>
      <scheme val="minor"/>
    </font>
    <font>
      <color rgb="FF000000"/>
      <name val="Arial"/>
      <scheme val="minor"/>
    </font>
    <font>
      <color rgb="FFCC0000"/>
      <name val="Arial"/>
      <scheme val="minor"/>
    </font>
    <font>
      <b/>
      <sz val="16.0"/>
      <color theme="1"/>
      <name val="Arial"/>
      <scheme val="minor"/>
    </font>
    <font>
      <b/>
      <color rgb="FFCC0000"/>
      <name val="Arial"/>
      <scheme val="minor"/>
    </font>
    <font>
      <b/>
      <sz val="11.0"/>
      <color rgb="FF4285F4"/>
      <name val="Arial"/>
      <scheme val="minor"/>
    </font>
    <font>
      <b/>
      <sz val="11.0"/>
      <color rgb="FF0000FF"/>
      <name val="Arial"/>
      <scheme val="minor"/>
    </font>
    <font>
      <sz val="11.0"/>
      <color rgb="FF4A86E8"/>
      <name val="Arial"/>
    </font>
    <font>
      <sz val="11.0"/>
      <color rgb="FF9900FF"/>
      <name val="Arial"/>
    </font>
    <font>
      <b/>
      <sz val="11.0"/>
      <color rgb="FF9900FF"/>
      <name val="Arial"/>
      <scheme val="minor"/>
    </font>
    <font>
      <color rgb="FF4A86E8"/>
      <name val="Arial"/>
      <scheme val="minor"/>
    </font>
    <font>
      <b/>
      <sz val="12.0"/>
      <color rgb="FF0000FF"/>
      <name val="Arial"/>
      <scheme val="minor"/>
    </font>
    <font>
      <b/>
      <sz val="15.0"/>
      <color theme="1"/>
      <name val="Arial"/>
      <scheme val="minor"/>
    </font>
    <font>
      <b/>
      <sz val="12.0"/>
      <color rgb="FF000000"/>
      <name val="微软雅黑"/>
    </font>
    <font>
      <sz val="11.0"/>
      <color rgb="FF000000"/>
      <name val="微软雅黑"/>
    </font>
    <font>
      <b/>
      <sz val="10.0"/>
      <color rgb="FF000000"/>
      <name val="Calibri"/>
    </font>
    <font>
      <sz val="9.0"/>
      <color rgb="FF000000"/>
      <name val="Calibri"/>
    </font>
  </fonts>
  <fills count="43">
    <fill>
      <patternFill patternType="none"/>
    </fill>
    <fill>
      <patternFill patternType="lightGray"/>
    </fill>
    <fill>
      <patternFill patternType="solid">
        <fgColor rgb="FFD9D9D9"/>
        <bgColor rgb="FFD9D9D9"/>
      </patternFill>
    </fill>
    <fill>
      <patternFill patternType="solid">
        <fgColor rgb="FF26A69A"/>
        <bgColor rgb="FF26A69A"/>
      </patternFill>
    </fill>
    <fill>
      <patternFill patternType="solid">
        <fgColor rgb="FF9FC5E8"/>
        <bgColor rgb="FF9FC5E8"/>
      </patternFill>
    </fill>
    <fill>
      <patternFill patternType="solid">
        <fgColor rgb="FF93C47D"/>
        <bgColor rgb="FF93C47D"/>
      </patternFill>
    </fill>
    <fill>
      <patternFill patternType="solid">
        <fgColor rgb="FFD9D2E9"/>
        <bgColor rgb="FFD9D2E9"/>
      </patternFill>
    </fill>
    <fill>
      <patternFill patternType="solid">
        <fgColor rgb="FFF4CCCC"/>
        <bgColor rgb="FFF4CCCC"/>
      </patternFill>
    </fill>
    <fill>
      <patternFill patternType="solid">
        <fgColor rgb="FFFFFFFF"/>
        <bgColor rgb="FFFFFFFF"/>
      </patternFill>
    </fill>
    <fill>
      <patternFill patternType="solid">
        <fgColor rgb="FF63D297"/>
        <bgColor rgb="FF63D297"/>
      </patternFill>
    </fill>
    <fill>
      <patternFill patternType="solid">
        <fgColor rgb="FF46BDC6"/>
        <bgColor rgb="FF46BDC6"/>
      </patternFill>
    </fill>
    <fill>
      <patternFill patternType="solid">
        <fgColor rgb="FFDDF2F0"/>
        <bgColor rgb="FFDDF2F0"/>
      </patternFill>
    </fill>
    <fill>
      <patternFill patternType="solid">
        <fgColor rgb="FFFFF2CC"/>
        <bgColor rgb="FFFFF2CC"/>
      </patternFill>
    </fill>
    <fill>
      <patternFill patternType="solid">
        <fgColor rgb="FFFCE5CD"/>
        <bgColor rgb="FFFCE5CD"/>
      </patternFill>
    </fill>
    <fill>
      <patternFill patternType="solid">
        <fgColor rgb="FFFFE599"/>
        <bgColor rgb="FFFFE599"/>
      </patternFill>
    </fill>
    <fill>
      <patternFill patternType="solid">
        <fgColor rgb="FFD9EAD3"/>
        <bgColor rgb="FFD9EAD3"/>
      </patternFill>
    </fill>
    <fill>
      <patternFill patternType="solid">
        <fgColor rgb="FF6D9EEB"/>
        <bgColor rgb="FF6D9EEB"/>
      </patternFill>
    </fill>
    <fill>
      <patternFill patternType="solid">
        <fgColor rgb="FFC9DAF8"/>
        <bgColor rgb="FFC9DAF8"/>
      </patternFill>
    </fill>
    <fill>
      <patternFill patternType="solid">
        <fgColor rgb="FFB6D7A8"/>
        <bgColor rgb="FFB6D7A8"/>
      </patternFill>
    </fill>
    <fill>
      <patternFill patternType="solid">
        <fgColor rgb="FF6AA84F"/>
        <bgColor rgb="FF6AA84F"/>
      </patternFill>
    </fill>
    <fill>
      <patternFill patternType="solid">
        <fgColor rgb="FFA4C2F4"/>
        <bgColor rgb="FFA4C2F4"/>
      </patternFill>
    </fill>
    <fill>
      <patternFill patternType="solid">
        <fgColor rgb="FFC27BA0"/>
        <bgColor rgb="FFC27BA0"/>
      </patternFill>
    </fill>
    <fill>
      <patternFill patternType="solid">
        <fgColor rgb="FFF6B26B"/>
        <bgColor rgb="FFF6B26B"/>
      </patternFill>
    </fill>
    <fill>
      <patternFill patternType="solid">
        <fgColor rgb="FFD0E0E3"/>
        <bgColor rgb="FFD0E0E3"/>
      </patternFill>
    </fill>
    <fill>
      <patternFill patternType="solid">
        <fgColor rgb="FFEAD1DC"/>
        <bgColor rgb="FFEAD1DC"/>
      </patternFill>
    </fill>
    <fill>
      <patternFill patternType="solid">
        <fgColor rgb="FFCFE2F3"/>
        <bgColor rgb="FFCFE2F3"/>
      </patternFill>
    </fill>
    <fill>
      <patternFill patternType="solid">
        <fgColor rgb="FFE06666"/>
        <bgColor rgb="FFE06666"/>
      </patternFill>
    </fill>
    <fill>
      <patternFill patternType="solid">
        <fgColor rgb="FFE6B8AF"/>
        <bgColor rgb="FFE6B8AF"/>
      </patternFill>
    </fill>
    <fill>
      <patternFill patternType="solid">
        <fgColor rgb="FFB4A7D6"/>
        <bgColor rgb="FFB4A7D6"/>
      </patternFill>
    </fill>
    <fill>
      <patternFill patternType="solid">
        <fgColor rgb="FFD5A6BD"/>
        <bgColor rgb="FFD5A6BD"/>
      </patternFill>
    </fill>
    <fill>
      <patternFill patternType="solid">
        <fgColor rgb="FFF9CB9C"/>
        <bgColor rgb="FFF9CB9C"/>
      </patternFill>
    </fill>
    <fill>
      <patternFill patternType="solid">
        <fgColor rgb="FF76A5AF"/>
        <bgColor rgb="FF76A5AF"/>
      </patternFill>
    </fill>
    <fill>
      <patternFill patternType="solid">
        <fgColor rgb="FFEFEFEF"/>
        <bgColor rgb="FFEFEFEF"/>
      </patternFill>
    </fill>
    <fill>
      <patternFill patternType="solid">
        <fgColor rgb="FFA2C4C9"/>
        <bgColor rgb="FFA2C4C9"/>
      </patternFill>
    </fill>
    <fill>
      <patternFill patternType="solid">
        <fgColor rgb="FFFFD966"/>
        <bgColor rgb="FFFFD966"/>
      </patternFill>
    </fill>
    <fill>
      <patternFill patternType="solid">
        <fgColor rgb="FF8E7CC3"/>
        <bgColor rgb="FF8E7CC3"/>
      </patternFill>
    </fill>
    <fill>
      <patternFill patternType="solid">
        <fgColor rgb="FF8BC34A"/>
        <bgColor rgb="FF8BC34A"/>
      </patternFill>
    </fill>
    <fill>
      <patternFill patternType="solid">
        <fgColor rgb="FFDD7E6B"/>
        <bgColor rgb="FFDD7E6B"/>
      </patternFill>
    </fill>
    <fill>
      <patternFill patternType="solid">
        <fgColor rgb="FFEA9999"/>
        <bgColor rgb="FFEA9999"/>
      </patternFill>
    </fill>
    <fill>
      <patternFill patternType="solid">
        <fgColor rgb="FFBDBDBD"/>
        <bgColor rgb="FFBDBDBD"/>
      </patternFill>
    </fill>
    <fill>
      <patternFill patternType="solid">
        <fgColor theme="0"/>
        <bgColor theme="0"/>
      </patternFill>
    </fill>
    <fill>
      <patternFill patternType="solid">
        <fgColor rgb="FFF3F3F3"/>
        <bgColor rgb="FFF3F3F3"/>
      </patternFill>
    </fill>
    <fill>
      <patternFill patternType="solid">
        <fgColor rgb="FFB7E1CD"/>
        <bgColor rgb="FFB7E1CD"/>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bottom style="thick">
        <color rgb="FF3C78D8"/>
      </bottom>
    </border>
    <border>
      <right style="thick">
        <color rgb="FFFF0000"/>
      </right>
    </border>
  </borders>
  <cellStyleXfs count="1">
    <xf borderId="0" fillId="0" fontId="0" numFmtId="0" applyAlignment="1" applyFont="1"/>
  </cellStyleXfs>
  <cellXfs count="432">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2" fontId="2" numFmtId="0" xfId="0" applyAlignment="1" applyFill="1" applyFont="1">
      <alignment horizontal="center" shrinkToFit="0" vertical="bottom" wrapText="0"/>
    </xf>
    <xf borderId="0" fillId="2" fontId="2" numFmtId="0" xfId="0" applyAlignment="1" applyFill="1" applyFont="1">
      <alignment horizontal="center" readingOrder="0" shrinkToFit="0" vertical="bottom" wrapText="0"/>
    </xf>
    <xf borderId="0" fillId="0" fontId="3" numFmtId="0" xfId="0" applyAlignment="1" applyFont="1">
      <alignment horizontal="center" readingOrder="0" shrinkToFit="0" vertical="center" wrapText="0"/>
    </xf>
    <xf borderId="0" fillId="2" fontId="2" numFmtId="3" xfId="0" applyAlignment="1" applyFill="1" applyFont="1" applyNumberFormat="1">
      <alignment horizontal="center" readingOrder="0" shrinkToFit="0" vertical="bottom" wrapText="0"/>
    </xf>
    <xf borderId="0" fillId="0" fontId="3" numFmtId="4" xfId="0" applyAlignment="1" applyFont="1" applyNumberFormat="1">
      <alignment horizontal="center" readingOrder="0" shrinkToFit="0" vertical="center" wrapText="1"/>
    </xf>
    <xf borderId="0" fillId="3" fontId="4" numFmtId="4" xfId="0" applyAlignment="1" applyFill="1" applyFont="1" applyNumberFormat="1">
      <alignment horizontal="center" vertical="bottom"/>
    </xf>
    <xf borderId="0" fillId="0" fontId="5" numFmtId="0" xfId="0" applyAlignment="1" applyFont="1">
      <alignment horizontal="center" readingOrder="0" shrinkToFit="0" vertical="center" wrapText="1"/>
    </xf>
    <xf borderId="0" fillId="4" fontId="6" numFmtId="0" xfId="0" applyAlignment="1" applyFill="1" applyFont="1">
      <alignment horizontal="center" readingOrder="0" vertical="center"/>
    </xf>
    <xf borderId="0" fillId="0" fontId="7" numFmtId="4" xfId="0" applyAlignment="1" applyFont="1" applyNumberFormat="1">
      <alignment horizontal="center" readingOrder="0" shrinkToFit="0" vertical="bottom" wrapText="0"/>
    </xf>
    <xf borderId="0" fillId="2" fontId="2" numFmtId="49" xfId="0" applyAlignment="1" applyFill="1" applyFont="1" applyNumberFormat="1">
      <alignment horizontal="center" shrinkToFit="0" vertical="bottom" wrapText="0"/>
    </xf>
    <xf borderId="0" fillId="5" fontId="8" numFmtId="0" xfId="0" applyAlignment="1" applyFill="1" applyFont="1">
      <alignment horizontal="center" readingOrder="0" vertical="center"/>
    </xf>
    <xf borderId="0" fillId="2" fontId="2" numFmtId="4" xfId="0" applyAlignment="1" applyFill="1" applyFont="1" applyNumberFormat="1">
      <alignment horizontal="center" shrinkToFit="0" vertical="bottom" wrapText="0"/>
    </xf>
    <xf borderId="0" fillId="2" fontId="2" numFmtId="4" xfId="0" applyAlignment="1" applyFill="1" applyFont="1" applyNumberFormat="1">
      <alignment horizontal="center" readingOrder="0" shrinkToFit="0" vertical="bottom" wrapText="0"/>
    </xf>
    <xf borderId="1" fillId="6" fontId="7" numFmtId="0" xfId="0" applyAlignment="1" applyBorder="1" applyFill="1" applyFont="1">
      <alignment horizontal="left" shrinkToFit="0" vertical="bottom" wrapText="0"/>
    </xf>
    <xf borderId="0" fillId="3" fontId="4" numFmtId="0" xfId="0" applyAlignment="1" applyFill="1" applyFont="1">
      <alignment horizontal="center" vertical="bottom"/>
    </xf>
    <xf borderId="0" fillId="0" fontId="9" numFmtId="4" xfId="0" applyAlignment="1" applyFont="1" applyNumberFormat="1">
      <alignment horizontal="center" shrinkToFit="0" vertical="bottom" wrapText="0"/>
    </xf>
    <xf borderId="0" fillId="0" fontId="9" numFmtId="0" xfId="0" applyAlignment="1" applyFont="1">
      <alignment horizontal="left" readingOrder="0" shrinkToFit="0" vertical="bottom" wrapText="0"/>
    </xf>
    <xf borderId="0" fillId="0" fontId="10"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10" numFmtId="0" xfId="0" applyFont="1"/>
    <xf borderId="0" fillId="0" fontId="9" numFmtId="4" xfId="0" applyAlignment="1" applyFont="1" applyNumberFormat="1">
      <alignment horizontal="left" readingOrder="0" shrinkToFit="0" vertical="bottom" wrapText="0"/>
    </xf>
    <xf borderId="0" fillId="0" fontId="11" numFmtId="0" xfId="0" applyAlignment="1" applyFont="1">
      <alignment horizontal="center" readingOrder="0" shrinkToFit="0" vertical="center" wrapText="1"/>
    </xf>
    <xf borderId="0" fillId="0" fontId="7" numFmtId="0" xfId="0" applyAlignment="1" applyFont="1">
      <alignment horizontal="center" shrinkToFit="0" vertical="bottom" wrapText="0"/>
    </xf>
    <xf borderId="0" fillId="0" fontId="9" numFmtId="0" xfId="0" applyAlignment="1" applyFont="1">
      <alignment horizontal="center" shrinkToFit="0" vertical="bottom" wrapText="0"/>
    </xf>
    <xf borderId="0" fillId="0" fontId="10" numFmtId="0" xfId="0" applyAlignment="1" applyFont="1">
      <alignment horizontal="center" readingOrder="0" shrinkToFit="0" vertical="top" wrapText="1"/>
    </xf>
    <xf borderId="0" fillId="0" fontId="9" numFmtId="0" xfId="0" applyAlignment="1" applyFont="1">
      <alignment horizontal="center" readingOrder="0" shrinkToFit="0" vertical="bottom" wrapText="0"/>
    </xf>
    <xf borderId="0" fillId="0" fontId="9" numFmtId="3" xfId="0" applyAlignment="1" applyFont="1" applyNumberFormat="1">
      <alignment horizontal="center" shrinkToFit="0" vertical="bottom" wrapText="0"/>
    </xf>
    <xf borderId="0" fillId="0" fontId="10" numFmtId="0" xfId="0" applyAlignment="1" applyFont="1">
      <alignment horizontal="center" readingOrder="0" shrinkToFit="0" vertical="top" wrapText="1"/>
    </xf>
    <xf borderId="0" fillId="0" fontId="10" numFmtId="0" xfId="0" applyAlignment="1" applyFont="1">
      <alignment horizontal="center" shrinkToFit="0" vertical="center" wrapText="1"/>
    </xf>
    <xf borderId="0" fillId="0" fontId="12" numFmtId="0" xfId="0" applyAlignment="1" applyFont="1">
      <alignment horizontal="center" readingOrder="0" shrinkToFit="0" vertical="center" wrapText="1"/>
    </xf>
    <xf borderId="0" fillId="0" fontId="10" numFmtId="0" xfId="0" applyAlignment="1" applyFont="1">
      <alignment horizontal="left" vertical="center"/>
    </xf>
    <xf borderId="0" fillId="0" fontId="13" numFmtId="0" xfId="0" applyAlignment="1" applyFont="1">
      <alignment horizontal="center" readingOrder="0" shrinkToFit="0" vertical="center" wrapText="1"/>
    </xf>
    <xf borderId="1" fillId="0" fontId="9" numFmtId="4" xfId="0" applyAlignment="1" applyBorder="1" applyFont="1" applyNumberFormat="1">
      <alignment horizontal="center" readingOrder="0" shrinkToFit="0" vertical="bottom" wrapText="0"/>
    </xf>
    <xf borderId="0" fillId="0" fontId="9" numFmtId="4" xfId="0" applyAlignment="1" applyFont="1" applyNumberFormat="1">
      <alignment horizontal="center" readingOrder="0" shrinkToFit="0" vertical="bottom" wrapText="0"/>
    </xf>
    <xf borderId="0" fillId="0" fontId="1" numFmtId="0" xfId="0" applyAlignment="1" applyFont="1">
      <alignment horizontal="center" readingOrder="0" vertical="center"/>
    </xf>
    <xf borderId="0" fillId="7" fontId="14" numFmtId="4" xfId="0" applyAlignment="1" applyFill="1" applyFont="1" applyNumberFormat="1">
      <alignment horizontal="center" vertical="bottom"/>
    </xf>
    <xf borderId="0" fillId="0" fontId="15" numFmtId="0" xfId="0" applyFont="1"/>
    <xf quotePrefix="1" borderId="0" fillId="0" fontId="9" numFmtId="49" xfId="0" applyAlignment="1" applyFont="1" applyNumberFormat="1">
      <alignment horizontal="center" readingOrder="0" shrinkToFit="0" vertical="bottom" wrapText="0"/>
    </xf>
    <xf borderId="0" fillId="0" fontId="16" numFmtId="0" xfId="0" applyAlignment="1" applyFont="1">
      <alignment readingOrder="0"/>
    </xf>
    <xf borderId="0" fillId="0" fontId="15" numFmtId="0" xfId="0" applyAlignment="1" applyFont="1">
      <alignment readingOrder="0"/>
    </xf>
    <xf borderId="0" fillId="0" fontId="15" numFmtId="0" xfId="0" applyAlignment="1" applyFont="1">
      <alignment horizontal="left" readingOrder="0" shrinkToFit="0" vertical="center" wrapText="0"/>
    </xf>
    <xf borderId="0" fillId="0" fontId="17" numFmtId="0" xfId="0" applyAlignment="1" applyFont="1">
      <alignment readingOrder="0"/>
    </xf>
    <xf borderId="0" fillId="0" fontId="18" numFmtId="0" xfId="0" applyAlignment="1" applyFont="1">
      <alignment horizontal="center" readingOrder="0" vertical="center"/>
    </xf>
    <xf borderId="0" fillId="0" fontId="10" numFmtId="0" xfId="0" applyAlignment="1" applyFont="1">
      <alignment horizontal="left" readingOrder="0" shrinkToFit="0" vertical="center" wrapText="0"/>
    </xf>
    <xf borderId="1" fillId="0" fontId="9" numFmtId="4" xfId="0" applyAlignment="1" applyBorder="1" applyFont="1" applyNumberFormat="1">
      <alignment horizontal="center" shrinkToFit="0" vertical="bottom" wrapText="0"/>
    </xf>
    <xf borderId="0" fillId="8" fontId="14" numFmtId="0" xfId="0" applyAlignment="1" applyFill="1" applyFont="1">
      <alignment vertical="bottom"/>
    </xf>
    <xf borderId="0" fillId="9" fontId="17" numFmtId="0" xfId="0" applyFill="1" applyFont="1"/>
    <xf borderId="0" fillId="0" fontId="17" numFmtId="9" xfId="0" applyFont="1" applyNumberFormat="1"/>
    <xf borderId="0" fillId="0" fontId="7" numFmtId="0" xfId="0" applyAlignment="1" applyFont="1">
      <alignment horizontal="center" readingOrder="0" shrinkToFit="0" vertical="bottom" wrapText="0"/>
    </xf>
    <xf borderId="0" fillId="0" fontId="9" numFmtId="3" xfId="0" applyAlignment="1" applyFont="1" applyNumberFormat="1">
      <alignment horizontal="center" readingOrder="0" shrinkToFit="0" vertical="bottom" wrapText="0"/>
    </xf>
    <xf borderId="0" fillId="0" fontId="10" numFmtId="0" xfId="0" applyAlignment="1" applyFont="1">
      <alignment readingOrder="0"/>
    </xf>
    <xf borderId="0" fillId="10" fontId="14" numFmtId="4" xfId="0" applyAlignment="1" applyFill="1" applyFont="1" applyNumberFormat="1">
      <alignment horizontal="center" vertical="bottom"/>
    </xf>
    <xf borderId="0" fillId="11" fontId="14" numFmtId="0" xfId="0" applyAlignment="1" applyFill="1" applyFont="1">
      <alignment readingOrder="0" vertical="bottom"/>
    </xf>
    <xf borderId="0" fillId="0" fontId="19" numFmtId="0" xfId="0" applyAlignment="1" applyFont="1">
      <alignment horizontal="center" readingOrder="0" shrinkToFit="0" vertical="center" wrapText="1"/>
    </xf>
    <xf borderId="0" fillId="12" fontId="14" numFmtId="4" xfId="0" applyAlignment="1" applyFill="1" applyFont="1" applyNumberFormat="1">
      <alignment horizontal="center" vertical="bottom"/>
    </xf>
    <xf borderId="0" fillId="0" fontId="15" numFmtId="0" xfId="0" applyAlignment="1" applyFont="1">
      <alignment horizontal="center" readingOrder="0" vertical="center"/>
    </xf>
    <xf borderId="0" fillId="0" fontId="20" numFmtId="4" xfId="0" applyAlignment="1" applyFont="1" applyNumberFormat="1">
      <alignment vertical="bottom"/>
    </xf>
    <xf borderId="0" fillId="0" fontId="9" numFmtId="49" xfId="0" applyAlignment="1" applyFont="1" applyNumberFormat="1">
      <alignment horizontal="center" readingOrder="0" shrinkToFit="0" vertical="bottom" wrapText="0"/>
    </xf>
    <xf borderId="0" fillId="0" fontId="15" numFmtId="0" xfId="0" applyAlignment="1" applyFont="1">
      <alignment horizontal="left" readingOrder="0" vertical="center"/>
    </xf>
    <xf borderId="0" fillId="0" fontId="17" numFmtId="0" xfId="0" applyAlignment="1" applyFont="1">
      <alignment horizontal="left" readingOrder="0" shrinkToFit="0" vertical="center" wrapText="1"/>
    </xf>
    <xf borderId="0" fillId="0" fontId="21" numFmtId="0" xfId="0" applyAlignment="1" applyFont="1">
      <alignment horizontal="left" readingOrder="0" shrinkToFit="0" vertical="center" wrapText="0"/>
    </xf>
    <xf borderId="0" fillId="13" fontId="14" numFmtId="4" xfId="0" applyAlignment="1" applyFill="1" applyFont="1" applyNumberFormat="1">
      <alignment horizontal="center" vertical="bottom"/>
    </xf>
    <xf quotePrefix="1" borderId="0" fillId="0" fontId="9" numFmtId="0" xfId="0" applyAlignment="1" applyFont="1">
      <alignment horizontal="center" readingOrder="0" shrinkToFit="0" vertical="bottom" wrapText="0"/>
    </xf>
    <xf borderId="0" fillId="0" fontId="22" numFmtId="0" xfId="0" applyAlignment="1" applyFont="1">
      <alignment readingOrder="0"/>
    </xf>
    <xf borderId="0" fillId="0" fontId="10" numFmtId="0" xfId="0" applyAlignment="1" applyFont="1">
      <alignment horizontal="center" readingOrder="0" shrinkToFit="0" vertical="center" wrapText="1"/>
    </xf>
    <xf borderId="0" fillId="11" fontId="14" numFmtId="0" xfId="0" applyAlignment="1" applyFill="1" applyFont="1">
      <alignment vertical="bottom"/>
    </xf>
    <xf borderId="0" fillId="0" fontId="10" numFmtId="0" xfId="0" applyAlignment="1" applyFont="1">
      <alignment horizontal="left" readingOrder="0" shrinkToFit="0" vertical="center" wrapText="0"/>
    </xf>
    <xf borderId="0" fillId="0" fontId="10" numFmtId="0" xfId="0" applyAlignment="1" applyFont="1">
      <alignment horizontal="center" shrinkToFit="0" vertical="center" wrapText="0"/>
    </xf>
    <xf borderId="0" fillId="0" fontId="10" numFmtId="0" xfId="0" applyAlignment="1" applyFont="1">
      <alignment shrinkToFit="0" wrapText="0"/>
    </xf>
    <xf borderId="2" fillId="14" fontId="15" numFmtId="0" xfId="0" applyAlignment="1" applyBorder="1" applyFill="1" applyFont="1">
      <alignment horizontal="center" readingOrder="0"/>
    </xf>
    <xf borderId="3" fillId="0" fontId="23" numFmtId="0" xfId="0" applyBorder="1" applyFont="1"/>
    <xf borderId="4" fillId="14" fontId="15" numFmtId="0" xfId="0" applyAlignment="1" applyBorder="1" applyFill="1" applyFont="1">
      <alignment horizontal="center" readingOrder="0"/>
    </xf>
    <xf borderId="0" fillId="0" fontId="24" numFmtId="0" xfId="0" applyAlignment="1" applyFont="1">
      <alignment horizontal="left" readingOrder="0" shrinkToFit="0" vertical="center" wrapText="1"/>
    </xf>
    <xf borderId="0" fillId="11" fontId="20" numFmtId="4" xfId="0" applyAlignment="1" applyFill="1" applyFont="1" applyNumberFormat="1">
      <alignment vertical="bottom"/>
    </xf>
    <xf borderId="0" fillId="0" fontId="25" numFmtId="0" xfId="0" applyAlignment="1" applyFont="1">
      <alignment horizontal="left" readingOrder="0" shrinkToFit="0" vertical="center" wrapText="0"/>
    </xf>
    <xf borderId="0" fillId="0" fontId="26" numFmtId="0" xfId="0" applyAlignment="1" applyFont="1">
      <alignment horizontal="left" readingOrder="0" shrinkToFit="0" vertical="center" wrapText="0"/>
    </xf>
    <xf borderId="0" fillId="0" fontId="22" numFmtId="0" xfId="0" applyAlignment="1" applyFont="1">
      <alignment horizontal="left" readingOrder="0" shrinkToFit="0" vertical="center" wrapText="0"/>
    </xf>
    <xf borderId="5" fillId="12" fontId="27" numFmtId="0" xfId="0" applyAlignment="1" applyBorder="1" applyFill="1" applyFont="1">
      <alignment horizontal="center" readingOrder="0"/>
    </xf>
    <xf borderId="6" fillId="0" fontId="23" numFmtId="0" xfId="0" applyBorder="1" applyFont="1"/>
    <xf borderId="1" fillId="12" fontId="27" numFmtId="10" xfId="0" applyAlignment="1" applyBorder="1" applyFill="1" applyFont="1" applyNumberFormat="1">
      <alignment horizontal="center" readingOrder="0"/>
    </xf>
    <xf borderId="0" fillId="0" fontId="10" numFmtId="0" xfId="0" applyAlignment="1" applyFont="1">
      <alignment horizontal="left" shrinkToFit="0" vertical="center" wrapText="0"/>
    </xf>
    <xf borderId="0" fillId="0" fontId="10" numFmtId="0" xfId="0" applyAlignment="1" applyFont="1">
      <alignment readingOrder="0"/>
    </xf>
    <xf borderId="0" fillId="0" fontId="10" numFmtId="0" xfId="0" applyAlignment="1" applyFont="1">
      <alignment horizontal="center" readingOrder="0" shrinkToFit="0" vertical="center" wrapText="0"/>
    </xf>
    <xf borderId="5" fillId="13" fontId="28" numFmtId="0" xfId="0" applyAlignment="1" applyBorder="1" applyFill="1" applyFont="1">
      <alignment horizontal="center" readingOrder="0"/>
    </xf>
    <xf borderId="0" fillId="0" fontId="10" numFmtId="0" xfId="0" applyAlignment="1" applyFont="1">
      <alignment horizontal="left" readingOrder="0"/>
    </xf>
    <xf borderId="0" fillId="8" fontId="14" numFmtId="0" xfId="0" applyAlignment="1" applyFill="1" applyFont="1">
      <alignment readingOrder="0" vertical="bottom"/>
    </xf>
    <xf borderId="0" fillId="0" fontId="25" numFmtId="0" xfId="0" applyAlignment="1" applyFont="1">
      <alignment horizontal="center" readingOrder="0" shrinkToFit="0" vertical="center" wrapText="1"/>
    </xf>
    <xf borderId="1" fillId="6" fontId="29" numFmtId="0" xfId="0" applyAlignment="1" applyBorder="1" applyFill="1" applyFont="1">
      <alignment horizontal="left" readingOrder="0"/>
    </xf>
    <xf borderId="1" fillId="6" fontId="30" numFmtId="3" xfId="0" applyAlignment="1" applyBorder="1" applyFill="1" applyFont="1" applyNumberFormat="1">
      <alignment horizontal="center"/>
    </xf>
    <xf borderId="0" fillId="8" fontId="20" numFmtId="4" xfId="0" applyAlignment="1" applyFill="1" applyFont="1" applyNumberFormat="1">
      <alignment vertical="bottom"/>
    </xf>
    <xf borderId="1" fillId="6" fontId="31" numFmtId="0" xfId="0" applyAlignment="1" applyBorder="1" applyFill="1" applyFont="1">
      <alignment horizontal="left" readingOrder="0"/>
    </xf>
    <xf borderId="1" fillId="6" fontId="30" numFmtId="10" xfId="0" applyAlignment="1" applyBorder="1" applyFill="1" applyFont="1" applyNumberFormat="1">
      <alignment horizontal="center"/>
    </xf>
    <xf borderId="0" fillId="15" fontId="14" numFmtId="4" xfId="0" applyAlignment="1" applyFill="1" applyFont="1" applyNumberFormat="1">
      <alignment horizontal="center" vertical="bottom"/>
    </xf>
    <xf borderId="0" fillId="16" fontId="8" numFmtId="0" xfId="0" applyAlignment="1" applyFill="1" applyFont="1">
      <alignment horizontal="center" readingOrder="0" vertical="center"/>
    </xf>
    <xf borderId="0" fillId="14" fontId="1" numFmtId="0" xfId="0" applyAlignment="1" applyFill="1" applyFont="1">
      <alignment horizontal="center" readingOrder="0" vertical="center"/>
    </xf>
    <xf borderId="0" fillId="17" fontId="11" numFmtId="0" xfId="0" applyAlignment="1" applyFill="1" applyFont="1">
      <alignment horizontal="center" readingOrder="0" shrinkToFit="0" vertical="center" wrapText="1"/>
    </xf>
    <xf borderId="7" fillId="18" fontId="10" numFmtId="0" xfId="0" applyAlignment="1" applyBorder="1" applyFill="1" applyFont="1">
      <alignment horizontal="center"/>
    </xf>
    <xf borderId="8" fillId="0" fontId="23" numFmtId="0" xfId="0" applyBorder="1" applyFont="1"/>
    <xf borderId="9" fillId="0" fontId="23" numFmtId="0" xfId="0" applyBorder="1" applyFont="1"/>
    <xf borderId="0" fillId="12" fontId="10" numFmtId="0" xfId="0" applyAlignment="1" applyFill="1" applyFont="1">
      <alignment horizontal="left" readingOrder="0" shrinkToFit="0" vertical="top" wrapText="1"/>
    </xf>
    <xf borderId="10" fillId="0" fontId="23" numFmtId="0" xfId="0" applyBorder="1" applyFont="1"/>
    <xf borderId="11" fillId="0" fontId="23" numFmtId="0" xfId="0" applyBorder="1" applyFont="1"/>
    <xf borderId="0" fillId="0" fontId="10" numFmtId="2" xfId="0" applyFont="1" applyNumberFormat="1"/>
    <xf borderId="0" fillId="6" fontId="14" numFmtId="4" xfId="0" applyAlignment="1" applyFill="1" applyFont="1" applyNumberFormat="1">
      <alignment horizontal="center" vertical="bottom"/>
    </xf>
    <xf borderId="0" fillId="0" fontId="32" numFmtId="0" xfId="0" applyAlignment="1" applyFont="1">
      <alignment horizontal="center" readingOrder="0"/>
    </xf>
    <xf borderId="12" fillId="0" fontId="23" numFmtId="0" xfId="0" applyBorder="1" applyFont="1"/>
    <xf borderId="13" fillId="0" fontId="23" numFmtId="0" xfId="0" applyBorder="1" applyFont="1"/>
    <xf borderId="14" fillId="0" fontId="23" numFmtId="0" xfId="0" applyBorder="1" applyFont="1"/>
    <xf borderId="0" fillId="0" fontId="10" numFmtId="0" xfId="0" applyAlignment="1" applyFont="1">
      <alignment horizontal="left" readingOrder="0" shrinkToFit="0" vertical="top" wrapText="1"/>
    </xf>
    <xf borderId="0" fillId="5" fontId="30" numFmtId="0" xfId="0" applyAlignment="1" applyFill="1" applyFont="1">
      <alignment horizontal="center" readingOrder="0" shrinkToFit="0" vertical="center" wrapText="1"/>
    </xf>
    <xf borderId="0" fillId="18" fontId="17" numFmtId="0" xfId="0" applyAlignment="1" applyFill="1" applyFont="1">
      <alignment horizontal="center" readingOrder="0" shrinkToFit="0" vertical="center" wrapText="1"/>
    </xf>
    <xf borderId="0" fillId="15" fontId="30" numFmtId="164" xfId="0" applyFill="1" applyFont="1" applyNumberFormat="1"/>
    <xf borderId="0" fillId="15" fontId="17" numFmtId="2" xfId="0" applyFill="1" applyFont="1" applyNumberFormat="1"/>
    <xf borderId="0" fillId="0" fontId="10" numFmtId="0" xfId="0" applyFont="1"/>
    <xf borderId="0" fillId="19" fontId="15" numFmtId="0" xfId="0" applyAlignment="1" applyFill="1" applyFont="1">
      <alignment horizontal="center" readingOrder="0"/>
    </xf>
    <xf borderId="0" fillId="20" fontId="17" numFmtId="0" xfId="0" applyAlignment="1" applyFill="1" applyFont="1">
      <alignment horizontal="center" readingOrder="0" shrinkToFit="0" vertical="center" wrapText="1"/>
    </xf>
    <xf borderId="0" fillId="20" fontId="30" numFmtId="0" xfId="0" applyAlignment="1" applyFill="1" applyFont="1">
      <alignment horizontal="center" readingOrder="0" shrinkToFit="0" vertical="center" wrapText="1"/>
    </xf>
    <xf borderId="0" fillId="20" fontId="33" numFmtId="0" xfId="0" applyAlignment="1" applyFill="1" applyFont="1">
      <alignment horizontal="center" readingOrder="0" shrinkToFit="0" vertical="center" wrapText="1"/>
    </xf>
    <xf borderId="0" fillId="21" fontId="17" numFmtId="0" xfId="0" applyAlignment="1" applyFill="1" applyFont="1">
      <alignment horizontal="center" readingOrder="0" shrinkToFit="0" vertical="center" wrapText="1"/>
    </xf>
    <xf borderId="0" fillId="22" fontId="30" numFmtId="0" xfId="0" applyAlignment="1" applyFill="1" applyFont="1">
      <alignment horizontal="center" readingOrder="0" shrinkToFit="0" vertical="center" wrapText="1"/>
    </xf>
    <xf borderId="0" fillId="20" fontId="17" numFmtId="0" xfId="0" applyAlignment="1" applyFill="1" applyFont="1">
      <alignment readingOrder="0" shrinkToFit="0" wrapText="1"/>
    </xf>
    <xf borderId="15" fillId="23" fontId="34" numFmtId="0" xfId="0" applyAlignment="1" applyBorder="1" applyFill="1" applyFont="1">
      <alignment readingOrder="0"/>
    </xf>
    <xf borderId="15" fillId="23" fontId="34" numFmtId="10" xfId="0" applyAlignment="1" applyBorder="1" applyFill="1" applyFont="1" applyNumberFormat="1">
      <alignment readingOrder="0"/>
    </xf>
    <xf borderId="15" fillId="23" fontId="34" numFmtId="9" xfId="0" applyAlignment="1" applyBorder="1" applyFill="1" applyFont="1" applyNumberFormat="1">
      <alignment readingOrder="0"/>
    </xf>
    <xf borderId="15" fillId="24" fontId="34" numFmtId="0" xfId="0" applyAlignment="1" applyBorder="1" applyFill="1" applyFont="1">
      <alignment readingOrder="0"/>
    </xf>
    <xf borderId="0" fillId="13" fontId="17" numFmtId="0" xfId="0" applyFill="1" applyFont="1"/>
    <xf borderId="0" fillId="25" fontId="17" numFmtId="0" xfId="0" applyFill="1" applyFont="1"/>
    <xf borderId="0" fillId="25" fontId="17" numFmtId="10" xfId="0" applyFill="1" applyFont="1" applyNumberFormat="1"/>
    <xf borderId="0" fillId="15" fontId="17" numFmtId="165" xfId="0" applyFill="1" applyFont="1" applyNumberFormat="1"/>
    <xf borderId="0" fillId="18" fontId="35" numFmtId="0" xfId="0" applyAlignment="1" applyFill="1" applyFont="1">
      <alignment horizontal="center" shrinkToFit="0" wrapText="1"/>
    </xf>
    <xf borderId="0" fillId="0" fontId="22" numFmtId="0" xfId="0" applyAlignment="1" applyFont="1">
      <alignment shrinkToFit="0" wrapText="1"/>
    </xf>
    <xf borderId="0" fillId="0" fontId="17" numFmtId="0" xfId="0" applyFont="1"/>
    <xf borderId="0" fillId="0" fontId="30" numFmtId="0" xfId="0" applyAlignment="1" applyFont="1">
      <alignment shrinkToFit="0" wrapText="1"/>
    </xf>
    <xf borderId="0" fillId="14" fontId="17" numFmtId="0" xfId="0" applyAlignment="1" applyFill="1" applyFont="1">
      <alignment horizontal="center" readingOrder="0" shrinkToFit="0" vertical="center" wrapText="1"/>
    </xf>
    <xf borderId="0" fillId="14" fontId="33" numFmtId="0" xfId="0" applyAlignment="1" applyFill="1" applyFont="1">
      <alignment horizontal="center" readingOrder="0" shrinkToFit="0" vertical="center" wrapText="1"/>
    </xf>
    <xf borderId="0" fillId="14" fontId="36" numFmtId="0" xfId="0" applyAlignment="1" applyFill="1" applyFont="1">
      <alignment horizontal="center" readingOrder="0" shrinkToFit="0" vertical="center" wrapText="1"/>
    </xf>
    <xf borderId="0" fillId="14" fontId="37" numFmtId="0" xfId="0" applyAlignment="1" applyFill="1" applyFont="1">
      <alignment horizontal="center" readingOrder="0" shrinkToFit="0" vertical="center" wrapText="1"/>
    </xf>
    <xf borderId="0" fillId="26" fontId="17" numFmtId="0" xfId="0" applyAlignment="1" applyFill="1" applyFont="1">
      <alignment horizontal="center" readingOrder="0" shrinkToFit="0" vertical="center" wrapText="1"/>
    </xf>
    <xf borderId="15" fillId="12" fontId="34" numFmtId="0" xfId="0" applyAlignment="1" applyBorder="1" applyFill="1" applyFont="1">
      <alignment readingOrder="0"/>
    </xf>
    <xf borderId="15" fillId="12" fontId="34" numFmtId="3" xfId="0" applyAlignment="1" applyBorder="1" applyFill="1" applyFont="1" applyNumberFormat="1">
      <alignment readingOrder="0"/>
    </xf>
    <xf borderId="15" fillId="12" fontId="38" numFmtId="0" xfId="0" applyAlignment="1" applyBorder="1" applyFill="1" applyFont="1">
      <alignment horizontal="right" readingOrder="0" vertical="bottom"/>
    </xf>
    <xf borderId="0" fillId="27" fontId="39" numFmtId="0" xfId="0" applyAlignment="1" applyFill="1" applyFont="1">
      <alignment horizontal="center"/>
    </xf>
    <xf borderId="0" fillId="27" fontId="39" numFmtId="2" xfId="0" applyAlignment="1" applyFill="1" applyFont="1" applyNumberFormat="1">
      <alignment horizontal="center"/>
    </xf>
    <xf borderId="0" fillId="27" fontId="17" numFmtId="0" xfId="0" applyAlignment="1" applyFill="1" applyFont="1">
      <alignment horizontal="center"/>
    </xf>
    <xf borderId="0" fillId="18" fontId="15" numFmtId="0" xfId="0" applyAlignment="1" applyFill="1" applyFont="1">
      <alignment horizontal="center" readingOrder="0" vertical="center"/>
    </xf>
    <xf borderId="0" fillId="22" fontId="33" numFmtId="0" xfId="0" applyAlignment="1" applyFill="1" applyFont="1">
      <alignment horizontal="center" readingOrder="0" shrinkToFit="0" vertical="center" wrapText="1"/>
    </xf>
    <xf borderId="0" fillId="22" fontId="17" numFmtId="0" xfId="0" applyAlignment="1" applyFill="1" applyFont="1">
      <alignment horizontal="center" readingOrder="0" shrinkToFit="0" vertical="center" wrapText="1"/>
    </xf>
    <xf borderId="0" fillId="14" fontId="40" numFmtId="0" xfId="0" applyAlignment="1" applyFill="1" applyFont="1">
      <alignment horizontal="center" readingOrder="0" shrinkToFit="0" vertical="center" wrapText="1"/>
    </xf>
    <xf borderId="0" fillId="20" fontId="17" numFmtId="0" xfId="0" applyAlignment="1" applyFill="1" applyFont="1">
      <alignment horizontal="center" readingOrder="0" vertical="center"/>
    </xf>
    <xf borderId="0" fillId="13" fontId="39" numFmtId="10" xfId="0" applyAlignment="1" applyFill="1" applyFont="1" applyNumberFormat="1">
      <alignment horizontal="center" readingOrder="0" vertical="center"/>
    </xf>
    <xf borderId="0" fillId="13" fontId="39" numFmtId="10" xfId="0" applyAlignment="1" applyFill="1" applyFont="1" applyNumberFormat="1">
      <alignment horizontal="center" vertical="center"/>
    </xf>
    <xf borderId="0" fillId="15" fontId="39" numFmtId="0" xfId="0" applyAlignment="1" applyFill="1" applyFont="1">
      <alignment horizontal="center" readingOrder="0" vertical="center"/>
    </xf>
    <xf borderId="0" fillId="15" fontId="39" numFmtId="2" xfId="0" applyAlignment="1" applyFill="1" applyFont="1" applyNumberFormat="1">
      <alignment horizontal="center" readingOrder="0" vertical="center"/>
    </xf>
    <xf borderId="0" fillId="25" fontId="39" numFmtId="10" xfId="0" applyAlignment="1" applyFill="1" applyFont="1" applyNumberFormat="1">
      <alignment horizontal="center" readingOrder="0" vertical="center"/>
    </xf>
    <xf borderId="0" fillId="25" fontId="39" numFmtId="0" xfId="0" applyAlignment="1" applyFill="1" applyFont="1">
      <alignment horizontal="center" readingOrder="0" vertical="center"/>
    </xf>
    <xf borderId="0" fillId="12" fontId="39" numFmtId="0" xfId="0" applyAlignment="1" applyFill="1" applyFont="1">
      <alignment horizontal="center" readingOrder="0" vertical="center"/>
    </xf>
    <xf borderId="0" fillId="17" fontId="39" numFmtId="0" xfId="0" applyAlignment="1" applyFill="1" applyFont="1">
      <alignment horizontal="center" readingOrder="0" shrinkToFit="0" vertical="center" wrapText="1"/>
    </xf>
    <xf borderId="0" fillId="17" fontId="17" numFmtId="2" xfId="0" applyAlignment="1" applyFill="1" applyFont="1" applyNumberFormat="1">
      <alignment horizontal="center"/>
    </xf>
    <xf borderId="0" fillId="17" fontId="39" numFmtId="10" xfId="0" applyAlignment="1" applyFill="1" applyFont="1" applyNumberFormat="1">
      <alignment horizontal="center" readingOrder="0" shrinkToFit="0" vertical="center" wrapText="1"/>
    </xf>
    <xf borderId="0" fillId="17" fontId="39" numFmtId="3" xfId="0" applyAlignment="1" applyFill="1" applyFont="1" applyNumberFormat="1">
      <alignment horizontal="center" readingOrder="0" shrinkToFit="0" vertical="center" wrapText="1"/>
    </xf>
    <xf borderId="0" fillId="28" fontId="17" numFmtId="0" xfId="0" applyAlignment="1" applyFill="1" applyFont="1">
      <alignment horizontal="center" readingOrder="0" shrinkToFit="0" vertical="center" wrapText="1"/>
    </xf>
    <xf borderId="0" fillId="29" fontId="17" numFmtId="0" xfId="0" applyAlignment="1" applyFill="1" applyFont="1">
      <alignment horizontal="center" readingOrder="0" shrinkToFit="0" vertical="center" wrapText="1"/>
    </xf>
    <xf borderId="0" fillId="6" fontId="39" numFmtId="0" xfId="0" applyAlignment="1" applyFill="1" applyFont="1">
      <alignment horizontal="center" readingOrder="0" vertical="center"/>
    </xf>
    <xf borderId="0" fillId="6" fontId="39" numFmtId="10" xfId="0" applyAlignment="1" applyFill="1" applyFont="1" applyNumberFormat="1">
      <alignment horizontal="center" readingOrder="0" vertical="center"/>
    </xf>
    <xf borderId="0" fillId="6" fontId="41" numFmtId="0" xfId="0" applyAlignment="1" applyFill="1" applyFont="1">
      <alignment horizontal="center" readingOrder="0" vertical="center"/>
    </xf>
    <xf borderId="0" fillId="24" fontId="17" numFmtId="2" xfId="0" applyAlignment="1" applyFill="1" applyFont="1" applyNumberFormat="1">
      <alignment horizontal="center" vertical="center"/>
    </xf>
    <xf borderId="0" fillId="30" fontId="17" numFmtId="2" xfId="0" applyAlignment="1" applyFill="1" applyFont="1" applyNumberFormat="1">
      <alignment horizontal="center" vertical="center"/>
    </xf>
    <xf borderId="0" fillId="0" fontId="8" numFmtId="0" xfId="0" applyAlignment="1" applyFont="1">
      <alignment horizontal="center" readingOrder="0" vertical="center"/>
    </xf>
    <xf borderId="0" fillId="16" fontId="15" numFmtId="0" xfId="0" applyAlignment="1" applyFill="1" applyFont="1">
      <alignment horizontal="center" readingOrder="0" vertical="center"/>
    </xf>
    <xf borderId="0" fillId="20" fontId="30" numFmtId="166" xfId="0" applyAlignment="1" applyFill="1" applyFont="1" applyNumberFormat="1">
      <alignment horizontal="center" readingOrder="0" shrinkToFit="0" vertical="center" wrapText="1"/>
    </xf>
    <xf borderId="0" fillId="20" fontId="30" numFmtId="2" xfId="0" applyAlignment="1" applyFill="1" applyFont="1" applyNumberFormat="1">
      <alignment horizontal="center" readingOrder="0" shrinkToFit="0" vertical="center" wrapText="1"/>
    </xf>
    <xf borderId="0" fillId="12" fontId="10" numFmtId="0" xfId="0" applyAlignment="1" applyFill="1" applyFont="1">
      <alignment horizontal="center" vertical="center"/>
    </xf>
    <xf borderId="0" fillId="12" fontId="10" numFmtId="0" xfId="0" applyAlignment="1" applyFill="1" applyFont="1">
      <alignment horizontal="center" shrinkToFit="0" vertical="center" wrapText="1"/>
    </xf>
    <xf borderId="7" fillId="28" fontId="8" numFmtId="0" xfId="0" applyAlignment="1" applyBorder="1" applyFill="1" applyFont="1">
      <alignment horizontal="center" readingOrder="0" vertical="center"/>
    </xf>
    <xf borderId="7" fillId="20" fontId="42" numFmtId="0" xfId="0" applyAlignment="1" applyBorder="1" applyFill="1" applyFont="1">
      <alignment horizontal="center" readingOrder="0" vertical="center"/>
    </xf>
    <xf borderId="8" fillId="20" fontId="43" numFmtId="0" xfId="0" applyAlignment="1" applyBorder="1" applyFill="1" applyFont="1">
      <alignment horizontal="center" readingOrder="0" vertical="center"/>
    </xf>
    <xf borderId="0" fillId="12" fontId="10" numFmtId="9" xfId="0" applyAlignment="1" applyFill="1" applyFont="1" applyNumberFormat="1">
      <alignment horizontal="center" shrinkToFit="0" vertical="center" wrapText="1"/>
    </xf>
    <xf borderId="10" fillId="17" fontId="36" numFmtId="0" xfId="0" applyAlignment="1" applyBorder="1" applyFill="1" applyFont="1">
      <alignment horizontal="center" readingOrder="0" vertical="center"/>
    </xf>
    <xf borderId="0" fillId="17" fontId="36" numFmtId="0" xfId="0" applyAlignment="1" applyFill="1" applyFont="1">
      <alignment horizontal="center" readingOrder="0" vertical="center"/>
    </xf>
    <xf borderId="0" fillId="17" fontId="44" numFmtId="0" xfId="0" applyAlignment="1" applyFill="1" applyFont="1">
      <alignment horizontal="center" readingOrder="0" vertical="center"/>
    </xf>
    <xf borderId="11" fillId="17" fontId="45" numFmtId="0" xfId="0" applyAlignment="1" applyBorder="1" applyFill="1" applyFont="1">
      <alignment horizontal="center" readingOrder="0" vertical="center"/>
    </xf>
    <xf borderId="0" fillId="29" fontId="15" numFmtId="0" xfId="0" applyAlignment="1" applyFill="1" applyFont="1">
      <alignment horizontal="center" readingOrder="0" shrinkToFit="0" wrapText="1"/>
    </xf>
    <xf borderId="0" fillId="5" fontId="15" numFmtId="0" xfId="0" applyAlignment="1" applyFill="1" applyFont="1">
      <alignment horizontal="center" readingOrder="0" vertical="center"/>
    </xf>
    <xf borderId="0" fillId="31" fontId="15" numFmtId="0" xfId="0" applyAlignment="1" applyFill="1" applyFont="1">
      <alignment horizontal="center" readingOrder="0" vertical="center"/>
    </xf>
    <xf borderId="0" fillId="12" fontId="10" numFmtId="0" xfId="0" applyAlignment="1" applyFill="1" applyFont="1">
      <alignment horizontal="center" vertical="center"/>
    </xf>
    <xf borderId="10" fillId="32" fontId="46" numFmtId="0" xfId="0" applyAlignment="1" applyBorder="1" applyFill="1" applyFont="1">
      <alignment horizontal="center" readingOrder="0" vertical="center"/>
    </xf>
    <xf borderId="0" fillId="32" fontId="46" numFmtId="0" xfId="0" applyAlignment="1" applyFill="1" applyFont="1">
      <alignment horizontal="center" readingOrder="0" vertical="center"/>
    </xf>
    <xf borderId="0" fillId="32" fontId="46" numFmtId="10" xfId="0" applyAlignment="1" applyFill="1" applyFont="1" applyNumberFormat="1">
      <alignment horizontal="center" readingOrder="0" vertical="center"/>
    </xf>
    <xf borderId="0" fillId="32" fontId="47" numFmtId="10" xfId="0" applyAlignment="1" applyFill="1" applyFont="1" applyNumberFormat="1">
      <alignment horizontal="center" readingOrder="0" vertical="center"/>
    </xf>
    <xf borderId="0" fillId="17" fontId="10" numFmtId="0" xfId="0" applyAlignment="1" applyFill="1" applyFont="1">
      <alignment horizontal="center" readingOrder="0" shrinkToFit="0" vertical="center" wrapText="1"/>
    </xf>
    <xf borderId="11" fillId="32" fontId="48" numFmtId="0" xfId="0" applyAlignment="1" applyBorder="1" applyFill="1" applyFont="1">
      <alignment horizontal="center" readingOrder="0" vertical="center"/>
    </xf>
    <xf borderId="0" fillId="17" fontId="10" numFmtId="10" xfId="0" applyAlignment="1" applyFill="1" applyFont="1" applyNumberFormat="1">
      <alignment horizontal="center" readingOrder="0" shrinkToFit="0" vertical="center" wrapText="1"/>
    </xf>
    <xf borderId="0" fillId="18" fontId="25" numFmtId="0" xfId="0" applyAlignment="1" applyFill="1" applyFont="1">
      <alignment horizontal="center" readingOrder="0" vertical="center"/>
    </xf>
    <xf borderId="0" fillId="33" fontId="25" numFmtId="0" xfId="0" applyAlignment="1" applyFill="1" applyFont="1">
      <alignment horizontal="center" readingOrder="0" vertical="center"/>
    </xf>
    <xf borderId="10" fillId="34" fontId="17" numFmtId="0" xfId="0" applyAlignment="1" applyBorder="1" applyFill="1" applyFont="1">
      <alignment readingOrder="0"/>
    </xf>
    <xf borderId="0" fillId="34" fontId="17" numFmtId="0" xfId="0" applyAlignment="1" applyFill="1" applyFont="1">
      <alignment readingOrder="0"/>
    </xf>
    <xf borderId="7" fillId="4" fontId="17" numFmtId="0" xfId="0" applyAlignment="1" applyBorder="1" applyFill="1" applyFont="1">
      <alignment horizontal="center"/>
    </xf>
    <xf borderId="8" fillId="4" fontId="17" numFmtId="0" xfId="0" applyAlignment="1" applyBorder="1" applyFill="1" applyFont="1">
      <alignment horizontal="center"/>
    </xf>
    <xf borderId="9" fillId="4" fontId="17" numFmtId="0" xfId="0" applyAlignment="1" applyBorder="1" applyFill="1" applyFont="1">
      <alignment horizontal="center" readingOrder="0"/>
    </xf>
    <xf borderId="0" fillId="24" fontId="49" numFmtId="0" xfId="0" applyAlignment="1" applyFill="1" applyFont="1">
      <alignment horizontal="center" readingOrder="0" vertical="center"/>
    </xf>
    <xf borderId="0" fillId="15" fontId="49" numFmtId="0" xfId="0" applyAlignment="1" applyFill="1" applyFont="1">
      <alignment horizontal="center" readingOrder="0" vertical="center"/>
    </xf>
    <xf borderId="0" fillId="15" fontId="49" numFmtId="10" xfId="0" applyAlignment="1" applyFill="1" applyFont="1" applyNumberFormat="1">
      <alignment horizontal="center" readingOrder="0" vertical="center"/>
    </xf>
    <xf borderId="0" fillId="23" fontId="49" numFmtId="0" xfId="0" applyAlignment="1" applyFill="1" applyFont="1">
      <alignment horizontal="center" readingOrder="0" vertical="center"/>
    </xf>
    <xf borderId="0" fillId="23" fontId="49" numFmtId="10" xfId="0" applyAlignment="1" applyFill="1" applyFont="1" applyNumberFormat="1">
      <alignment horizontal="center" readingOrder="0" vertical="center"/>
    </xf>
    <xf borderId="10" fillId="12" fontId="50" numFmtId="0" xfId="0" applyAlignment="1" applyBorder="1" applyFill="1" applyFont="1">
      <alignment readingOrder="0"/>
    </xf>
    <xf borderId="0" fillId="12" fontId="51" numFmtId="10" xfId="0" applyFill="1" applyFont="1" applyNumberFormat="1"/>
    <xf borderId="0" fillId="8" fontId="10" numFmtId="0" xfId="0" applyFill="1" applyFont="1"/>
    <xf borderId="0" fillId="8" fontId="8" numFmtId="0" xfId="0" applyAlignment="1" applyFill="1" applyFont="1">
      <alignment horizontal="center" readingOrder="0" vertical="center"/>
    </xf>
    <xf borderId="0" fillId="12" fontId="51" numFmtId="9" xfId="0" applyFill="1" applyFont="1" applyNumberFormat="1"/>
    <xf borderId="12" fillId="0" fontId="10" numFmtId="0" xfId="0" applyAlignment="1" applyBorder="1" applyFont="1">
      <alignment horizontal="center"/>
    </xf>
    <xf borderId="13" fillId="0" fontId="10" numFmtId="0" xfId="0" applyAlignment="1" applyBorder="1" applyFont="1">
      <alignment horizontal="center"/>
    </xf>
    <xf borderId="0" fillId="0" fontId="10" numFmtId="166" xfId="0" applyAlignment="1" applyFont="1" applyNumberFormat="1">
      <alignment readingOrder="0"/>
    </xf>
    <xf borderId="0" fillId="18" fontId="8" numFmtId="0" xfId="0" applyAlignment="1" applyFill="1" applyFont="1">
      <alignment horizontal="center" readingOrder="0" vertical="center"/>
    </xf>
    <xf borderId="0" fillId="0" fontId="1" numFmtId="0" xfId="0" applyAlignment="1" applyFont="1">
      <alignment horizontal="center" readingOrder="0" shrinkToFit="0" vertical="center" wrapText="1"/>
    </xf>
    <xf borderId="14" fillId="0" fontId="10" numFmtId="10" xfId="0" applyAlignment="1" applyBorder="1" applyFont="1" applyNumberFormat="1">
      <alignment horizontal="center"/>
    </xf>
    <xf borderId="0" fillId="29" fontId="15" numFmtId="0" xfId="0" applyAlignment="1" applyFill="1" applyFont="1">
      <alignment horizontal="center" readingOrder="0"/>
    </xf>
    <xf borderId="0" fillId="18" fontId="10" numFmtId="0" xfId="0" applyAlignment="1" applyFill="1" applyFont="1">
      <alignment horizontal="center" readingOrder="0" vertical="center"/>
    </xf>
    <xf borderId="0" fillId="33" fontId="10" numFmtId="0" xfId="0" applyAlignment="1" applyFill="1" applyFont="1">
      <alignment horizontal="center" readingOrder="0" vertical="center"/>
    </xf>
    <xf borderId="10" fillId="16" fontId="17" numFmtId="0" xfId="0" applyAlignment="1" applyBorder="1" applyFill="1" applyFont="1">
      <alignment readingOrder="0"/>
    </xf>
    <xf borderId="0" fillId="16" fontId="17" numFmtId="0" xfId="0" applyFill="1" applyFont="1"/>
    <xf borderId="0" fillId="24" fontId="39" numFmtId="0" xfId="0" applyAlignment="1" applyFill="1" applyFont="1">
      <alignment horizontal="center" shrinkToFit="0" vertical="center" wrapText="1"/>
    </xf>
    <xf borderId="0" fillId="16" fontId="17" numFmtId="0" xfId="0" applyAlignment="1" applyFill="1" applyFont="1">
      <alignment readingOrder="0"/>
    </xf>
    <xf borderId="0" fillId="6" fontId="10" numFmtId="0" xfId="0" applyFill="1" applyFont="1"/>
    <xf borderId="10" fillId="33" fontId="8" numFmtId="0" xfId="0" applyAlignment="1" applyBorder="1" applyFill="1" applyFont="1">
      <alignment horizontal="center" readingOrder="0" vertical="center"/>
    </xf>
    <xf borderId="0" fillId="24" fontId="39" numFmtId="0" xfId="0" applyAlignment="1" applyFill="1" applyFont="1">
      <alignment horizontal="center" readingOrder="0" shrinkToFit="0" vertical="center" wrapText="1"/>
    </xf>
    <xf borderId="0" fillId="24" fontId="10" numFmtId="0" xfId="0" applyAlignment="1" applyFill="1" applyFont="1">
      <alignment horizontal="right" readingOrder="0"/>
    </xf>
    <xf borderId="0" fillId="15" fontId="10" numFmtId="0" xfId="0" applyAlignment="1" applyFill="1" applyFont="1">
      <alignment readingOrder="0"/>
    </xf>
    <xf borderId="0" fillId="23" fontId="10" numFmtId="0" xfId="0" applyAlignment="1" applyFill="1" applyFont="1">
      <alignment readingOrder="0"/>
    </xf>
    <xf borderId="10" fillId="17" fontId="50" numFmtId="0" xfId="0" applyAlignment="1" applyBorder="1" applyFill="1" applyFont="1">
      <alignment readingOrder="0"/>
    </xf>
    <xf borderId="0" fillId="17" fontId="10" numFmtId="0" xfId="0" applyFill="1" applyFont="1"/>
    <xf borderId="0" fillId="24" fontId="39" numFmtId="166" xfId="0" applyAlignment="1" applyFill="1" applyFont="1" applyNumberFormat="1">
      <alignment horizontal="center" shrinkToFit="0" vertical="center" wrapText="1"/>
    </xf>
    <xf borderId="0" fillId="17" fontId="10" numFmtId="10" xfId="0" applyFill="1" applyFont="1" applyNumberFormat="1"/>
    <xf borderId="10" fillId="18" fontId="36" numFmtId="0" xfId="0" applyAlignment="1" applyBorder="1" applyFill="1" applyFont="1">
      <alignment horizontal="center" readingOrder="0" vertical="center"/>
    </xf>
    <xf borderId="0" fillId="18" fontId="36" numFmtId="0" xfId="0" applyAlignment="1" applyFill="1" applyFont="1">
      <alignment horizontal="center" readingOrder="0" shrinkToFit="0" vertical="center" wrapText="1"/>
    </xf>
    <xf borderId="11" fillId="18" fontId="36" numFmtId="0" xfId="0" applyAlignment="1" applyBorder="1" applyFill="1" applyFont="1">
      <alignment horizontal="center" readingOrder="0" shrinkToFit="0" vertical="center" wrapText="1"/>
    </xf>
    <xf borderId="0" fillId="24" fontId="39" numFmtId="0" xfId="0" applyAlignment="1" applyFill="1" applyFont="1">
      <alignment horizontal="center"/>
    </xf>
    <xf borderId="0" fillId="15" fontId="10" numFmtId="0" xfId="0" applyFill="1" applyFont="1"/>
    <xf borderId="0" fillId="13" fontId="52" numFmtId="0" xfId="0" applyAlignment="1" applyFill="1" applyFont="1">
      <alignment horizontal="center" readingOrder="0" vertical="center"/>
    </xf>
    <xf borderId="0" fillId="13" fontId="52" numFmtId="10" xfId="0" applyAlignment="1" applyFill="1" applyFont="1" applyNumberFormat="1">
      <alignment horizontal="center" vertical="center"/>
    </xf>
    <xf borderId="0" fillId="23" fontId="10" numFmtId="0" xfId="0" applyFill="1" applyFont="1"/>
    <xf borderId="0" fillId="35" fontId="53" numFmtId="0" xfId="0" applyAlignment="1" applyFill="1" applyFont="1">
      <alignment horizontal="center" readingOrder="0" vertical="center"/>
    </xf>
    <xf borderId="0" fillId="13" fontId="54" numFmtId="0" xfId="0" applyAlignment="1" applyFill="1" applyFont="1">
      <alignment horizontal="center" readingOrder="0" vertical="center"/>
    </xf>
    <xf borderId="0" fillId="13" fontId="52" numFmtId="0" xfId="0" applyAlignment="1" applyFill="1" applyFont="1">
      <alignment horizontal="center" vertical="center"/>
    </xf>
    <xf borderId="10" fillId="6" fontId="10" numFmtId="0" xfId="0" applyBorder="1" applyFill="1" applyFont="1"/>
    <xf borderId="0" fillId="21" fontId="17" numFmtId="0" xfId="0" applyAlignment="1" applyFill="1" applyFont="1">
      <alignment readingOrder="0"/>
    </xf>
    <xf borderId="10" fillId="15" fontId="20" numFmtId="0" xfId="0" applyAlignment="1" applyBorder="1" applyFill="1" applyFont="1">
      <alignment horizontal="center" vertical="center"/>
    </xf>
    <xf borderId="0" fillId="15" fontId="20" numFmtId="0" xfId="0" applyAlignment="1" applyFill="1" applyFont="1">
      <alignment horizontal="center" vertical="center"/>
    </xf>
    <xf borderId="0" fillId="15" fontId="20" numFmtId="0" xfId="0" applyAlignment="1" applyFill="1" applyFont="1">
      <alignment horizontal="center" readingOrder="0" vertical="center"/>
    </xf>
    <xf borderId="11" fillId="15" fontId="20" numFmtId="10" xfId="0" applyAlignment="1" applyBorder="1" applyFill="1" applyFont="1" applyNumberFormat="1">
      <alignment horizontal="center" vertical="center"/>
    </xf>
    <xf borderId="0" fillId="0" fontId="10" numFmtId="0" xfId="0" applyAlignment="1" applyFont="1">
      <alignment readingOrder="0" shrinkToFit="0" wrapText="1"/>
    </xf>
    <xf borderId="0" fillId="0" fontId="10" numFmtId="0" xfId="0" applyAlignment="1" applyFont="1">
      <alignment shrinkToFit="0" wrapText="1"/>
    </xf>
    <xf borderId="0" fillId="4" fontId="17" numFmtId="0" xfId="0" applyAlignment="1" applyFill="1" applyFont="1">
      <alignment readingOrder="0"/>
    </xf>
    <xf borderId="0" fillId="4" fontId="17" numFmtId="0" xfId="0" applyFill="1" applyFont="1"/>
    <xf borderId="0" fillId="29" fontId="10" numFmtId="10" xfId="0" applyFill="1" applyFont="1" applyNumberFormat="1"/>
    <xf borderId="0" fillId="0" fontId="10" numFmtId="10" xfId="0" applyAlignment="1" applyFont="1" applyNumberFormat="1">
      <alignment shrinkToFit="0" wrapText="1"/>
    </xf>
    <xf borderId="0" fillId="25" fontId="10" numFmtId="0" xfId="0" applyAlignment="1" applyFill="1" applyFont="1">
      <alignment readingOrder="0"/>
    </xf>
    <xf borderId="10" fillId="0" fontId="17" numFmtId="0" xfId="0" applyAlignment="1" applyBorder="1" applyFont="1">
      <alignment readingOrder="0"/>
    </xf>
    <xf borderId="0" fillId="25" fontId="10" numFmtId="0" xfId="0" applyFill="1" applyFont="1"/>
    <xf borderId="0" fillId="36" fontId="17" numFmtId="0" xfId="0" applyFill="1" applyFont="1"/>
    <xf borderId="0" fillId="36" fontId="17" numFmtId="0" xfId="0" applyAlignment="1" applyFill="1" applyFont="1">
      <alignment readingOrder="0"/>
    </xf>
    <xf borderId="10" fillId="25" fontId="10" numFmtId="0" xfId="0" applyAlignment="1" applyBorder="1" applyFill="1" applyFont="1">
      <alignment horizontal="left" readingOrder="0" shrinkToFit="0" vertical="top" wrapText="1"/>
    </xf>
    <xf borderId="0" fillId="0" fontId="10" numFmtId="0" xfId="0" applyFont="1"/>
    <xf borderId="10" fillId="0" fontId="50" numFmtId="0" xfId="0" applyAlignment="1" applyBorder="1" applyFont="1">
      <alignment readingOrder="0"/>
    </xf>
    <xf borderId="0" fillId="15" fontId="10" numFmtId="167" xfId="0" applyFill="1" applyFont="1" applyNumberFormat="1"/>
    <xf borderId="10" fillId="37" fontId="17" numFmtId="0" xfId="0" applyAlignment="1" applyBorder="1" applyFill="1" applyFont="1">
      <alignment readingOrder="0"/>
    </xf>
    <xf borderId="0" fillId="37" fontId="17" numFmtId="0" xfId="0" applyAlignment="1" applyFill="1" applyFont="1">
      <alignment readingOrder="0"/>
    </xf>
    <xf borderId="10" fillId="27" fontId="55" numFmtId="0" xfId="0" applyAlignment="1" applyBorder="1" applyFill="1" applyFont="1">
      <alignment readingOrder="0"/>
    </xf>
    <xf borderId="0" fillId="0" fontId="10" numFmtId="9" xfId="0" applyFont="1" applyNumberFormat="1"/>
    <xf borderId="0" fillId="27" fontId="10" numFmtId="2" xfId="0" applyFill="1" applyFont="1" applyNumberFormat="1"/>
    <xf borderId="12" fillId="6" fontId="10" numFmtId="0" xfId="0" applyBorder="1" applyFill="1" applyFont="1"/>
    <xf borderId="13" fillId="6" fontId="10" numFmtId="0" xfId="0" applyBorder="1" applyFill="1" applyFont="1"/>
    <xf borderId="7" fillId="31" fontId="53" numFmtId="0" xfId="0" applyAlignment="1" applyBorder="1" applyFill="1" applyFont="1">
      <alignment horizontal="center" readingOrder="0"/>
    </xf>
    <xf borderId="8" fillId="31" fontId="10" numFmtId="0" xfId="0" applyBorder="1" applyFill="1" applyFont="1"/>
    <xf borderId="10" fillId="23" fontId="17" numFmtId="0" xfId="0" applyAlignment="1" applyBorder="1" applyFill="1" applyFont="1">
      <alignment horizontal="center" readingOrder="0" shrinkToFit="0" vertical="center" wrapText="1"/>
    </xf>
    <xf borderId="0" fillId="31" fontId="10" numFmtId="0" xfId="0" applyFill="1" applyFont="1"/>
    <xf borderId="7" fillId="35" fontId="43" numFmtId="0" xfId="0" applyAlignment="1" applyBorder="1" applyFill="1" applyFont="1">
      <alignment horizontal="center" readingOrder="0" vertical="center"/>
    </xf>
    <xf borderId="0" fillId="37" fontId="17" numFmtId="0" xfId="0" applyAlignment="1" applyFill="1" applyFont="1">
      <alignment horizontal="center" readingOrder="0" shrinkToFit="0" vertical="center" wrapText="1"/>
    </xf>
    <xf borderId="0" fillId="30" fontId="30" numFmtId="0" xfId="0" applyAlignment="1" applyFill="1" applyFont="1">
      <alignment horizontal="center" readingOrder="0" shrinkToFit="0" vertical="center" wrapText="1"/>
    </xf>
    <xf borderId="0" fillId="38" fontId="30" numFmtId="0" xfId="0" applyAlignment="1" applyFill="1" applyFont="1">
      <alignment horizontal="center" readingOrder="0" shrinkToFit="0" vertical="center" wrapText="1"/>
    </xf>
    <xf borderId="0" fillId="18" fontId="30" numFmtId="0" xfId="0" applyAlignment="1" applyFill="1" applyFont="1">
      <alignment horizontal="center" readingOrder="0" vertical="center"/>
    </xf>
    <xf borderId="10" fillId="28" fontId="36" numFmtId="0" xfId="0" applyAlignment="1" applyBorder="1" applyFill="1" applyFont="1">
      <alignment horizontal="center" readingOrder="0" vertical="center"/>
    </xf>
    <xf borderId="0" fillId="28" fontId="36" numFmtId="0" xfId="0" applyAlignment="1" applyFill="1" applyFont="1">
      <alignment horizontal="center" readingOrder="0" vertical="center"/>
    </xf>
    <xf borderId="16" fillId="30" fontId="30" numFmtId="0" xfId="0" applyAlignment="1" applyBorder="1" applyFill="1" applyFont="1">
      <alignment horizontal="center" readingOrder="0" vertical="center"/>
    </xf>
    <xf borderId="0" fillId="4" fontId="30" numFmtId="0" xfId="0" applyAlignment="1" applyFill="1" applyFont="1">
      <alignment horizontal="center" readingOrder="0" shrinkToFit="0" vertical="center" wrapText="1"/>
    </xf>
    <xf borderId="11" fillId="28" fontId="36" numFmtId="0" xfId="0" applyAlignment="1" applyBorder="1" applyFill="1" applyFont="1">
      <alignment horizontal="center" readingOrder="0" vertical="center"/>
    </xf>
    <xf borderId="0" fillId="14" fontId="30" numFmtId="0" xfId="0" applyAlignment="1" applyFill="1" applyFont="1">
      <alignment horizontal="center" readingOrder="0" shrinkToFit="0" vertical="center" wrapText="1"/>
    </xf>
    <xf borderId="0" fillId="0" fontId="20" numFmtId="0" xfId="0" applyAlignment="1" applyFont="1">
      <alignment vertical="bottom"/>
    </xf>
    <xf borderId="0" fillId="27" fontId="56" numFmtId="0" xfId="0" applyAlignment="1" applyFill="1" applyFont="1">
      <alignment horizontal="center" readingOrder="0" vertical="center"/>
    </xf>
    <xf borderId="0" fillId="13" fontId="56" numFmtId="0" xfId="0" applyAlignment="1" applyFill="1" applyFont="1">
      <alignment horizontal="center" readingOrder="0" vertical="center"/>
    </xf>
    <xf borderId="0" fillId="25" fontId="56" numFmtId="0" xfId="0" applyAlignment="1" applyFill="1" applyFont="1">
      <alignment horizontal="center" readingOrder="0" vertical="center"/>
    </xf>
    <xf borderId="0" fillId="7" fontId="56" numFmtId="10" xfId="0" applyAlignment="1" applyFill="1" applyFont="1" applyNumberFormat="1">
      <alignment horizontal="center" readingOrder="0" vertical="center"/>
    </xf>
    <xf borderId="0" fillId="24" fontId="56" numFmtId="0" xfId="0" applyAlignment="1" applyFill="1" applyFont="1">
      <alignment horizontal="center" readingOrder="0" vertical="center"/>
    </xf>
    <xf borderId="0" fillId="25" fontId="56" numFmtId="10" xfId="0" applyAlignment="1" applyFill="1" applyFont="1" applyNumberFormat="1">
      <alignment horizontal="center" readingOrder="0" vertical="center"/>
    </xf>
    <xf borderId="0" fillId="32" fontId="57" numFmtId="10" xfId="0" applyAlignment="1" applyFill="1" applyFont="1" applyNumberFormat="1">
      <alignment horizontal="center" readingOrder="0" vertical="center"/>
    </xf>
    <xf borderId="0" fillId="15" fontId="30" numFmtId="0" xfId="0" applyAlignment="1" applyFill="1" applyFont="1">
      <alignment horizontal="center" readingOrder="0" vertical="center"/>
    </xf>
    <xf borderId="0" fillId="32" fontId="57" numFmtId="0" xfId="0" applyAlignment="1" applyFill="1" applyFont="1">
      <alignment horizontal="center" readingOrder="0" vertical="center"/>
    </xf>
    <xf borderId="16" fillId="13" fontId="30" numFmtId="0" xfId="0" applyAlignment="1" applyBorder="1" applyFill="1" applyFont="1">
      <alignment horizontal="center" readingOrder="0" vertical="center"/>
    </xf>
    <xf borderId="11" fillId="32" fontId="58" numFmtId="10" xfId="0" applyAlignment="1" applyBorder="1" applyFill="1" applyFont="1" applyNumberFormat="1">
      <alignment horizontal="center" readingOrder="0" vertical="center"/>
    </xf>
    <xf borderId="0" fillId="0" fontId="9" numFmtId="4" xfId="0" applyAlignment="1" applyFont="1" applyNumberFormat="1">
      <alignment shrinkToFit="0" vertical="bottom" wrapText="0"/>
    </xf>
    <xf borderId="0" fillId="17" fontId="59" numFmtId="10" xfId="0" applyAlignment="1" applyFill="1" applyFont="1" applyNumberFormat="1">
      <alignment horizontal="center" vertical="center"/>
    </xf>
    <xf borderId="10" fillId="33" fontId="17" numFmtId="0" xfId="0" applyAlignment="1" applyBorder="1" applyFill="1" applyFont="1">
      <alignment readingOrder="0"/>
    </xf>
    <xf borderId="0" fillId="33" fontId="17" numFmtId="0" xfId="0" applyAlignment="1" applyFill="1" applyFont="1">
      <alignment readingOrder="0"/>
    </xf>
    <xf borderId="0" fillId="12" fontId="59" numFmtId="10" xfId="0" applyAlignment="1" applyFill="1" applyFont="1" applyNumberFormat="1">
      <alignment horizontal="center" vertical="center"/>
    </xf>
    <xf borderId="11" fillId="28" fontId="10" numFmtId="0" xfId="0" applyBorder="1" applyFill="1" applyFont="1"/>
    <xf borderId="0" fillId="15" fontId="39" numFmtId="10" xfId="0" applyAlignment="1" applyFill="1" applyFont="1" applyNumberFormat="1">
      <alignment horizontal="center" vertical="center"/>
    </xf>
    <xf borderId="10" fillId="23" fontId="60" numFmtId="10" xfId="0" applyAlignment="1" applyBorder="1" applyFill="1" applyFont="1" applyNumberFormat="1">
      <alignment readingOrder="0"/>
    </xf>
    <xf borderId="0" fillId="23" fontId="60" numFmtId="10" xfId="0" applyAlignment="1" applyFill="1" applyFont="1" applyNumberFormat="1">
      <alignment readingOrder="0"/>
    </xf>
    <xf borderId="0" fillId="28" fontId="8" numFmtId="0" xfId="0" applyAlignment="1" applyFill="1" applyFont="1">
      <alignment readingOrder="0"/>
    </xf>
    <xf borderId="0" fillId="28" fontId="20" numFmtId="0" xfId="0" applyAlignment="1" applyFill="1" applyFont="1">
      <alignment vertical="bottom"/>
    </xf>
    <xf borderId="0" fillId="28" fontId="1" numFmtId="0" xfId="0" applyAlignment="1" applyFill="1" applyFont="1">
      <alignment horizontal="center" readingOrder="0" vertical="center"/>
    </xf>
    <xf borderId="12" fillId="32" fontId="58" numFmtId="0" xfId="0" applyAlignment="1" applyBorder="1" applyFill="1" applyFont="1">
      <alignment horizontal="center" readingOrder="0" vertical="center"/>
    </xf>
    <xf borderId="0" fillId="30" fontId="17" numFmtId="0" xfId="0" applyAlignment="1" applyFill="1" applyFont="1">
      <alignment horizontal="center" readingOrder="0"/>
    </xf>
    <xf borderId="0" fillId="0" fontId="9" numFmtId="49" xfId="0" applyAlignment="1" applyFont="1" applyNumberFormat="1">
      <alignment horizontal="center" shrinkToFit="0" vertical="bottom" wrapText="0"/>
    </xf>
    <xf borderId="13" fillId="32" fontId="58" numFmtId="0" xfId="0" applyAlignment="1" applyBorder="1" applyFill="1" applyFont="1">
      <alignment horizontal="center" readingOrder="0" vertical="center"/>
    </xf>
    <xf borderId="0" fillId="30" fontId="36" numFmtId="0" xfId="0" applyAlignment="1" applyFill="1" applyFont="1">
      <alignment horizontal="center" readingOrder="0" vertical="bottom"/>
    </xf>
    <xf borderId="0" fillId="18" fontId="10" numFmtId="0" xfId="0" applyAlignment="1" applyFill="1" applyFont="1">
      <alignment horizontal="center" readingOrder="0"/>
    </xf>
    <xf borderId="14" fillId="28" fontId="10" numFmtId="0" xfId="0" applyBorder="1" applyFill="1" applyFont="1"/>
    <xf borderId="10" fillId="33" fontId="10" numFmtId="0" xfId="0" applyAlignment="1" applyBorder="1" applyFill="1" applyFont="1">
      <alignment horizontal="center" readingOrder="0"/>
    </xf>
    <xf borderId="0" fillId="18" fontId="10" numFmtId="0" xfId="0" applyAlignment="1" applyFill="1" applyFont="1">
      <alignment horizontal="center"/>
    </xf>
    <xf borderId="11" fillId="31" fontId="10" numFmtId="0" xfId="0" applyBorder="1" applyFill="1" applyFont="1"/>
    <xf borderId="10" fillId="31" fontId="10" numFmtId="0" xfId="0" applyBorder="1" applyFill="1" applyFont="1"/>
    <xf borderId="0" fillId="23" fontId="1" numFmtId="10" xfId="0" applyAlignment="1" applyFill="1" applyFont="1" applyNumberFormat="1">
      <alignment horizontal="center"/>
    </xf>
    <xf borderId="12" fillId="31" fontId="10" numFmtId="0" xfId="0" applyAlignment="1" applyBorder="1" applyFill="1" applyFont="1">
      <alignment readingOrder="0" shrinkToFit="0" wrapText="1"/>
    </xf>
    <xf borderId="13" fillId="31" fontId="10" numFmtId="0" xfId="0" applyAlignment="1" applyBorder="1" applyFill="1" applyFont="1">
      <alignment readingOrder="0" shrinkToFit="0" wrapText="1"/>
    </xf>
    <xf borderId="14" fillId="31" fontId="10" numFmtId="0" xfId="0" applyBorder="1" applyFill="1" applyFont="1"/>
    <xf borderId="7" fillId="34" fontId="53" numFmtId="0" xfId="0" applyAlignment="1" applyBorder="1" applyFill="1" applyFont="1">
      <alignment horizontal="center" readingOrder="0"/>
    </xf>
    <xf borderId="9" fillId="34" fontId="10" numFmtId="0" xfId="0" applyBorder="1" applyFill="1" applyFont="1"/>
    <xf borderId="0" fillId="0" fontId="20" numFmtId="0" xfId="0" applyAlignment="1" applyFont="1">
      <alignment horizontal="right" vertical="bottom"/>
    </xf>
    <xf borderId="0" fillId="0" fontId="20" numFmtId="9" xfId="0" applyAlignment="1" applyFont="1" applyNumberFormat="1">
      <alignment horizontal="right" vertical="bottom"/>
    </xf>
    <xf borderId="10" fillId="14" fontId="17" numFmtId="0" xfId="0" applyAlignment="1" applyBorder="1" applyFill="1" applyFont="1">
      <alignment horizontal="center" readingOrder="0" shrinkToFit="0" vertical="center" wrapText="1"/>
    </xf>
    <xf borderId="11" fillId="34" fontId="10" numFmtId="0" xfId="0" applyBorder="1" applyFill="1" applyFont="1"/>
    <xf borderId="10" fillId="14" fontId="17" numFmtId="0" xfId="0" applyAlignment="1" applyBorder="1" applyFill="1" applyFont="1">
      <alignment readingOrder="0"/>
    </xf>
    <xf borderId="0" fillId="14" fontId="17" numFmtId="0" xfId="0" applyAlignment="1" applyFill="1" applyFont="1">
      <alignment readingOrder="0"/>
    </xf>
    <xf borderId="10" fillId="12" fontId="60" numFmtId="0" xfId="0" applyAlignment="1" applyBorder="1" applyFill="1" applyFont="1">
      <alignment readingOrder="0"/>
    </xf>
    <xf borderId="0" fillId="12" fontId="60" numFmtId="0" xfId="0" applyAlignment="1" applyFill="1" applyFont="1">
      <alignment readingOrder="0"/>
    </xf>
    <xf borderId="10" fillId="14" fontId="10" numFmtId="0" xfId="0" applyAlignment="1" applyBorder="1" applyFill="1" applyFont="1">
      <alignment horizontal="center" readingOrder="0"/>
    </xf>
    <xf borderId="10" fillId="34" fontId="10" numFmtId="0" xfId="0" applyBorder="1" applyFill="1" applyFont="1"/>
    <xf borderId="0" fillId="12" fontId="1" numFmtId="9" xfId="0" applyAlignment="1" applyFill="1" applyFont="1" applyNumberFormat="1">
      <alignment horizontal="center"/>
    </xf>
    <xf borderId="0" fillId="34" fontId="10" numFmtId="0" xfId="0" applyFill="1" applyFont="1"/>
    <xf borderId="12" fillId="34" fontId="10" numFmtId="0" xfId="0" applyAlignment="1" applyBorder="1" applyFill="1" applyFont="1">
      <alignment readingOrder="0" shrinkToFit="0" wrapText="1"/>
    </xf>
    <xf borderId="13" fillId="34" fontId="10" numFmtId="0" xfId="0" applyAlignment="1" applyBorder="1" applyFill="1" applyFont="1">
      <alignment readingOrder="0" shrinkToFit="0" wrapText="1"/>
    </xf>
    <xf borderId="14" fillId="34" fontId="10" numFmtId="0" xfId="0" applyBorder="1" applyFill="1" applyFont="1"/>
    <xf borderId="0" fillId="0" fontId="20" numFmtId="0" xfId="0" applyAlignment="1" applyFont="1">
      <alignment vertical="bottom"/>
    </xf>
    <xf borderId="0" fillId="28" fontId="15" numFmtId="0" xfId="0" applyAlignment="1" applyFill="1" applyFont="1">
      <alignment horizontal="center" readingOrder="0" vertical="center"/>
    </xf>
    <xf borderId="0" fillId="0" fontId="15" numFmtId="0" xfId="0" applyAlignment="1" applyFont="1">
      <alignment horizontal="center" readingOrder="0" shrinkToFit="0" vertical="center" wrapText="1"/>
    </xf>
    <xf borderId="0" fillId="27" fontId="61" numFmtId="0" xfId="0" applyAlignment="1" applyFill="1" applyFont="1">
      <alignment horizontal="center" readingOrder="0" vertical="center"/>
    </xf>
    <xf borderId="0" fillId="13" fontId="30" numFmtId="0" xfId="0" applyAlignment="1" applyFill="1" applyFont="1">
      <alignment horizontal="center" readingOrder="0" vertical="center"/>
    </xf>
    <xf borderId="0" fillId="0" fontId="11" numFmtId="0" xfId="0" applyAlignment="1" applyFont="1">
      <alignment horizontal="center" shrinkToFit="0" vertical="center" wrapText="1"/>
    </xf>
    <xf borderId="0" fillId="0" fontId="33" numFmtId="0" xfId="0" applyAlignment="1" applyFont="1">
      <alignment horizontal="center" shrinkToFit="0" vertical="center" wrapText="1"/>
    </xf>
    <xf borderId="0" fillId="17" fontId="59" numFmtId="10" xfId="0" applyAlignment="1" applyFill="1" applyFont="1" applyNumberFormat="1">
      <alignment horizontal="center" readingOrder="0" vertical="center"/>
    </xf>
    <xf borderId="0" fillId="0" fontId="10" numFmtId="10" xfId="0" applyAlignment="1" applyFont="1" applyNumberFormat="1">
      <alignment horizontal="center" shrinkToFit="0" vertical="center" wrapText="1"/>
    </xf>
    <xf borderId="0" fillId="0" fontId="10" numFmtId="10" xfId="0" applyFont="1" applyNumberFormat="1"/>
    <xf borderId="0" fillId="0" fontId="10" numFmtId="10" xfId="0" applyAlignment="1" applyFont="1" applyNumberFormat="1">
      <alignment readingOrder="0"/>
    </xf>
    <xf borderId="0" fillId="0" fontId="62" numFmtId="0" xfId="0" applyAlignment="1" applyFont="1">
      <alignment horizontal="center" readingOrder="0" shrinkToFit="0" vertical="center" wrapText="1"/>
    </xf>
    <xf borderId="0" fillId="15" fontId="39" numFmtId="10" xfId="0" applyAlignment="1" applyFill="1" applyFont="1" applyNumberFormat="1">
      <alignment horizontal="center" readingOrder="0" vertical="center"/>
    </xf>
    <xf borderId="0" fillId="4" fontId="17" numFmtId="0" xfId="0" applyAlignment="1" applyFill="1" applyFont="1">
      <alignment horizontal="center" readingOrder="0" shrinkToFit="0" vertical="center" wrapText="1"/>
    </xf>
    <xf borderId="0" fillId="25" fontId="59" numFmtId="10" xfId="0" applyAlignment="1" applyFill="1" applyFont="1" applyNumberFormat="1">
      <alignment horizontal="center" readingOrder="0" vertical="center"/>
    </xf>
    <xf borderId="0" fillId="4" fontId="8" numFmtId="0" xfId="0" applyAlignment="1" applyFill="1" applyFont="1">
      <alignment readingOrder="0"/>
    </xf>
    <xf borderId="0" fillId="4" fontId="20" numFmtId="0" xfId="0" applyAlignment="1" applyFill="1" applyFont="1">
      <alignment vertical="bottom"/>
    </xf>
    <xf borderId="0" fillId="4" fontId="15" numFmtId="0" xfId="0" applyAlignment="1" applyFill="1" applyFont="1">
      <alignment horizontal="center" readingOrder="0" vertical="center"/>
    </xf>
    <xf borderId="0" fillId="4" fontId="17" numFmtId="0" xfId="0" applyAlignment="1" applyFill="1" applyFont="1">
      <alignment horizontal="center" readingOrder="0" vertical="center"/>
    </xf>
    <xf borderId="0" fillId="39" fontId="51" numFmtId="0" xfId="0" applyAlignment="1" applyFill="1" applyFont="1">
      <alignment horizontal="center"/>
    </xf>
    <xf borderId="0" fillId="5" fontId="53" numFmtId="0" xfId="0" applyAlignment="1" applyFill="1" applyFont="1">
      <alignment horizontal="center" readingOrder="0" shrinkToFit="0" vertical="center" wrapText="1"/>
    </xf>
    <xf borderId="0" fillId="40" fontId="53" numFmtId="0" xfId="0" applyAlignment="1" applyFill="1" applyFont="1">
      <alignment horizontal="center" readingOrder="0" shrinkToFit="0" vertical="center" wrapText="1"/>
    </xf>
    <xf borderId="0" fillId="0" fontId="53" numFmtId="0" xfId="0" applyAlignment="1" applyFont="1">
      <alignment horizontal="center" readingOrder="0" shrinkToFit="0" vertical="center" wrapText="1"/>
    </xf>
    <xf borderId="0" fillId="0" fontId="53" numFmtId="10" xfId="0" applyAlignment="1" applyFont="1" applyNumberFormat="1">
      <alignment horizontal="center" readingOrder="0" shrinkToFit="0" vertical="center" wrapText="1"/>
    </xf>
    <xf borderId="0" fillId="15" fontId="63" numFmtId="0" xfId="0" applyAlignment="1" applyFill="1" applyFont="1">
      <alignment readingOrder="0" shrinkToFit="0" wrapText="0"/>
    </xf>
    <xf borderId="0" fillId="40" fontId="64" numFmtId="0" xfId="0" applyAlignment="1" applyFill="1" applyFont="1">
      <alignment readingOrder="0" shrinkToFit="0" wrapText="0"/>
    </xf>
    <xf borderId="0" fillId="0" fontId="10" numFmtId="9" xfId="0" applyAlignment="1" applyFont="1" applyNumberFormat="1">
      <alignment readingOrder="0"/>
    </xf>
    <xf borderId="0" fillId="0" fontId="20" numFmtId="0" xfId="0" applyAlignment="1" applyFont="1">
      <alignment horizontal="right" vertical="bottom"/>
    </xf>
    <xf borderId="0" fillId="0" fontId="20" numFmtId="0" xfId="0" applyAlignment="1" applyFont="1">
      <alignment horizontal="right" readingOrder="0" vertical="bottom"/>
    </xf>
    <xf borderId="0" fillId="0" fontId="10" numFmtId="0" xfId="0" applyAlignment="1" applyFont="1">
      <alignment horizontal="center" readingOrder="0" vertical="center"/>
    </xf>
    <xf borderId="0" fillId="0" fontId="10" numFmtId="0" xfId="0" applyAlignment="1" applyFont="1">
      <alignment horizontal="center" vertical="center"/>
    </xf>
    <xf borderId="0" fillId="22" fontId="30" numFmtId="2" xfId="0" applyAlignment="1" applyFill="1" applyFont="1" applyNumberFormat="1">
      <alignment horizontal="center" readingOrder="0" shrinkToFit="0" vertical="center" wrapText="1"/>
    </xf>
    <xf borderId="0" fillId="0" fontId="10" numFmtId="2" xfId="0" applyAlignment="1" applyFont="1" applyNumberFormat="1">
      <alignment horizontal="center" vertical="center"/>
    </xf>
    <xf borderId="0" fillId="13" fontId="52" numFmtId="2" xfId="0" applyFill="1" applyFont="1" applyNumberFormat="1"/>
    <xf borderId="0" fillId="0" fontId="20" numFmtId="9" xfId="0" applyAlignment="1" applyFont="1" applyNumberFormat="1">
      <alignment horizontal="right" readingOrder="0" vertical="bottom"/>
    </xf>
    <xf borderId="0" fillId="8" fontId="51" numFmtId="0" xfId="0" applyAlignment="1" applyFill="1" applyFont="1">
      <alignment horizontal="center"/>
    </xf>
    <xf borderId="0" fillId="0" fontId="9" numFmtId="0" xfId="0" applyAlignment="1" applyFont="1">
      <alignment shrinkToFit="0" vertical="bottom" wrapText="0"/>
    </xf>
    <xf borderId="0" fillId="41" fontId="51" numFmtId="0" xfId="0" applyAlignment="1" applyFill="1" applyFont="1">
      <alignment horizontal="center"/>
    </xf>
    <xf borderId="0" fillId="0" fontId="65" numFmtId="0" xfId="0" applyAlignment="1" applyFont="1">
      <alignment horizontal="center" shrinkToFit="0" vertical="bottom" wrapText="0"/>
    </xf>
    <xf borderId="0" fillId="8" fontId="20" numFmtId="4" xfId="0" applyAlignment="1" applyFill="1" applyFont="1" applyNumberFormat="1">
      <alignment vertical="bottom"/>
    </xf>
    <xf borderId="0" fillId="15" fontId="15" numFmtId="0" xfId="0" applyAlignment="1" applyFill="1" applyFont="1">
      <alignment readingOrder="0"/>
    </xf>
    <xf borderId="0" fillId="40" fontId="10" numFmtId="0" xfId="0" applyFill="1" applyFont="1"/>
    <xf borderId="0" fillId="0" fontId="9" numFmtId="0" xfId="0" applyAlignment="1" applyFont="1">
      <alignment horizontal="left" shrinkToFit="0" vertical="bottom" wrapText="0"/>
    </xf>
    <xf borderId="0" fillId="0" fontId="7" numFmtId="0" xfId="0" applyAlignment="1" applyFont="1">
      <alignment horizontal="center" readingOrder="0" shrinkToFit="0" vertical="bottom" wrapText="0"/>
    </xf>
    <xf borderId="0" fillId="0" fontId="66" numFmtId="0" xfId="0" applyAlignment="1" applyFont="1">
      <alignment horizontal="center" readingOrder="0" shrinkToFit="0" vertical="bottom" wrapText="0"/>
    </xf>
    <xf borderId="0" fillId="42" fontId="31" numFmtId="0" xfId="0" applyAlignment="1" applyFill="1" applyFont="1">
      <alignment horizontal="center" readingOrder="0" vertical="bottom"/>
    </xf>
    <xf borderId="0" fillId="8" fontId="14" numFmtId="0" xfId="0" applyAlignment="1" applyFill="1" applyFont="1">
      <alignment horizontal="center" vertical="bottom"/>
    </xf>
    <xf borderId="0" fillId="8" fontId="14" numFmtId="3" xfId="0" applyAlignment="1" applyFill="1" applyFont="1" applyNumberFormat="1">
      <alignment horizontal="center" readingOrder="0" vertical="bottom"/>
    </xf>
    <xf borderId="0" fillId="7" fontId="14" numFmtId="4" xfId="0" applyAlignment="1" applyFill="1" applyFont="1" applyNumberFormat="1">
      <alignment horizontal="center" vertical="bottom"/>
    </xf>
    <xf borderId="0" fillId="8" fontId="14" numFmtId="4" xfId="0" applyAlignment="1" applyFill="1" applyFont="1" applyNumberFormat="1">
      <alignment horizontal="center" vertical="bottom"/>
    </xf>
    <xf borderId="0" fillId="8" fontId="20" numFmtId="0" xfId="0" applyAlignment="1" applyFill="1" applyFont="1">
      <alignment vertical="bottom"/>
    </xf>
    <xf borderId="0" fillId="11" fontId="14" numFmtId="0" xfId="0" applyAlignment="1" applyFill="1" applyFont="1">
      <alignment horizontal="center" shrinkToFit="0" vertical="bottom" wrapText="0"/>
    </xf>
    <xf borderId="0" fillId="0" fontId="10" numFmtId="4" xfId="0" applyAlignment="1" applyFont="1" applyNumberFormat="1">
      <alignment readingOrder="0"/>
    </xf>
    <xf borderId="0" fillId="15" fontId="15" numFmtId="0" xfId="0" applyFill="1" applyFont="1"/>
    <xf borderId="0" fillId="8" fontId="14" numFmtId="4" xfId="0" applyAlignment="1" applyFill="1" applyFont="1" applyNumberFormat="1">
      <alignment horizontal="center" readingOrder="0" vertical="bottom"/>
    </xf>
    <xf borderId="0" fillId="13" fontId="14" numFmtId="4" xfId="0" applyAlignment="1" applyFill="1" applyFont="1" applyNumberFormat="1">
      <alignment horizontal="center" vertical="bottom"/>
    </xf>
    <xf borderId="0" fillId="8" fontId="31" numFmtId="0" xfId="0" applyAlignment="1" applyFill="1" applyFont="1">
      <alignment horizontal="center" readingOrder="0" vertical="bottom"/>
    </xf>
    <xf borderId="0" fillId="8" fontId="14" numFmtId="0" xfId="0" applyAlignment="1" applyFill="1" applyFont="1">
      <alignment horizontal="center" readingOrder="0" vertical="bottom"/>
    </xf>
    <xf borderId="0" fillId="8" fontId="14" numFmtId="3" xfId="0" applyAlignment="1" applyFill="1" applyFont="1" applyNumberFormat="1">
      <alignment horizontal="center" vertical="bottom"/>
    </xf>
    <xf borderId="0" fillId="15" fontId="14" numFmtId="4" xfId="0" applyAlignment="1" applyFill="1" applyFont="1" applyNumberFormat="1">
      <alignment horizontal="center" vertical="bottom"/>
    </xf>
    <xf borderId="0" fillId="11" fontId="20" numFmtId="4" xfId="0" applyAlignment="1" applyFill="1" applyFont="1" applyNumberFormat="1">
      <alignment vertical="bottom"/>
    </xf>
    <xf borderId="0" fillId="0" fontId="11" numFmtId="10" xfId="0" applyAlignment="1" applyFont="1" applyNumberFormat="1">
      <alignment horizontal="center" readingOrder="0" shrinkToFit="0" vertical="center" wrapText="1"/>
    </xf>
    <xf borderId="0" fillId="0" fontId="30" numFmtId="10" xfId="0" applyAlignment="1" applyFont="1" applyNumberFormat="1">
      <alignment horizontal="center" readingOrder="0" shrinkToFit="0" vertical="center" wrapText="1"/>
    </xf>
    <xf borderId="0" fillId="0" fontId="1" numFmtId="10" xfId="0" applyAlignment="1" applyFont="1" applyNumberFormat="1">
      <alignment horizontal="center" readingOrder="0" shrinkToFit="0" vertical="center" wrapText="1"/>
    </xf>
    <xf borderId="0" fillId="0" fontId="30"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0" numFmtId="0" xfId="0" applyAlignment="1" applyFont="1">
      <alignment horizontal="center" readingOrder="0" shrinkToFit="0" wrapText="1"/>
    </xf>
    <xf borderId="0" fillId="0" fontId="10" numFmtId="10" xfId="0" applyAlignment="1" applyFont="1" applyNumberFormat="1">
      <alignment horizontal="center" readingOrder="0" shrinkToFit="0" wrapText="1"/>
    </xf>
    <xf borderId="0" fillId="0" fontId="10" numFmtId="0" xfId="0" applyAlignment="1" applyFont="1">
      <alignment horizontal="center" shrinkToFit="0" wrapText="1"/>
    </xf>
    <xf borderId="0" fillId="0" fontId="10" numFmtId="10" xfId="0" applyAlignment="1" applyFont="1" applyNumberFormat="1">
      <alignment horizontal="center" shrinkToFit="0" wrapText="1"/>
    </xf>
    <xf borderId="0" fillId="0" fontId="10" numFmtId="0" xfId="0" applyAlignment="1" applyFont="1">
      <alignment horizontal="center"/>
    </xf>
    <xf borderId="0" fillId="0" fontId="10" numFmtId="0" xfId="0" applyAlignment="1" applyFont="1">
      <alignment horizontal="center" readingOrder="0"/>
    </xf>
    <xf borderId="0" fillId="0" fontId="17" numFmtId="0" xfId="0" applyAlignment="1" applyFont="1">
      <alignment horizontal="center" readingOrder="0" vertical="center"/>
    </xf>
    <xf borderId="0" fillId="0" fontId="17" numFmtId="9" xfId="0" applyAlignment="1" applyFont="1" applyNumberFormat="1">
      <alignment horizontal="center" readingOrder="0" vertical="center"/>
    </xf>
    <xf borderId="0" fillId="0" fontId="17" numFmtId="168" xfId="0" applyAlignment="1" applyFont="1" applyNumberFormat="1">
      <alignment horizontal="center" readingOrder="0" vertical="center"/>
    </xf>
    <xf borderId="0" fillId="0" fontId="17" numFmtId="0" xfId="0" applyAlignment="1" applyFont="1">
      <alignment horizontal="center" readingOrder="0" shrinkToFit="0" vertical="center" wrapText="1"/>
    </xf>
    <xf borderId="0" fillId="0" fontId="17" numFmtId="3" xfId="0" applyAlignment="1" applyFont="1" applyNumberFormat="1">
      <alignment horizontal="center" readingOrder="0" shrinkToFit="0" vertical="center" wrapText="1"/>
    </xf>
    <xf borderId="0" fillId="0" fontId="10" numFmtId="0" xfId="0" applyAlignment="1" applyFont="1">
      <alignment readingOrder="0"/>
    </xf>
    <xf borderId="0" fillId="0" fontId="10" numFmtId="9" xfId="0" applyFont="1" applyNumberFormat="1"/>
    <xf borderId="0" fillId="0" fontId="10" numFmtId="168" xfId="0" applyFont="1" applyNumberFormat="1"/>
    <xf borderId="0" fillId="0" fontId="10" numFmtId="10" xfId="0" applyFont="1" applyNumberFormat="1"/>
    <xf borderId="0" fillId="0" fontId="10" numFmtId="3" xfId="0" applyFont="1" applyNumberFormat="1"/>
    <xf borderId="0" fillId="0" fontId="10" numFmtId="11" xfId="0" applyFont="1" applyNumberFormat="1"/>
    <xf borderId="0" fillId="0" fontId="10" numFmtId="168" xfId="0" applyFont="1" applyNumberFormat="1"/>
    <xf borderId="0" fillId="0" fontId="10" numFmtId="3" xfId="0" applyFont="1" applyNumberFormat="1"/>
    <xf borderId="0" fillId="26" fontId="8" numFmtId="0" xfId="0" applyAlignment="1" applyFill="1" applyFont="1">
      <alignment readingOrder="0"/>
    </xf>
    <xf borderId="0" fillId="18" fontId="17" numFmtId="0" xfId="0" applyAlignment="1" applyFill="1" applyFont="1">
      <alignment horizontal="center" readingOrder="0" vertical="center"/>
    </xf>
    <xf borderId="0" fillId="18" fontId="20" numFmtId="0" xfId="0" applyAlignment="1" applyFill="1" applyFont="1">
      <alignment horizontal="center" readingOrder="0" vertical="bottom"/>
    </xf>
  </cellXfs>
  <cellStyles count="1">
    <cellStyle xfId="0" name="Normal" builtinId="0"/>
  </cellStyles>
  <dxfs count="31">
    <dxf>
      <font/>
      <fill>
        <patternFill patternType="none"/>
      </fill>
      <border/>
    </dxf>
    <dxf>
      <font/>
      <fill>
        <patternFill patternType="solid">
          <fgColor rgb="FF26A69A"/>
          <bgColor rgb="FF26A69A"/>
        </patternFill>
      </fill>
      <border/>
    </dxf>
    <dxf>
      <font/>
      <fill>
        <patternFill patternType="solid">
          <fgColor rgb="FFB6D7A8"/>
          <bgColor rgb="FFB6D7A8"/>
        </patternFill>
      </fill>
      <border/>
    </dxf>
    <dxf>
      <font/>
      <fill>
        <patternFill patternType="solid">
          <fgColor rgb="FFFFFFFF"/>
          <bgColor rgb="FFFFFFFF"/>
        </patternFill>
      </fill>
      <border/>
    </dxf>
    <dxf>
      <font/>
      <fill>
        <patternFill patternType="solid">
          <fgColor rgb="FFDDF2F0"/>
          <bgColor rgb="FFDDF2F0"/>
        </patternFill>
      </fill>
      <border/>
    </dxf>
    <dxf>
      <font/>
      <fill>
        <patternFill patternType="solid">
          <fgColor rgb="FFD9EAD3"/>
          <bgColor rgb="FFD9EAD3"/>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B6D7A8"/>
          <bgColor rgb="FFB6D7A8"/>
        </patternFill>
      </fill>
      <border/>
    </dxf>
    <dxf>
      <font/>
      <fill>
        <patternFill patternType="solid">
          <fgColor rgb="FFA4C2F4"/>
          <bgColor rgb="FFA4C2F4"/>
        </patternFill>
      </fill>
      <border/>
    </dxf>
    <dxf>
      <font/>
      <fill>
        <patternFill patternType="solid">
          <fgColor rgb="FFFFE599"/>
          <bgColor rgb="FFFFE599"/>
        </patternFill>
      </fill>
      <border/>
    </dxf>
    <dxf>
      <font/>
      <fill>
        <patternFill patternType="solid">
          <fgColor rgb="FFF6B26B"/>
          <bgColor rgb="FFF6B26B"/>
        </patternFill>
      </fill>
      <border/>
    </dxf>
    <dxf>
      <font/>
      <fill>
        <patternFill patternType="solid">
          <fgColor rgb="FFEA9999"/>
          <bgColor rgb="FFEA9999"/>
        </patternFill>
      </fill>
      <border/>
    </dxf>
    <dxf>
      <font/>
      <fill>
        <patternFill patternType="solid">
          <fgColor rgb="FF8BC34A"/>
          <bgColor rgb="FF8BC34A"/>
        </patternFill>
      </fill>
      <border/>
    </dxf>
    <dxf>
      <font/>
      <fill>
        <patternFill patternType="solid">
          <fgColor rgb="FFEEF7E3"/>
          <bgColor rgb="FFEEF7E3"/>
        </patternFill>
      </fill>
      <border/>
    </dxf>
    <dxf>
      <font/>
      <fill>
        <patternFill patternType="solid">
          <fgColor rgb="FFFF0000"/>
          <bgColor rgb="FFFF0000"/>
        </patternFill>
      </fill>
      <border/>
    </dxf>
    <dxf>
      <font/>
      <fill>
        <patternFill patternType="solid">
          <fgColor rgb="FFEFEFEF"/>
          <bgColor rgb="FFEFEFEF"/>
        </patternFill>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D9D2E9"/>
          <bgColor rgb="FFD9D2E9"/>
        </patternFill>
      </fill>
      <border/>
    </dxf>
    <dxf>
      <font/>
      <fill>
        <patternFill patternType="solid">
          <fgColor rgb="FFFFF2CC"/>
          <bgColor rgb="FFFFF2CC"/>
        </patternFill>
      </fill>
      <border/>
    </dxf>
    <dxf>
      <font/>
      <fill>
        <patternFill patternType="solid">
          <fgColor rgb="FFCFE2F3"/>
          <bgColor rgb="FFCFE2F3"/>
        </patternFill>
      </fill>
      <border/>
    </dxf>
    <dxf>
      <font/>
      <fill>
        <patternFill patternType="solid">
          <fgColor rgb="FFFCE5CD"/>
          <bgColor rgb="FFFCE5CD"/>
        </patternFill>
      </fill>
      <border/>
    </dxf>
    <dxf>
      <font/>
      <fill>
        <patternFill patternType="solid">
          <fgColor rgb="FFC9DAF8"/>
          <bgColor rgb="FFC9DAF8"/>
        </patternFill>
      </fill>
      <border/>
    </dxf>
    <dxf>
      <font/>
      <fill>
        <patternFill patternType="solid">
          <fgColor rgb="FFE6B8AF"/>
          <bgColor rgb="FFE6B8AF"/>
        </patternFill>
      </fill>
      <border/>
    </dxf>
    <dxf>
      <font/>
      <fill>
        <patternFill patternType="solid">
          <fgColor rgb="FFD0E0E3"/>
          <bgColor rgb="FFD0E0E3"/>
        </patternFill>
      </fill>
      <border/>
    </dxf>
    <dxf>
      <font/>
      <fill>
        <patternFill patternType="solid">
          <fgColor rgb="FFB7E1CD"/>
          <bgColor rgb="FFB7E1CD"/>
        </patternFill>
      </fill>
      <border/>
    </dxf>
    <dxf>
      <font/>
      <fill>
        <patternFill patternType="solid">
          <fgColor rgb="FFA2C4C9"/>
          <bgColor rgb="FFA2C4C9"/>
        </patternFill>
      </fill>
      <border/>
    </dxf>
    <dxf>
      <font/>
      <fill>
        <patternFill patternType="solid">
          <fgColor rgb="FF46BDC6"/>
          <bgColor rgb="FF46BDC6"/>
        </patternFill>
      </fill>
      <border/>
    </dxf>
  </dxfs>
  <tableStyles count="8">
    <tableStyle count="3" pivot="0" name="Item Efficiency-style">
      <tableStyleElement dxfId="1" type="headerRow"/>
      <tableStyleElement dxfId="3" type="firstRowStripe"/>
      <tableStyleElement dxfId="4" type="secondRowStripe"/>
    </tableStyle>
    <tableStyle count="3" pivot="0" name="Intro-style">
      <tableStyleElement dxfId="2" type="headerRow"/>
      <tableStyleElement dxfId="3" type="firstRowStripe"/>
      <tableStyleElement dxfId="5" type="secondRowStripe"/>
    </tableStyle>
    <tableStyle count="3" pivot="0" name="Value Settings-style">
      <tableStyleElement dxfId="6" type="headerRow"/>
      <tableStyleElement dxfId="3" type="firstRowStripe"/>
      <tableStyleElement dxfId="7" type="secondRowStripe"/>
    </tableStyle>
    <tableStyle count="3" pivot="0" name="Value Settings-style 2">
      <tableStyleElement dxfId="8" type="headerRow"/>
      <tableStyleElement dxfId="3" type="firstRowStripe"/>
      <tableStyleElement dxfId="9" type="secondRowStripe"/>
    </tableStyle>
    <tableStyle count="3" pivot="0" name="Calculators-style">
      <tableStyleElement dxfId="15" type="headerRow"/>
      <tableStyleElement dxfId="5" type="firstRowStripe"/>
      <tableStyleElement dxfId="16" type="secondRowStripe"/>
    </tableStyle>
    <tableStyle count="3" pivot="0" name="Calculators-style 2">
      <tableStyleElement dxfId="15" type="headerRow"/>
      <tableStyleElement dxfId="5" type="firstRowStripe"/>
      <tableStyleElement dxfId="16" type="secondRowStripe"/>
    </tableStyle>
    <tableStyle count="3" pivot="0" name="Calculators-style 3">
      <tableStyleElement dxfId="15" type="headerRow"/>
      <tableStyleElement dxfId="5" type="firstRowStripe"/>
      <tableStyleElement dxfId="16" type="secondRowStripe"/>
    </tableStyle>
    <tableStyle count="3" pivot="0" name="Endless Data-style">
      <tableStyleElement dxfId="1"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Attacks per Second (Jumps are Breakpoints)</a:t>
            </a:r>
          </a:p>
        </c:rich>
      </c:tx>
      <c:overlay val="0"/>
    </c:title>
    <c:plotArea>
      <c:layout/>
      <c:lineChart>
        <c:ser>
          <c:idx val="0"/>
          <c:order val="0"/>
          <c:tx>
            <c:v>True Attacks/S</c:v>
          </c:tx>
          <c:spPr>
            <a:ln cmpd="sng">
              <a:solidFill>
                <a:srgbClr val="4285F4"/>
              </a:solidFill>
            </a:ln>
          </c:spPr>
          <c:marker>
            <c:symbol val="none"/>
          </c:marker>
          <c:dPt>
            <c:idx val="14"/>
            <c:marker>
              <c:symbol val="none"/>
            </c:marker>
          </c:dPt>
          <c:dPt>
            <c:idx val="134"/>
            <c:marker>
              <c:symbol val="none"/>
            </c:marker>
          </c:dPt>
          <c:cat>
            <c:strRef>
              <c:f>'DPS计算器'!$K$143:$K$1243</c:f>
            </c:strRef>
          </c:cat>
          <c:val>
            <c:numRef>
              <c:f>'DPS计算器'!$C$143:$C$1243</c:f>
              <c:numCache/>
            </c:numRef>
          </c:val>
          <c:smooth val="0"/>
        </c:ser>
        <c:ser>
          <c:idx val="1"/>
          <c:order val="1"/>
          <c:tx>
            <c:v>Current Attack Speed</c:v>
          </c:tx>
          <c:spPr>
            <a:ln cmpd="sng">
              <a:solidFill>
                <a:srgbClr val="EA4335"/>
              </a:solidFill>
            </a:ln>
          </c:spPr>
          <c:marker>
            <c:symbol val="circle"/>
            <c:size val="10"/>
            <c:spPr>
              <a:solidFill>
                <a:srgbClr val="EA4335"/>
              </a:solidFill>
              <a:ln cmpd="sng">
                <a:solidFill>
                  <a:srgbClr val="EA4335"/>
                </a:solidFill>
              </a:ln>
            </c:spPr>
          </c:marker>
          <c:dPt>
            <c:idx val="0"/>
            <c:marker>
              <c:symbol val="none"/>
            </c:marker>
          </c:dPt>
          <c:dLbls>
            <c:numFmt formatCode="General" sourceLinked="1"/>
            <c:txPr>
              <a:bodyPr/>
              <a:lstStyle/>
              <a:p>
                <a:pPr lvl="0">
                  <a:defRPr/>
                </a:pPr>
              </a:p>
            </c:txPr>
            <c:showLegendKey val="0"/>
            <c:showVal val="1"/>
            <c:showCatName val="0"/>
            <c:showSerName val="0"/>
            <c:showPercent val="0"/>
            <c:showBubbleSize val="0"/>
          </c:dLbls>
          <c:cat>
            <c:strRef>
              <c:f>'DPS计算器'!$K$143:$K$1243</c:f>
            </c:strRef>
          </c:cat>
          <c:val>
            <c:numRef>
              <c:f>'DPS计算器'!$D$143:$D$1243</c:f>
              <c:numCache/>
            </c:numRef>
          </c:val>
          <c:smooth val="0"/>
        </c:ser>
        <c:ser>
          <c:idx val="2"/>
          <c:order val="2"/>
          <c:tx>
            <c:v>Tooltip Attacks/S</c:v>
          </c:tx>
          <c:spPr>
            <a:ln cmpd="sng">
              <a:solidFill>
                <a:srgbClr val="FBBC04"/>
              </a:solidFill>
            </a:ln>
          </c:spPr>
          <c:marker>
            <c:symbol val="none"/>
          </c:marker>
          <c:cat>
            <c:strRef>
              <c:f>'DPS计算器'!$K$143:$K$1243</c:f>
            </c:strRef>
          </c:cat>
          <c:val>
            <c:numRef>
              <c:f>'DPS计算器'!$N$143:$N$1243</c:f>
              <c:numCache/>
            </c:numRef>
          </c:val>
          <c:smooth val="0"/>
        </c:ser>
        <c:ser>
          <c:idx val="3"/>
          <c:order val="3"/>
          <c:tx>
            <c:v>Current ATK Tooltip</c:v>
          </c:tx>
          <c:spPr>
            <a:ln cmpd="sng">
              <a:solidFill>
                <a:srgbClr val="34A853"/>
              </a:solidFill>
            </a:ln>
          </c:spPr>
          <c:marker>
            <c:symbol val="circle"/>
            <c:size val="7"/>
            <c:spPr>
              <a:solidFill>
                <a:srgbClr val="34A853"/>
              </a:solidFill>
              <a:ln cmpd="sng">
                <a:solidFill>
                  <a:srgbClr val="34A853"/>
                </a:solidFill>
              </a:ln>
            </c:spPr>
          </c:marker>
          <c:dLbls>
            <c:numFmt formatCode="General" sourceLinked="1"/>
            <c:txPr>
              <a:bodyPr/>
              <a:lstStyle/>
              <a:p>
                <a:pPr lvl="0">
                  <a:defRPr/>
                </a:pPr>
              </a:p>
            </c:txPr>
            <c:showLegendKey val="0"/>
            <c:showVal val="1"/>
            <c:showCatName val="0"/>
            <c:showSerName val="0"/>
            <c:showPercent val="0"/>
            <c:showBubbleSize val="0"/>
          </c:dLbls>
          <c:cat>
            <c:strRef>
              <c:f>'DPS计算器'!$K$143:$K$1243</c:f>
            </c:strRef>
          </c:cat>
          <c:val>
            <c:numRef>
              <c:f>'DPS计算器'!$R$143:$R$1243</c:f>
              <c:numCache/>
            </c:numRef>
          </c:val>
          <c:smooth val="0"/>
        </c:ser>
        <c:axId val="828813490"/>
        <c:axId val="153577684"/>
      </c:lineChart>
      <c:catAx>
        <c:axId val="828813490"/>
        <c:scaling>
          <c:orientation val="minMax"/>
        </c:scaling>
        <c:delete val="0"/>
        <c:axPos val="b"/>
        <c:title>
          <c:tx>
            <c:rich>
              <a:bodyPr/>
              <a:lstStyle/>
              <a:p>
                <a:pPr lvl="0">
                  <a:defRPr b="0" sz="1600">
                    <a:solidFill>
                      <a:srgbClr val="000000"/>
                    </a:solidFill>
                    <a:latin typeface="+mn-lt"/>
                  </a:defRPr>
                </a:pPr>
                <a:r>
                  <a:rPr b="0" sz="1600">
                    <a:solidFill>
                      <a:srgbClr val="000000"/>
                    </a:solidFill>
                    <a:latin typeface="+mn-lt"/>
                  </a:rPr>
                  <a:t>攻击速度属性</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3577684"/>
      </c:catAx>
      <c:valAx>
        <c:axId val="1535776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2881349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'无尽数据'!$B$1</c:f>
            </c:strRef>
          </c:tx>
          <c:spPr>
            <a:ln cmpd="sng">
              <a:solidFill>
                <a:srgbClr val="4285F4"/>
              </a:solidFill>
            </a:ln>
          </c:spPr>
          <c:marker>
            <c:symbol val="none"/>
          </c:marker>
          <c:val>
            <c:numRef>
              <c:f>'无尽数据'!$B$2:$B$32</c:f>
              <c:numCache/>
            </c:numRef>
          </c:val>
          <c:smooth val="0"/>
        </c:ser>
        <c:ser>
          <c:idx val="1"/>
          <c:order val="1"/>
          <c:tx>
            <c:strRef>
              <c:f>'无尽数据'!$C$1</c:f>
            </c:strRef>
          </c:tx>
          <c:spPr>
            <a:ln cmpd="sng">
              <a:solidFill>
                <a:srgbClr val="EA4335"/>
              </a:solidFill>
            </a:ln>
          </c:spPr>
          <c:marker>
            <c:symbol val="none"/>
          </c:marker>
          <c:val>
            <c:numRef>
              <c:f>'无尽数据'!$C$2:$C$32</c:f>
              <c:numCache/>
            </c:numRef>
          </c:val>
          <c:smooth val="0"/>
        </c:ser>
        <c:ser>
          <c:idx val="2"/>
          <c:order val="2"/>
          <c:tx>
            <c:strRef>
              <c:f>'无尽数据'!$D$1</c:f>
            </c:strRef>
          </c:tx>
          <c:spPr>
            <a:ln cmpd="sng">
              <a:solidFill>
                <a:srgbClr val="FBBC04"/>
              </a:solidFill>
            </a:ln>
          </c:spPr>
          <c:marker>
            <c:symbol val="none"/>
          </c:marker>
          <c:val>
            <c:numRef>
              <c:f>'无尽数据'!$D$2:$D$32</c:f>
              <c:numCache/>
            </c:numRef>
          </c:val>
          <c:smooth val="0"/>
        </c:ser>
        <c:ser>
          <c:idx val="3"/>
          <c:order val="3"/>
          <c:tx>
            <c:strRef>
              <c:f>'无尽数据'!$E$1</c:f>
            </c:strRef>
          </c:tx>
          <c:spPr>
            <a:ln cmpd="sng">
              <a:solidFill>
                <a:srgbClr val="34A853"/>
              </a:solidFill>
            </a:ln>
          </c:spPr>
          <c:marker>
            <c:symbol val="none"/>
          </c:marker>
          <c:val>
            <c:numRef>
              <c:f>'无尽数据'!$E$2:$E$32</c:f>
              <c:numCache/>
            </c:numRef>
          </c:val>
          <c:smooth val="0"/>
        </c:ser>
        <c:ser>
          <c:idx val="4"/>
          <c:order val="4"/>
          <c:tx>
            <c:strRef>
              <c:f>'无尽数据'!$F$1</c:f>
            </c:strRef>
          </c:tx>
          <c:spPr>
            <a:ln cmpd="sng">
              <a:solidFill>
                <a:srgbClr val="FF6D01"/>
              </a:solidFill>
            </a:ln>
          </c:spPr>
          <c:marker>
            <c:symbol val="none"/>
          </c:marker>
          <c:val>
            <c:numRef>
              <c:f>'无尽数据'!$F$2:$F$32</c:f>
              <c:numCache/>
            </c:numRef>
          </c:val>
          <c:smooth val="0"/>
        </c:ser>
        <c:ser>
          <c:idx val="5"/>
          <c:order val="5"/>
          <c:tx>
            <c:strRef>
              <c:f>'无尽数据'!$G$1</c:f>
            </c:strRef>
          </c:tx>
          <c:spPr>
            <a:ln cmpd="sng">
              <a:solidFill>
                <a:srgbClr val="46BDC6"/>
              </a:solidFill>
            </a:ln>
          </c:spPr>
          <c:marker>
            <c:symbol val="none"/>
          </c:marker>
          <c:val>
            <c:numRef>
              <c:f>'无尽数据'!$G$2:$G$32</c:f>
              <c:numCache/>
            </c:numRef>
          </c:val>
          <c:smooth val="0"/>
        </c:ser>
        <c:ser>
          <c:idx val="6"/>
          <c:order val="6"/>
          <c:tx>
            <c:strRef>
              <c:f>'无尽数据'!$H$1</c:f>
            </c:strRef>
          </c:tx>
          <c:spPr>
            <a:ln cmpd="sng">
              <a:solidFill>
                <a:srgbClr val="7BAAF7"/>
              </a:solidFill>
            </a:ln>
          </c:spPr>
          <c:marker>
            <c:symbol val="none"/>
          </c:marker>
          <c:val>
            <c:numRef>
              <c:f>'无尽数据'!$H$2:$H$32</c:f>
              <c:numCache/>
            </c:numRef>
          </c:val>
          <c:smooth val="0"/>
        </c:ser>
        <c:ser>
          <c:idx val="7"/>
          <c:order val="7"/>
          <c:tx>
            <c:strRef>
              <c:f>'无尽数据'!$I$1</c:f>
            </c:strRef>
          </c:tx>
          <c:spPr>
            <a:ln cmpd="sng">
              <a:solidFill>
                <a:srgbClr val="F07B72"/>
              </a:solidFill>
            </a:ln>
          </c:spPr>
          <c:marker>
            <c:symbol val="none"/>
          </c:marker>
          <c:val>
            <c:numRef>
              <c:f>'无尽数据'!$I$2:$I$32</c:f>
              <c:numCache/>
            </c:numRef>
          </c:val>
          <c:smooth val="0"/>
        </c:ser>
        <c:ser>
          <c:idx val="8"/>
          <c:order val="8"/>
          <c:tx>
            <c:strRef>
              <c:f>'无尽数据'!$J$1</c:f>
            </c:strRef>
          </c:tx>
          <c:spPr>
            <a:ln cmpd="sng">
              <a:solidFill>
                <a:srgbClr val="FCD04F"/>
              </a:solidFill>
            </a:ln>
          </c:spPr>
          <c:marker>
            <c:symbol val="none"/>
          </c:marker>
          <c:val>
            <c:numRef>
              <c:f>'无尽数据'!$J$2:$J$32</c:f>
              <c:numCache/>
            </c:numRef>
          </c:val>
          <c:smooth val="0"/>
        </c:ser>
        <c:axId val="2058099722"/>
        <c:axId val="1174203064"/>
      </c:lineChart>
      <c:catAx>
        <c:axId val="20580997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74203064"/>
      </c:catAx>
      <c:valAx>
        <c:axId val="11742030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58099722"/>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40" Type="http://schemas.openxmlformats.org/officeDocument/2006/relationships/image" Target="../media/image30.png"/><Relationship Id="rId42" Type="http://schemas.openxmlformats.org/officeDocument/2006/relationships/image" Target="../media/image33.png"/><Relationship Id="rId41" Type="http://schemas.openxmlformats.org/officeDocument/2006/relationships/image" Target="../media/image42.png"/><Relationship Id="rId44" Type="http://schemas.openxmlformats.org/officeDocument/2006/relationships/image" Target="../media/image64.png"/><Relationship Id="rId43" Type="http://schemas.openxmlformats.org/officeDocument/2006/relationships/image" Target="../media/image34.png"/><Relationship Id="rId46" Type="http://schemas.openxmlformats.org/officeDocument/2006/relationships/image" Target="../media/image37.png"/><Relationship Id="rId45" Type="http://schemas.openxmlformats.org/officeDocument/2006/relationships/image" Target="../media/image36.png"/><Relationship Id="rId1" Type="http://schemas.openxmlformats.org/officeDocument/2006/relationships/image" Target="../media/image14.png"/><Relationship Id="rId2" Type="http://schemas.openxmlformats.org/officeDocument/2006/relationships/image" Target="../media/image3.png"/><Relationship Id="rId3" Type="http://schemas.openxmlformats.org/officeDocument/2006/relationships/image" Target="../media/image24.png"/><Relationship Id="rId4" Type="http://schemas.openxmlformats.org/officeDocument/2006/relationships/image" Target="../media/image1.png"/><Relationship Id="rId9" Type="http://schemas.openxmlformats.org/officeDocument/2006/relationships/image" Target="../media/image2.png"/><Relationship Id="rId48" Type="http://schemas.openxmlformats.org/officeDocument/2006/relationships/image" Target="../media/image43.png"/><Relationship Id="rId47" Type="http://schemas.openxmlformats.org/officeDocument/2006/relationships/image" Target="../media/image38.png"/><Relationship Id="rId49" Type="http://schemas.openxmlformats.org/officeDocument/2006/relationships/image" Target="../media/image47.png"/><Relationship Id="rId5" Type="http://schemas.openxmlformats.org/officeDocument/2006/relationships/image" Target="../media/image17.png"/><Relationship Id="rId6" Type="http://schemas.openxmlformats.org/officeDocument/2006/relationships/image" Target="../media/image5.png"/><Relationship Id="rId7" Type="http://schemas.openxmlformats.org/officeDocument/2006/relationships/image" Target="../media/image12.png"/><Relationship Id="rId8" Type="http://schemas.openxmlformats.org/officeDocument/2006/relationships/image" Target="../media/image4.png"/><Relationship Id="rId73" Type="http://schemas.openxmlformats.org/officeDocument/2006/relationships/image" Target="../media/image131.png"/><Relationship Id="rId72" Type="http://schemas.openxmlformats.org/officeDocument/2006/relationships/image" Target="../media/image63.png"/><Relationship Id="rId31" Type="http://schemas.openxmlformats.org/officeDocument/2006/relationships/image" Target="../media/image35.png"/><Relationship Id="rId75" Type="http://schemas.openxmlformats.org/officeDocument/2006/relationships/image" Target="../media/image68.png"/><Relationship Id="rId30" Type="http://schemas.openxmlformats.org/officeDocument/2006/relationships/image" Target="../media/image26.png"/><Relationship Id="rId74" Type="http://schemas.openxmlformats.org/officeDocument/2006/relationships/image" Target="../media/image66.png"/><Relationship Id="rId33" Type="http://schemas.openxmlformats.org/officeDocument/2006/relationships/image" Target="../media/image39.png"/><Relationship Id="rId77" Type="http://schemas.openxmlformats.org/officeDocument/2006/relationships/image" Target="../media/image81.png"/><Relationship Id="rId32" Type="http://schemas.openxmlformats.org/officeDocument/2006/relationships/image" Target="../media/image32.png"/><Relationship Id="rId76" Type="http://schemas.openxmlformats.org/officeDocument/2006/relationships/image" Target="../media/image67.png"/><Relationship Id="rId35" Type="http://schemas.openxmlformats.org/officeDocument/2006/relationships/image" Target="../media/image28.png"/><Relationship Id="rId34" Type="http://schemas.openxmlformats.org/officeDocument/2006/relationships/image" Target="../media/image44.png"/><Relationship Id="rId78" Type="http://schemas.openxmlformats.org/officeDocument/2006/relationships/image" Target="../media/image108.png"/><Relationship Id="rId71" Type="http://schemas.openxmlformats.org/officeDocument/2006/relationships/image" Target="../media/image69.png"/><Relationship Id="rId70" Type="http://schemas.openxmlformats.org/officeDocument/2006/relationships/image" Target="../media/image74.png"/><Relationship Id="rId37" Type="http://schemas.openxmlformats.org/officeDocument/2006/relationships/image" Target="../media/image41.png"/><Relationship Id="rId36" Type="http://schemas.openxmlformats.org/officeDocument/2006/relationships/image" Target="../media/image40.png"/><Relationship Id="rId39" Type="http://schemas.openxmlformats.org/officeDocument/2006/relationships/image" Target="../media/image49.png"/><Relationship Id="rId38" Type="http://schemas.openxmlformats.org/officeDocument/2006/relationships/image" Target="../media/image29.png"/><Relationship Id="rId62" Type="http://schemas.openxmlformats.org/officeDocument/2006/relationships/image" Target="../media/image76.png"/><Relationship Id="rId61" Type="http://schemas.openxmlformats.org/officeDocument/2006/relationships/image" Target="../media/image70.png"/><Relationship Id="rId20" Type="http://schemas.openxmlformats.org/officeDocument/2006/relationships/image" Target="../media/image10.png"/><Relationship Id="rId64" Type="http://schemas.openxmlformats.org/officeDocument/2006/relationships/image" Target="../media/image65.png"/><Relationship Id="rId63" Type="http://schemas.openxmlformats.org/officeDocument/2006/relationships/image" Target="../media/image56.png"/><Relationship Id="rId22" Type="http://schemas.openxmlformats.org/officeDocument/2006/relationships/image" Target="../media/image20.png"/><Relationship Id="rId66" Type="http://schemas.openxmlformats.org/officeDocument/2006/relationships/image" Target="../media/image57.png"/><Relationship Id="rId21" Type="http://schemas.openxmlformats.org/officeDocument/2006/relationships/image" Target="../media/image45.png"/><Relationship Id="rId65" Type="http://schemas.openxmlformats.org/officeDocument/2006/relationships/image" Target="../media/image71.png"/><Relationship Id="rId24" Type="http://schemas.openxmlformats.org/officeDocument/2006/relationships/image" Target="../media/image51.png"/><Relationship Id="rId68" Type="http://schemas.openxmlformats.org/officeDocument/2006/relationships/image" Target="../media/image78.png"/><Relationship Id="rId23" Type="http://schemas.openxmlformats.org/officeDocument/2006/relationships/image" Target="../media/image27.png"/><Relationship Id="rId67" Type="http://schemas.openxmlformats.org/officeDocument/2006/relationships/image" Target="../media/image60.png"/><Relationship Id="rId60" Type="http://schemas.openxmlformats.org/officeDocument/2006/relationships/image" Target="../media/image54.png"/><Relationship Id="rId26" Type="http://schemas.openxmlformats.org/officeDocument/2006/relationships/image" Target="../media/image21.png"/><Relationship Id="rId25" Type="http://schemas.openxmlformats.org/officeDocument/2006/relationships/image" Target="../media/image18.png"/><Relationship Id="rId69" Type="http://schemas.openxmlformats.org/officeDocument/2006/relationships/image" Target="../media/image80.png"/><Relationship Id="rId28" Type="http://schemas.openxmlformats.org/officeDocument/2006/relationships/image" Target="../media/image19.png"/><Relationship Id="rId27" Type="http://schemas.openxmlformats.org/officeDocument/2006/relationships/image" Target="../media/image15.png"/><Relationship Id="rId29" Type="http://schemas.openxmlformats.org/officeDocument/2006/relationships/image" Target="../media/image25.png"/><Relationship Id="rId51" Type="http://schemas.openxmlformats.org/officeDocument/2006/relationships/image" Target="../media/image75.png"/><Relationship Id="rId50" Type="http://schemas.openxmlformats.org/officeDocument/2006/relationships/image" Target="../media/image62.png"/><Relationship Id="rId53" Type="http://schemas.openxmlformats.org/officeDocument/2006/relationships/image" Target="../media/image46.png"/><Relationship Id="rId52" Type="http://schemas.openxmlformats.org/officeDocument/2006/relationships/image" Target="../media/image59.png"/><Relationship Id="rId11" Type="http://schemas.openxmlformats.org/officeDocument/2006/relationships/image" Target="../media/image31.png"/><Relationship Id="rId55" Type="http://schemas.openxmlformats.org/officeDocument/2006/relationships/image" Target="../media/image48.png"/><Relationship Id="rId10" Type="http://schemas.openxmlformats.org/officeDocument/2006/relationships/image" Target="../media/image58.png"/><Relationship Id="rId54" Type="http://schemas.openxmlformats.org/officeDocument/2006/relationships/image" Target="../media/image55.png"/><Relationship Id="rId13" Type="http://schemas.openxmlformats.org/officeDocument/2006/relationships/image" Target="../media/image23.png"/><Relationship Id="rId57" Type="http://schemas.openxmlformats.org/officeDocument/2006/relationships/image" Target="../media/image53.png"/><Relationship Id="rId12" Type="http://schemas.openxmlformats.org/officeDocument/2006/relationships/image" Target="../media/image22.png"/><Relationship Id="rId56" Type="http://schemas.openxmlformats.org/officeDocument/2006/relationships/image" Target="../media/image52.png"/><Relationship Id="rId15" Type="http://schemas.openxmlformats.org/officeDocument/2006/relationships/image" Target="../media/image6.png"/><Relationship Id="rId59" Type="http://schemas.openxmlformats.org/officeDocument/2006/relationships/image" Target="../media/image50.png"/><Relationship Id="rId14" Type="http://schemas.openxmlformats.org/officeDocument/2006/relationships/image" Target="../media/image13.png"/><Relationship Id="rId58" Type="http://schemas.openxmlformats.org/officeDocument/2006/relationships/image" Target="../media/image61.png"/><Relationship Id="rId17" Type="http://schemas.openxmlformats.org/officeDocument/2006/relationships/image" Target="../media/image8.png"/><Relationship Id="rId16" Type="http://schemas.openxmlformats.org/officeDocument/2006/relationships/image" Target="../media/image9.png"/><Relationship Id="rId19" Type="http://schemas.openxmlformats.org/officeDocument/2006/relationships/image" Target="../media/image16.png"/><Relationship Id="rId18" Type="http://schemas.openxmlformats.org/officeDocument/2006/relationships/image" Target="../media/image11.png"/></Relationships>
</file>

<file path=xl/drawings/_rels/drawing9.xml.rels><?xml version="1.0" encoding="UTF-8" standalone="yes"?><Relationships xmlns="http://schemas.openxmlformats.org/package/2006/relationships"><Relationship Id="rId40" Type="http://schemas.openxmlformats.org/officeDocument/2006/relationships/image" Target="../media/image128.png"/><Relationship Id="rId84" Type="http://schemas.openxmlformats.org/officeDocument/2006/relationships/image" Target="../media/image137.png"/><Relationship Id="rId83" Type="http://schemas.openxmlformats.org/officeDocument/2006/relationships/image" Target="../media/image158.png"/><Relationship Id="rId42" Type="http://schemas.openxmlformats.org/officeDocument/2006/relationships/image" Target="../media/image147.png"/><Relationship Id="rId86" Type="http://schemas.openxmlformats.org/officeDocument/2006/relationships/image" Target="../media/image163.png"/><Relationship Id="rId41" Type="http://schemas.openxmlformats.org/officeDocument/2006/relationships/image" Target="../media/image141.png"/><Relationship Id="rId85" Type="http://schemas.openxmlformats.org/officeDocument/2006/relationships/image" Target="../media/image134.png"/><Relationship Id="rId44" Type="http://schemas.openxmlformats.org/officeDocument/2006/relationships/image" Target="../media/image103.png"/><Relationship Id="rId43" Type="http://schemas.openxmlformats.org/officeDocument/2006/relationships/image" Target="../media/image144.png"/><Relationship Id="rId46" Type="http://schemas.openxmlformats.org/officeDocument/2006/relationships/image" Target="../media/image106.png"/><Relationship Id="rId45" Type="http://schemas.openxmlformats.org/officeDocument/2006/relationships/image" Target="../media/image104.png"/><Relationship Id="rId80" Type="http://schemas.openxmlformats.org/officeDocument/2006/relationships/image" Target="../media/image161.png"/><Relationship Id="rId82" Type="http://schemas.openxmlformats.org/officeDocument/2006/relationships/image" Target="../media/image136.png"/><Relationship Id="rId81" Type="http://schemas.openxmlformats.org/officeDocument/2006/relationships/image" Target="../media/image143.png"/><Relationship Id="rId1" Type="http://schemas.openxmlformats.org/officeDocument/2006/relationships/image" Target="../media/image92.png"/><Relationship Id="rId2" Type="http://schemas.openxmlformats.org/officeDocument/2006/relationships/image" Target="../media/image86.png"/><Relationship Id="rId3" Type="http://schemas.openxmlformats.org/officeDocument/2006/relationships/image" Target="../media/image119.png"/><Relationship Id="rId4" Type="http://schemas.openxmlformats.org/officeDocument/2006/relationships/image" Target="../media/image73.png"/><Relationship Id="rId9" Type="http://schemas.openxmlformats.org/officeDocument/2006/relationships/image" Target="../media/image77.png"/><Relationship Id="rId48" Type="http://schemas.openxmlformats.org/officeDocument/2006/relationships/image" Target="../media/image97.png"/><Relationship Id="rId47" Type="http://schemas.openxmlformats.org/officeDocument/2006/relationships/image" Target="../media/image149.png"/><Relationship Id="rId49" Type="http://schemas.openxmlformats.org/officeDocument/2006/relationships/image" Target="../media/image123.png"/><Relationship Id="rId5" Type="http://schemas.openxmlformats.org/officeDocument/2006/relationships/image" Target="../media/image72.png"/><Relationship Id="rId6" Type="http://schemas.openxmlformats.org/officeDocument/2006/relationships/image" Target="../media/image91.png"/><Relationship Id="rId7" Type="http://schemas.openxmlformats.org/officeDocument/2006/relationships/image" Target="../media/image99.png"/><Relationship Id="rId8" Type="http://schemas.openxmlformats.org/officeDocument/2006/relationships/image" Target="../media/image93.png"/><Relationship Id="rId73" Type="http://schemas.openxmlformats.org/officeDocument/2006/relationships/image" Target="../media/image129.png"/><Relationship Id="rId72" Type="http://schemas.openxmlformats.org/officeDocument/2006/relationships/image" Target="../media/image120.png"/><Relationship Id="rId31" Type="http://schemas.openxmlformats.org/officeDocument/2006/relationships/image" Target="../media/image90.png"/><Relationship Id="rId75" Type="http://schemas.openxmlformats.org/officeDocument/2006/relationships/image" Target="../media/image156.png"/><Relationship Id="rId30" Type="http://schemas.openxmlformats.org/officeDocument/2006/relationships/image" Target="../media/image89.png"/><Relationship Id="rId74" Type="http://schemas.openxmlformats.org/officeDocument/2006/relationships/image" Target="../media/image151.png"/><Relationship Id="rId33" Type="http://schemas.openxmlformats.org/officeDocument/2006/relationships/image" Target="../media/image101.png"/><Relationship Id="rId77" Type="http://schemas.openxmlformats.org/officeDocument/2006/relationships/image" Target="../media/image125.png"/><Relationship Id="rId32" Type="http://schemas.openxmlformats.org/officeDocument/2006/relationships/image" Target="../media/image118.png"/><Relationship Id="rId76" Type="http://schemas.openxmlformats.org/officeDocument/2006/relationships/image" Target="../media/image154.png"/><Relationship Id="rId35" Type="http://schemas.openxmlformats.org/officeDocument/2006/relationships/image" Target="../media/image155.png"/><Relationship Id="rId79" Type="http://schemas.openxmlformats.org/officeDocument/2006/relationships/image" Target="../media/image142.png"/><Relationship Id="rId34" Type="http://schemas.openxmlformats.org/officeDocument/2006/relationships/image" Target="../media/image116.png"/><Relationship Id="rId78" Type="http://schemas.openxmlformats.org/officeDocument/2006/relationships/image" Target="../media/image159.png"/><Relationship Id="rId71" Type="http://schemas.openxmlformats.org/officeDocument/2006/relationships/image" Target="../media/image164.png"/><Relationship Id="rId70" Type="http://schemas.openxmlformats.org/officeDocument/2006/relationships/image" Target="../media/image130.png"/><Relationship Id="rId37" Type="http://schemas.openxmlformats.org/officeDocument/2006/relationships/image" Target="../media/image95.png"/><Relationship Id="rId36" Type="http://schemas.openxmlformats.org/officeDocument/2006/relationships/image" Target="../media/image96.png"/><Relationship Id="rId39" Type="http://schemas.openxmlformats.org/officeDocument/2006/relationships/image" Target="../media/image94.png"/><Relationship Id="rId38" Type="http://schemas.openxmlformats.org/officeDocument/2006/relationships/image" Target="../media/image165.png"/><Relationship Id="rId62" Type="http://schemas.openxmlformats.org/officeDocument/2006/relationships/image" Target="../media/image111.png"/><Relationship Id="rId61" Type="http://schemas.openxmlformats.org/officeDocument/2006/relationships/image" Target="../media/image153.png"/><Relationship Id="rId20" Type="http://schemas.openxmlformats.org/officeDocument/2006/relationships/image" Target="../media/image138.png"/><Relationship Id="rId64" Type="http://schemas.openxmlformats.org/officeDocument/2006/relationships/image" Target="../media/image114.png"/><Relationship Id="rId63" Type="http://schemas.openxmlformats.org/officeDocument/2006/relationships/image" Target="../media/image140.png"/><Relationship Id="rId22" Type="http://schemas.openxmlformats.org/officeDocument/2006/relationships/image" Target="../media/image88.png"/><Relationship Id="rId66" Type="http://schemas.openxmlformats.org/officeDocument/2006/relationships/image" Target="../media/image150.png"/><Relationship Id="rId21" Type="http://schemas.openxmlformats.org/officeDocument/2006/relationships/image" Target="../media/image117.png"/><Relationship Id="rId65" Type="http://schemas.openxmlformats.org/officeDocument/2006/relationships/image" Target="../media/image113.png"/><Relationship Id="rId24" Type="http://schemas.openxmlformats.org/officeDocument/2006/relationships/image" Target="../media/image133.png"/><Relationship Id="rId68" Type="http://schemas.openxmlformats.org/officeDocument/2006/relationships/image" Target="../media/image122.png"/><Relationship Id="rId23" Type="http://schemas.openxmlformats.org/officeDocument/2006/relationships/image" Target="../media/image84.png"/><Relationship Id="rId67" Type="http://schemas.openxmlformats.org/officeDocument/2006/relationships/image" Target="../media/image152.png"/><Relationship Id="rId60" Type="http://schemas.openxmlformats.org/officeDocument/2006/relationships/image" Target="../media/image115.png"/><Relationship Id="rId26" Type="http://schemas.openxmlformats.org/officeDocument/2006/relationships/image" Target="../media/image135.png"/><Relationship Id="rId25" Type="http://schemas.openxmlformats.org/officeDocument/2006/relationships/image" Target="../media/image148.png"/><Relationship Id="rId69" Type="http://schemas.openxmlformats.org/officeDocument/2006/relationships/image" Target="../media/image124.png"/><Relationship Id="rId28" Type="http://schemas.openxmlformats.org/officeDocument/2006/relationships/image" Target="../media/image127.png"/><Relationship Id="rId27" Type="http://schemas.openxmlformats.org/officeDocument/2006/relationships/image" Target="../media/image87.png"/><Relationship Id="rId29" Type="http://schemas.openxmlformats.org/officeDocument/2006/relationships/image" Target="../media/image85.png"/><Relationship Id="rId51" Type="http://schemas.openxmlformats.org/officeDocument/2006/relationships/image" Target="../media/image102.png"/><Relationship Id="rId50" Type="http://schemas.openxmlformats.org/officeDocument/2006/relationships/image" Target="../media/image162.png"/><Relationship Id="rId53" Type="http://schemas.openxmlformats.org/officeDocument/2006/relationships/image" Target="../media/image146.png"/><Relationship Id="rId52" Type="http://schemas.openxmlformats.org/officeDocument/2006/relationships/image" Target="../media/image145.png"/><Relationship Id="rId11" Type="http://schemas.openxmlformats.org/officeDocument/2006/relationships/image" Target="../media/image121.png"/><Relationship Id="rId55" Type="http://schemas.openxmlformats.org/officeDocument/2006/relationships/image" Target="../media/image105.png"/><Relationship Id="rId10" Type="http://schemas.openxmlformats.org/officeDocument/2006/relationships/image" Target="../media/image98.png"/><Relationship Id="rId54" Type="http://schemas.openxmlformats.org/officeDocument/2006/relationships/image" Target="../media/image132.png"/><Relationship Id="rId13" Type="http://schemas.openxmlformats.org/officeDocument/2006/relationships/image" Target="../media/image79.png"/><Relationship Id="rId57" Type="http://schemas.openxmlformats.org/officeDocument/2006/relationships/image" Target="../media/image126.png"/><Relationship Id="rId12" Type="http://schemas.openxmlformats.org/officeDocument/2006/relationships/image" Target="../media/image100.png"/><Relationship Id="rId56" Type="http://schemas.openxmlformats.org/officeDocument/2006/relationships/image" Target="../media/image110.png"/><Relationship Id="rId15" Type="http://schemas.openxmlformats.org/officeDocument/2006/relationships/image" Target="../media/image82.png"/><Relationship Id="rId59" Type="http://schemas.openxmlformats.org/officeDocument/2006/relationships/image" Target="../media/image157.png"/><Relationship Id="rId14" Type="http://schemas.openxmlformats.org/officeDocument/2006/relationships/image" Target="../media/image109.png"/><Relationship Id="rId58" Type="http://schemas.openxmlformats.org/officeDocument/2006/relationships/image" Target="../media/image107.png"/><Relationship Id="rId17" Type="http://schemas.openxmlformats.org/officeDocument/2006/relationships/image" Target="../media/image160.png"/><Relationship Id="rId16" Type="http://schemas.openxmlformats.org/officeDocument/2006/relationships/image" Target="../media/image112.png"/><Relationship Id="rId19" Type="http://schemas.openxmlformats.org/officeDocument/2006/relationships/image" Target="../media/image83.png"/><Relationship Id="rId18" Type="http://schemas.openxmlformats.org/officeDocument/2006/relationships/image" Target="../media/image139.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18</xdr:row>
      <xdr:rowOff>133350</xdr:rowOff>
    </xdr:from>
    <xdr:ext cx="2762250" cy="14573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21</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90500" cy="1905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190500" cy="1905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xdr:row>
      <xdr:rowOff>0</xdr:rowOff>
    </xdr:from>
    <xdr:ext cx="190500" cy="1905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xdr:row>
      <xdr:rowOff>0</xdr:rowOff>
    </xdr:from>
    <xdr:ext cx="190500" cy="1905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5</xdr:row>
      <xdr:rowOff>0</xdr:rowOff>
    </xdr:from>
    <xdr:ext cx="190500"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6</xdr:row>
      <xdr:rowOff>0</xdr:rowOff>
    </xdr:from>
    <xdr:ext cx="190500" cy="190500"/>
    <xdr:pic>
      <xdr:nvPicPr>
        <xdr:cNvPr id="0" name="image2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7</xdr:row>
      <xdr:rowOff>0</xdr:rowOff>
    </xdr:from>
    <xdr:ext cx="190500" cy="190500"/>
    <xdr:pic>
      <xdr:nvPicPr>
        <xdr:cNvPr id="0" name="image2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xdr:row>
      <xdr:rowOff>0</xdr:rowOff>
    </xdr:from>
    <xdr:ext cx="190500" cy="190500"/>
    <xdr:pic>
      <xdr:nvPicPr>
        <xdr:cNvPr id="0" name="image2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9</xdr:row>
      <xdr:rowOff>0</xdr:rowOff>
    </xdr:from>
    <xdr:ext cx="190500" cy="190500"/>
    <xdr:pic>
      <xdr:nvPicPr>
        <xdr:cNvPr id="0" name="image2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10</xdr:row>
      <xdr:rowOff>0</xdr:rowOff>
    </xdr:from>
    <xdr:ext cx="190500" cy="1905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11</xdr:row>
      <xdr:rowOff>0</xdr:rowOff>
    </xdr:from>
    <xdr:ext cx="190500" cy="1905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12</xdr:row>
      <xdr:rowOff>0</xdr:rowOff>
    </xdr:from>
    <xdr:ext cx="190500" cy="1905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13</xdr:row>
      <xdr:rowOff>0</xdr:rowOff>
    </xdr:from>
    <xdr:ext cx="190500" cy="190500"/>
    <xdr:pic>
      <xdr:nvPicPr>
        <xdr:cNvPr id="0" name="image17.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14</xdr:row>
      <xdr:rowOff>0</xdr:rowOff>
    </xdr:from>
    <xdr:ext cx="190500" cy="190500"/>
    <xdr:pic>
      <xdr:nvPicPr>
        <xdr:cNvPr id="0" name="image17.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15</xdr:row>
      <xdr:rowOff>0</xdr:rowOff>
    </xdr:from>
    <xdr:ext cx="190500" cy="190500"/>
    <xdr:pic>
      <xdr:nvPicPr>
        <xdr:cNvPr id="0" name="image17.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16</xdr:row>
      <xdr:rowOff>0</xdr:rowOff>
    </xdr:from>
    <xdr:ext cx="190500" cy="190500"/>
    <xdr:pic>
      <xdr:nvPicPr>
        <xdr:cNvPr id="0" name="image17.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17</xdr:row>
      <xdr:rowOff>0</xdr:rowOff>
    </xdr:from>
    <xdr:ext cx="190500" cy="19050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18</xdr:row>
      <xdr:rowOff>0</xdr:rowOff>
    </xdr:from>
    <xdr:ext cx="190500" cy="19050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19</xdr:row>
      <xdr:rowOff>0</xdr:rowOff>
    </xdr:from>
    <xdr:ext cx="190500" cy="19050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20</xdr:row>
      <xdr:rowOff>0</xdr:rowOff>
    </xdr:from>
    <xdr:ext cx="190500" cy="19050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21</xdr:row>
      <xdr:rowOff>0</xdr:rowOff>
    </xdr:from>
    <xdr:ext cx="190500" cy="190500"/>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22</xdr:row>
      <xdr:rowOff>0</xdr:rowOff>
    </xdr:from>
    <xdr:ext cx="190500" cy="1905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23</xdr:row>
      <xdr:rowOff>0</xdr:rowOff>
    </xdr:from>
    <xdr:ext cx="190500" cy="1905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24</xdr:row>
      <xdr:rowOff>0</xdr:rowOff>
    </xdr:from>
    <xdr:ext cx="190500" cy="1905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25</xdr:row>
      <xdr:rowOff>0</xdr:rowOff>
    </xdr:from>
    <xdr:ext cx="190500" cy="1905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26</xdr:row>
      <xdr:rowOff>0</xdr:rowOff>
    </xdr:from>
    <xdr:ext cx="190500" cy="190500"/>
    <xdr:pic>
      <xdr:nvPicPr>
        <xdr:cNvPr id="0" name="image2.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27</xdr:row>
      <xdr:rowOff>0</xdr:rowOff>
    </xdr:from>
    <xdr:ext cx="190500" cy="190500"/>
    <xdr:pic>
      <xdr:nvPicPr>
        <xdr:cNvPr id="0" name="image5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28</xdr:row>
      <xdr:rowOff>0</xdr:rowOff>
    </xdr:from>
    <xdr:ext cx="190500" cy="190500"/>
    <xdr:pic>
      <xdr:nvPicPr>
        <xdr:cNvPr id="0" name="image31.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29</xdr:row>
      <xdr:rowOff>0</xdr:rowOff>
    </xdr:from>
    <xdr:ext cx="190500" cy="190500"/>
    <xdr:pic>
      <xdr:nvPicPr>
        <xdr:cNvPr id="0" name="image31.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30</xdr:row>
      <xdr:rowOff>0</xdr:rowOff>
    </xdr:from>
    <xdr:ext cx="190500" cy="190500"/>
    <xdr:pic>
      <xdr:nvPicPr>
        <xdr:cNvPr id="0" name="image31.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31</xdr:row>
      <xdr:rowOff>0</xdr:rowOff>
    </xdr:from>
    <xdr:ext cx="190500" cy="190500"/>
    <xdr:pic>
      <xdr:nvPicPr>
        <xdr:cNvPr id="0" name="image2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32</xdr:row>
      <xdr:rowOff>0</xdr:rowOff>
    </xdr:from>
    <xdr:ext cx="190500" cy="190500"/>
    <xdr:pic>
      <xdr:nvPicPr>
        <xdr:cNvPr id="0" name="image2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33</xdr:row>
      <xdr:rowOff>0</xdr:rowOff>
    </xdr:from>
    <xdr:ext cx="190500" cy="190500"/>
    <xdr:pic>
      <xdr:nvPicPr>
        <xdr:cNvPr id="0" name="image2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34</xdr:row>
      <xdr:rowOff>0</xdr:rowOff>
    </xdr:from>
    <xdr:ext cx="190500" cy="190500"/>
    <xdr:pic>
      <xdr:nvPicPr>
        <xdr:cNvPr id="0" name="image2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35</xdr:row>
      <xdr:rowOff>0</xdr:rowOff>
    </xdr:from>
    <xdr:ext cx="190500" cy="190500"/>
    <xdr:pic>
      <xdr:nvPicPr>
        <xdr:cNvPr id="0" name="image23.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36</xdr:row>
      <xdr:rowOff>0</xdr:rowOff>
    </xdr:from>
    <xdr:ext cx="190500" cy="190500"/>
    <xdr:pic>
      <xdr:nvPicPr>
        <xdr:cNvPr id="0" name="image23.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37</xdr:row>
      <xdr:rowOff>0</xdr:rowOff>
    </xdr:from>
    <xdr:ext cx="190500" cy="190500"/>
    <xdr:pic>
      <xdr:nvPicPr>
        <xdr:cNvPr id="0" name="image23.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38</xdr:row>
      <xdr:rowOff>0</xdr:rowOff>
    </xdr:from>
    <xdr:ext cx="190500" cy="190500"/>
    <xdr:pic>
      <xdr:nvPicPr>
        <xdr:cNvPr id="0" name="image13.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39</xdr:row>
      <xdr:rowOff>0</xdr:rowOff>
    </xdr:from>
    <xdr:ext cx="190500" cy="190500"/>
    <xdr:pic>
      <xdr:nvPicPr>
        <xdr:cNvPr id="0" name="image13.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40</xdr:row>
      <xdr:rowOff>0</xdr:rowOff>
    </xdr:from>
    <xdr:ext cx="190500" cy="190500"/>
    <xdr:pic>
      <xdr:nvPicPr>
        <xdr:cNvPr id="0" name="image13.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41</xdr:row>
      <xdr:rowOff>0</xdr:rowOff>
    </xdr:from>
    <xdr:ext cx="190500" cy="190500"/>
    <xdr:pic>
      <xdr:nvPicPr>
        <xdr:cNvPr id="0" name="image6.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42</xdr:row>
      <xdr:rowOff>0</xdr:rowOff>
    </xdr:from>
    <xdr:ext cx="190500" cy="190500"/>
    <xdr:pic>
      <xdr:nvPicPr>
        <xdr:cNvPr id="0" name="image9.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43</xdr:row>
      <xdr:rowOff>0</xdr:rowOff>
    </xdr:from>
    <xdr:ext cx="190500" cy="190500"/>
    <xdr:pic>
      <xdr:nvPicPr>
        <xdr:cNvPr id="0" name="image9.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44</xdr:row>
      <xdr:rowOff>0</xdr:rowOff>
    </xdr:from>
    <xdr:ext cx="190500" cy="190500"/>
    <xdr:pic>
      <xdr:nvPicPr>
        <xdr:cNvPr id="0" name="image9.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45</xdr:row>
      <xdr:rowOff>0</xdr:rowOff>
    </xdr:from>
    <xdr:ext cx="190500" cy="190500"/>
    <xdr:pic>
      <xdr:nvPicPr>
        <xdr:cNvPr id="0" name="image9.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46</xdr:row>
      <xdr:rowOff>0</xdr:rowOff>
    </xdr:from>
    <xdr:ext cx="190500" cy="190500"/>
    <xdr:pic>
      <xdr:nvPicPr>
        <xdr:cNvPr id="0" name="image8.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47</xdr:row>
      <xdr:rowOff>0</xdr:rowOff>
    </xdr:from>
    <xdr:ext cx="190500" cy="190500"/>
    <xdr:pic>
      <xdr:nvPicPr>
        <xdr:cNvPr id="0" name="image8.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48</xdr:row>
      <xdr:rowOff>0</xdr:rowOff>
    </xdr:from>
    <xdr:ext cx="190500" cy="190500"/>
    <xdr:pic>
      <xdr:nvPicPr>
        <xdr:cNvPr id="0" name="image8.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49</xdr:row>
      <xdr:rowOff>0</xdr:rowOff>
    </xdr:from>
    <xdr:ext cx="190500" cy="190500"/>
    <xdr:pic>
      <xdr:nvPicPr>
        <xdr:cNvPr id="0" name="image8.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50</xdr:row>
      <xdr:rowOff>0</xdr:rowOff>
    </xdr:from>
    <xdr:ext cx="190500" cy="190500"/>
    <xdr:pic>
      <xdr:nvPicPr>
        <xdr:cNvPr id="0" name="image11.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51</xdr:row>
      <xdr:rowOff>0</xdr:rowOff>
    </xdr:from>
    <xdr:ext cx="190500" cy="190500"/>
    <xdr:pic>
      <xdr:nvPicPr>
        <xdr:cNvPr id="0" name="image11.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52</xdr:row>
      <xdr:rowOff>0</xdr:rowOff>
    </xdr:from>
    <xdr:ext cx="190500" cy="190500"/>
    <xdr:pic>
      <xdr:nvPicPr>
        <xdr:cNvPr id="0" name="image11.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53</xdr:row>
      <xdr:rowOff>0</xdr:rowOff>
    </xdr:from>
    <xdr:ext cx="190500" cy="190500"/>
    <xdr:pic>
      <xdr:nvPicPr>
        <xdr:cNvPr id="0" name="image11.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54</xdr:row>
      <xdr:rowOff>0</xdr:rowOff>
    </xdr:from>
    <xdr:ext cx="190500" cy="190500"/>
    <xdr:pic>
      <xdr:nvPicPr>
        <xdr:cNvPr id="0" name="image16.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55</xdr:row>
      <xdr:rowOff>0</xdr:rowOff>
    </xdr:from>
    <xdr:ext cx="190500" cy="190500"/>
    <xdr:pic>
      <xdr:nvPicPr>
        <xdr:cNvPr id="0" name="image16.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56</xdr:row>
      <xdr:rowOff>0</xdr:rowOff>
    </xdr:from>
    <xdr:ext cx="190500" cy="190500"/>
    <xdr:pic>
      <xdr:nvPicPr>
        <xdr:cNvPr id="0" name="image16.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57</xdr:row>
      <xdr:rowOff>0</xdr:rowOff>
    </xdr:from>
    <xdr:ext cx="190500" cy="190500"/>
    <xdr:pic>
      <xdr:nvPicPr>
        <xdr:cNvPr id="0" name="image10.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58</xdr:row>
      <xdr:rowOff>0</xdr:rowOff>
    </xdr:from>
    <xdr:ext cx="190500" cy="190500"/>
    <xdr:pic>
      <xdr:nvPicPr>
        <xdr:cNvPr id="0" name="image10.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59</xdr:row>
      <xdr:rowOff>0</xdr:rowOff>
    </xdr:from>
    <xdr:ext cx="190500" cy="190500"/>
    <xdr:pic>
      <xdr:nvPicPr>
        <xdr:cNvPr id="0" name="image10.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60</xdr:row>
      <xdr:rowOff>0</xdr:rowOff>
    </xdr:from>
    <xdr:ext cx="190500" cy="190500"/>
    <xdr:pic>
      <xdr:nvPicPr>
        <xdr:cNvPr id="0" name="image10.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61</xdr:row>
      <xdr:rowOff>0</xdr:rowOff>
    </xdr:from>
    <xdr:ext cx="190500" cy="190500"/>
    <xdr:pic>
      <xdr:nvPicPr>
        <xdr:cNvPr id="0" name="image45.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62</xdr:row>
      <xdr:rowOff>0</xdr:rowOff>
    </xdr:from>
    <xdr:ext cx="190500" cy="190500"/>
    <xdr:pic>
      <xdr:nvPicPr>
        <xdr:cNvPr id="0" name="image45.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63</xdr:row>
      <xdr:rowOff>0</xdr:rowOff>
    </xdr:from>
    <xdr:ext cx="190500" cy="190500"/>
    <xdr:pic>
      <xdr:nvPicPr>
        <xdr:cNvPr id="0" name="image45.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64</xdr:row>
      <xdr:rowOff>0</xdr:rowOff>
    </xdr:from>
    <xdr:ext cx="190500" cy="190500"/>
    <xdr:pic>
      <xdr:nvPicPr>
        <xdr:cNvPr id="0" name="image45.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65</xdr:row>
      <xdr:rowOff>0</xdr:rowOff>
    </xdr:from>
    <xdr:ext cx="190500" cy="190500"/>
    <xdr:pic>
      <xdr:nvPicPr>
        <xdr:cNvPr id="0" name="image20.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66</xdr:row>
      <xdr:rowOff>0</xdr:rowOff>
    </xdr:from>
    <xdr:ext cx="190500" cy="190500"/>
    <xdr:pic>
      <xdr:nvPicPr>
        <xdr:cNvPr id="0" name="image20.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67</xdr:row>
      <xdr:rowOff>0</xdr:rowOff>
    </xdr:from>
    <xdr:ext cx="190500" cy="190500"/>
    <xdr:pic>
      <xdr:nvPicPr>
        <xdr:cNvPr id="0" name="image20.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68</xdr:row>
      <xdr:rowOff>0</xdr:rowOff>
    </xdr:from>
    <xdr:ext cx="190500" cy="190500"/>
    <xdr:pic>
      <xdr:nvPicPr>
        <xdr:cNvPr id="0" name="image20.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69</xdr:row>
      <xdr:rowOff>0</xdr:rowOff>
    </xdr:from>
    <xdr:ext cx="190500" cy="190500"/>
    <xdr:pic>
      <xdr:nvPicPr>
        <xdr:cNvPr id="0" name="image27.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70</xdr:row>
      <xdr:rowOff>0</xdr:rowOff>
    </xdr:from>
    <xdr:ext cx="190500" cy="190500"/>
    <xdr:pic>
      <xdr:nvPicPr>
        <xdr:cNvPr id="0" name="image27.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71</xdr:row>
      <xdr:rowOff>0</xdr:rowOff>
    </xdr:from>
    <xdr:ext cx="190500" cy="190500"/>
    <xdr:pic>
      <xdr:nvPicPr>
        <xdr:cNvPr id="0" name="image27.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72</xdr:row>
      <xdr:rowOff>0</xdr:rowOff>
    </xdr:from>
    <xdr:ext cx="190500" cy="190500"/>
    <xdr:pic>
      <xdr:nvPicPr>
        <xdr:cNvPr id="0" name="image27.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73</xdr:row>
      <xdr:rowOff>0</xdr:rowOff>
    </xdr:from>
    <xdr:ext cx="190500" cy="190500"/>
    <xdr:pic>
      <xdr:nvPicPr>
        <xdr:cNvPr id="0" name="image51.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74</xdr:row>
      <xdr:rowOff>0</xdr:rowOff>
    </xdr:from>
    <xdr:ext cx="190500" cy="190500"/>
    <xdr:pic>
      <xdr:nvPicPr>
        <xdr:cNvPr id="0" name="image51.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75</xdr:row>
      <xdr:rowOff>0</xdr:rowOff>
    </xdr:from>
    <xdr:ext cx="190500" cy="190500"/>
    <xdr:pic>
      <xdr:nvPicPr>
        <xdr:cNvPr id="0" name="image51.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76</xdr:row>
      <xdr:rowOff>0</xdr:rowOff>
    </xdr:from>
    <xdr:ext cx="190500" cy="190500"/>
    <xdr:pic>
      <xdr:nvPicPr>
        <xdr:cNvPr id="0" name="image51.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77</xdr:row>
      <xdr:rowOff>0</xdr:rowOff>
    </xdr:from>
    <xdr:ext cx="190500" cy="190500"/>
    <xdr:pic>
      <xdr:nvPicPr>
        <xdr:cNvPr id="0" name="image18.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78</xdr:row>
      <xdr:rowOff>0</xdr:rowOff>
    </xdr:from>
    <xdr:ext cx="190500" cy="190500"/>
    <xdr:pic>
      <xdr:nvPicPr>
        <xdr:cNvPr id="0" name="image18.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79</xdr:row>
      <xdr:rowOff>0</xdr:rowOff>
    </xdr:from>
    <xdr:ext cx="190500" cy="190500"/>
    <xdr:pic>
      <xdr:nvPicPr>
        <xdr:cNvPr id="0" name="image18.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80</xdr:row>
      <xdr:rowOff>0</xdr:rowOff>
    </xdr:from>
    <xdr:ext cx="190500" cy="190500"/>
    <xdr:pic>
      <xdr:nvPicPr>
        <xdr:cNvPr id="0" name="image18.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81</xdr:row>
      <xdr:rowOff>0</xdr:rowOff>
    </xdr:from>
    <xdr:ext cx="190500" cy="190500"/>
    <xdr:pic>
      <xdr:nvPicPr>
        <xdr:cNvPr id="0" name="image2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82</xdr:row>
      <xdr:rowOff>0</xdr:rowOff>
    </xdr:from>
    <xdr:ext cx="190500" cy="190500"/>
    <xdr:pic>
      <xdr:nvPicPr>
        <xdr:cNvPr id="0" name="image2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83</xdr:row>
      <xdr:rowOff>0</xdr:rowOff>
    </xdr:from>
    <xdr:ext cx="190500" cy="190500"/>
    <xdr:pic>
      <xdr:nvPicPr>
        <xdr:cNvPr id="0" name="image2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84</xdr:row>
      <xdr:rowOff>0</xdr:rowOff>
    </xdr:from>
    <xdr:ext cx="190500" cy="190500"/>
    <xdr:pic>
      <xdr:nvPicPr>
        <xdr:cNvPr id="0" name="image2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85</xdr:row>
      <xdr:rowOff>0</xdr:rowOff>
    </xdr:from>
    <xdr:ext cx="190500" cy="190500"/>
    <xdr:pic>
      <xdr:nvPicPr>
        <xdr:cNvPr id="0" name="image15.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86</xdr:row>
      <xdr:rowOff>0</xdr:rowOff>
    </xdr:from>
    <xdr:ext cx="190500" cy="190500"/>
    <xdr:pic>
      <xdr:nvPicPr>
        <xdr:cNvPr id="0" name="image15.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87</xdr:row>
      <xdr:rowOff>0</xdr:rowOff>
    </xdr:from>
    <xdr:ext cx="190500" cy="190500"/>
    <xdr:pic>
      <xdr:nvPicPr>
        <xdr:cNvPr id="0" name="image15.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88</xdr:row>
      <xdr:rowOff>0</xdr:rowOff>
    </xdr:from>
    <xdr:ext cx="190500" cy="190500"/>
    <xdr:pic>
      <xdr:nvPicPr>
        <xdr:cNvPr id="0" name="image15.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89</xdr:row>
      <xdr:rowOff>0</xdr:rowOff>
    </xdr:from>
    <xdr:ext cx="190500" cy="190500"/>
    <xdr:pic>
      <xdr:nvPicPr>
        <xdr:cNvPr id="0" name="image19.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90</xdr:row>
      <xdr:rowOff>0</xdr:rowOff>
    </xdr:from>
    <xdr:ext cx="190500" cy="190500"/>
    <xdr:pic>
      <xdr:nvPicPr>
        <xdr:cNvPr id="0" name="image19.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91</xdr:row>
      <xdr:rowOff>0</xdr:rowOff>
    </xdr:from>
    <xdr:ext cx="190500" cy="190500"/>
    <xdr:pic>
      <xdr:nvPicPr>
        <xdr:cNvPr id="0" name="image25.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92</xdr:row>
      <xdr:rowOff>0</xdr:rowOff>
    </xdr:from>
    <xdr:ext cx="190500" cy="190500"/>
    <xdr:pic>
      <xdr:nvPicPr>
        <xdr:cNvPr id="0" name="image25.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93</xdr:row>
      <xdr:rowOff>0</xdr:rowOff>
    </xdr:from>
    <xdr:ext cx="190500" cy="190500"/>
    <xdr:pic>
      <xdr:nvPicPr>
        <xdr:cNvPr id="0" name="image26.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94</xdr:row>
      <xdr:rowOff>0</xdr:rowOff>
    </xdr:from>
    <xdr:ext cx="190500" cy="190500"/>
    <xdr:pic>
      <xdr:nvPicPr>
        <xdr:cNvPr id="0" name="image26.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95</xdr:row>
      <xdr:rowOff>0</xdr:rowOff>
    </xdr:from>
    <xdr:ext cx="190500" cy="190500"/>
    <xdr:pic>
      <xdr:nvPicPr>
        <xdr:cNvPr id="0" name="image35.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96</xdr:row>
      <xdr:rowOff>0</xdr:rowOff>
    </xdr:from>
    <xdr:ext cx="190500" cy="190500"/>
    <xdr:pic>
      <xdr:nvPicPr>
        <xdr:cNvPr id="0" name="image35.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97</xdr:row>
      <xdr:rowOff>0</xdr:rowOff>
    </xdr:from>
    <xdr:ext cx="190500" cy="190500"/>
    <xdr:pic>
      <xdr:nvPicPr>
        <xdr:cNvPr id="0" name="image3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98</xdr:row>
      <xdr:rowOff>0</xdr:rowOff>
    </xdr:from>
    <xdr:ext cx="190500" cy="190500"/>
    <xdr:pic>
      <xdr:nvPicPr>
        <xdr:cNvPr id="0" name="image3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99</xdr:row>
      <xdr:rowOff>0</xdr:rowOff>
    </xdr:from>
    <xdr:ext cx="190500" cy="190500"/>
    <xdr:pic>
      <xdr:nvPicPr>
        <xdr:cNvPr id="0" name="image3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100</xdr:row>
      <xdr:rowOff>0</xdr:rowOff>
    </xdr:from>
    <xdr:ext cx="190500" cy="190500"/>
    <xdr:pic>
      <xdr:nvPicPr>
        <xdr:cNvPr id="0" name="image3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101</xdr:row>
      <xdr:rowOff>0</xdr:rowOff>
    </xdr:from>
    <xdr:ext cx="190500" cy="190500"/>
    <xdr:pic>
      <xdr:nvPicPr>
        <xdr:cNvPr id="0" name="image39.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102</xdr:row>
      <xdr:rowOff>0</xdr:rowOff>
    </xdr:from>
    <xdr:ext cx="190500" cy="190500"/>
    <xdr:pic>
      <xdr:nvPicPr>
        <xdr:cNvPr id="0" name="image39.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103</xdr:row>
      <xdr:rowOff>0</xdr:rowOff>
    </xdr:from>
    <xdr:ext cx="190500" cy="190500"/>
    <xdr:pic>
      <xdr:nvPicPr>
        <xdr:cNvPr id="0" name="image39.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104</xdr:row>
      <xdr:rowOff>0</xdr:rowOff>
    </xdr:from>
    <xdr:ext cx="190500" cy="190500"/>
    <xdr:pic>
      <xdr:nvPicPr>
        <xdr:cNvPr id="0" name="image39.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105</xdr:row>
      <xdr:rowOff>0</xdr:rowOff>
    </xdr:from>
    <xdr:ext cx="190500" cy="190500"/>
    <xdr:pic>
      <xdr:nvPicPr>
        <xdr:cNvPr id="0" name="image44.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106</xdr:row>
      <xdr:rowOff>0</xdr:rowOff>
    </xdr:from>
    <xdr:ext cx="190500" cy="190500"/>
    <xdr:pic>
      <xdr:nvPicPr>
        <xdr:cNvPr id="0" name="image44.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107</xdr:row>
      <xdr:rowOff>0</xdr:rowOff>
    </xdr:from>
    <xdr:ext cx="190500" cy="190500"/>
    <xdr:pic>
      <xdr:nvPicPr>
        <xdr:cNvPr id="0" name="image28.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108</xdr:row>
      <xdr:rowOff>0</xdr:rowOff>
    </xdr:from>
    <xdr:ext cx="190500" cy="190500"/>
    <xdr:pic>
      <xdr:nvPicPr>
        <xdr:cNvPr id="0" name="image28.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109</xdr:row>
      <xdr:rowOff>0</xdr:rowOff>
    </xdr:from>
    <xdr:ext cx="190500" cy="190500"/>
    <xdr:pic>
      <xdr:nvPicPr>
        <xdr:cNvPr id="0" name="image28.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110</xdr:row>
      <xdr:rowOff>0</xdr:rowOff>
    </xdr:from>
    <xdr:ext cx="190500" cy="190500"/>
    <xdr:pic>
      <xdr:nvPicPr>
        <xdr:cNvPr id="0" name="image40.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111</xdr:row>
      <xdr:rowOff>0</xdr:rowOff>
    </xdr:from>
    <xdr:ext cx="190500" cy="190500"/>
    <xdr:pic>
      <xdr:nvPicPr>
        <xdr:cNvPr id="0" name="image40.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112</xdr:row>
      <xdr:rowOff>0</xdr:rowOff>
    </xdr:from>
    <xdr:ext cx="190500" cy="190500"/>
    <xdr:pic>
      <xdr:nvPicPr>
        <xdr:cNvPr id="0" name="image41.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113</xdr:row>
      <xdr:rowOff>0</xdr:rowOff>
    </xdr:from>
    <xdr:ext cx="190500" cy="190500"/>
    <xdr:pic>
      <xdr:nvPicPr>
        <xdr:cNvPr id="0" name="image41.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114</xdr:row>
      <xdr:rowOff>0</xdr:rowOff>
    </xdr:from>
    <xdr:ext cx="190500" cy="190500"/>
    <xdr:pic>
      <xdr:nvPicPr>
        <xdr:cNvPr id="0" name="image41.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115</xdr:row>
      <xdr:rowOff>0</xdr:rowOff>
    </xdr:from>
    <xdr:ext cx="190500" cy="190500"/>
    <xdr:pic>
      <xdr:nvPicPr>
        <xdr:cNvPr id="0" name="image41.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116</xdr:row>
      <xdr:rowOff>0</xdr:rowOff>
    </xdr:from>
    <xdr:ext cx="190500" cy="190500"/>
    <xdr:pic>
      <xdr:nvPicPr>
        <xdr:cNvPr id="0" name="image29.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117</xdr:row>
      <xdr:rowOff>0</xdr:rowOff>
    </xdr:from>
    <xdr:ext cx="190500" cy="190500"/>
    <xdr:pic>
      <xdr:nvPicPr>
        <xdr:cNvPr id="0" name="image29.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118</xdr:row>
      <xdr:rowOff>0</xdr:rowOff>
    </xdr:from>
    <xdr:ext cx="190500" cy="190500"/>
    <xdr:pic>
      <xdr:nvPicPr>
        <xdr:cNvPr id="0" name="image29.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119</xdr:row>
      <xdr:rowOff>0</xdr:rowOff>
    </xdr:from>
    <xdr:ext cx="190500" cy="190500"/>
    <xdr:pic>
      <xdr:nvPicPr>
        <xdr:cNvPr id="0" name="image29.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120</xdr:row>
      <xdr:rowOff>0</xdr:rowOff>
    </xdr:from>
    <xdr:ext cx="190500" cy="190500"/>
    <xdr:pic>
      <xdr:nvPicPr>
        <xdr:cNvPr id="0" name="image49.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121</xdr:row>
      <xdr:rowOff>0</xdr:rowOff>
    </xdr:from>
    <xdr:ext cx="190500" cy="190500"/>
    <xdr:pic>
      <xdr:nvPicPr>
        <xdr:cNvPr id="0" name="image49.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122</xdr:row>
      <xdr:rowOff>0</xdr:rowOff>
    </xdr:from>
    <xdr:ext cx="190500" cy="190500"/>
    <xdr:pic>
      <xdr:nvPicPr>
        <xdr:cNvPr id="0" name="image49.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123</xdr:row>
      <xdr:rowOff>0</xdr:rowOff>
    </xdr:from>
    <xdr:ext cx="190500" cy="190500"/>
    <xdr:pic>
      <xdr:nvPicPr>
        <xdr:cNvPr id="0" name="image49.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124</xdr:row>
      <xdr:rowOff>0</xdr:rowOff>
    </xdr:from>
    <xdr:ext cx="190500" cy="190500"/>
    <xdr:pic>
      <xdr:nvPicPr>
        <xdr:cNvPr id="0" name="image30.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125</xdr:row>
      <xdr:rowOff>0</xdr:rowOff>
    </xdr:from>
    <xdr:ext cx="190500" cy="190500"/>
    <xdr:pic>
      <xdr:nvPicPr>
        <xdr:cNvPr id="0" name="image30.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126</xdr:row>
      <xdr:rowOff>0</xdr:rowOff>
    </xdr:from>
    <xdr:ext cx="190500" cy="190500"/>
    <xdr:pic>
      <xdr:nvPicPr>
        <xdr:cNvPr id="0" name="image30.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127</xdr:row>
      <xdr:rowOff>0</xdr:rowOff>
    </xdr:from>
    <xdr:ext cx="190500" cy="190500"/>
    <xdr:pic>
      <xdr:nvPicPr>
        <xdr:cNvPr id="0" name="image30.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128</xdr:row>
      <xdr:rowOff>0</xdr:rowOff>
    </xdr:from>
    <xdr:ext cx="190500" cy="190500"/>
    <xdr:pic>
      <xdr:nvPicPr>
        <xdr:cNvPr id="0" name="image42.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129</xdr:row>
      <xdr:rowOff>0</xdr:rowOff>
    </xdr:from>
    <xdr:ext cx="190500" cy="190500"/>
    <xdr:pic>
      <xdr:nvPicPr>
        <xdr:cNvPr id="0" name="image42.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130</xdr:row>
      <xdr:rowOff>0</xdr:rowOff>
    </xdr:from>
    <xdr:ext cx="190500" cy="190500"/>
    <xdr:pic>
      <xdr:nvPicPr>
        <xdr:cNvPr id="0" name="image42.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131</xdr:row>
      <xdr:rowOff>0</xdr:rowOff>
    </xdr:from>
    <xdr:ext cx="190500" cy="190500"/>
    <xdr:pic>
      <xdr:nvPicPr>
        <xdr:cNvPr id="0" name="image33.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132</xdr:row>
      <xdr:rowOff>0</xdr:rowOff>
    </xdr:from>
    <xdr:ext cx="190500" cy="190500"/>
    <xdr:pic>
      <xdr:nvPicPr>
        <xdr:cNvPr id="0" name="image33.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133</xdr:row>
      <xdr:rowOff>0</xdr:rowOff>
    </xdr:from>
    <xdr:ext cx="190500" cy="190500"/>
    <xdr:pic>
      <xdr:nvPicPr>
        <xdr:cNvPr id="0" name="image33.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134</xdr:row>
      <xdr:rowOff>0</xdr:rowOff>
    </xdr:from>
    <xdr:ext cx="190500" cy="190500"/>
    <xdr:pic>
      <xdr:nvPicPr>
        <xdr:cNvPr id="0" name="image33.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135</xdr:row>
      <xdr:rowOff>0</xdr:rowOff>
    </xdr:from>
    <xdr:ext cx="190500" cy="190500"/>
    <xdr:pic>
      <xdr:nvPicPr>
        <xdr:cNvPr id="0" name="image34.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136</xdr:row>
      <xdr:rowOff>0</xdr:rowOff>
    </xdr:from>
    <xdr:ext cx="190500" cy="190500"/>
    <xdr:pic>
      <xdr:nvPicPr>
        <xdr:cNvPr id="0" name="image34.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137</xdr:row>
      <xdr:rowOff>0</xdr:rowOff>
    </xdr:from>
    <xdr:ext cx="190500" cy="190500"/>
    <xdr:pic>
      <xdr:nvPicPr>
        <xdr:cNvPr id="0" name="image34.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138</xdr:row>
      <xdr:rowOff>0</xdr:rowOff>
    </xdr:from>
    <xdr:ext cx="190500" cy="190500"/>
    <xdr:pic>
      <xdr:nvPicPr>
        <xdr:cNvPr id="0" name="image34.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139</xdr:row>
      <xdr:rowOff>0</xdr:rowOff>
    </xdr:from>
    <xdr:ext cx="190500" cy="190500"/>
    <xdr:pic>
      <xdr:nvPicPr>
        <xdr:cNvPr id="0" name="image64.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140</xdr:row>
      <xdr:rowOff>0</xdr:rowOff>
    </xdr:from>
    <xdr:ext cx="190500" cy="190500"/>
    <xdr:pic>
      <xdr:nvPicPr>
        <xdr:cNvPr id="0" name="image36.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141</xdr:row>
      <xdr:rowOff>0</xdr:rowOff>
    </xdr:from>
    <xdr:ext cx="190500" cy="190500"/>
    <xdr:pic>
      <xdr:nvPicPr>
        <xdr:cNvPr id="0" name="image36.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142</xdr:row>
      <xdr:rowOff>0</xdr:rowOff>
    </xdr:from>
    <xdr:ext cx="190500" cy="190500"/>
    <xdr:pic>
      <xdr:nvPicPr>
        <xdr:cNvPr id="0" name="image36.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143</xdr:row>
      <xdr:rowOff>0</xdr:rowOff>
    </xdr:from>
    <xdr:ext cx="190500" cy="190500"/>
    <xdr:pic>
      <xdr:nvPicPr>
        <xdr:cNvPr id="0" name="image36.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144</xdr:row>
      <xdr:rowOff>0</xdr:rowOff>
    </xdr:from>
    <xdr:ext cx="190500" cy="190500"/>
    <xdr:pic>
      <xdr:nvPicPr>
        <xdr:cNvPr id="0" name="image37.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145</xdr:row>
      <xdr:rowOff>0</xdr:rowOff>
    </xdr:from>
    <xdr:ext cx="190500" cy="190500"/>
    <xdr:pic>
      <xdr:nvPicPr>
        <xdr:cNvPr id="0" name="image37.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146</xdr:row>
      <xdr:rowOff>0</xdr:rowOff>
    </xdr:from>
    <xdr:ext cx="190500" cy="190500"/>
    <xdr:pic>
      <xdr:nvPicPr>
        <xdr:cNvPr id="0" name="image37.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147</xdr:row>
      <xdr:rowOff>0</xdr:rowOff>
    </xdr:from>
    <xdr:ext cx="190500" cy="190500"/>
    <xdr:pic>
      <xdr:nvPicPr>
        <xdr:cNvPr id="0" name="image37.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148</xdr:row>
      <xdr:rowOff>0</xdr:rowOff>
    </xdr:from>
    <xdr:ext cx="190500" cy="190500"/>
    <xdr:pic>
      <xdr:nvPicPr>
        <xdr:cNvPr id="0" name="image38.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149</xdr:row>
      <xdr:rowOff>0</xdr:rowOff>
    </xdr:from>
    <xdr:ext cx="190500" cy="190500"/>
    <xdr:pic>
      <xdr:nvPicPr>
        <xdr:cNvPr id="0" name="image38.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150</xdr:row>
      <xdr:rowOff>0</xdr:rowOff>
    </xdr:from>
    <xdr:ext cx="190500" cy="190500"/>
    <xdr:pic>
      <xdr:nvPicPr>
        <xdr:cNvPr id="0" name="image38.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151</xdr:row>
      <xdr:rowOff>0</xdr:rowOff>
    </xdr:from>
    <xdr:ext cx="190500" cy="190500"/>
    <xdr:pic>
      <xdr:nvPicPr>
        <xdr:cNvPr id="0" name="image38.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152</xdr:row>
      <xdr:rowOff>0</xdr:rowOff>
    </xdr:from>
    <xdr:ext cx="190500" cy="190500"/>
    <xdr:pic>
      <xdr:nvPicPr>
        <xdr:cNvPr id="0" name="image43.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153</xdr:row>
      <xdr:rowOff>0</xdr:rowOff>
    </xdr:from>
    <xdr:ext cx="190500" cy="190500"/>
    <xdr:pic>
      <xdr:nvPicPr>
        <xdr:cNvPr id="0" name="image43.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154</xdr:row>
      <xdr:rowOff>0</xdr:rowOff>
    </xdr:from>
    <xdr:ext cx="190500" cy="190500"/>
    <xdr:pic>
      <xdr:nvPicPr>
        <xdr:cNvPr id="0" name="image43.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155</xdr:row>
      <xdr:rowOff>0</xdr:rowOff>
    </xdr:from>
    <xdr:ext cx="190500" cy="190500"/>
    <xdr:pic>
      <xdr:nvPicPr>
        <xdr:cNvPr id="0" name="image43.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156</xdr:row>
      <xdr:rowOff>0</xdr:rowOff>
    </xdr:from>
    <xdr:ext cx="190500" cy="190500"/>
    <xdr:pic>
      <xdr:nvPicPr>
        <xdr:cNvPr id="0" name="image47.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157</xdr:row>
      <xdr:rowOff>0</xdr:rowOff>
    </xdr:from>
    <xdr:ext cx="190500" cy="190500"/>
    <xdr:pic>
      <xdr:nvPicPr>
        <xdr:cNvPr id="0" name="image47.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158</xdr:row>
      <xdr:rowOff>0</xdr:rowOff>
    </xdr:from>
    <xdr:ext cx="190500" cy="190500"/>
    <xdr:pic>
      <xdr:nvPicPr>
        <xdr:cNvPr id="0" name="image47.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159</xdr:row>
      <xdr:rowOff>0</xdr:rowOff>
    </xdr:from>
    <xdr:ext cx="190500" cy="190500"/>
    <xdr:pic>
      <xdr:nvPicPr>
        <xdr:cNvPr id="0" name="image47.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160</xdr:row>
      <xdr:rowOff>0</xdr:rowOff>
    </xdr:from>
    <xdr:ext cx="190500" cy="190500"/>
    <xdr:pic>
      <xdr:nvPicPr>
        <xdr:cNvPr id="0" name="image62.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161</xdr:row>
      <xdr:rowOff>0</xdr:rowOff>
    </xdr:from>
    <xdr:ext cx="190500" cy="190500"/>
    <xdr:pic>
      <xdr:nvPicPr>
        <xdr:cNvPr id="0" name="image62.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162</xdr:row>
      <xdr:rowOff>0</xdr:rowOff>
    </xdr:from>
    <xdr:ext cx="190500" cy="190500"/>
    <xdr:pic>
      <xdr:nvPicPr>
        <xdr:cNvPr id="0" name="image75.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163</xdr:row>
      <xdr:rowOff>0</xdr:rowOff>
    </xdr:from>
    <xdr:ext cx="190500" cy="190500"/>
    <xdr:pic>
      <xdr:nvPicPr>
        <xdr:cNvPr id="0" name="image75.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164</xdr:row>
      <xdr:rowOff>0</xdr:rowOff>
    </xdr:from>
    <xdr:ext cx="190500" cy="190500"/>
    <xdr:pic>
      <xdr:nvPicPr>
        <xdr:cNvPr id="0" name="image75.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165</xdr:row>
      <xdr:rowOff>0</xdr:rowOff>
    </xdr:from>
    <xdr:ext cx="190500" cy="190500"/>
    <xdr:pic>
      <xdr:nvPicPr>
        <xdr:cNvPr id="0" name="image75.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166</xdr:row>
      <xdr:rowOff>0</xdr:rowOff>
    </xdr:from>
    <xdr:ext cx="190500" cy="190500"/>
    <xdr:pic>
      <xdr:nvPicPr>
        <xdr:cNvPr id="0" name="image5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167</xdr:row>
      <xdr:rowOff>0</xdr:rowOff>
    </xdr:from>
    <xdr:ext cx="190500" cy="190500"/>
    <xdr:pic>
      <xdr:nvPicPr>
        <xdr:cNvPr id="0" name="image5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168</xdr:row>
      <xdr:rowOff>0</xdr:rowOff>
    </xdr:from>
    <xdr:ext cx="190500" cy="190500"/>
    <xdr:pic>
      <xdr:nvPicPr>
        <xdr:cNvPr id="0" name="image5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169</xdr:row>
      <xdr:rowOff>0</xdr:rowOff>
    </xdr:from>
    <xdr:ext cx="190500" cy="190500"/>
    <xdr:pic>
      <xdr:nvPicPr>
        <xdr:cNvPr id="0" name="image5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170</xdr:row>
      <xdr:rowOff>0</xdr:rowOff>
    </xdr:from>
    <xdr:ext cx="190500" cy="190500"/>
    <xdr:pic>
      <xdr:nvPicPr>
        <xdr:cNvPr id="0" name="image46.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171</xdr:row>
      <xdr:rowOff>0</xdr:rowOff>
    </xdr:from>
    <xdr:ext cx="190500" cy="190500"/>
    <xdr:pic>
      <xdr:nvPicPr>
        <xdr:cNvPr id="0" name="image46.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172</xdr:row>
      <xdr:rowOff>0</xdr:rowOff>
    </xdr:from>
    <xdr:ext cx="190500" cy="190500"/>
    <xdr:pic>
      <xdr:nvPicPr>
        <xdr:cNvPr id="0" name="image46.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173</xdr:row>
      <xdr:rowOff>0</xdr:rowOff>
    </xdr:from>
    <xdr:ext cx="190500" cy="190500"/>
    <xdr:pic>
      <xdr:nvPicPr>
        <xdr:cNvPr id="0" name="image46.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174</xdr:row>
      <xdr:rowOff>0</xdr:rowOff>
    </xdr:from>
    <xdr:ext cx="190500" cy="190500"/>
    <xdr:pic>
      <xdr:nvPicPr>
        <xdr:cNvPr id="0" name="image55.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175</xdr:row>
      <xdr:rowOff>0</xdr:rowOff>
    </xdr:from>
    <xdr:ext cx="190500" cy="190500"/>
    <xdr:pic>
      <xdr:nvPicPr>
        <xdr:cNvPr id="0" name="image55.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176</xdr:row>
      <xdr:rowOff>0</xdr:rowOff>
    </xdr:from>
    <xdr:ext cx="190500" cy="190500"/>
    <xdr:pic>
      <xdr:nvPicPr>
        <xdr:cNvPr id="0" name="image55.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177</xdr:row>
      <xdr:rowOff>0</xdr:rowOff>
    </xdr:from>
    <xdr:ext cx="190500" cy="190500"/>
    <xdr:pic>
      <xdr:nvPicPr>
        <xdr:cNvPr id="0" name="image48.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178</xdr:row>
      <xdr:rowOff>0</xdr:rowOff>
    </xdr:from>
    <xdr:ext cx="190500" cy="190500"/>
    <xdr:pic>
      <xdr:nvPicPr>
        <xdr:cNvPr id="0" name="image48.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179</xdr:row>
      <xdr:rowOff>0</xdr:rowOff>
    </xdr:from>
    <xdr:ext cx="190500" cy="190500"/>
    <xdr:pic>
      <xdr:nvPicPr>
        <xdr:cNvPr id="0" name="image48.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180</xdr:row>
      <xdr:rowOff>0</xdr:rowOff>
    </xdr:from>
    <xdr:ext cx="190500" cy="190500"/>
    <xdr:pic>
      <xdr:nvPicPr>
        <xdr:cNvPr id="0" name="image48.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181</xdr:row>
      <xdr:rowOff>0</xdr:rowOff>
    </xdr:from>
    <xdr:ext cx="190500" cy="190500"/>
    <xdr:pic>
      <xdr:nvPicPr>
        <xdr:cNvPr id="0" name="image52.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182</xdr:row>
      <xdr:rowOff>0</xdr:rowOff>
    </xdr:from>
    <xdr:ext cx="190500" cy="190500"/>
    <xdr:pic>
      <xdr:nvPicPr>
        <xdr:cNvPr id="0" name="image52.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183</xdr:row>
      <xdr:rowOff>0</xdr:rowOff>
    </xdr:from>
    <xdr:ext cx="190500" cy="190500"/>
    <xdr:pic>
      <xdr:nvPicPr>
        <xdr:cNvPr id="0" name="image52.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184</xdr:row>
      <xdr:rowOff>0</xdr:rowOff>
    </xdr:from>
    <xdr:ext cx="190500" cy="190500"/>
    <xdr:pic>
      <xdr:nvPicPr>
        <xdr:cNvPr id="0" name="image52.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185</xdr:row>
      <xdr:rowOff>0</xdr:rowOff>
    </xdr:from>
    <xdr:ext cx="190500" cy="190500"/>
    <xdr:pic>
      <xdr:nvPicPr>
        <xdr:cNvPr id="0" name="image53.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186</xdr:row>
      <xdr:rowOff>0</xdr:rowOff>
    </xdr:from>
    <xdr:ext cx="190500" cy="190500"/>
    <xdr:pic>
      <xdr:nvPicPr>
        <xdr:cNvPr id="0" name="image53.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187</xdr:row>
      <xdr:rowOff>0</xdr:rowOff>
    </xdr:from>
    <xdr:ext cx="190500" cy="190500"/>
    <xdr:pic>
      <xdr:nvPicPr>
        <xdr:cNvPr id="0" name="image61.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188</xdr:row>
      <xdr:rowOff>0</xdr:rowOff>
    </xdr:from>
    <xdr:ext cx="190500" cy="190500"/>
    <xdr:pic>
      <xdr:nvPicPr>
        <xdr:cNvPr id="0" name="image61.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189</xdr:row>
      <xdr:rowOff>0</xdr:rowOff>
    </xdr:from>
    <xdr:ext cx="190500" cy="190500"/>
    <xdr:pic>
      <xdr:nvPicPr>
        <xdr:cNvPr id="0" name="image61.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190</xdr:row>
      <xdr:rowOff>0</xdr:rowOff>
    </xdr:from>
    <xdr:ext cx="190500" cy="190500"/>
    <xdr:pic>
      <xdr:nvPicPr>
        <xdr:cNvPr id="0" name="image61.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191</xdr:row>
      <xdr:rowOff>0</xdr:rowOff>
    </xdr:from>
    <xdr:ext cx="190500" cy="190500"/>
    <xdr:pic>
      <xdr:nvPicPr>
        <xdr:cNvPr id="0" name="image50.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192</xdr:row>
      <xdr:rowOff>0</xdr:rowOff>
    </xdr:from>
    <xdr:ext cx="190500" cy="190500"/>
    <xdr:pic>
      <xdr:nvPicPr>
        <xdr:cNvPr id="0" name="image50.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193</xdr:row>
      <xdr:rowOff>0</xdr:rowOff>
    </xdr:from>
    <xdr:ext cx="190500" cy="190500"/>
    <xdr:pic>
      <xdr:nvPicPr>
        <xdr:cNvPr id="0" name="image50.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194</xdr:row>
      <xdr:rowOff>0</xdr:rowOff>
    </xdr:from>
    <xdr:ext cx="190500" cy="190500"/>
    <xdr:pic>
      <xdr:nvPicPr>
        <xdr:cNvPr id="0" name="image50.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195</xdr:row>
      <xdr:rowOff>0</xdr:rowOff>
    </xdr:from>
    <xdr:ext cx="190500" cy="190500"/>
    <xdr:pic>
      <xdr:nvPicPr>
        <xdr:cNvPr id="0" name="image54.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196</xdr:row>
      <xdr:rowOff>0</xdr:rowOff>
    </xdr:from>
    <xdr:ext cx="190500" cy="190500"/>
    <xdr:pic>
      <xdr:nvPicPr>
        <xdr:cNvPr id="0" name="image54.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197</xdr:row>
      <xdr:rowOff>0</xdr:rowOff>
    </xdr:from>
    <xdr:ext cx="190500" cy="190500"/>
    <xdr:pic>
      <xdr:nvPicPr>
        <xdr:cNvPr id="0" name="image54.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198</xdr:row>
      <xdr:rowOff>0</xdr:rowOff>
    </xdr:from>
    <xdr:ext cx="190500" cy="190500"/>
    <xdr:pic>
      <xdr:nvPicPr>
        <xdr:cNvPr id="0" name="image54.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200</xdr:row>
      <xdr:rowOff>0</xdr:rowOff>
    </xdr:from>
    <xdr:ext cx="190500" cy="190500"/>
    <xdr:pic>
      <xdr:nvPicPr>
        <xdr:cNvPr id="0" name="image70.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201</xdr:row>
      <xdr:rowOff>0</xdr:rowOff>
    </xdr:from>
    <xdr:ext cx="190500" cy="190500"/>
    <xdr:pic>
      <xdr:nvPicPr>
        <xdr:cNvPr id="0" name="image70.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202</xdr:row>
      <xdr:rowOff>0</xdr:rowOff>
    </xdr:from>
    <xdr:ext cx="190500" cy="190500"/>
    <xdr:pic>
      <xdr:nvPicPr>
        <xdr:cNvPr id="0" name="image70.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203</xdr:row>
      <xdr:rowOff>0</xdr:rowOff>
    </xdr:from>
    <xdr:ext cx="190500" cy="190500"/>
    <xdr:pic>
      <xdr:nvPicPr>
        <xdr:cNvPr id="0" name="image76.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204</xdr:row>
      <xdr:rowOff>0</xdr:rowOff>
    </xdr:from>
    <xdr:ext cx="190500" cy="190500"/>
    <xdr:pic>
      <xdr:nvPicPr>
        <xdr:cNvPr id="0" name="image76.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205</xdr:row>
      <xdr:rowOff>0</xdr:rowOff>
    </xdr:from>
    <xdr:ext cx="190500" cy="190500"/>
    <xdr:pic>
      <xdr:nvPicPr>
        <xdr:cNvPr id="0" name="image76.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206</xdr:row>
      <xdr:rowOff>0</xdr:rowOff>
    </xdr:from>
    <xdr:ext cx="190500" cy="190500"/>
    <xdr:pic>
      <xdr:nvPicPr>
        <xdr:cNvPr id="0" name="image76.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207</xdr:row>
      <xdr:rowOff>0</xdr:rowOff>
    </xdr:from>
    <xdr:ext cx="190500" cy="190500"/>
    <xdr:pic>
      <xdr:nvPicPr>
        <xdr:cNvPr id="0" name="image56.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208</xdr:row>
      <xdr:rowOff>0</xdr:rowOff>
    </xdr:from>
    <xdr:ext cx="190500" cy="190500"/>
    <xdr:pic>
      <xdr:nvPicPr>
        <xdr:cNvPr id="0" name="image56.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209</xdr:row>
      <xdr:rowOff>0</xdr:rowOff>
    </xdr:from>
    <xdr:ext cx="190500" cy="190500"/>
    <xdr:pic>
      <xdr:nvPicPr>
        <xdr:cNvPr id="0" name="image65.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210</xdr:row>
      <xdr:rowOff>0</xdr:rowOff>
    </xdr:from>
    <xdr:ext cx="190500" cy="190500"/>
    <xdr:pic>
      <xdr:nvPicPr>
        <xdr:cNvPr id="0" name="image65.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211</xdr:row>
      <xdr:rowOff>0</xdr:rowOff>
    </xdr:from>
    <xdr:ext cx="190500" cy="190500"/>
    <xdr:pic>
      <xdr:nvPicPr>
        <xdr:cNvPr id="0" name="image71.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212</xdr:row>
      <xdr:rowOff>0</xdr:rowOff>
    </xdr:from>
    <xdr:ext cx="190500" cy="190500"/>
    <xdr:pic>
      <xdr:nvPicPr>
        <xdr:cNvPr id="0" name="image71.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213</xdr:row>
      <xdr:rowOff>0</xdr:rowOff>
    </xdr:from>
    <xdr:ext cx="190500" cy="190500"/>
    <xdr:pic>
      <xdr:nvPicPr>
        <xdr:cNvPr id="0" name="image71.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214</xdr:row>
      <xdr:rowOff>0</xdr:rowOff>
    </xdr:from>
    <xdr:ext cx="190500" cy="190500"/>
    <xdr:pic>
      <xdr:nvPicPr>
        <xdr:cNvPr id="0" name="image71.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215</xdr:row>
      <xdr:rowOff>0</xdr:rowOff>
    </xdr:from>
    <xdr:ext cx="190500" cy="190500"/>
    <xdr:pic>
      <xdr:nvPicPr>
        <xdr:cNvPr id="0" name="image57.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216</xdr:row>
      <xdr:rowOff>0</xdr:rowOff>
    </xdr:from>
    <xdr:ext cx="190500" cy="190500"/>
    <xdr:pic>
      <xdr:nvPicPr>
        <xdr:cNvPr id="0" name="image57.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217</xdr:row>
      <xdr:rowOff>0</xdr:rowOff>
    </xdr:from>
    <xdr:ext cx="190500" cy="190500"/>
    <xdr:pic>
      <xdr:nvPicPr>
        <xdr:cNvPr id="0" name="image57.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218</xdr:row>
      <xdr:rowOff>0</xdr:rowOff>
    </xdr:from>
    <xdr:ext cx="190500" cy="190500"/>
    <xdr:pic>
      <xdr:nvPicPr>
        <xdr:cNvPr id="0" name="image57.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219</xdr:row>
      <xdr:rowOff>0</xdr:rowOff>
    </xdr:from>
    <xdr:ext cx="190500" cy="190500"/>
    <xdr:pic>
      <xdr:nvPicPr>
        <xdr:cNvPr id="0" name="image60.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220</xdr:row>
      <xdr:rowOff>0</xdr:rowOff>
    </xdr:from>
    <xdr:ext cx="190500" cy="190500"/>
    <xdr:pic>
      <xdr:nvPicPr>
        <xdr:cNvPr id="0" name="image60.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221</xdr:row>
      <xdr:rowOff>0</xdr:rowOff>
    </xdr:from>
    <xdr:ext cx="190500" cy="190500"/>
    <xdr:pic>
      <xdr:nvPicPr>
        <xdr:cNvPr id="0" name="image60.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222</xdr:row>
      <xdr:rowOff>0</xdr:rowOff>
    </xdr:from>
    <xdr:ext cx="190500" cy="190500"/>
    <xdr:pic>
      <xdr:nvPicPr>
        <xdr:cNvPr id="0" name="image78.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223</xdr:row>
      <xdr:rowOff>0</xdr:rowOff>
    </xdr:from>
    <xdr:ext cx="190500" cy="190500"/>
    <xdr:pic>
      <xdr:nvPicPr>
        <xdr:cNvPr id="0" name="image78.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224</xdr:row>
      <xdr:rowOff>0</xdr:rowOff>
    </xdr:from>
    <xdr:ext cx="190500" cy="190500"/>
    <xdr:pic>
      <xdr:nvPicPr>
        <xdr:cNvPr id="0" name="image78.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225</xdr:row>
      <xdr:rowOff>0</xdr:rowOff>
    </xdr:from>
    <xdr:ext cx="190500" cy="190500"/>
    <xdr:pic>
      <xdr:nvPicPr>
        <xdr:cNvPr id="0" name="image78.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226</xdr:row>
      <xdr:rowOff>0</xdr:rowOff>
    </xdr:from>
    <xdr:ext cx="190500" cy="190500"/>
    <xdr:pic>
      <xdr:nvPicPr>
        <xdr:cNvPr id="0" name="image80.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227</xdr:row>
      <xdr:rowOff>0</xdr:rowOff>
    </xdr:from>
    <xdr:ext cx="190500" cy="190500"/>
    <xdr:pic>
      <xdr:nvPicPr>
        <xdr:cNvPr id="0" name="image80.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228</xdr:row>
      <xdr:rowOff>0</xdr:rowOff>
    </xdr:from>
    <xdr:ext cx="190500" cy="190500"/>
    <xdr:pic>
      <xdr:nvPicPr>
        <xdr:cNvPr id="0" name="image80.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229</xdr:row>
      <xdr:rowOff>0</xdr:rowOff>
    </xdr:from>
    <xdr:ext cx="190500" cy="190500"/>
    <xdr:pic>
      <xdr:nvPicPr>
        <xdr:cNvPr id="0" name="image80.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230</xdr:row>
      <xdr:rowOff>0</xdr:rowOff>
    </xdr:from>
    <xdr:ext cx="190500" cy="190500"/>
    <xdr:pic>
      <xdr:nvPicPr>
        <xdr:cNvPr id="0" name="image74.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231</xdr:row>
      <xdr:rowOff>0</xdr:rowOff>
    </xdr:from>
    <xdr:ext cx="190500" cy="190500"/>
    <xdr:pic>
      <xdr:nvPicPr>
        <xdr:cNvPr id="0" name="image74.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232</xdr:row>
      <xdr:rowOff>0</xdr:rowOff>
    </xdr:from>
    <xdr:ext cx="190500" cy="190500"/>
    <xdr:pic>
      <xdr:nvPicPr>
        <xdr:cNvPr id="0" name="image74.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233</xdr:row>
      <xdr:rowOff>0</xdr:rowOff>
    </xdr:from>
    <xdr:ext cx="190500" cy="190500"/>
    <xdr:pic>
      <xdr:nvPicPr>
        <xdr:cNvPr id="0" name="image69.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234</xdr:row>
      <xdr:rowOff>0</xdr:rowOff>
    </xdr:from>
    <xdr:ext cx="190500" cy="190500"/>
    <xdr:pic>
      <xdr:nvPicPr>
        <xdr:cNvPr id="0" name="image69.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235</xdr:row>
      <xdr:rowOff>0</xdr:rowOff>
    </xdr:from>
    <xdr:ext cx="190500" cy="190500"/>
    <xdr:pic>
      <xdr:nvPicPr>
        <xdr:cNvPr id="0" name="image63.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236</xdr:row>
      <xdr:rowOff>0</xdr:rowOff>
    </xdr:from>
    <xdr:ext cx="190500" cy="190500"/>
    <xdr:pic>
      <xdr:nvPicPr>
        <xdr:cNvPr id="0" name="image63.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237</xdr:row>
      <xdr:rowOff>0</xdr:rowOff>
    </xdr:from>
    <xdr:ext cx="190500" cy="190500"/>
    <xdr:pic>
      <xdr:nvPicPr>
        <xdr:cNvPr id="0" name="image63.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238</xdr:row>
      <xdr:rowOff>0</xdr:rowOff>
    </xdr:from>
    <xdr:ext cx="190500" cy="190500"/>
    <xdr:pic>
      <xdr:nvPicPr>
        <xdr:cNvPr id="0" name="image131.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239</xdr:row>
      <xdr:rowOff>0</xdr:rowOff>
    </xdr:from>
    <xdr:ext cx="190500" cy="190500"/>
    <xdr:pic>
      <xdr:nvPicPr>
        <xdr:cNvPr id="0" name="image131.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240</xdr:row>
      <xdr:rowOff>0</xdr:rowOff>
    </xdr:from>
    <xdr:ext cx="190500" cy="190500"/>
    <xdr:pic>
      <xdr:nvPicPr>
        <xdr:cNvPr id="0" name="image131.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241</xdr:row>
      <xdr:rowOff>0</xdr:rowOff>
    </xdr:from>
    <xdr:ext cx="190500" cy="190500"/>
    <xdr:pic>
      <xdr:nvPicPr>
        <xdr:cNvPr id="0" name="image131.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242</xdr:row>
      <xdr:rowOff>0</xdr:rowOff>
    </xdr:from>
    <xdr:ext cx="190500" cy="190500"/>
    <xdr:pic>
      <xdr:nvPicPr>
        <xdr:cNvPr id="0" name="image66.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243</xdr:row>
      <xdr:rowOff>0</xdr:rowOff>
    </xdr:from>
    <xdr:ext cx="190500" cy="190500"/>
    <xdr:pic>
      <xdr:nvPicPr>
        <xdr:cNvPr id="0" name="image66.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244</xdr:row>
      <xdr:rowOff>0</xdr:rowOff>
    </xdr:from>
    <xdr:ext cx="190500" cy="190500"/>
    <xdr:pic>
      <xdr:nvPicPr>
        <xdr:cNvPr id="0" name="image66.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245</xdr:row>
      <xdr:rowOff>0</xdr:rowOff>
    </xdr:from>
    <xdr:ext cx="190500" cy="190500"/>
    <xdr:pic>
      <xdr:nvPicPr>
        <xdr:cNvPr id="0" name="image68.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246</xdr:row>
      <xdr:rowOff>0</xdr:rowOff>
    </xdr:from>
    <xdr:ext cx="190500" cy="190500"/>
    <xdr:pic>
      <xdr:nvPicPr>
        <xdr:cNvPr id="0" name="image68.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247</xdr:row>
      <xdr:rowOff>0</xdr:rowOff>
    </xdr:from>
    <xdr:ext cx="190500" cy="190500"/>
    <xdr:pic>
      <xdr:nvPicPr>
        <xdr:cNvPr id="0" name="image68.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248</xdr:row>
      <xdr:rowOff>0</xdr:rowOff>
    </xdr:from>
    <xdr:ext cx="190500" cy="190500"/>
    <xdr:pic>
      <xdr:nvPicPr>
        <xdr:cNvPr id="0" name="image67.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249</xdr:row>
      <xdr:rowOff>0</xdr:rowOff>
    </xdr:from>
    <xdr:ext cx="190500" cy="190500"/>
    <xdr:pic>
      <xdr:nvPicPr>
        <xdr:cNvPr id="0" name="image67.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250</xdr:row>
      <xdr:rowOff>0</xdr:rowOff>
    </xdr:from>
    <xdr:ext cx="190500" cy="190500"/>
    <xdr:pic>
      <xdr:nvPicPr>
        <xdr:cNvPr id="0" name="image67.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251</xdr:row>
      <xdr:rowOff>0</xdr:rowOff>
    </xdr:from>
    <xdr:ext cx="190500" cy="190500"/>
    <xdr:pic>
      <xdr:nvPicPr>
        <xdr:cNvPr id="0" name="image67.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253</xdr:row>
      <xdr:rowOff>0</xdr:rowOff>
    </xdr:from>
    <xdr:ext cx="190500" cy="190500"/>
    <xdr:pic>
      <xdr:nvPicPr>
        <xdr:cNvPr id="0" name="image81.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254</xdr:row>
      <xdr:rowOff>0</xdr:rowOff>
    </xdr:from>
    <xdr:ext cx="190500" cy="190500"/>
    <xdr:pic>
      <xdr:nvPicPr>
        <xdr:cNvPr id="0" name="image81.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255</xdr:row>
      <xdr:rowOff>0</xdr:rowOff>
    </xdr:from>
    <xdr:ext cx="190500" cy="190500"/>
    <xdr:pic>
      <xdr:nvPicPr>
        <xdr:cNvPr id="0" name="image81.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256</xdr:row>
      <xdr:rowOff>0</xdr:rowOff>
    </xdr:from>
    <xdr:ext cx="190500" cy="190500"/>
    <xdr:pic>
      <xdr:nvPicPr>
        <xdr:cNvPr id="0" name="image108.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257</xdr:row>
      <xdr:rowOff>0</xdr:rowOff>
    </xdr:from>
    <xdr:ext cx="190500" cy="190500"/>
    <xdr:pic>
      <xdr:nvPicPr>
        <xdr:cNvPr id="0" name="image108.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258</xdr:row>
      <xdr:rowOff>0</xdr:rowOff>
    </xdr:from>
    <xdr:ext cx="190500" cy="190500"/>
    <xdr:pic>
      <xdr:nvPicPr>
        <xdr:cNvPr id="0" name="image108.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259</xdr:row>
      <xdr:rowOff>0</xdr:rowOff>
    </xdr:from>
    <xdr:ext cx="190500" cy="190500"/>
    <xdr:pic>
      <xdr:nvPicPr>
        <xdr:cNvPr id="0" name="image108.png"/>
        <xdr:cNvPicPr preferRelativeResize="0"/>
      </xdr:nvPicPr>
      <xdr:blipFill>
        <a:blip cstate="print" r:embed="rId7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38125" cy="238125"/>
    <xdr:pic>
      <xdr:nvPicPr>
        <xdr:cNvPr id="0" name="image9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190500" cy="190500"/>
    <xdr:pic>
      <xdr:nvPicPr>
        <xdr:cNvPr id="0" name="image8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190500" cy="190500"/>
    <xdr:pic>
      <xdr:nvPicPr>
        <xdr:cNvPr id="0" name="image119.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190500" cy="190500"/>
    <xdr:pic>
      <xdr:nvPicPr>
        <xdr:cNvPr id="0" name="image73.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190500" cy="190500"/>
    <xdr:pic>
      <xdr:nvPicPr>
        <xdr:cNvPr id="0" name="image72.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190500" cy="190500"/>
    <xdr:pic>
      <xdr:nvPicPr>
        <xdr:cNvPr id="0" name="image91.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190500" cy="190500"/>
    <xdr:pic>
      <xdr:nvPicPr>
        <xdr:cNvPr id="0" name="image99.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190500" cy="190500"/>
    <xdr:pic>
      <xdr:nvPicPr>
        <xdr:cNvPr id="0" name="image93.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123825" cy="190500"/>
    <xdr:pic>
      <xdr:nvPicPr>
        <xdr:cNvPr id="0" name="image77.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xdr:row>
      <xdr:rowOff>0</xdr:rowOff>
    </xdr:from>
    <xdr:ext cx="190500" cy="190500"/>
    <xdr:pic>
      <xdr:nvPicPr>
        <xdr:cNvPr id="0" name="image9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xdr:row>
      <xdr:rowOff>0</xdr:rowOff>
    </xdr:from>
    <xdr:ext cx="190500" cy="190500"/>
    <xdr:pic>
      <xdr:nvPicPr>
        <xdr:cNvPr id="0" name="image121.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12</xdr:row>
      <xdr:rowOff>0</xdr:rowOff>
    </xdr:from>
    <xdr:ext cx="190500" cy="190500"/>
    <xdr:pic>
      <xdr:nvPicPr>
        <xdr:cNvPr id="0" name="image100.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xdr:row>
      <xdr:rowOff>0</xdr:rowOff>
    </xdr:from>
    <xdr:ext cx="190500" cy="190500"/>
    <xdr:pic>
      <xdr:nvPicPr>
        <xdr:cNvPr id="0" name="image79.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14</xdr:row>
      <xdr:rowOff>0</xdr:rowOff>
    </xdr:from>
    <xdr:ext cx="190500" cy="190500"/>
    <xdr:pic>
      <xdr:nvPicPr>
        <xdr:cNvPr id="0" name="image109.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15</xdr:row>
      <xdr:rowOff>0</xdr:rowOff>
    </xdr:from>
    <xdr:ext cx="190500" cy="190500"/>
    <xdr:pic>
      <xdr:nvPicPr>
        <xdr:cNvPr id="0" name="image82.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16</xdr:row>
      <xdr:rowOff>0</xdr:rowOff>
    </xdr:from>
    <xdr:ext cx="190500" cy="190500"/>
    <xdr:pic>
      <xdr:nvPicPr>
        <xdr:cNvPr id="0" name="image112.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17</xdr:row>
      <xdr:rowOff>0</xdr:rowOff>
    </xdr:from>
    <xdr:ext cx="190500" cy="190500"/>
    <xdr:pic>
      <xdr:nvPicPr>
        <xdr:cNvPr id="0" name="image160.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18</xdr:row>
      <xdr:rowOff>0</xdr:rowOff>
    </xdr:from>
    <xdr:ext cx="190500" cy="190500"/>
    <xdr:pic>
      <xdr:nvPicPr>
        <xdr:cNvPr id="0" name="image139.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19</xdr:row>
      <xdr:rowOff>0</xdr:rowOff>
    </xdr:from>
    <xdr:ext cx="190500" cy="190500"/>
    <xdr:pic>
      <xdr:nvPicPr>
        <xdr:cNvPr id="0" name="image83.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20</xdr:row>
      <xdr:rowOff>0</xdr:rowOff>
    </xdr:from>
    <xdr:ext cx="190500" cy="190500"/>
    <xdr:pic>
      <xdr:nvPicPr>
        <xdr:cNvPr id="0" name="image138.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21</xdr:row>
      <xdr:rowOff>0</xdr:rowOff>
    </xdr:from>
    <xdr:ext cx="190500" cy="190500"/>
    <xdr:pic>
      <xdr:nvPicPr>
        <xdr:cNvPr id="0" name="image117.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22</xdr:row>
      <xdr:rowOff>0</xdr:rowOff>
    </xdr:from>
    <xdr:ext cx="180975" cy="190500"/>
    <xdr:pic>
      <xdr:nvPicPr>
        <xdr:cNvPr id="0" name="image88.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23</xdr:row>
      <xdr:rowOff>0</xdr:rowOff>
    </xdr:from>
    <xdr:ext cx="180975" cy="190500"/>
    <xdr:pic>
      <xdr:nvPicPr>
        <xdr:cNvPr id="0" name="image84.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24</xdr:row>
      <xdr:rowOff>0</xdr:rowOff>
    </xdr:from>
    <xdr:ext cx="180975" cy="190500"/>
    <xdr:pic>
      <xdr:nvPicPr>
        <xdr:cNvPr id="0" name="image13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25</xdr:row>
      <xdr:rowOff>0</xdr:rowOff>
    </xdr:from>
    <xdr:ext cx="180975" cy="190500"/>
    <xdr:pic>
      <xdr:nvPicPr>
        <xdr:cNvPr id="0" name="image148.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26</xdr:row>
      <xdr:rowOff>0</xdr:rowOff>
    </xdr:from>
    <xdr:ext cx="180975" cy="190500"/>
    <xdr:pic>
      <xdr:nvPicPr>
        <xdr:cNvPr id="0" name="image135.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27</xdr:row>
      <xdr:rowOff>0</xdr:rowOff>
    </xdr:from>
    <xdr:ext cx="180975" cy="190500"/>
    <xdr:pic>
      <xdr:nvPicPr>
        <xdr:cNvPr id="0" name="image87.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28</xdr:row>
      <xdr:rowOff>0</xdr:rowOff>
    </xdr:from>
    <xdr:ext cx="180975" cy="190500"/>
    <xdr:pic>
      <xdr:nvPicPr>
        <xdr:cNvPr id="0" name="image127.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29</xdr:row>
      <xdr:rowOff>0</xdr:rowOff>
    </xdr:from>
    <xdr:ext cx="180975" cy="190500"/>
    <xdr:pic>
      <xdr:nvPicPr>
        <xdr:cNvPr id="0" name="image85.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30</xdr:row>
      <xdr:rowOff>0</xdr:rowOff>
    </xdr:from>
    <xdr:ext cx="180975" cy="190500"/>
    <xdr:pic>
      <xdr:nvPicPr>
        <xdr:cNvPr id="0" name="image89.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31</xdr:row>
      <xdr:rowOff>0</xdr:rowOff>
    </xdr:from>
    <xdr:ext cx="180975" cy="190500"/>
    <xdr:pic>
      <xdr:nvPicPr>
        <xdr:cNvPr id="0" name="image90.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32</xdr:row>
      <xdr:rowOff>0</xdr:rowOff>
    </xdr:from>
    <xdr:ext cx="190500" cy="190500"/>
    <xdr:pic>
      <xdr:nvPicPr>
        <xdr:cNvPr id="0" name="image118.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33</xdr:row>
      <xdr:rowOff>0</xdr:rowOff>
    </xdr:from>
    <xdr:ext cx="190500" cy="190500"/>
    <xdr:pic>
      <xdr:nvPicPr>
        <xdr:cNvPr id="0" name="image101.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xdr:row>
      <xdr:rowOff>0</xdr:rowOff>
    </xdr:from>
    <xdr:ext cx="190500" cy="190500"/>
    <xdr:pic>
      <xdr:nvPicPr>
        <xdr:cNvPr id="0" name="image116.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35</xdr:row>
      <xdr:rowOff>0</xdr:rowOff>
    </xdr:from>
    <xdr:ext cx="190500" cy="190500"/>
    <xdr:pic>
      <xdr:nvPicPr>
        <xdr:cNvPr id="0" name="image155.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36</xdr:row>
      <xdr:rowOff>0</xdr:rowOff>
    </xdr:from>
    <xdr:ext cx="190500" cy="190500"/>
    <xdr:pic>
      <xdr:nvPicPr>
        <xdr:cNvPr id="0" name="image96.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37</xdr:row>
      <xdr:rowOff>0</xdr:rowOff>
    </xdr:from>
    <xdr:ext cx="190500" cy="190500"/>
    <xdr:pic>
      <xdr:nvPicPr>
        <xdr:cNvPr id="0" name="image95.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38</xdr:row>
      <xdr:rowOff>0</xdr:rowOff>
    </xdr:from>
    <xdr:ext cx="142875" cy="190500"/>
    <xdr:pic>
      <xdr:nvPicPr>
        <xdr:cNvPr id="0" name="image165.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39</xdr:row>
      <xdr:rowOff>0</xdr:rowOff>
    </xdr:from>
    <xdr:ext cx="190500" cy="190500"/>
    <xdr:pic>
      <xdr:nvPicPr>
        <xdr:cNvPr id="0" name="image94.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41</xdr:row>
      <xdr:rowOff>0</xdr:rowOff>
    </xdr:from>
    <xdr:ext cx="190500" cy="190500"/>
    <xdr:pic>
      <xdr:nvPicPr>
        <xdr:cNvPr id="0" name="image128.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42</xdr:row>
      <xdr:rowOff>0</xdr:rowOff>
    </xdr:from>
    <xdr:ext cx="190500" cy="190500"/>
    <xdr:pic>
      <xdr:nvPicPr>
        <xdr:cNvPr id="0" name="image141.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43</xdr:row>
      <xdr:rowOff>0</xdr:rowOff>
    </xdr:from>
    <xdr:ext cx="190500" cy="190500"/>
    <xdr:pic>
      <xdr:nvPicPr>
        <xdr:cNvPr id="0" name="image147.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44</xdr:row>
      <xdr:rowOff>0</xdr:rowOff>
    </xdr:from>
    <xdr:ext cx="190500" cy="190500"/>
    <xdr:pic>
      <xdr:nvPicPr>
        <xdr:cNvPr id="0" name="image144.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45</xdr:row>
      <xdr:rowOff>0</xdr:rowOff>
    </xdr:from>
    <xdr:ext cx="190500" cy="190500"/>
    <xdr:pic>
      <xdr:nvPicPr>
        <xdr:cNvPr id="0" name="image103.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46</xdr:row>
      <xdr:rowOff>0</xdr:rowOff>
    </xdr:from>
    <xdr:ext cx="190500" cy="190500"/>
    <xdr:pic>
      <xdr:nvPicPr>
        <xdr:cNvPr id="0" name="image104.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47</xdr:row>
      <xdr:rowOff>0</xdr:rowOff>
    </xdr:from>
    <xdr:ext cx="190500" cy="190500"/>
    <xdr:pic>
      <xdr:nvPicPr>
        <xdr:cNvPr id="0" name="image106.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48</xdr:row>
      <xdr:rowOff>0</xdr:rowOff>
    </xdr:from>
    <xdr:ext cx="190500" cy="190500"/>
    <xdr:pic>
      <xdr:nvPicPr>
        <xdr:cNvPr id="0" name="image149.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49</xdr:row>
      <xdr:rowOff>0</xdr:rowOff>
    </xdr:from>
    <xdr:ext cx="190500" cy="190500"/>
    <xdr:pic>
      <xdr:nvPicPr>
        <xdr:cNvPr id="0" name="image97.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50</xdr:row>
      <xdr:rowOff>0</xdr:rowOff>
    </xdr:from>
    <xdr:ext cx="190500" cy="190500"/>
    <xdr:pic>
      <xdr:nvPicPr>
        <xdr:cNvPr id="0" name="image123.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51</xdr:row>
      <xdr:rowOff>0</xdr:rowOff>
    </xdr:from>
    <xdr:ext cx="190500" cy="190500"/>
    <xdr:pic>
      <xdr:nvPicPr>
        <xdr:cNvPr id="0" name="image162.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52</xdr:row>
      <xdr:rowOff>0</xdr:rowOff>
    </xdr:from>
    <xdr:ext cx="190500" cy="190500"/>
    <xdr:pic>
      <xdr:nvPicPr>
        <xdr:cNvPr id="0" name="image102.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53</xdr:row>
      <xdr:rowOff>0</xdr:rowOff>
    </xdr:from>
    <xdr:ext cx="190500" cy="190500"/>
    <xdr:pic>
      <xdr:nvPicPr>
        <xdr:cNvPr id="0" name="image145.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54</xdr:row>
      <xdr:rowOff>0</xdr:rowOff>
    </xdr:from>
    <xdr:ext cx="190500" cy="190500"/>
    <xdr:pic>
      <xdr:nvPicPr>
        <xdr:cNvPr id="0" name="image146.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55</xdr:row>
      <xdr:rowOff>0</xdr:rowOff>
    </xdr:from>
    <xdr:ext cx="190500" cy="190500"/>
    <xdr:pic>
      <xdr:nvPicPr>
        <xdr:cNvPr id="0" name="image132.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56</xdr:row>
      <xdr:rowOff>0</xdr:rowOff>
    </xdr:from>
    <xdr:ext cx="190500" cy="190500"/>
    <xdr:pic>
      <xdr:nvPicPr>
        <xdr:cNvPr id="0" name="image105.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57</xdr:row>
      <xdr:rowOff>0</xdr:rowOff>
    </xdr:from>
    <xdr:ext cx="190500" cy="190500"/>
    <xdr:pic>
      <xdr:nvPicPr>
        <xdr:cNvPr id="0" name="image110.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58</xdr:row>
      <xdr:rowOff>0</xdr:rowOff>
    </xdr:from>
    <xdr:ext cx="190500" cy="190500"/>
    <xdr:pic>
      <xdr:nvPicPr>
        <xdr:cNvPr id="0" name="image126.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59</xdr:row>
      <xdr:rowOff>0</xdr:rowOff>
    </xdr:from>
    <xdr:ext cx="190500" cy="190500"/>
    <xdr:pic>
      <xdr:nvPicPr>
        <xdr:cNvPr id="0" name="image107.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60</xdr:row>
      <xdr:rowOff>0</xdr:rowOff>
    </xdr:from>
    <xdr:ext cx="190500" cy="190500"/>
    <xdr:pic>
      <xdr:nvPicPr>
        <xdr:cNvPr id="0" name="image157.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61</xdr:row>
      <xdr:rowOff>0</xdr:rowOff>
    </xdr:from>
    <xdr:ext cx="190500" cy="190500"/>
    <xdr:pic>
      <xdr:nvPicPr>
        <xdr:cNvPr id="0" name="image115.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62</xdr:row>
      <xdr:rowOff>0</xdr:rowOff>
    </xdr:from>
    <xdr:ext cx="190500" cy="190500"/>
    <xdr:pic>
      <xdr:nvPicPr>
        <xdr:cNvPr id="0" name="image153.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63</xdr:row>
      <xdr:rowOff>0</xdr:rowOff>
    </xdr:from>
    <xdr:ext cx="190500" cy="190500"/>
    <xdr:pic>
      <xdr:nvPicPr>
        <xdr:cNvPr id="0" name="image111.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64</xdr:row>
      <xdr:rowOff>0</xdr:rowOff>
    </xdr:from>
    <xdr:ext cx="190500" cy="190500"/>
    <xdr:pic>
      <xdr:nvPicPr>
        <xdr:cNvPr id="0" name="image140.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65</xdr:row>
      <xdr:rowOff>0</xdr:rowOff>
    </xdr:from>
    <xdr:ext cx="190500" cy="190500"/>
    <xdr:pic>
      <xdr:nvPicPr>
        <xdr:cNvPr id="0" name="image114.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66</xdr:row>
      <xdr:rowOff>0</xdr:rowOff>
    </xdr:from>
    <xdr:ext cx="190500" cy="190500"/>
    <xdr:pic>
      <xdr:nvPicPr>
        <xdr:cNvPr id="0" name="image113.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67</xdr:row>
      <xdr:rowOff>0</xdr:rowOff>
    </xdr:from>
    <xdr:ext cx="180975" cy="190500"/>
    <xdr:pic>
      <xdr:nvPicPr>
        <xdr:cNvPr id="0" name="image150.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68</xdr:row>
      <xdr:rowOff>0</xdr:rowOff>
    </xdr:from>
    <xdr:ext cx="180975" cy="190500"/>
    <xdr:pic>
      <xdr:nvPicPr>
        <xdr:cNvPr id="0" name="image152.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69</xdr:row>
      <xdr:rowOff>0</xdr:rowOff>
    </xdr:from>
    <xdr:ext cx="190500" cy="190500"/>
    <xdr:pic>
      <xdr:nvPicPr>
        <xdr:cNvPr id="0" name="image122.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70</xdr:row>
      <xdr:rowOff>0</xdr:rowOff>
    </xdr:from>
    <xdr:ext cx="180975" cy="190500"/>
    <xdr:pic>
      <xdr:nvPicPr>
        <xdr:cNvPr id="0" name="image124.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71</xdr:row>
      <xdr:rowOff>0</xdr:rowOff>
    </xdr:from>
    <xdr:ext cx="190500" cy="190500"/>
    <xdr:pic>
      <xdr:nvPicPr>
        <xdr:cNvPr id="0" name="image130.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72</xdr:row>
      <xdr:rowOff>0</xdr:rowOff>
    </xdr:from>
    <xdr:ext cx="190500" cy="190500"/>
    <xdr:pic>
      <xdr:nvPicPr>
        <xdr:cNvPr id="0" name="image164.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73</xdr:row>
      <xdr:rowOff>0</xdr:rowOff>
    </xdr:from>
    <xdr:ext cx="180975" cy="190500"/>
    <xdr:pic>
      <xdr:nvPicPr>
        <xdr:cNvPr id="0" name="image120.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74</xdr:row>
      <xdr:rowOff>0</xdr:rowOff>
    </xdr:from>
    <xdr:ext cx="190500" cy="190500"/>
    <xdr:pic>
      <xdr:nvPicPr>
        <xdr:cNvPr id="0" name="image129.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75</xdr:row>
      <xdr:rowOff>0</xdr:rowOff>
    </xdr:from>
    <xdr:ext cx="190500" cy="190500"/>
    <xdr:pic>
      <xdr:nvPicPr>
        <xdr:cNvPr id="0" name="image151.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76</xdr:row>
      <xdr:rowOff>0</xdr:rowOff>
    </xdr:from>
    <xdr:ext cx="190500" cy="190500"/>
    <xdr:pic>
      <xdr:nvPicPr>
        <xdr:cNvPr id="0" name="image156.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77</xdr:row>
      <xdr:rowOff>0</xdr:rowOff>
    </xdr:from>
    <xdr:ext cx="190500" cy="190500"/>
    <xdr:pic>
      <xdr:nvPicPr>
        <xdr:cNvPr id="0" name="image154.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78</xdr:row>
      <xdr:rowOff>0</xdr:rowOff>
    </xdr:from>
    <xdr:ext cx="190500" cy="190500"/>
    <xdr:pic>
      <xdr:nvPicPr>
        <xdr:cNvPr id="0" name="image125.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79</xdr:row>
      <xdr:rowOff>0</xdr:rowOff>
    </xdr:from>
    <xdr:ext cx="190500" cy="190500"/>
    <xdr:pic>
      <xdr:nvPicPr>
        <xdr:cNvPr id="0" name="image159.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80</xdr:row>
      <xdr:rowOff>0</xdr:rowOff>
    </xdr:from>
    <xdr:ext cx="190500" cy="190500"/>
    <xdr:pic>
      <xdr:nvPicPr>
        <xdr:cNvPr id="0" name="image142.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81</xdr:row>
      <xdr:rowOff>0</xdr:rowOff>
    </xdr:from>
    <xdr:ext cx="238125" cy="190500"/>
    <xdr:pic>
      <xdr:nvPicPr>
        <xdr:cNvPr id="0" name="image161.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82</xdr:row>
      <xdr:rowOff>0</xdr:rowOff>
    </xdr:from>
    <xdr:ext cx="190500" cy="190500"/>
    <xdr:pic>
      <xdr:nvPicPr>
        <xdr:cNvPr id="0" name="image143.png"/>
        <xdr:cNvPicPr preferRelativeResize="0"/>
      </xdr:nvPicPr>
      <xdr:blipFill>
        <a:blip cstate="print" r:embed="rId81"/>
        <a:stretch>
          <a:fillRect/>
        </a:stretch>
      </xdr:blipFill>
      <xdr:spPr>
        <a:prstGeom prst="rect">
          <a:avLst/>
        </a:prstGeom>
        <a:noFill/>
      </xdr:spPr>
    </xdr:pic>
    <xdr:clientData fLocksWithSheet="0"/>
  </xdr:oneCellAnchor>
  <xdr:oneCellAnchor>
    <xdr:from>
      <xdr:col>1</xdr:col>
      <xdr:colOff>0</xdr:colOff>
      <xdr:row>83</xdr:row>
      <xdr:rowOff>0</xdr:rowOff>
    </xdr:from>
    <xdr:ext cx="190500" cy="190500"/>
    <xdr:pic>
      <xdr:nvPicPr>
        <xdr:cNvPr id="0" name="image136.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84</xdr:row>
      <xdr:rowOff>0</xdr:rowOff>
    </xdr:from>
    <xdr:ext cx="190500" cy="190500"/>
    <xdr:pic>
      <xdr:nvPicPr>
        <xdr:cNvPr id="0" name="image158.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85</xdr:row>
      <xdr:rowOff>0</xdr:rowOff>
    </xdr:from>
    <xdr:ext cx="190500" cy="190500"/>
    <xdr:pic>
      <xdr:nvPicPr>
        <xdr:cNvPr id="0" name="image137.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86</xdr:row>
      <xdr:rowOff>0</xdr:rowOff>
    </xdr:from>
    <xdr:ext cx="190500" cy="190500"/>
    <xdr:pic>
      <xdr:nvPicPr>
        <xdr:cNvPr id="0" name="image134.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89</xdr:row>
      <xdr:rowOff>0</xdr:rowOff>
    </xdr:from>
    <xdr:ext cx="123825" cy="190500"/>
    <xdr:pic>
      <xdr:nvPicPr>
        <xdr:cNvPr id="0" name="image163.png"/>
        <xdr:cNvPicPr preferRelativeResize="0"/>
      </xdr:nvPicPr>
      <xdr:blipFill>
        <a:blip cstate="print" r:embed="rId86"/>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657225</xdr:colOff>
      <xdr:row>10</xdr:row>
      <xdr:rowOff>57150</xdr:rowOff>
    </xdr:from>
    <xdr:ext cx="43053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U1" displayName="Table_3" name="Table_3" id="3">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Intro-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C963" displayName="Table_2" name="Table_2" id="2">
  <tableColumns count="3">
    <tableColumn name="属性" id="1"/>
    <tableColumn name="每升级属性值" id="2"/>
    <tableColumn name="每属性升级数" id="3"/>
  </tableColumns>
  <tableStyleInfo name="Value Settings-style" showColumnStripes="0" showFirstColumn="1" showLastColumn="1" showRowStripes="1"/>
</table>
</file>

<file path=xl/tables/table3.xml><?xml version="1.0" encoding="utf-8"?>
<table xmlns="http://schemas.openxmlformats.org/spreadsheetml/2006/main" headerRowCount="0" ref="G2:K19" displayName="Table_4" name="Table_4" id="4">
  <tableColumns count="5">
    <tableColumn name="Column1" id="1"/>
    <tableColumn name="Column2" id="2"/>
    <tableColumn name="Column3" id="3"/>
    <tableColumn name="Column4" id="4"/>
    <tableColumn name="Column5" id="5"/>
  </tableColumns>
  <tableStyleInfo name="Value Settings-style 2"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AF999" displayName="Table_1" name="Table_1" id="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Item Efficiency-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5:A6" displayName="Table_5" name="Table_5" id="5">
  <tableColumns count="1">
    <tableColumn name="护甲" id="1"/>
  </tableColumns>
  <tableStyleInfo name="Calculators-style" showColumnStripes="0" showFirstColumn="1" showLastColumn="1" showRowStripes="1"/>
</table>
</file>

<file path=xl/tables/table6.xml><?xml version="1.0" encoding="utf-8"?>
<table xmlns="http://schemas.openxmlformats.org/spreadsheetml/2006/main" ref="A7:A8" displayName="Table_6" name="Table_6" id="6">
  <tableColumns count="1">
    <tableColumn name="闪避%" id="1"/>
  </tableColumns>
  <tableStyleInfo name="Calculators-style 2" showColumnStripes="0" showFirstColumn="1" showLastColumn="1" showRowStripes="1"/>
</table>
</file>

<file path=xl/tables/table7.xml><?xml version="1.0" encoding="utf-8"?>
<table xmlns="http://schemas.openxmlformats.org/spreadsheetml/2006/main" ref="A11:A12" displayName="Table_7" name="Table_7" id="7">
  <tableColumns count="1">
    <tableColumn name="最大生命值" id="1"/>
  </tableColumns>
  <tableStyleInfo name="Calculators-style 3" showColumnStripes="0" showFirstColumn="1" showLastColumn="1" showRowStripes="1"/>
</table>
</file>

<file path=xl/tables/table8.xml><?xml version="1.0" encoding="utf-8"?>
<table xmlns="http://schemas.openxmlformats.org/spreadsheetml/2006/main" ref="A1:K66" displayName="Table_8" name="Table_8" id="8">
  <tableColumns count="11">
    <tableColumn name="波数" id="1"/>
    <tableColumn name="无尽系数" id="2"/>
    <tableColumn name="巨人腰带" id="3"/>
    <tableColumn name="消耗品" id="4"/>
    <tableColumn name="无敌帧系数" id="5"/>
    <tableColumn name="伤害系数" id="6"/>
    <tableColumn name="生命系数" id="7"/>
    <tableColumn name="速度系数" id="8"/>
    <tableColumn name="商店价格涨幅（占基础价格的百分比）" id="9"/>
    <tableColumn name="刷新费用增幅（由无尽系数决定）" id="10"/>
    <tableColumn name="首次刷新" id="11"/>
  </tableColumns>
  <tableStyleInfo name="Endless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brotato.wiki.spellsandguns.com/Endless_Mode" TargetMode="External"/><Relationship Id="rId3" Type="http://schemas.openxmlformats.org/officeDocument/2006/relationships/hyperlink" Target="https://brotato.wiki.spellsandguns.com/Endless_Mode" TargetMode="External"/><Relationship Id="rId4" Type="http://schemas.openxmlformats.org/officeDocument/2006/relationships/hyperlink" Target="https://docs.google.com/document/u/0/d/1-c33h4oZwmWj3ZOz4xp0HN4vIyMXxOwGK8Rm8e4mfKE/edit" TargetMode="External"/><Relationship Id="rId9" Type="http://schemas.openxmlformats.org/officeDocument/2006/relationships/hyperlink" Target="https://brotato.wiki.spellsandguns.com/ArosRising%27s_Guide_to_Endless_Mode" TargetMode="External"/><Relationship Id="rId5" Type="http://schemas.openxmlformats.org/officeDocument/2006/relationships/hyperlink" Target="https://steamcommunity.com/sharedfiles/filedetails/?id=3058512152" TargetMode="External"/><Relationship Id="rId6" Type="http://schemas.openxmlformats.org/officeDocument/2006/relationships/hyperlink" Target="https://docs.google.com/document/u/0/d/1EfW2UVO55TejfiSRUObuuZ5FmA2lmgD2lQrJBnQW6hY/edit" TargetMode="External"/><Relationship Id="rId7" Type="http://schemas.openxmlformats.org/officeDocument/2006/relationships/hyperlink" Target="https://steamcommunity.com/sharedfiles/filedetails/?id=3082201639&amp;searchtext=" TargetMode="External"/><Relationship Id="rId8" Type="http://schemas.openxmlformats.org/officeDocument/2006/relationships/hyperlink" Target="https://docs.google.com/document/d/1WgZ5fjzamWd8S4gJTiABjcVYiL95tzVdbLtpkSajYXY/edit?usp=sharing" TargetMode="External"/><Relationship Id="rId20" Type="http://schemas.openxmlformats.org/officeDocument/2006/relationships/hyperlink" Target="https://docs.google.com/spreadsheets/d/1sLRUs_Wj4igEmJt48UQ5jOxwKpgIFf9D9h2hIV6RvsM/edit?usp=sharing" TargetMode="External"/><Relationship Id="rId22" Type="http://schemas.openxmlformats.org/officeDocument/2006/relationships/vmlDrawing" Target="../drawings/vmlDrawing1.vml"/><Relationship Id="rId21" Type="http://schemas.openxmlformats.org/officeDocument/2006/relationships/drawing" Target="../drawings/drawing1.xml"/><Relationship Id="rId24" Type="http://schemas.openxmlformats.org/officeDocument/2006/relationships/table" Target="../tables/table1.xml"/><Relationship Id="rId11" Type="http://schemas.openxmlformats.org/officeDocument/2006/relationships/hyperlink" Target="https://docs.google.com/document/d/1pbtYn_vbneH8Xdx7UNlesa9gKeVdNYRF6Fc0U5Ifzh8/edit?usp=sharing" TargetMode="External"/><Relationship Id="rId10" Type="http://schemas.openxmlformats.org/officeDocument/2006/relationships/hyperlink" Target="https://tiermaker.com/user/15463737" TargetMode="External"/><Relationship Id="rId13" Type="http://schemas.openxmlformats.org/officeDocument/2006/relationships/hyperlink" Target="https://docs.google.com/document/u/0/d/1Mp11aUFXePW5ERHDseHFyLf6SGy-uTVo9yfvpX23DVk/edit" TargetMode="External"/><Relationship Id="rId12" Type="http://schemas.openxmlformats.org/officeDocument/2006/relationships/hyperlink" Target="https://discord.com/invite/j39jE6k" TargetMode="External"/><Relationship Id="rId15" Type="http://schemas.openxmlformats.org/officeDocument/2006/relationships/hyperlink" Target="https://docs.google.com/document/u/0/d/17x89vwa7SnBfFaEVkQRXpDij7Q-09Qtp_nzgDoilcHc/edit" TargetMode="External"/><Relationship Id="rId14" Type="http://schemas.openxmlformats.org/officeDocument/2006/relationships/hyperlink" Target="https://brotato.wiki.spellsandguns.com/Brotato_Wiki" TargetMode="External"/><Relationship Id="rId17" Type="http://schemas.openxmlformats.org/officeDocument/2006/relationships/hyperlink" Target="https://docs.google.com/document/u/0/d/1kSayHqMzcuMJbHzWsonj4dwj4Ohz_IktsLTXqPxq_YE/edit" TargetMode="External"/><Relationship Id="rId16" Type="http://schemas.openxmlformats.org/officeDocument/2006/relationships/hyperlink" Target="https://www.reddit.com/r/brotato/" TargetMode="External"/><Relationship Id="rId19" Type="http://schemas.openxmlformats.org/officeDocument/2006/relationships/hyperlink" Target="https://docs.google.com/document/d/1q1zGMI3OmRmFdCUY21VV0YisG2rpYw3ZqnlF8WK75jg/edit?usp=sharing" TargetMode="External"/><Relationship Id="rId18" Type="http://schemas.openxmlformats.org/officeDocument/2006/relationships/hyperlink" Target="https://docs.google.com/document/u/0/d/1nlRzaEvJ_utz_PYSPkYYmPohVbRH59Q3T6KLibwJpes/edit"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6" Type="http://schemas.openxmlformats.org/officeDocument/2006/relationships/table" Target="../tables/table2.xml"/><Relationship Id="rId7"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 Id="rId5"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 Id="rId9" Type="http://schemas.openxmlformats.org/officeDocument/2006/relationships/table" Target="../tables/table7.xml"/><Relationship Id="rId7" Type="http://schemas.openxmlformats.org/officeDocument/2006/relationships/table" Target="../tables/table5.xml"/><Relationship Id="rId8"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88"/>
    <col customWidth="1" min="2" max="2" width="30.0"/>
    <col customWidth="1" min="3" max="3" width="29.0"/>
    <col customWidth="1" min="4" max="4" width="27.38"/>
    <col customWidth="1" min="5" max="6" width="23.75"/>
    <col customWidth="1" min="7" max="7" width="23.0"/>
  </cols>
  <sheetData>
    <row r="1">
      <c r="A1" s="1" t="s">
        <v>0</v>
      </c>
      <c r="B1" s="8" t="s">
        <v>3</v>
      </c>
      <c r="C1" s="8" t="s">
        <v>14</v>
      </c>
      <c r="D1" s="8" t="s">
        <v>19</v>
      </c>
      <c r="E1" s="8" t="s">
        <v>24</v>
      </c>
      <c r="F1" s="8" t="s">
        <v>31</v>
      </c>
      <c r="G1" s="8" t="s">
        <v>35</v>
      </c>
      <c r="H1" s="19"/>
      <c r="I1" s="20" t="s">
        <v>38</v>
      </c>
      <c r="J1" s="21"/>
      <c r="K1" s="21"/>
      <c r="L1" s="21"/>
      <c r="M1" s="21"/>
      <c r="N1" s="21"/>
      <c r="O1" s="21"/>
      <c r="P1" s="21"/>
      <c r="Q1" s="21"/>
      <c r="R1" s="21"/>
      <c r="S1" s="21"/>
      <c r="T1" s="21"/>
      <c r="U1" s="21"/>
    </row>
    <row r="2">
      <c r="A2" s="23"/>
      <c r="B2" s="26" t="s">
        <v>40</v>
      </c>
      <c r="C2" s="26" t="s">
        <v>42</v>
      </c>
      <c r="D2" s="26" t="s">
        <v>43</v>
      </c>
      <c r="E2" s="26" t="s">
        <v>44</v>
      </c>
      <c r="F2" s="29" t="s">
        <v>45</v>
      </c>
      <c r="G2" s="29" t="s">
        <v>45</v>
      </c>
      <c r="H2" s="30"/>
      <c r="I2" s="26" t="s">
        <v>46</v>
      </c>
    </row>
    <row r="3">
      <c r="A3" s="31" t="s">
        <v>47</v>
      </c>
      <c r="C3" s="32"/>
      <c r="D3" s="32"/>
      <c r="E3" s="33" t="s">
        <v>19</v>
      </c>
      <c r="F3" s="40" t="s">
        <v>48</v>
      </c>
      <c r="G3" s="40" t="s">
        <v>48</v>
      </c>
      <c r="H3" s="30"/>
      <c r="I3" s="30"/>
    </row>
    <row r="4">
      <c r="B4" s="41"/>
      <c r="C4" s="42" t="s">
        <v>58</v>
      </c>
      <c r="D4" s="43" t="s">
        <v>60</v>
      </c>
      <c r="E4" s="44" t="s">
        <v>31</v>
      </c>
      <c r="H4" s="30"/>
      <c r="I4" s="30"/>
    </row>
    <row r="5">
      <c r="B5" s="45"/>
      <c r="C5" s="40" t="s">
        <v>61</v>
      </c>
      <c r="D5" s="40" t="s">
        <v>62</v>
      </c>
      <c r="E5" s="33" t="s">
        <v>64</v>
      </c>
      <c r="H5" s="30"/>
      <c r="I5" s="30"/>
    </row>
    <row r="6">
      <c r="B6" s="52"/>
      <c r="C6" s="40" t="s">
        <v>66</v>
      </c>
      <c r="D6" s="40" t="s">
        <v>67</v>
      </c>
      <c r="E6" s="33" t="s">
        <v>72</v>
      </c>
      <c r="H6" s="30"/>
      <c r="I6" s="30"/>
    </row>
    <row r="7">
      <c r="C7" s="40" t="s">
        <v>74</v>
      </c>
      <c r="E7" s="55" t="s">
        <v>75</v>
      </c>
      <c r="F7" s="30"/>
      <c r="G7" s="30"/>
      <c r="H7" s="30"/>
      <c r="I7" s="30"/>
    </row>
    <row r="8">
      <c r="C8" s="40" t="s">
        <v>77</v>
      </c>
      <c r="E8" s="33" t="s">
        <v>82</v>
      </c>
      <c r="F8" s="30"/>
      <c r="G8" s="30"/>
      <c r="H8" s="30"/>
      <c r="I8" s="30"/>
    </row>
    <row r="9">
      <c r="C9" s="40" t="s">
        <v>83</v>
      </c>
      <c r="E9" s="33" t="s">
        <v>84</v>
      </c>
      <c r="F9" s="30"/>
      <c r="G9" s="30"/>
      <c r="H9" s="30"/>
      <c r="I9" s="30"/>
    </row>
    <row r="10">
      <c r="C10" s="40" t="s">
        <v>86</v>
      </c>
      <c r="H10" s="30"/>
      <c r="I10" s="30"/>
    </row>
    <row r="11">
      <c r="H11" s="30"/>
      <c r="I11" s="30"/>
    </row>
    <row r="12">
      <c r="B12" s="60" t="s">
        <v>90</v>
      </c>
      <c r="C12" s="42" t="s">
        <v>91</v>
      </c>
      <c r="D12" s="61"/>
      <c r="E12" s="61"/>
      <c r="F12" s="61"/>
      <c r="G12" s="42" t="s">
        <v>93</v>
      </c>
      <c r="H12" s="30"/>
      <c r="I12" s="30"/>
    </row>
    <row r="13">
      <c r="B13" s="62" t="s">
        <v>94</v>
      </c>
      <c r="C13" s="40" t="s">
        <v>96</v>
      </c>
      <c r="D13" s="45"/>
      <c r="E13" s="30"/>
      <c r="G13" s="65" t="s">
        <v>99</v>
      </c>
      <c r="H13" s="66" t="s">
        <v>100</v>
      </c>
      <c r="I13" s="30"/>
    </row>
    <row r="14">
      <c r="B14" s="62" t="s">
        <v>101</v>
      </c>
      <c r="C14" s="40" t="s">
        <v>103</v>
      </c>
      <c r="D14" s="52"/>
      <c r="E14" s="30"/>
      <c r="G14" s="68" t="s">
        <v>105</v>
      </c>
      <c r="H14" s="69"/>
      <c r="I14" s="69"/>
      <c r="J14" s="70"/>
      <c r="K14" s="70"/>
      <c r="L14" s="70"/>
      <c r="M14" s="70"/>
      <c r="N14" s="70"/>
      <c r="O14" s="70"/>
      <c r="P14" s="70"/>
      <c r="Q14" s="70"/>
      <c r="R14" s="70"/>
      <c r="S14" s="70"/>
      <c r="T14" s="70"/>
      <c r="U14" s="70"/>
    </row>
    <row r="15">
      <c r="B15" s="62" t="s">
        <v>106</v>
      </c>
      <c r="C15" s="74" t="s">
        <v>109</v>
      </c>
      <c r="D15" s="52"/>
      <c r="E15" s="30"/>
      <c r="F15" s="69"/>
      <c r="G15" s="65" t="s">
        <v>111</v>
      </c>
      <c r="H15" s="69"/>
      <c r="I15" s="69"/>
      <c r="J15" s="70"/>
      <c r="K15" s="70"/>
      <c r="L15" s="70"/>
      <c r="M15" s="70"/>
      <c r="N15" s="70"/>
      <c r="O15" s="70"/>
      <c r="P15" s="70"/>
      <c r="Q15" s="70"/>
      <c r="R15" s="70"/>
      <c r="S15" s="70"/>
      <c r="T15" s="70"/>
      <c r="U15" s="70"/>
    </row>
    <row r="16">
      <c r="B16" s="76"/>
      <c r="C16" s="77" t="s">
        <v>112</v>
      </c>
      <c r="E16" s="69"/>
      <c r="F16" s="69"/>
      <c r="G16" s="78" t="s">
        <v>115</v>
      </c>
      <c r="H16" s="69"/>
      <c r="I16" s="69"/>
      <c r="J16" s="70"/>
      <c r="K16" s="70"/>
      <c r="L16" s="70"/>
      <c r="M16" s="70"/>
      <c r="N16" s="70"/>
      <c r="O16" s="70"/>
      <c r="P16" s="70"/>
      <c r="Q16" s="70"/>
      <c r="R16" s="70"/>
      <c r="S16" s="70"/>
      <c r="T16" s="70"/>
      <c r="U16" s="70"/>
    </row>
    <row r="17">
      <c r="C17" s="40" t="s">
        <v>116</v>
      </c>
      <c r="D17" s="61"/>
      <c r="G17" s="78" t="s">
        <v>120</v>
      </c>
      <c r="H17" s="69"/>
      <c r="I17" s="69"/>
      <c r="J17" s="70"/>
      <c r="K17" s="70"/>
      <c r="L17" s="70"/>
      <c r="M17" s="70"/>
      <c r="N17" s="70"/>
      <c r="O17" s="70"/>
      <c r="P17" s="70"/>
      <c r="Q17" s="70"/>
      <c r="R17" s="70"/>
      <c r="S17" s="70"/>
      <c r="T17" s="70"/>
      <c r="U17" s="70"/>
    </row>
    <row r="18">
      <c r="C18" s="82"/>
      <c r="D18" s="45"/>
      <c r="E18" s="69"/>
      <c r="F18" s="69"/>
      <c r="G18" s="78" t="s">
        <v>121</v>
      </c>
      <c r="H18" s="69"/>
      <c r="I18" s="69"/>
      <c r="J18" s="70"/>
      <c r="K18" s="70"/>
      <c r="L18" s="70"/>
      <c r="M18" s="70"/>
      <c r="N18" s="70"/>
      <c r="O18" s="70"/>
      <c r="P18" s="70"/>
      <c r="Q18" s="70"/>
      <c r="R18" s="70"/>
      <c r="S18" s="70"/>
      <c r="T18" s="70"/>
      <c r="U18" s="70"/>
    </row>
    <row r="19">
      <c r="C19" s="82"/>
      <c r="D19" s="45"/>
      <c r="E19" s="69"/>
      <c r="F19" s="69"/>
      <c r="G19" s="68" t="s">
        <v>122</v>
      </c>
      <c r="H19" s="69"/>
      <c r="I19" s="69"/>
      <c r="J19" s="70"/>
      <c r="K19" s="70"/>
      <c r="L19" s="70"/>
      <c r="M19" s="70"/>
      <c r="N19" s="70"/>
      <c r="O19" s="70"/>
      <c r="P19" s="70"/>
      <c r="Q19" s="70"/>
      <c r="R19" s="70"/>
      <c r="S19" s="70"/>
      <c r="T19" s="70"/>
      <c r="U19" s="70"/>
    </row>
    <row r="20">
      <c r="C20" s="82"/>
      <c r="D20" s="52"/>
      <c r="E20" s="69"/>
      <c r="F20" s="69"/>
      <c r="G20" s="83" t="s">
        <v>124</v>
      </c>
      <c r="H20" s="69"/>
      <c r="I20" s="69"/>
      <c r="J20" s="70"/>
      <c r="K20" s="70"/>
      <c r="L20" s="70"/>
      <c r="M20" s="70"/>
      <c r="N20" s="70"/>
      <c r="O20" s="70"/>
      <c r="P20" s="70"/>
      <c r="Q20" s="70"/>
      <c r="R20" s="70"/>
      <c r="S20" s="70"/>
      <c r="T20" s="70"/>
      <c r="U20" s="70"/>
    </row>
    <row r="21">
      <c r="C21" s="82"/>
      <c r="E21" s="69"/>
      <c r="F21" s="69"/>
      <c r="G21" s="84" t="s">
        <v>125</v>
      </c>
      <c r="H21" s="69"/>
      <c r="I21" s="69"/>
      <c r="J21" s="70"/>
      <c r="K21" s="70"/>
      <c r="L21" s="70"/>
      <c r="M21" s="70"/>
      <c r="N21" s="70"/>
      <c r="O21" s="70"/>
      <c r="P21" s="70"/>
      <c r="Q21" s="70"/>
      <c r="R21" s="70"/>
      <c r="S21" s="70"/>
      <c r="T21" s="70"/>
      <c r="U21" s="70"/>
    </row>
    <row r="22">
      <c r="B22" s="45"/>
      <c r="C22" s="23" t="s">
        <v>126</v>
      </c>
      <c r="D22" s="69"/>
      <c r="E22" s="69"/>
      <c r="F22" s="69"/>
      <c r="G22" s="69"/>
      <c r="H22" s="69"/>
      <c r="I22" s="69"/>
      <c r="J22" s="70"/>
      <c r="K22" s="70"/>
      <c r="L22" s="70"/>
      <c r="M22" s="70"/>
      <c r="N22" s="70"/>
      <c r="O22" s="70"/>
      <c r="P22" s="70"/>
      <c r="Q22" s="70"/>
      <c r="R22" s="70"/>
      <c r="S22" s="70"/>
      <c r="T22" s="70"/>
      <c r="U22" s="70"/>
    </row>
    <row r="23">
      <c r="A23" s="82"/>
      <c r="B23" s="82"/>
      <c r="C23" s="82"/>
      <c r="D23" s="69"/>
      <c r="E23" s="69"/>
      <c r="F23" s="69"/>
      <c r="G23" s="69"/>
      <c r="H23" s="69"/>
      <c r="I23" s="69"/>
      <c r="J23" s="70"/>
      <c r="K23" s="70"/>
      <c r="L23" s="70"/>
      <c r="M23" s="70"/>
      <c r="N23" s="70"/>
      <c r="O23" s="70"/>
      <c r="P23" s="70"/>
      <c r="Q23" s="70"/>
      <c r="R23" s="70"/>
      <c r="S23" s="70"/>
      <c r="T23" s="70"/>
      <c r="U23" s="70"/>
    </row>
    <row r="24">
      <c r="A24" s="82"/>
      <c r="B24" s="82"/>
      <c r="C24" s="82"/>
      <c r="D24" s="69"/>
      <c r="E24" s="69"/>
      <c r="F24" s="69"/>
      <c r="G24" s="69"/>
      <c r="H24" s="69"/>
      <c r="I24" s="69"/>
      <c r="J24" s="70"/>
      <c r="K24" s="70"/>
      <c r="L24" s="70"/>
      <c r="M24" s="70"/>
      <c r="N24" s="70"/>
      <c r="O24" s="70"/>
      <c r="P24" s="70"/>
      <c r="Q24" s="70"/>
      <c r="R24" s="70"/>
      <c r="S24" s="70"/>
      <c r="T24" s="70"/>
      <c r="U24" s="70"/>
    </row>
    <row r="25">
      <c r="A25" s="82"/>
      <c r="B25" s="68"/>
      <c r="C25" s="82"/>
      <c r="D25" s="69"/>
      <c r="E25" s="69"/>
      <c r="F25" s="69"/>
      <c r="G25" s="69"/>
      <c r="H25" s="69"/>
      <c r="I25" s="69"/>
      <c r="J25" s="70"/>
      <c r="K25" s="70"/>
      <c r="L25" s="70"/>
      <c r="M25" s="70"/>
      <c r="N25" s="70"/>
      <c r="O25" s="70"/>
      <c r="P25" s="70"/>
      <c r="Q25" s="70"/>
      <c r="R25" s="70"/>
      <c r="S25" s="70"/>
      <c r="T25" s="70"/>
      <c r="U25" s="70"/>
    </row>
    <row r="26">
      <c r="A26" s="82"/>
      <c r="B26" s="82"/>
      <c r="C26" s="82"/>
      <c r="D26" s="69"/>
      <c r="E26" s="69"/>
      <c r="F26" s="69"/>
      <c r="G26" s="69"/>
      <c r="H26" s="69"/>
      <c r="I26" s="69"/>
      <c r="J26" s="70"/>
      <c r="K26" s="70"/>
      <c r="L26" s="70"/>
      <c r="M26" s="70"/>
      <c r="N26" s="70"/>
      <c r="O26" s="70"/>
      <c r="P26" s="70"/>
      <c r="Q26" s="70"/>
      <c r="R26" s="70"/>
      <c r="S26" s="70"/>
      <c r="T26" s="70"/>
      <c r="U26" s="70"/>
    </row>
    <row r="27">
      <c r="A27" s="82"/>
      <c r="B27" s="82"/>
      <c r="C27" s="82"/>
      <c r="D27" s="69"/>
      <c r="E27" s="69"/>
      <c r="F27" s="69"/>
      <c r="G27" s="69"/>
      <c r="H27" s="69"/>
      <c r="I27" s="69"/>
      <c r="J27" s="70"/>
      <c r="K27" s="70"/>
      <c r="L27" s="70"/>
      <c r="M27" s="70"/>
      <c r="N27" s="70"/>
      <c r="O27" s="70"/>
      <c r="P27" s="70"/>
      <c r="Q27" s="70"/>
      <c r="R27" s="70"/>
      <c r="S27" s="70"/>
      <c r="T27" s="70"/>
      <c r="U27" s="70"/>
    </row>
    <row r="28">
      <c r="A28" s="82"/>
      <c r="B28" s="82"/>
      <c r="C28" s="82"/>
      <c r="D28" s="69"/>
      <c r="E28" s="69"/>
      <c r="F28" s="69"/>
      <c r="G28" s="69"/>
      <c r="H28" s="69"/>
      <c r="I28" s="69"/>
      <c r="J28" s="70"/>
      <c r="K28" s="70"/>
      <c r="L28" s="70"/>
      <c r="M28" s="70"/>
      <c r="N28" s="70"/>
      <c r="O28" s="70"/>
      <c r="P28" s="70"/>
      <c r="Q28" s="70"/>
      <c r="R28" s="70"/>
      <c r="S28" s="70"/>
      <c r="T28" s="70"/>
      <c r="U28" s="70"/>
    </row>
    <row r="29">
      <c r="A29" s="68" t="s">
        <v>131</v>
      </c>
      <c r="B29" s="82"/>
      <c r="C29" s="82"/>
      <c r="D29" s="69"/>
      <c r="E29" s="69"/>
      <c r="F29" s="69"/>
      <c r="G29" s="69"/>
      <c r="H29" s="69"/>
      <c r="I29" s="69"/>
      <c r="J29" s="70"/>
      <c r="K29" s="70"/>
      <c r="L29" s="70"/>
      <c r="M29" s="70"/>
      <c r="N29" s="70"/>
      <c r="O29" s="70"/>
      <c r="P29" s="70"/>
      <c r="Q29" s="70"/>
      <c r="R29" s="70"/>
      <c r="S29" s="70"/>
      <c r="T29" s="70"/>
      <c r="U29" s="70"/>
    </row>
    <row r="30">
      <c r="A30" s="68">
        <v>1.01</v>
      </c>
      <c r="B30" s="68"/>
      <c r="C30" s="82"/>
      <c r="D30" s="69"/>
      <c r="E30" s="69"/>
      <c r="F30" s="69"/>
      <c r="G30" s="69"/>
      <c r="H30" s="69"/>
      <c r="I30" s="69"/>
      <c r="J30" s="70"/>
      <c r="K30" s="70"/>
      <c r="L30" s="70"/>
      <c r="M30" s="70"/>
      <c r="N30" s="70"/>
      <c r="O30" s="70"/>
      <c r="P30" s="70"/>
      <c r="Q30" s="70"/>
      <c r="R30" s="70"/>
      <c r="S30" s="70"/>
      <c r="T30" s="70"/>
      <c r="U30" s="70"/>
    </row>
    <row r="31">
      <c r="A31" s="68">
        <v>1.02</v>
      </c>
      <c r="B31" s="68"/>
      <c r="C31" s="82"/>
      <c r="D31" s="69"/>
      <c r="E31" s="69"/>
      <c r="F31" s="69"/>
      <c r="G31" s="69"/>
      <c r="H31" s="69"/>
      <c r="I31" s="69"/>
      <c r="J31" s="70"/>
      <c r="K31" s="70"/>
      <c r="L31" s="70"/>
      <c r="M31" s="70"/>
      <c r="N31" s="70"/>
      <c r="O31" s="70"/>
      <c r="P31" s="70"/>
      <c r="Q31" s="70"/>
      <c r="R31" s="70"/>
      <c r="S31" s="70"/>
      <c r="T31" s="70"/>
      <c r="U31" s="70"/>
    </row>
    <row r="32">
      <c r="A32" s="68">
        <v>1.03</v>
      </c>
      <c r="B32" s="82"/>
      <c r="C32" s="82"/>
      <c r="D32" s="69"/>
      <c r="E32" s="69"/>
      <c r="F32" s="69"/>
      <c r="G32" s="69"/>
      <c r="H32" s="69"/>
      <c r="I32" s="69"/>
      <c r="J32" s="70"/>
      <c r="K32" s="70"/>
      <c r="L32" s="70"/>
      <c r="M32" s="70"/>
      <c r="N32" s="70"/>
      <c r="O32" s="70"/>
      <c r="P32" s="70"/>
      <c r="Q32" s="70"/>
      <c r="R32" s="70"/>
      <c r="S32" s="70"/>
      <c r="T32" s="70"/>
      <c r="U32" s="70"/>
    </row>
    <row r="33">
      <c r="A33" s="68">
        <v>1.04</v>
      </c>
      <c r="B33" s="82"/>
      <c r="D33" s="69"/>
      <c r="E33" s="69"/>
      <c r="F33" s="69"/>
      <c r="G33" s="69"/>
      <c r="H33" s="69"/>
      <c r="I33" s="69"/>
      <c r="J33" s="70"/>
      <c r="K33" s="70"/>
      <c r="L33" s="70"/>
      <c r="M33" s="70"/>
      <c r="N33" s="70"/>
      <c r="O33" s="70"/>
      <c r="P33" s="70"/>
      <c r="Q33" s="70"/>
      <c r="R33" s="70"/>
      <c r="S33" s="70"/>
      <c r="T33" s="70"/>
      <c r="U33" s="70"/>
    </row>
    <row r="34">
      <c r="A34" s="68">
        <v>1.05</v>
      </c>
      <c r="B34" s="45"/>
      <c r="C34" s="82"/>
      <c r="D34" s="69"/>
      <c r="E34" s="69"/>
      <c r="F34" s="69"/>
      <c r="G34" s="69"/>
      <c r="H34" s="69"/>
      <c r="I34" s="69"/>
      <c r="J34" s="70"/>
      <c r="K34" s="70"/>
      <c r="L34" s="70"/>
      <c r="M34" s="70"/>
      <c r="N34" s="70"/>
      <c r="O34" s="70"/>
      <c r="P34" s="70"/>
      <c r="Q34" s="70"/>
      <c r="R34" s="70"/>
      <c r="S34" s="70"/>
      <c r="T34" s="70"/>
      <c r="U34" s="70"/>
    </row>
    <row r="35">
      <c r="A35" s="86">
        <v>1.06</v>
      </c>
      <c r="B35" s="82"/>
      <c r="C35" s="82"/>
      <c r="D35" s="69"/>
      <c r="E35" s="69"/>
      <c r="F35" s="69"/>
      <c r="G35" s="69"/>
      <c r="H35" s="69"/>
      <c r="I35" s="69"/>
      <c r="J35" s="70"/>
      <c r="K35" s="70"/>
      <c r="L35" s="70"/>
      <c r="M35" s="70"/>
      <c r="N35" s="70"/>
      <c r="O35" s="70"/>
      <c r="P35" s="70"/>
      <c r="Q35" s="70"/>
      <c r="R35" s="70"/>
      <c r="S35" s="70"/>
      <c r="T35" s="70"/>
      <c r="U35" s="70"/>
    </row>
    <row r="36">
      <c r="A36" s="86">
        <v>1.07</v>
      </c>
      <c r="B36" s="82"/>
      <c r="C36" s="82"/>
      <c r="D36" s="69"/>
      <c r="E36" s="69"/>
      <c r="F36" s="69"/>
      <c r="G36" s="69"/>
      <c r="H36" s="69"/>
      <c r="I36" s="69"/>
      <c r="J36" s="70"/>
      <c r="K36" s="70"/>
      <c r="L36" s="70"/>
      <c r="M36" s="70"/>
      <c r="N36" s="70"/>
      <c r="O36" s="70"/>
      <c r="P36" s="70"/>
      <c r="Q36" s="70"/>
      <c r="R36" s="70"/>
      <c r="S36" s="70"/>
      <c r="T36" s="70"/>
      <c r="U36" s="70"/>
    </row>
    <row r="37">
      <c r="A37" s="86">
        <v>1.1</v>
      </c>
      <c r="B37" s="62" t="s">
        <v>139</v>
      </c>
      <c r="C37" s="82"/>
      <c r="D37" s="69"/>
      <c r="E37" s="69"/>
      <c r="F37" s="69"/>
      <c r="G37" s="69"/>
      <c r="H37" s="69"/>
      <c r="I37" s="69"/>
      <c r="J37" s="70"/>
      <c r="K37" s="70"/>
      <c r="L37" s="70"/>
      <c r="M37" s="70"/>
      <c r="N37" s="70"/>
      <c r="O37" s="70"/>
      <c r="P37" s="70"/>
      <c r="Q37" s="70"/>
      <c r="R37" s="70"/>
      <c r="S37" s="70"/>
      <c r="T37" s="70"/>
      <c r="U37" s="70"/>
    </row>
    <row r="38">
      <c r="A38" s="68">
        <v>1.2</v>
      </c>
      <c r="B38" s="82"/>
      <c r="C38" s="82"/>
      <c r="D38" s="69"/>
      <c r="E38" s="69"/>
      <c r="F38" s="69"/>
      <c r="G38" s="69"/>
      <c r="H38" s="69"/>
      <c r="I38" s="69"/>
      <c r="J38" s="70"/>
      <c r="K38" s="70"/>
      <c r="L38" s="70"/>
      <c r="M38" s="70"/>
      <c r="N38" s="70"/>
      <c r="O38" s="70"/>
      <c r="P38" s="70"/>
      <c r="Q38" s="70"/>
      <c r="R38" s="70"/>
      <c r="S38" s="70"/>
      <c r="T38" s="70"/>
      <c r="U38" s="70"/>
    </row>
    <row r="39">
      <c r="A39" s="68">
        <v>1.22</v>
      </c>
      <c r="B39" s="82"/>
      <c r="C39" s="82"/>
      <c r="D39" s="69"/>
      <c r="E39" s="69"/>
      <c r="F39" s="69"/>
      <c r="G39" s="69"/>
      <c r="H39" s="69"/>
      <c r="I39" s="69"/>
      <c r="J39" s="70"/>
      <c r="K39" s="70"/>
      <c r="L39" s="70"/>
      <c r="M39" s="70"/>
      <c r="N39" s="70"/>
      <c r="O39" s="70"/>
      <c r="P39" s="70"/>
      <c r="Q39" s="70"/>
      <c r="R39" s="70"/>
      <c r="S39" s="70"/>
      <c r="T39" s="70"/>
      <c r="U39" s="70"/>
    </row>
    <row r="40">
      <c r="A40" s="68">
        <v>1.24</v>
      </c>
      <c r="B40" s="82"/>
      <c r="C40" s="82"/>
      <c r="D40" s="69"/>
      <c r="E40" s="69"/>
      <c r="F40" s="69"/>
      <c r="G40" s="69"/>
      <c r="H40" s="69"/>
      <c r="I40" s="69"/>
      <c r="J40" s="70"/>
      <c r="K40" s="70"/>
      <c r="L40" s="70"/>
      <c r="M40" s="70"/>
      <c r="N40" s="70"/>
      <c r="O40" s="70"/>
      <c r="P40" s="70"/>
      <c r="Q40" s="70"/>
      <c r="R40" s="70"/>
      <c r="S40" s="70"/>
      <c r="T40" s="70"/>
      <c r="U40" s="70"/>
    </row>
    <row r="41">
      <c r="A41" s="68">
        <v>1.25</v>
      </c>
      <c r="B41" s="82"/>
      <c r="C41" s="82"/>
      <c r="D41" s="69"/>
      <c r="E41" s="69"/>
      <c r="F41" s="69"/>
      <c r="G41" s="69"/>
      <c r="H41" s="69"/>
      <c r="I41" s="69"/>
      <c r="J41" s="70"/>
      <c r="K41" s="70"/>
      <c r="L41" s="70"/>
      <c r="M41" s="70"/>
      <c r="N41" s="70"/>
      <c r="O41" s="70"/>
      <c r="P41" s="70"/>
      <c r="Q41" s="70"/>
      <c r="R41" s="70"/>
      <c r="S41" s="70"/>
      <c r="T41" s="70"/>
      <c r="U41" s="70"/>
    </row>
    <row r="42">
      <c r="A42" s="68">
        <v>1.26</v>
      </c>
      <c r="B42" s="82"/>
      <c r="C42" s="82"/>
      <c r="D42" s="69"/>
      <c r="E42" s="69"/>
      <c r="F42" s="69"/>
      <c r="G42" s="69"/>
      <c r="H42" s="69"/>
      <c r="I42" s="69"/>
      <c r="J42" s="70"/>
      <c r="K42" s="70"/>
      <c r="L42" s="70"/>
      <c r="M42" s="70"/>
      <c r="N42" s="70"/>
      <c r="O42" s="70"/>
      <c r="P42" s="70"/>
      <c r="Q42" s="70"/>
      <c r="R42" s="70"/>
      <c r="S42" s="70"/>
      <c r="T42" s="70"/>
      <c r="U42" s="70"/>
    </row>
    <row r="43">
      <c r="A43" s="68">
        <v>1.27</v>
      </c>
      <c r="B43" s="82"/>
      <c r="C43" s="68"/>
      <c r="D43" s="69"/>
      <c r="E43" s="69"/>
      <c r="F43" s="69"/>
      <c r="G43" s="69"/>
      <c r="H43" s="69"/>
      <c r="I43" s="69"/>
      <c r="J43" s="70"/>
      <c r="K43" s="70"/>
      <c r="L43" s="70"/>
      <c r="M43" s="70"/>
      <c r="N43" s="70"/>
      <c r="O43" s="70"/>
      <c r="P43" s="70"/>
      <c r="Q43" s="70"/>
      <c r="R43" s="70"/>
      <c r="S43" s="70"/>
      <c r="T43" s="70"/>
      <c r="U43" s="70"/>
    </row>
    <row r="44">
      <c r="A44" s="68">
        <v>1.3</v>
      </c>
      <c r="B44" s="82"/>
      <c r="C44" s="82"/>
      <c r="D44" s="69"/>
      <c r="E44" s="69"/>
      <c r="F44" s="69"/>
      <c r="G44" s="69"/>
      <c r="H44" s="69"/>
      <c r="I44" s="69"/>
      <c r="J44" s="70"/>
      <c r="K44" s="70"/>
      <c r="L44" s="70"/>
      <c r="M44" s="70"/>
      <c r="N44" s="70"/>
      <c r="O44" s="70"/>
      <c r="P44" s="70"/>
      <c r="Q44" s="70"/>
      <c r="R44" s="70"/>
      <c r="S44" s="70"/>
      <c r="T44" s="70"/>
      <c r="U44" s="70"/>
    </row>
    <row r="45">
      <c r="A45" s="68">
        <v>1.31</v>
      </c>
      <c r="B45" s="69"/>
      <c r="C45" s="69"/>
      <c r="D45" s="69"/>
      <c r="E45" s="69"/>
      <c r="F45" s="69"/>
      <c r="G45" s="69"/>
      <c r="H45" s="69"/>
      <c r="I45" s="69"/>
      <c r="J45" s="70"/>
      <c r="K45" s="70"/>
      <c r="L45" s="70"/>
      <c r="M45" s="70"/>
      <c r="N45" s="70"/>
      <c r="O45" s="70"/>
      <c r="P45" s="70"/>
      <c r="Q45" s="70"/>
      <c r="R45" s="70"/>
      <c r="S45" s="70"/>
      <c r="T45" s="70"/>
      <c r="U45" s="70"/>
    </row>
    <row r="46">
      <c r="A46" s="68">
        <v>1.4</v>
      </c>
      <c r="B46" s="69"/>
      <c r="C46" s="69"/>
      <c r="D46" s="69"/>
      <c r="E46" s="69"/>
      <c r="F46" s="69"/>
      <c r="G46" s="69"/>
      <c r="H46" s="69"/>
      <c r="I46" s="69"/>
      <c r="J46" s="70"/>
      <c r="K46" s="70"/>
      <c r="L46" s="70"/>
      <c r="M46" s="70"/>
      <c r="N46" s="70"/>
      <c r="O46" s="70"/>
      <c r="P46" s="70"/>
      <c r="Q46" s="70"/>
      <c r="R46" s="70"/>
      <c r="S46" s="70"/>
      <c r="T46" s="70"/>
      <c r="U46" s="70"/>
    </row>
    <row r="47">
      <c r="A47" s="68">
        <v>1.41</v>
      </c>
      <c r="B47" s="69"/>
      <c r="C47" s="69"/>
      <c r="D47" s="69"/>
      <c r="E47" s="69"/>
      <c r="F47" s="69"/>
      <c r="G47" s="69"/>
      <c r="H47" s="69"/>
      <c r="I47" s="69"/>
      <c r="J47" s="70"/>
      <c r="K47" s="70"/>
      <c r="L47" s="70"/>
      <c r="M47" s="70"/>
      <c r="N47" s="70"/>
      <c r="O47" s="70"/>
      <c r="P47" s="70"/>
      <c r="Q47" s="70"/>
      <c r="R47" s="70"/>
      <c r="S47" s="70"/>
      <c r="T47" s="70"/>
      <c r="U47" s="70"/>
    </row>
    <row r="48">
      <c r="A48" s="82"/>
      <c r="B48" s="69"/>
      <c r="C48" s="69"/>
      <c r="D48" s="69"/>
      <c r="E48" s="69"/>
      <c r="F48" s="69"/>
      <c r="G48" s="69"/>
      <c r="H48" s="69"/>
      <c r="I48" s="69"/>
      <c r="J48" s="70"/>
      <c r="K48" s="70"/>
      <c r="L48" s="70"/>
      <c r="M48" s="70"/>
      <c r="N48" s="70"/>
      <c r="O48" s="70"/>
      <c r="P48" s="70"/>
      <c r="Q48" s="70"/>
      <c r="R48" s="70"/>
      <c r="S48" s="70"/>
      <c r="T48" s="70"/>
      <c r="U48" s="70"/>
    </row>
    <row r="49">
      <c r="A49" s="82"/>
      <c r="B49" s="69"/>
      <c r="C49" s="69"/>
      <c r="D49" s="69"/>
      <c r="E49" s="69"/>
      <c r="F49" s="69"/>
      <c r="G49" s="69"/>
      <c r="H49" s="69"/>
      <c r="I49" s="69"/>
      <c r="J49" s="70"/>
      <c r="K49" s="70"/>
      <c r="L49" s="70"/>
      <c r="M49" s="70"/>
      <c r="N49" s="70"/>
      <c r="O49" s="70"/>
      <c r="P49" s="70"/>
      <c r="Q49" s="70"/>
      <c r="R49" s="70"/>
      <c r="S49" s="70"/>
      <c r="T49" s="70"/>
      <c r="U49" s="70"/>
    </row>
    <row r="50">
      <c r="A50" s="82"/>
      <c r="B50" s="69"/>
      <c r="C50" s="69"/>
      <c r="D50" s="69"/>
      <c r="E50" s="69"/>
      <c r="F50" s="69"/>
      <c r="G50" s="69"/>
      <c r="H50" s="69"/>
      <c r="I50" s="69"/>
      <c r="J50" s="70"/>
      <c r="K50" s="70"/>
      <c r="L50" s="70"/>
      <c r="M50" s="70"/>
      <c r="N50" s="70"/>
      <c r="O50" s="70"/>
      <c r="P50" s="70"/>
      <c r="Q50" s="70"/>
      <c r="R50" s="70"/>
      <c r="S50" s="70"/>
      <c r="T50" s="70"/>
      <c r="U50" s="70"/>
    </row>
    <row r="51">
      <c r="A51" s="82"/>
      <c r="B51" s="69"/>
      <c r="C51" s="69"/>
      <c r="D51" s="69"/>
      <c r="E51" s="69"/>
      <c r="F51" s="69"/>
      <c r="G51" s="69"/>
      <c r="H51" s="69"/>
      <c r="I51" s="69"/>
      <c r="J51" s="70"/>
      <c r="K51" s="70"/>
      <c r="L51" s="70"/>
      <c r="M51" s="70"/>
      <c r="N51" s="70"/>
      <c r="O51" s="70"/>
      <c r="P51" s="70"/>
      <c r="Q51" s="70"/>
      <c r="R51" s="70"/>
      <c r="S51" s="70"/>
      <c r="T51" s="70"/>
      <c r="U51" s="70"/>
    </row>
    <row r="52">
      <c r="A52" s="82"/>
      <c r="B52" s="69"/>
      <c r="C52" s="69"/>
      <c r="D52" s="69"/>
      <c r="E52" s="69"/>
      <c r="F52" s="69"/>
      <c r="G52" s="69"/>
      <c r="H52" s="69"/>
      <c r="I52" s="69"/>
      <c r="J52" s="70"/>
      <c r="K52" s="70"/>
      <c r="L52" s="70"/>
      <c r="M52" s="70"/>
      <c r="N52" s="70"/>
      <c r="O52" s="70"/>
      <c r="P52" s="70"/>
      <c r="Q52" s="70"/>
      <c r="R52" s="70"/>
      <c r="S52" s="70"/>
      <c r="T52" s="70"/>
      <c r="U52" s="70"/>
    </row>
    <row r="53">
      <c r="A53" s="82"/>
      <c r="B53" s="69"/>
      <c r="C53" s="69"/>
      <c r="D53" s="69"/>
      <c r="E53" s="69"/>
      <c r="F53" s="69"/>
      <c r="G53" s="69"/>
      <c r="H53" s="69"/>
      <c r="I53" s="69"/>
      <c r="J53" s="70"/>
      <c r="K53" s="70"/>
      <c r="L53" s="70"/>
      <c r="M53" s="70"/>
      <c r="N53" s="70"/>
      <c r="O53" s="70"/>
      <c r="P53" s="70"/>
      <c r="Q53" s="70"/>
      <c r="R53" s="70"/>
      <c r="S53" s="70"/>
      <c r="T53" s="70"/>
      <c r="U53" s="70"/>
    </row>
    <row r="54">
      <c r="A54" s="69"/>
      <c r="B54" s="69"/>
      <c r="C54" s="69"/>
      <c r="D54" s="69"/>
      <c r="E54" s="69"/>
      <c r="F54" s="69"/>
      <c r="G54" s="69"/>
      <c r="H54" s="69"/>
      <c r="I54" s="69"/>
      <c r="J54" s="70"/>
      <c r="K54" s="70"/>
      <c r="L54" s="70"/>
      <c r="M54" s="70"/>
      <c r="N54" s="70"/>
      <c r="O54" s="70"/>
      <c r="P54" s="70"/>
      <c r="Q54" s="70"/>
      <c r="R54" s="70"/>
      <c r="S54" s="70"/>
      <c r="T54" s="70"/>
      <c r="U54" s="70"/>
    </row>
    <row r="55">
      <c r="A55" s="30"/>
      <c r="B55" s="30"/>
      <c r="C55" s="30"/>
      <c r="D55" s="30"/>
      <c r="E55" s="30"/>
      <c r="F55" s="30"/>
      <c r="G55" s="30"/>
      <c r="H55" s="30"/>
      <c r="I55" s="30"/>
    </row>
    <row r="56">
      <c r="A56" s="30"/>
      <c r="B56" s="30"/>
      <c r="C56" s="30"/>
      <c r="D56" s="30"/>
      <c r="E56" s="30"/>
      <c r="F56" s="30"/>
      <c r="G56" s="30"/>
      <c r="H56" s="30"/>
      <c r="I56" s="30"/>
    </row>
    <row r="57">
      <c r="A57" s="30"/>
      <c r="B57" s="30"/>
      <c r="C57" s="30"/>
      <c r="D57" s="30"/>
      <c r="E57" s="30"/>
      <c r="F57" s="30"/>
      <c r="G57" s="30"/>
      <c r="H57" s="30"/>
      <c r="I57" s="30"/>
    </row>
    <row r="58">
      <c r="A58" s="30"/>
      <c r="B58" s="30"/>
      <c r="C58" s="30"/>
      <c r="D58" s="30"/>
      <c r="E58" s="30"/>
      <c r="F58" s="30"/>
      <c r="G58" s="30"/>
      <c r="H58" s="30"/>
      <c r="I58" s="30"/>
    </row>
    <row r="59">
      <c r="A59" s="30"/>
      <c r="B59" s="30"/>
      <c r="C59" s="30"/>
      <c r="D59" s="30"/>
      <c r="E59" s="30"/>
      <c r="F59" s="30"/>
      <c r="G59" s="30"/>
      <c r="H59" s="30"/>
      <c r="I59" s="30"/>
    </row>
    <row r="60">
      <c r="A60" s="30"/>
      <c r="B60" s="30"/>
      <c r="C60" s="30"/>
      <c r="D60" s="30"/>
      <c r="E60" s="30"/>
      <c r="F60" s="30"/>
      <c r="G60" s="30"/>
      <c r="H60" s="30"/>
      <c r="I60" s="30"/>
    </row>
    <row r="61">
      <c r="A61" s="30"/>
      <c r="B61" s="30"/>
      <c r="C61" s="30"/>
      <c r="D61" s="30"/>
      <c r="E61" s="30"/>
      <c r="F61" s="30"/>
      <c r="G61" s="30"/>
      <c r="H61" s="30"/>
      <c r="I61" s="30"/>
    </row>
    <row r="62">
      <c r="A62" s="30"/>
      <c r="B62" s="30"/>
      <c r="C62" s="30"/>
      <c r="D62" s="30"/>
      <c r="E62" s="30"/>
      <c r="F62" s="30"/>
      <c r="G62" s="30"/>
      <c r="H62" s="30"/>
      <c r="I62" s="30"/>
    </row>
    <row r="63">
      <c r="A63" s="30"/>
      <c r="B63" s="30"/>
      <c r="C63" s="30"/>
      <c r="D63" s="30"/>
      <c r="E63" s="30"/>
      <c r="F63" s="30"/>
      <c r="G63" s="30"/>
      <c r="H63" s="30"/>
      <c r="I63" s="30"/>
    </row>
    <row r="64">
      <c r="A64" s="30"/>
      <c r="B64" s="30"/>
      <c r="C64" s="30"/>
      <c r="D64" s="30"/>
      <c r="E64" s="30"/>
      <c r="F64" s="30"/>
      <c r="G64" s="30"/>
      <c r="H64" s="30"/>
      <c r="I64" s="30"/>
    </row>
    <row r="65">
      <c r="A65" s="30"/>
      <c r="B65" s="30"/>
      <c r="C65" s="30"/>
      <c r="D65" s="30"/>
      <c r="E65" s="30"/>
      <c r="F65" s="30"/>
      <c r="G65" s="30"/>
      <c r="H65" s="30"/>
      <c r="I65" s="30"/>
    </row>
    <row r="66">
      <c r="A66" s="30"/>
      <c r="B66" s="30"/>
      <c r="C66" s="30"/>
      <c r="D66" s="30"/>
      <c r="E66" s="30"/>
      <c r="F66" s="30"/>
      <c r="G66" s="30"/>
      <c r="H66" s="30"/>
      <c r="I66" s="30"/>
    </row>
    <row r="67">
      <c r="A67" s="30"/>
      <c r="B67" s="30"/>
      <c r="C67" s="30"/>
      <c r="D67" s="30"/>
      <c r="E67" s="30"/>
      <c r="F67" s="30"/>
      <c r="G67" s="30"/>
      <c r="H67" s="30"/>
      <c r="I67" s="30"/>
    </row>
    <row r="68">
      <c r="A68" s="30"/>
      <c r="B68" s="30"/>
      <c r="C68" s="30"/>
      <c r="D68" s="30"/>
      <c r="E68" s="30"/>
      <c r="F68" s="30"/>
      <c r="G68" s="30"/>
      <c r="H68" s="30"/>
      <c r="I68" s="30"/>
    </row>
    <row r="69">
      <c r="A69" s="30"/>
      <c r="B69" s="30"/>
      <c r="C69" s="30"/>
      <c r="D69" s="30"/>
      <c r="E69" s="30"/>
      <c r="F69" s="30"/>
      <c r="G69" s="30"/>
      <c r="H69" s="30"/>
      <c r="I69" s="30"/>
    </row>
    <row r="70">
      <c r="A70" s="30"/>
      <c r="B70" s="30"/>
      <c r="C70" s="30"/>
      <c r="D70" s="30"/>
      <c r="E70" s="30"/>
      <c r="F70" s="30"/>
      <c r="G70" s="30"/>
      <c r="H70" s="30"/>
      <c r="I70" s="30"/>
    </row>
    <row r="71">
      <c r="A71" s="30"/>
      <c r="B71" s="30"/>
      <c r="C71" s="30"/>
      <c r="D71" s="30"/>
      <c r="E71" s="30"/>
      <c r="F71" s="30"/>
      <c r="G71" s="30"/>
      <c r="H71" s="30"/>
      <c r="I71" s="30"/>
    </row>
    <row r="72">
      <c r="A72" s="30"/>
      <c r="B72" s="30"/>
      <c r="C72" s="30"/>
      <c r="D72" s="30"/>
      <c r="E72" s="30"/>
      <c r="F72" s="30"/>
      <c r="G72" s="30"/>
      <c r="H72" s="30"/>
      <c r="I72" s="30"/>
    </row>
    <row r="73">
      <c r="A73" s="30"/>
      <c r="B73" s="30"/>
      <c r="C73" s="30"/>
      <c r="D73" s="30"/>
      <c r="E73" s="30"/>
      <c r="F73" s="30"/>
      <c r="G73" s="30"/>
      <c r="H73" s="30"/>
      <c r="I73" s="30"/>
    </row>
    <row r="74">
      <c r="A74" s="30"/>
      <c r="B74" s="30"/>
      <c r="C74" s="30"/>
      <c r="D74" s="30"/>
      <c r="E74" s="30"/>
      <c r="F74" s="30"/>
      <c r="G74" s="30"/>
      <c r="H74" s="30"/>
      <c r="I74" s="30"/>
    </row>
    <row r="75">
      <c r="A75" s="30"/>
      <c r="B75" s="30"/>
      <c r="C75" s="30"/>
      <c r="D75" s="30"/>
      <c r="E75" s="30"/>
      <c r="F75" s="30"/>
      <c r="G75" s="30"/>
      <c r="H75" s="30"/>
      <c r="I75" s="30"/>
    </row>
    <row r="76">
      <c r="A76" s="30"/>
      <c r="B76" s="30"/>
      <c r="C76" s="30"/>
      <c r="D76" s="30"/>
      <c r="E76" s="30"/>
      <c r="F76" s="30"/>
      <c r="G76" s="30"/>
      <c r="H76" s="30"/>
      <c r="I76" s="30"/>
    </row>
    <row r="77">
      <c r="A77" s="30"/>
      <c r="B77" s="30"/>
      <c r="C77" s="30"/>
      <c r="D77" s="30"/>
      <c r="E77" s="30"/>
      <c r="F77" s="30"/>
      <c r="G77" s="30"/>
      <c r="H77" s="30"/>
      <c r="I77" s="30"/>
    </row>
    <row r="78">
      <c r="A78" s="30"/>
      <c r="B78" s="30"/>
      <c r="C78" s="30"/>
      <c r="D78" s="30"/>
      <c r="E78" s="30"/>
      <c r="F78" s="30"/>
      <c r="G78" s="30"/>
      <c r="H78" s="30"/>
      <c r="I78" s="30"/>
    </row>
    <row r="79">
      <c r="A79" s="30"/>
      <c r="B79" s="30"/>
      <c r="C79" s="30"/>
      <c r="D79" s="30"/>
      <c r="E79" s="30"/>
      <c r="F79" s="30"/>
      <c r="G79" s="30"/>
      <c r="H79" s="30"/>
      <c r="I79" s="30"/>
    </row>
    <row r="80">
      <c r="A80" s="30"/>
      <c r="B80" s="30"/>
      <c r="C80" s="30"/>
      <c r="D80" s="30"/>
      <c r="E80" s="30"/>
      <c r="F80" s="30"/>
      <c r="G80" s="30"/>
      <c r="H80" s="30"/>
      <c r="I80" s="30"/>
    </row>
    <row r="81">
      <c r="A81" s="30"/>
      <c r="B81" s="30"/>
      <c r="C81" s="30"/>
      <c r="D81" s="30"/>
      <c r="E81" s="30"/>
      <c r="F81" s="30"/>
      <c r="G81" s="30"/>
      <c r="H81" s="30"/>
      <c r="I81" s="30"/>
    </row>
    <row r="82">
      <c r="A82" s="30"/>
      <c r="B82" s="30"/>
      <c r="C82" s="30"/>
      <c r="D82" s="30"/>
      <c r="E82" s="30"/>
      <c r="F82" s="30"/>
      <c r="G82" s="30"/>
      <c r="H82" s="30"/>
      <c r="I82" s="30"/>
    </row>
    <row r="83">
      <c r="A83" s="30"/>
      <c r="B83" s="30"/>
      <c r="C83" s="30"/>
      <c r="D83" s="30"/>
      <c r="E83" s="30"/>
      <c r="F83" s="30"/>
      <c r="G83" s="30"/>
      <c r="H83" s="30"/>
      <c r="I83" s="30"/>
    </row>
    <row r="84">
      <c r="A84" s="30"/>
      <c r="B84" s="30"/>
      <c r="C84" s="30"/>
      <c r="D84" s="30"/>
      <c r="E84" s="30"/>
      <c r="F84" s="30"/>
      <c r="G84" s="30"/>
      <c r="H84" s="30"/>
      <c r="I84" s="30"/>
    </row>
    <row r="85">
      <c r="A85" s="30"/>
      <c r="B85" s="30"/>
      <c r="C85" s="30"/>
      <c r="D85" s="30"/>
      <c r="E85" s="30"/>
      <c r="F85" s="30"/>
      <c r="G85" s="30"/>
      <c r="H85" s="30"/>
      <c r="I85" s="30"/>
    </row>
    <row r="86">
      <c r="A86" s="30"/>
      <c r="B86" s="30"/>
      <c r="C86" s="30"/>
      <c r="D86" s="30"/>
      <c r="E86" s="30"/>
      <c r="F86" s="30"/>
      <c r="G86" s="30"/>
      <c r="H86" s="30"/>
      <c r="I86" s="30"/>
    </row>
    <row r="87">
      <c r="A87" s="30"/>
      <c r="B87" s="30"/>
      <c r="C87" s="30"/>
      <c r="D87" s="30"/>
      <c r="E87" s="30"/>
      <c r="F87" s="30"/>
      <c r="G87" s="30"/>
      <c r="H87" s="30"/>
      <c r="I87" s="30"/>
    </row>
    <row r="88">
      <c r="A88" s="30"/>
      <c r="B88" s="30"/>
      <c r="C88" s="30"/>
      <c r="D88" s="30"/>
      <c r="E88" s="30"/>
      <c r="F88" s="30"/>
      <c r="G88" s="30"/>
      <c r="H88" s="30"/>
      <c r="I88" s="30"/>
    </row>
    <row r="89">
      <c r="A89" s="30"/>
      <c r="B89" s="30"/>
      <c r="C89" s="30"/>
      <c r="D89" s="30"/>
      <c r="E89" s="30"/>
      <c r="F89" s="30"/>
      <c r="G89" s="30"/>
      <c r="H89" s="30"/>
      <c r="I89" s="30"/>
    </row>
    <row r="90">
      <c r="A90" s="30"/>
      <c r="B90" s="30"/>
      <c r="C90" s="30"/>
      <c r="D90" s="30"/>
      <c r="E90" s="30"/>
      <c r="F90" s="30"/>
      <c r="G90" s="30"/>
      <c r="H90" s="30"/>
      <c r="I90" s="30"/>
    </row>
    <row r="91">
      <c r="A91" s="30"/>
      <c r="B91" s="30"/>
      <c r="C91" s="30"/>
      <c r="D91" s="30"/>
      <c r="E91" s="30"/>
      <c r="F91" s="30"/>
      <c r="G91" s="30"/>
      <c r="H91" s="30"/>
      <c r="I91" s="30"/>
    </row>
    <row r="92">
      <c r="A92" s="30"/>
      <c r="B92" s="30"/>
      <c r="C92" s="30"/>
      <c r="D92" s="30"/>
      <c r="E92" s="30"/>
      <c r="F92" s="30"/>
      <c r="G92" s="30"/>
      <c r="H92" s="30"/>
      <c r="I92" s="30"/>
    </row>
    <row r="93">
      <c r="A93" s="30"/>
      <c r="B93" s="30"/>
      <c r="C93" s="30"/>
      <c r="D93" s="30"/>
      <c r="E93" s="30"/>
      <c r="F93" s="30"/>
      <c r="G93" s="30"/>
      <c r="H93" s="30"/>
      <c r="I93" s="30"/>
    </row>
    <row r="94">
      <c r="A94" s="30"/>
      <c r="B94" s="30"/>
      <c r="C94" s="30"/>
      <c r="D94" s="30"/>
      <c r="E94" s="30"/>
      <c r="F94" s="30"/>
      <c r="G94" s="30"/>
      <c r="H94" s="30"/>
      <c r="I94" s="30"/>
    </row>
    <row r="95">
      <c r="A95" s="30"/>
      <c r="B95" s="30"/>
      <c r="C95" s="30"/>
      <c r="D95" s="30"/>
      <c r="E95" s="30"/>
      <c r="F95" s="30"/>
      <c r="G95" s="30"/>
      <c r="H95" s="30"/>
      <c r="I95" s="30"/>
    </row>
    <row r="96">
      <c r="A96" s="30"/>
      <c r="B96" s="30"/>
      <c r="C96" s="30"/>
      <c r="D96" s="30"/>
      <c r="E96" s="30"/>
      <c r="F96" s="30"/>
      <c r="G96" s="30"/>
      <c r="H96" s="30"/>
      <c r="I96" s="30"/>
    </row>
    <row r="97">
      <c r="A97" s="30"/>
      <c r="B97" s="30"/>
      <c r="C97" s="30"/>
      <c r="D97" s="30"/>
      <c r="E97" s="30"/>
      <c r="F97" s="30"/>
      <c r="G97" s="30"/>
      <c r="H97" s="30"/>
      <c r="I97" s="30"/>
    </row>
    <row r="98">
      <c r="A98" s="30"/>
      <c r="B98" s="30"/>
      <c r="C98" s="30"/>
      <c r="D98" s="30"/>
      <c r="E98" s="30"/>
      <c r="F98" s="30"/>
      <c r="G98" s="30"/>
      <c r="H98" s="30"/>
      <c r="I98" s="30"/>
    </row>
    <row r="99">
      <c r="A99" s="30"/>
      <c r="B99" s="30"/>
      <c r="C99" s="30"/>
      <c r="D99" s="30"/>
      <c r="E99" s="30"/>
      <c r="F99" s="30"/>
      <c r="G99" s="30"/>
      <c r="H99" s="30"/>
      <c r="I99" s="30"/>
    </row>
    <row r="100">
      <c r="A100" s="30"/>
      <c r="B100" s="30"/>
      <c r="C100" s="30"/>
      <c r="D100" s="30"/>
      <c r="E100" s="30"/>
      <c r="F100" s="30"/>
      <c r="G100" s="30"/>
      <c r="H100" s="30"/>
      <c r="I100" s="30"/>
    </row>
    <row r="101">
      <c r="A101" s="30"/>
      <c r="B101" s="30"/>
      <c r="C101" s="30"/>
      <c r="D101" s="30"/>
      <c r="E101" s="30"/>
      <c r="F101" s="30"/>
      <c r="G101" s="30"/>
      <c r="H101" s="30"/>
      <c r="I101" s="30"/>
    </row>
    <row r="102">
      <c r="A102" s="30"/>
      <c r="B102" s="30"/>
      <c r="C102" s="30"/>
      <c r="D102" s="30"/>
      <c r="E102" s="30"/>
      <c r="F102" s="30"/>
      <c r="G102" s="30"/>
      <c r="H102" s="30"/>
      <c r="I102" s="30"/>
    </row>
    <row r="103">
      <c r="A103" s="30"/>
      <c r="B103" s="30"/>
      <c r="C103" s="30"/>
      <c r="D103" s="30"/>
      <c r="E103" s="30"/>
      <c r="F103" s="30"/>
      <c r="G103" s="30"/>
      <c r="H103" s="30"/>
      <c r="I103" s="30"/>
    </row>
    <row r="104">
      <c r="A104" s="30"/>
      <c r="B104" s="30"/>
      <c r="C104" s="30"/>
      <c r="D104" s="30"/>
      <c r="E104" s="30"/>
      <c r="F104" s="30"/>
      <c r="G104" s="30"/>
      <c r="H104" s="30"/>
      <c r="I104" s="30"/>
    </row>
    <row r="105">
      <c r="A105" s="30"/>
      <c r="B105" s="30"/>
      <c r="C105" s="30"/>
      <c r="D105" s="30"/>
      <c r="E105" s="30"/>
      <c r="F105" s="30"/>
      <c r="G105" s="30"/>
      <c r="H105" s="30"/>
      <c r="I105" s="30"/>
    </row>
    <row r="106">
      <c r="A106" s="30"/>
      <c r="B106" s="30"/>
      <c r="C106" s="30"/>
      <c r="D106" s="30"/>
      <c r="E106" s="30"/>
      <c r="F106" s="30"/>
      <c r="G106" s="30"/>
      <c r="H106" s="30"/>
      <c r="I106" s="30"/>
    </row>
    <row r="107">
      <c r="A107" s="30"/>
      <c r="B107" s="30"/>
      <c r="C107" s="30"/>
      <c r="D107" s="30"/>
      <c r="E107" s="30"/>
      <c r="F107" s="30"/>
      <c r="G107" s="30"/>
      <c r="H107" s="30"/>
      <c r="I107" s="30"/>
    </row>
    <row r="108">
      <c r="A108" s="30"/>
      <c r="B108" s="30"/>
      <c r="C108" s="30"/>
      <c r="D108" s="30"/>
      <c r="E108" s="30"/>
      <c r="F108" s="30"/>
      <c r="G108" s="30"/>
      <c r="H108" s="30"/>
      <c r="I108" s="30"/>
    </row>
    <row r="109">
      <c r="A109" s="30"/>
      <c r="B109" s="30"/>
      <c r="C109" s="30"/>
      <c r="D109" s="30"/>
      <c r="E109" s="30"/>
      <c r="F109" s="30"/>
      <c r="G109" s="30"/>
      <c r="H109" s="30"/>
      <c r="I109" s="30"/>
    </row>
    <row r="110">
      <c r="A110" s="30"/>
      <c r="B110" s="30"/>
      <c r="C110" s="30"/>
      <c r="D110" s="30"/>
      <c r="E110" s="30"/>
      <c r="F110" s="30"/>
      <c r="G110" s="30"/>
      <c r="H110" s="30"/>
      <c r="I110" s="30"/>
    </row>
    <row r="111">
      <c r="A111" s="30"/>
      <c r="B111" s="30"/>
      <c r="C111" s="30"/>
      <c r="D111" s="30"/>
      <c r="E111" s="30"/>
      <c r="F111" s="30"/>
      <c r="G111" s="30"/>
      <c r="H111" s="30"/>
      <c r="I111" s="30"/>
    </row>
    <row r="112">
      <c r="A112" s="30"/>
      <c r="B112" s="30"/>
      <c r="C112" s="30"/>
      <c r="D112" s="30"/>
      <c r="E112" s="30"/>
      <c r="F112" s="30"/>
      <c r="G112" s="30"/>
      <c r="H112" s="30"/>
      <c r="I112" s="30"/>
    </row>
    <row r="113">
      <c r="A113" s="30"/>
      <c r="B113" s="30"/>
      <c r="C113" s="30"/>
      <c r="D113" s="30"/>
      <c r="E113" s="30"/>
      <c r="F113" s="30"/>
      <c r="G113" s="30"/>
      <c r="H113" s="30"/>
      <c r="I113" s="30"/>
    </row>
    <row r="114">
      <c r="A114" s="30"/>
      <c r="B114" s="30"/>
      <c r="C114" s="30"/>
      <c r="D114" s="30"/>
      <c r="E114" s="30"/>
      <c r="F114" s="30"/>
      <c r="G114" s="30"/>
      <c r="H114" s="30"/>
      <c r="I114" s="30"/>
    </row>
    <row r="115">
      <c r="A115" s="30"/>
      <c r="B115" s="30"/>
      <c r="C115" s="30"/>
      <c r="D115" s="30"/>
      <c r="E115" s="30"/>
      <c r="F115" s="30"/>
      <c r="G115" s="30"/>
      <c r="H115" s="30"/>
      <c r="I115" s="30"/>
    </row>
    <row r="116">
      <c r="A116" s="30"/>
      <c r="B116" s="30"/>
      <c r="C116" s="30"/>
      <c r="D116" s="30"/>
      <c r="E116" s="30"/>
      <c r="F116" s="30"/>
      <c r="G116" s="30"/>
      <c r="H116" s="30"/>
      <c r="I116" s="30"/>
    </row>
    <row r="117">
      <c r="A117" s="30"/>
      <c r="B117" s="30"/>
      <c r="C117" s="30"/>
      <c r="D117" s="30"/>
      <c r="E117" s="30"/>
      <c r="F117" s="30"/>
      <c r="G117" s="30"/>
      <c r="H117" s="30"/>
      <c r="I117" s="30"/>
    </row>
    <row r="118">
      <c r="A118" s="30"/>
      <c r="B118" s="30"/>
      <c r="C118" s="30"/>
      <c r="D118" s="30"/>
      <c r="E118" s="30"/>
      <c r="F118" s="30"/>
      <c r="G118" s="30"/>
      <c r="H118" s="30"/>
      <c r="I118" s="30"/>
    </row>
    <row r="119">
      <c r="A119" s="30"/>
      <c r="B119" s="30"/>
      <c r="C119" s="30"/>
      <c r="D119" s="30"/>
      <c r="E119" s="30"/>
      <c r="F119" s="30"/>
      <c r="G119" s="30"/>
      <c r="H119" s="30"/>
      <c r="I119" s="30"/>
    </row>
    <row r="120">
      <c r="A120" s="30"/>
      <c r="B120" s="30"/>
      <c r="C120" s="30"/>
      <c r="D120" s="30"/>
      <c r="E120" s="30"/>
      <c r="F120" s="30"/>
      <c r="G120" s="30"/>
      <c r="H120" s="30"/>
      <c r="I120" s="30"/>
    </row>
    <row r="121">
      <c r="A121" s="30"/>
      <c r="B121" s="30"/>
      <c r="C121" s="30"/>
      <c r="D121" s="30"/>
      <c r="E121" s="30"/>
      <c r="F121" s="30"/>
      <c r="G121" s="30"/>
      <c r="H121" s="30"/>
      <c r="I121" s="30"/>
    </row>
    <row r="122">
      <c r="A122" s="30"/>
      <c r="B122" s="30"/>
      <c r="C122" s="30"/>
      <c r="D122" s="30"/>
      <c r="E122" s="30"/>
      <c r="F122" s="30"/>
      <c r="G122" s="30"/>
      <c r="H122" s="30"/>
      <c r="I122" s="30"/>
    </row>
    <row r="123">
      <c r="A123" s="30"/>
      <c r="B123" s="30"/>
      <c r="C123" s="30"/>
      <c r="D123" s="30"/>
      <c r="E123" s="30"/>
      <c r="F123" s="30"/>
      <c r="G123" s="30"/>
      <c r="H123" s="30"/>
      <c r="I123" s="30"/>
    </row>
    <row r="124">
      <c r="A124" s="30"/>
      <c r="B124" s="30"/>
      <c r="C124" s="30"/>
      <c r="D124" s="30"/>
      <c r="E124" s="30"/>
      <c r="F124" s="30"/>
      <c r="G124" s="30"/>
      <c r="H124" s="30"/>
      <c r="I124" s="30"/>
    </row>
    <row r="125">
      <c r="A125" s="30"/>
      <c r="B125" s="30"/>
      <c r="C125" s="30"/>
      <c r="D125" s="30"/>
      <c r="E125" s="30"/>
      <c r="F125" s="30"/>
      <c r="G125" s="30"/>
      <c r="H125" s="30"/>
      <c r="I125" s="30"/>
    </row>
    <row r="126">
      <c r="A126" s="30"/>
      <c r="B126" s="30"/>
      <c r="C126" s="30"/>
      <c r="D126" s="30"/>
      <c r="E126" s="30"/>
      <c r="F126" s="30"/>
      <c r="G126" s="30"/>
      <c r="H126" s="30"/>
      <c r="I126" s="30"/>
    </row>
    <row r="127">
      <c r="A127" s="30"/>
      <c r="B127" s="30"/>
      <c r="C127" s="30"/>
      <c r="D127" s="30"/>
      <c r="E127" s="30"/>
      <c r="F127" s="30"/>
      <c r="G127" s="30"/>
      <c r="H127" s="30"/>
      <c r="I127" s="30"/>
    </row>
    <row r="128">
      <c r="A128" s="30"/>
      <c r="B128" s="30"/>
      <c r="C128" s="30"/>
      <c r="D128" s="30"/>
      <c r="E128" s="30"/>
      <c r="F128" s="30"/>
      <c r="G128" s="30"/>
      <c r="H128" s="30"/>
      <c r="I128" s="30"/>
    </row>
    <row r="129">
      <c r="A129" s="30"/>
      <c r="B129" s="30"/>
      <c r="C129" s="30"/>
      <c r="D129" s="30"/>
      <c r="E129" s="30"/>
      <c r="F129" s="30"/>
      <c r="G129" s="30"/>
      <c r="H129" s="30"/>
      <c r="I129" s="30"/>
    </row>
    <row r="130">
      <c r="A130" s="30"/>
      <c r="B130" s="30"/>
      <c r="C130" s="30"/>
      <c r="D130" s="30"/>
      <c r="E130" s="30"/>
      <c r="F130" s="30"/>
      <c r="G130" s="30"/>
      <c r="H130" s="30"/>
      <c r="I130" s="30"/>
    </row>
    <row r="131">
      <c r="A131" s="30"/>
      <c r="B131" s="30"/>
      <c r="C131" s="30"/>
      <c r="D131" s="30"/>
      <c r="E131" s="30"/>
      <c r="F131" s="30"/>
      <c r="G131" s="30"/>
      <c r="H131" s="30"/>
      <c r="I131" s="30"/>
    </row>
    <row r="132">
      <c r="A132" s="30"/>
      <c r="B132" s="30"/>
      <c r="C132" s="30"/>
      <c r="D132" s="30"/>
      <c r="E132" s="30"/>
      <c r="F132" s="30"/>
      <c r="G132" s="30"/>
      <c r="H132" s="30"/>
      <c r="I132" s="30"/>
    </row>
    <row r="133">
      <c r="A133" s="30"/>
      <c r="B133" s="30"/>
      <c r="C133" s="30"/>
      <c r="D133" s="30"/>
      <c r="E133" s="30"/>
      <c r="F133" s="30"/>
      <c r="G133" s="30"/>
      <c r="H133" s="30"/>
      <c r="I133" s="30"/>
    </row>
    <row r="134">
      <c r="A134" s="30"/>
      <c r="B134" s="30"/>
      <c r="C134" s="30"/>
      <c r="D134" s="30"/>
      <c r="E134" s="30"/>
      <c r="F134" s="30"/>
      <c r="G134" s="30"/>
      <c r="H134" s="30"/>
      <c r="I134" s="30"/>
    </row>
    <row r="135">
      <c r="A135" s="30"/>
      <c r="B135" s="30"/>
      <c r="C135" s="30"/>
      <c r="D135" s="30"/>
      <c r="E135" s="30"/>
      <c r="F135" s="30"/>
      <c r="G135" s="30"/>
      <c r="H135" s="30"/>
      <c r="I135" s="30"/>
    </row>
    <row r="136">
      <c r="A136" s="30"/>
      <c r="B136" s="30"/>
      <c r="C136" s="30"/>
      <c r="D136" s="30"/>
      <c r="E136" s="30"/>
      <c r="F136" s="30"/>
      <c r="G136" s="30"/>
      <c r="H136" s="30"/>
      <c r="I136" s="30"/>
    </row>
    <row r="137">
      <c r="A137" s="30"/>
      <c r="B137" s="30"/>
      <c r="C137" s="30"/>
      <c r="D137" s="30"/>
      <c r="E137" s="30"/>
      <c r="F137" s="30"/>
      <c r="G137" s="30"/>
      <c r="H137" s="30"/>
      <c r="I137" s="30"/>
    </row>
    <row r="138">
      <c r="A138" s="30"/>
      <c r="B138" s="30"/>
      <c r="C138" s="30"/>
      <c r="D138" s="30"/>
      <c r="E138" s="30"/>
      <c r="F138" s="30"/>
      <c r="G138" s="30"/>
      <c r="H138" s="30"/>
      <c r="I138" s="30"/>
    </row>
    <row r="139">
      <c r="A139" s="30"/>
      <c r="B139" s="30"/>
      <c r="C139" s="30"/>
      <c r="D139" s="30"/>
      <c r="E139" s="30"/>
      <c r="F139" s="30"/>
      <c r="G139" s="30"/>
      <c r="H139" s="30"/>
      <c r="I139" s="30"/>
    </row>
    <row r="140">
      <c r="A140" s="30"/>
      <c r="B140" s="30"/>
      <c r="C140" s="30"/>
      <c r="D140" s="30"/>
      <c r="E140" s="30"/>
      <c r="F140" s="30"/>
      <c r="G140" s="30"/>
      <c r="H140" s="30"/>
      <c r="I140" s="30"/>
    </row>
    <row r="141">
      <c r="A141" s="30"/>
      <c r="B141" s="30"/>
      <c r="C141" s="30"/>
      <c r="D141" s="30"/>
      <c r="E141" s="30"/>
      <c r="F141" s="30"/>
      <c r="G141" s="30"/>
      <c r="H141" s="30"/>
      <c r="I141" s="30"/>
    </row>
    <row r="142">
      <c r="A142" s="30"/>
      <c r="B142" s="30"/>
      <c r="C142" s="30"/>
      <c r="D142" s="30"/>
      <c r="E142" s="30"/>
      <c r="F142" s="30"/>
      <c r="G142" s="30"/>
      <c r="H142" s="30"/>
      <c r="I142" s="30"/>
    </row>
    <row r="143">
      <c r="A143" s="30"/>
      <c r="B143" s="30"/>
      <c r="C143" s="30"/>
      <c r="D143" s="30"/>
      <c r="E143" s="30"/>
      <c r="F143" s="30"/>
      <c r="G143" s="30"/>
      <c r="H143" s="30"/>
      <c r="I143" s="30"/>
    </row>
    <row r="144">
      <c r="A144" s="30"/>
      <c r="B144" s="30"/>
      <c r="C144" s="30"/>
      <c r="D144" s="30"/>
      <c r="E144" s="30"/>
      <c r="F144" s="30"/>
      <c r="G144" s="30"/>
      <c r="H144" s="30"/>
      <c r="I144" s="30"/>
    </row>
    <row r="145">
      <c r="A145" s="30"/>
      <c r="B145" s="30"/>
      <c r="C145" s="30"/>
      <c r="D145" s="30"/>
      <c r="E145" s="30"/>
      <c r="F145" s="30"/>
      <c r="G145" s="30"/>
      <c r="H145" s="30"/>
      <c r="I145" s="30"/>
    </row>
    <row r="146">
      <c r="A146" s="30"/>
      <c r="B146" s="30"/>
      <c r="C146" s="30"/>
      <c r="D146" s="30"/>
      <c r="E146" s="30"/>
      <c r="F146" s="30"/>
      <c r="G146" s="30"/>
      <c r="H146" s="30"/>
      <c r="I146" s="30"/>
    </row>
    <row r="147">
      <c r="A147" s="30"/>
      <c r="B147" s="30"/>
      <c r="C147" s="30"/>
      <c r="D147" s="30"/>
      <c r="E147" s="30"/>
      <c r="F147" s="30"/>
      <c r="G147" s="30"/>
      <c r="H147" s="30"/>
      <c r="I147" s="30"/>
    </row>
    <row r="148">
      <c r="A148" s="30"/>
      <c r="B148" s="30"/>
      <c r="C148" s="30"/>
      <c r="D148" s="30"/>
      <c r="E148" s="30"/>
      <c r="F148" s="30"/>
      <c r="G148" s="30"/>
      <c r="H148" s="30"/>
      <c r="I148" s="30"/>
    </row>
    <row r="149">
      <c r="A149" s="30"/>
      <c r="B149" s="30"/>
      <c r="C149" s="30"/>
      <c r="D149" s="30"/>
      <c r="E149" s="30"/>
      <c r="F149" s="30"/>
      <c r="G149" s="30"/>
      <c r="H149" s="30"/>
      <c r="I149" s="30"/>
    </row>
    <row r="150">
      <c r="A150" s="30"/>
      <c r="B150" s="30"/>
      <c r="C150" s="30"/>
      <c r="D150" s="30"/>
      <c r="E150" s="30"/>
      <c r="F150" s="30"/>
      <c r="G150" s="30"/>
      <c r="H150" s="30"/>
      <c r="I150" s="30"/>
    </row>
    <row r="151">
      <c r="A151" s="30"/>
      <c r="B151" s="30"/>
      <c r="C151" s="30"/>
      <c r="D151" s="30"/>
      <c r="E151" s="30"/>
      <c r="F151" s="30"/>
      <c r="G151" s="30"/>
      <c r="H151" s="30"/>
      <c r="I151" s="30"/>
    </row>
    <row r="152">
      <c r="A152" s="30"/>
      <c r="B152" s="30"/>
      <c r="C152" s="30"/>
      <c r="D152" s="30"/>
      <c r="E152" s="30"/>
      <c r="F152" s="30"/>
      <c r="G152" s="30"/>
      <c r="H152" s="30"/>
      <c r="I152" s="30"/>
    </row>
    <row r="153">
      <c r="A153" s="30"/>
      <c r="B153" s="30"/>
      <c r="C153" s="30"/>
      <c r="D153" s="30"/>
      <c r="E153" s="30"/>
      <c r="F153" s="30"/>
      <c r="G153" s="30"/>
      <c r="H153" s="30"/>
      <c r="I153" s="30"/>
    </row>
    <row r="154">
      <c r="A154" s="30"/>
      <c r="B154" s="30"/>
      <c r="C154" s="30"/>
      <c r="D154" s="30"/>
      <c r="E154" s="30"/>
      <c r="F154" s="30"/>
      <c r="G154" s="30"/>
      <c r="H154" s="30"/>
      <c r="I154" s="30"/>
    </row>
    <row r="155">
      <c r="A155" s="30"/>
      <c r="B155" s="30"/>
      <c r="C155" s="30"/>
      <c r="D155" s="30"/>
      <c r="E155" s="30"/>
      <c r="F155" s="30"/>
      <c r="G155" s="30"/>
      <c r="H155" s="30"/>
      <c r="I155" s="30"/>
    </row>
    <row r="156">
      <c r="A156" s="30"/>
      <c r="B156" s="30"/>
      <c r="C156" s="30"/>
      <c r="D156" s="30"/>
      <c r="E156" s="30"/>
      <c r="F156" s="30"/>
      <c r="G156" s="30"/>
      <c r="H156" s="30"/>
      <c r="I156" s="30"/>
    </row>
    <row r="157">
      <c r="A157" s="30"/>
      <c r="B157" s="30"/>
      <c r="C157" s="30"/>
      <c r="D157" s="30"/>
      <c r="E157" s="30"/>
      <c r="F157" s="30"/>
      <c r="G157" s="30"/>
      <c r="H157" s="30"/>
      <c r="I157" s="30"/>
    </row>
    <row r="158">
      <c r="A158" s="30"/>
      <c r="B158" s="30"/>
      <c r="C158" s="30"/>
      <c r="D158" s="30"/>
      <c r="E158" s="30"/>
      <c r="F158" s="30"/>
      <c r="G158" s="30"/>
      <c r="H158" s="30"/>
      <c r="I158" s="30"/>
    </row>
    <row r="159">
      <c r="A159" s="30"/>
      <c r="B159" s="30"/>
      <c r="C159" s="30"/>
      <c r="D159" s="30"/>
      <c r="E159" s="30"/>
      <c r="F159" s="30"/>
      <c r="G159" s="30"/>
      <c r="H159" s="30"/>
      <c r="I159" s="30"/>
    </row>
    <row r="160">
      <c r="A160" s="30"/>
      <c r="B160" s="30"/>
      <c r="C160" s="30"/>
      <c r="D160" s="30"/>
      <c r="E160" s="30"/>
      <c r="F160" s="30"/>
      <c r="G160" s="30"/>
      <c r="H160" s="30"/>
      <c r="I160" s="30"/>
    </row>
    <row r="161">
      <c r="A161" s="30"/>
      <c r="B161" s="30"/>
      <c r="C161" s="30"/>
      <c r="D161" s="30"/>
      <c r="E161" s="30"/>
      <c r="F161" s="30"/>
      <c r="G161" s="30"/>
      <c r="H161" s="30"/>
      <c r="I161" s="30"/>
    </row>
    <row r="162">
      <c r="A162" s="30"/>
      <c r="B162" s="30"/>
      <c r="C162" s="30"/>
      <c r="D162" s="30"/>
      <c r="E162" s="30"/>
      <c r="F162" s="30"/>
      <c r="G162" s="30"/>
      <c r="H162" s="30"/>
      <c r="I162" s="30"/>
    </row>
    <row r="163">
      <c r="A163" s="30"/>
      <c r="B163" s="30"/>
      <c r="C163" s="30"/>
      <c r="D163" s="30"/>
      <c r="E163" s="30"/>
      <c r="F163" s="30"/>
      <c r="G163" s="30"/>
      <c r="H163" s="30"/>
      <c r="I163" s="30"/>
    </row>
    <row r="164">
      <c r="A164" s="30"/>
      <c r="B164" s="30"/>
      <c r="C164" s="30"/>
      <c r="D164" s="30"/>
      <c r="E164" s="30"/>
      <c r="F164" s="30"/>
      <c r="G164" s="30"/>
      <c r="H164" s="30"/>
      <c r="I164" s="30"/>
    </row>
    <row r="165">
      <c r="A165" s="30"/>
      <c r="B165" s="30"/>
      <c r="C165" s="30"/>
      <c r="D165" s="30"/>
      <c r="E165" s="30"/>
      <c r="F165" s="30"/>
      <c r="G165" s="30"/>
      <c r="H165" s="30"/>
      <c r="I165" s="30"/>
    </row>
    <row r="166">
      <c r="A166" s="30"/>
      <c r="B166" s="30"/>
      <c r="C166" s="30"/>
      <c r="D166" s="30"/>
      <c r="E166" s="30"/>
      <c r="F166" s="30"/>
      <c r="G166" s="30"/>
      <c r="H166" s="30"/>
      <c r="I166" s="30"/>
    </row>
    <row r="167">
      <c r="A167" s="30"/>
      <c r="B167" s="30"/>
      <c r="C167" s="30"/>
      <c r="D167" s="30"/>
      <c r="E167" s="30"/>
      <c r="F167" s="30"/>
      <c r="G167" s="30"/>
      <c r="H167" s="30"/>
      <c r="I167" s="30"/>
    </row>
    <row r="168">
      <c r="A168" s="30"/>
      <c r="B168" s="30"/>
      <c r="C168" s="30"/>
      <c r="D168" s="30"/>
      <c r="E168" s="30"/>
      <c r="F168" s="30"/>
      <c r="G168" s="30"/>
      <c r="H168" s="30"/>
      <c r="I168" s="30"/>
    </row>
    <row r="169">
      <c r="A169" s="30"/>
      <c r="B169" s="30"/>
      <c r="C169" s="30"/>
      <c r="D169" s="30"/>
      <c r="E169" s="30"/>
      <c r="F169" s="30"/>
      <c r="G169" s="30"/>
      <c r="H169" s="30"/>
      <c r="I169" s="30"/>
    </row>
    <row r="170">
      <c r="A170" s="30"/>
      <c r="B170" s="30"/>
      <c r="C170" s="30"/>
      <c r="D170" s="30"/>
      <c r="E170" s="30"/>
      <c r="F170" s="30"/>
      <c r="G170" s="30"/>
      <c r="H170" s="30"/>
      <c r="I170" s="30"/>
    </row>
    <row r="171">
      <c r="A171" s="30"/>
      <c r="B171" s="30"/>
      <c r="C171" s="30"/>
      <c r="D171" s="30"/>
      <c r="E171" s="30"/>
      <c r="F171" s="30"/>
      <c r="G171" s="30"/>
      <c r="H171" s="30"/>
      <c r="I171" s="30"/>
    </row>
    <row r="172">
      <c r="A172" s="30"/>
      <c r="B172" s="30"/>
      <c r="C172" s="30"/>
      <c r="D172" s="30"/>
      <c r="E172" s="30"/>
      <c r="F172" s="30"/>
      <c r="G172" s="30"/>
      <c r="H172" s="30"/>
      <c r="I172" s="30"/>
    </row>
    <row r="173">
      <c r="A173" s="30"/>
      <c r="B173" s="30"/>
      <c r="C173" s="30"/>
      <c r="D173" s="30"/>
      <c r="E173" s="30"/>
      <c r="F173" s="30"/>
      <c r="G173" s="30"/>
      <c r="H173" s="30"/>
      <c r="I173" s="30"/>
    </row>
    <row r="174">
      <c r="A174" s="30"/>
      <c r="B174" s="30"/>
      <c r="C174" s="30"/>
      <c r="D174" s="30"/>
      <c r="E174" s="30"/>
      <c r="F174" s="30"/>
      <c r="G174" s="30"/>
      <c r="H174" s="30"/>
      <c r="I174" s="30"/>
    </row>
    <row r="175">
      <c r="A175" s="30"/>
      <c r="B175" s="30"/>
      <c r="C175" s="30"/>
      <c r="D175" s="30"/>
      <c r="E175" s="30"/>
      <c r="F175" s="30"/>
      <c r="G175" s="30"/>
      <c r="H175" s="30"/>
      <c r="I175" s="30"/>
    </row>
    <row r="176">
      <c r="A176" s="30"/>
      <c r="B176" s="30"/>
      <c r="C176" s="30"/>
      <c r="D176" s="30"/>
      <c r="E176" s="30"/>
      <c r="F176" s="30"/>
      <c r="G176" s="30"/>
      <c r="H176" s="30"/>
      <c r="I176" s="30"/>
    </row>
    <row r="177">
      <c r="A177" s="30"/>
      <c r="B177" s="30"/>
      <c r="C177" s="30"/>
      <c r="D177" s="30"/>
      <c r="E177" s="30"/>
      <c r="F177" s="30"/>
      <c r="G177" s="30"/>
      <c r="H177" s="30"/>
      <c r="I177" s="30"/>
    </row>
    <row r="178">
      <c r="A178" s="30"/>
      <c r="B178" s="30"/>
      <c r="C178" s="30"/>
      <c r="D178" s="30"/>
      <c r="E178" s="30"/>
      <c r="F178" s="30"/>
      <c r="G178" s="30"/>
      <c r="H178" s="30"/>
      <c r="I178" s="30"/>
    </row>
    <row r="179">
      <c r="A179" s="30"/>
      <c r="B179" s="30"/>
      <c r="C179" s="30"/>
      <c r="D179" s="30"/>
      <c r="E179" s="30"/>
      <c r="F179" s="30"/>
      <c r="G179" s="30"/>
      <c r="H179" s="30"/>
      <c r="I179" s="30"/>
    </row>
    <row r="180">
      <c r="A180" s="30"/>
      <c r="B180" s="30"/>
      <c r="C180" s="30"/>
      <c r="D180" s="30"/>
      <c r="E180" s="30"/>
      <c r="F180" s="30"/>
      <c r="G180" s="30"/>
      <c r="H180" s="30"/>
      <c r="I180" s="30"/>
    </row>
    <row r="181">
      <c r="A181" s="30"/>
      <c r="B181" s="30"/>
      <c r="C181" s="30"/>
      <c r="D181" s="30"/>
      <c r="E181" s="30"/>
      <c r="F181" s="30"/>
      <c r="G181" s="30"/>
      <c r="H181" s="30"/>
      <c r="I181" s="30"/>
    </row>
    <row r="182">
      <c r="A182" s="30"/>
      <c r="B182" s="30"/>
      <c r="C182" s="30"/>
      <c r="D182" s="30"/>
      <c r="E182" s="30"/>
      <c r="F182" s="30"/>
      <c r="G182" s="30"/>
      <c r="H182" s="30"/>
      <c r="I182" s="30"/>
    </row>
    <row r="183">
      <c r="A183" s="30"/>
      <c r="B183" s="30"/>
      <c r="C183" s="30"/>
      <c r="D183" s="30"/>
      <c r="E183" s="30"/>
      <c r="F183" s="30"/>
      <c r="G183" s="30"/>
      <c r="H183" s="30"/>
      <c r="I183" s="30"/>
    </row>
    <row r="184">
      <c r="A184" s="30"/>
      <c r="B184" s="30"/>
      <c r="C184" s="30"/>
      <c r="D184" s="30"/>
      <c r="E184" s="30"/>
      <c r="F184" s="30"/>
      <c r="G184" s="30"/>
      <c r="H184" s="30"/>
      <c r="I184" s="30"/>
    </row>
    <row r="185">
      <c r="A185" s="30"/>
      <c r="B185" s="30"/>
      <c r="C185" s="30"/>
      <c r="D185" s="30"/>
      <c r="E185" s="30"/>
      <c r="F185" s="30"/>
      <c r="G185" s="30"/>
      <c r="H185" s="30"/>
      <c r="I185" s="30"/>
    </row>
    <row r="186">
      <c r="A186" s="30"/>
      <c r="B186" s="30"/>
      <c r="C186" s="30"/>
      <c r="D186" s="30"/>
      <c r="E186" s="30"/>
      <c r="F186" s="30"/>
      <c r="G186" s="30"/>
      <c r="H186" s="30"/>
      <c r="I186" s="30"/>
    </row>
    <row r="187">
      <c r="A187" s="30"/>
      <c r="B187" s="30"/>
      <c r="C187" s="30"/>
      <c r="D187" s="30"/>
      <c r="E187" s="30"/>
      <c r="F187" s="30"/>
      <c r="G187" s="30"/>
      <c r="H187" s="30"/>
      <c r="I187" s="30"/>
    </row>
    <row r="188">
      <c r="A188" s="30"/>
      <c r="B188" s="30"/>
      <c r="C188" s="30"/>
      <c r="D188" s="30"/>
      <c r="E188" s="30"/>
      <c r="F188" s="30"/>
      <c r="G188" s="30"/>
      <c r="H188" s="30"/>
      <c r="I188" s="30"/>
    </row>
    <row r="189">
      <c r="A189" s="30"/>
      <c r="B189" s="30"/>
      <c r="C189" s="30"/>
      <c r="D189" s="30"/>
      <c r="E189" s="30"/>
      <c r="F189" s="30"/>
      <c r="G189" s="30"/>
      <c r="H189" s="30"/>
      <c r="I189" s="30"/>
    </row>
    <row r="190">
      <c r="A190" s="30"/>
      <c r="B190" s="30"/>
      <c r="C190" s="30"/>
      <c r="D190" s="30"/>
      <c r="E190" s="30"/>
      <c r="F190" s="30"/>
      <c r="G190" s="30"/>
      <c r="H190" s="30"/>
      <c r="I190" s="30"/>
    </row>
    <row r="191">
      <c r="A191" s="30"/>
      <c r="B191" s="30"/>
      <c r="C191" s="30"/>
      <c r="D191" s="30"/>
      <c r="E191" s="30"/>
      <c r="F191" s="30"/>
      <c r="G191" s="30"/>
      <c r="H191" s="30"/>
      <c r="I191" s="30"/>
    </row>
    <row r="192">
      <c r="A192" s="30"/>
      <c r="B192" s="30"/>
      <c r="C192" s="30"/>
      <c r="D192" s="30"/>
      <c r="E192" s="30"/>
      <c r="F192" s="30"/>
      <c r="G192" s="30"/>
      <c r="H192" s="30"/>
      <c r="I192" s="30"/>
    </row>
    <row r="193">
      <c r="A193" s="30"/>
      <c r="B193" s="30"/>
      <c r="C193" s="30"/>
      <c r="D193" s="30"/>
      <c r="E193" s="30"/>
      <c r="F193" s="30"/>
      <c r="G193" s="30"/>
      <c r="H193" s="30"/>
      <c r="I193" s="30"/>
    </row>
    <row r="194">
      <c r="A194" s="30"/>
      <c r="B194" s="30"/>
      <c r="C194" s="30"/>
      <c r="D194" s="30"/>
      <c r="E194" s="30"/>
      <c r="F194" s="30"/>
      <c r="G194" s="30"/>
      <c r="H194" s="30"/>
      <c r="I194" s="30"/>
    </row>
    <row r="195">
      <c r="A195" s="30"/>
      <c r="B195" s="30"/>
      <c r="C195" s="30"/>
      <c r="D195" s="30"/>
      <c r="E195" s="30"/>
      <c r="F195" s="30"/>
      <c r="G195" s="30"/>
      <c r="H195" s="30"/>
      <c r="I195" s="30"/>
    </row>
    <row r="196">
      <c r="A196" s="30"/>
      <c r="B196" s="30"/>
      <c r="C196" s="30"/>
      <c r="D196" s="30"/>
      <c r="E196" s="30"/>
      <c r="F196" s="30"/>
      <c r="G196" s="30"/>
      <c r="H196" s="30"/>
      <c r="I196" s="30"/>
    </row>
    <row r="197">
      <c r="A197" s="30"/>
      <c r="B197" s="30"/>
      <c r="C197" s="30"/>
      <c r="D197" s="30"/>
      <c r="E197" s="30"/>
      <c r="F197" s="30"/>
      <c r="G197" s="30"/>
      <c r="H197" s="30"/>
      <c r="I197" s="30"/>
    </row>
    <row r="198">
      <c r="A198" s="30"/>
      <c r="B198" s="30"/>
      <c r="C198" s="30"/>
      <c r="D198" s="30"/>
      <c r="E198" s="30"/>
      <c r="F198" s="30"/>
      <c r="G198" s="30"/>
      <c r="H198" s="30"/>
      <c r="I198" s="30"/>
    </row>
    <row r="199">
      <c r="A199" s="30"/>
      <c r="B199" s="30"/>
      <c r="C199" s="30"/>
      <c r="D199" s="30"/>
      <c r="E199" s="30"/>
      <c r="F199" s="30"/>
      <c r="G199" s="30"/>
      <c r="H199" s="30"/>
      <c r="I199" s="30"/>
    </row>
    <row r="200">
      <c r="A200" s="30"/>
      <c r="B200" s="30"/>
      <c r="C200" s="30"/>
      <c r="D200" s="30"/>
      <c r="E200" s="30"/>
      <c r="F200" s="30"/>
      <c r="G200" s="30"/>
      <c r="H200" s="30"/>
      <c r="I200" s="30"/>
    </row>
    <row r="201">
      <c r="A201" s="30"/>
      <c r="B201" s="30"/>
      <c r="C201" s="30"/>
      <c r="D201" s="30"/>
      <c r="E201" s="30"/>
      <c r="F201" s="30"/>
      <c r="G201" s="30"/>
      <c r="H201" s="30"/>
      <c r="I201" s="30"/>
    </row>
    <row r="202">
      <c r="A202" s="30"/>
      <c r="B202" s="30"/>
      <c r="C202" s="30"/>
      <c r="D202" s="30"/>
      <c r="E202" s="30"/>
      <c r="F202" s="30"/>
      <c r="G202" s="30"/>
      <c r="H202" s="30"/>
      <c r="I202" s="30"/>
    </row>
    <row r="203">
      <c r="A203" s="30"/>
      <c r="B203" s="30"/>
      <c r="C203" s="30"/>
      <c r="D203" s="30"/>
      <c r="E203" s="30"/>
      <c r="F203" s="30"/>
      <c r="G203" s="30"/>
      <c r="H203" s="30"/>
      <c r="I203" s="30"/>
    </row>
    <row r="204">
      <c r="A204" s="30"/>
      <c r="B204" s="30"/>
      <c r="C204" s="30"/>
      <c r="D204" s="30"/>
      <c r="E204" s="30"/>
      <c r="F204" s="30"/>
      <c r="G204" s="30"/>
      <c r="H204" s="30"/>
      <c r="I204" s="30"/>
    </row>
    <row r="205">
      <c r="A205" s="30"/>
      <c r="B205" s="30"/>
      <c r="C205" s="30"/>
      <c r="D205" s="30"/>
      <c r="E205" s="30"/>
      <c r="F205" s="30"/>
      <c r="G205" s="30"/>
      <c r="H205" s="30"/>
      <c r="I205" s="30"/>
    </row>
    <row r="206">
      <c r="A206" s="30"/>
      <c r="B206" s="30"/>
      <c r="C206" s="30"/>
      <c r="D206" s="30"/>
      <c r="E206" s="30"/>
      <c r="F206" s="30"/>
      <c r="G206" s="30"/>
      <c r="H206" s="30"/>
      <c r="I206" s="30"/>
    </row>
    <row r="207">
      <c r="A207" s="30"/>
      <c r="B207" s="30"/>
      <c r="C207" s="30"/>
      <c r="D207" s="30"/>
      <c r="E207" s="30"/>
      <c r="F207" s="30"/>
      <c r="G207" s="30"/>
      <c r="H207" s="30"/>
      <c r="I207" s="30"/>
    </row>
    <row r="208">
      <c r="A208" s="30"/>
      <c r="B208" s="30"/>
      <c r="C208" s="30"/>
      <c r="D208" s="30"/>
      <c r="E208" s="30"/>
      <c r="F208" s="30"/>
      <c r="G208" s="30"/>
      <c r="H208" s="30"/>
      <c r="I208" s="30"/>
    </row>
    <row r="209">
      <c r="A209" s="30"/>
      <c r="B209" s="30"/>
      <c r="C209" s="30"/>
      <c r="D209" s="30"/>
      <c r="E209" s="30"/>
      <c r="F209" s="30"/>
      <c r="G209" s="30"/>
      <c r="H209" s="30"/>
      <c r="I209" s="30"/>
    </row>
    <row r="210">
      <c r="A210" s="30"/>
      <c r="B210" s="30"/>
      <c r="C210" s="30"/>
      <c r="D210" s="30"/>
      <c r="E210" s="30"/>
      <c r="F210" s="30"/>
      <c r="G210" s="30"/>
      <c r="H210" s="30"/>
      <c r="I210" s="30"/>
    </row>
    <row r="211">
      <c r="A211" s="30"/>
      <c r="B211" s="30"/>
      <c r="C211" s="30"/>
      <c r="D211" s="30"/>
      <c r="E211" s="30"/>
      <c r="F211" s="30"/>
      <c r="G211" s="30"/>
      <c r="H211" s="30"/>
      <c r="I211" s="30"/>
    </row>
    <row r="212">
      <c r="A212" s="30"/>
      <c r="B212" s="30"/>
      <c r="C212" s="30"/>
      <c r="D212" s="30"/>
      <c r="E212" s="30"/>
      <c r="F212" s="30"/>
      <c r="G212" s="30"/>
      <c r="H212" s="30"/>
      <c r="I212" s="30"/>
    </row>
    <row r="213">
      <c r="A213" s="30"/>
      <c r="B213" s="30"/>
      <c r="C213" s="30"/>
      <c r="D213" s="30"/>
      <c r="E213" s="30"/>
      <c r="F213" s="30"/>
      <c r="G213" s="30"/>
      <c r="H213" s="30"/>
      <c r="I213" s="30"/>
    </row>
    <row r="214">
      <c r="A214" s="30"/>
      <c r="B214" s="30"/>
      <c r="C214" s="30"/>
      <c r="D214" s="30"/>
      <c r="E214" s="30"/>
      <c r="F214" s="30"/>
      <c r="G214" s="30"/>
      <c r="H214" s="30"/>
      <c r="I214" s="30"/>
    </row>
    <row r="215">
      <c r="A215" s="30"/>
      <c r="B215" s="30"/>
      <c r="C215" s="30"/>
      <c r="D215" s="30"/>
      <c r="E215" s="30"/>
      <c r="F215" s="30"/>
      <c r="G215" s="30"/>
      <c r="H215" s="30"/>
      <c r="I215" s="30"/>
    </row>
    <row r="216">
      <c r="A216" s="30"/>
      <c r="B216" s="30"/>
      <c r="C216" s="30"/>
      <c r="D216" s="30"/>
      <c r="E216" s="30"/>
      <c r="F216" s="30"/>
      <c r="G216" s="30"/>
      <c r="H216" s="30"/>
      <c r="I216" s="30"/>
    </row>
    <row r="217">
      <c r="A217" s="30"/>
      <c r="B217" s="30"/>
      <c r="C217" s="30"/>
      <c r="D217" s="30"/>
      <c r="E217" s="30"/>
      <c r="F217" s="30"/>
      <c r="G217" s="30"/>
      <c r="H217" s="30"/>
      <c r="I217" s="30"/>
    </row>
    <row r="218">
      <c r="A218" s="30"/>
      <c r="B218" s="30"/>
      <c r="C218" s="30"/>
      <c r="D218" s="30"/>
      <c r="E218" s="30"/>
      <c r="F218" s="30"/>
      <c r="G218" s="30"/>
      <c r="H218" s="30"/>
      <c r="I218" s="30"/>
    </row>
    <row r="219">
      <c r="A219" s="30"/>
      <c r="B219" s="30"/>
      <c r="C219" s="30"/>
      <c r="D219" s="30"/>
      <c r="E219" s="30"/>
      <c r="F219" s="30"/>
      <c r="G219" s="30"/>
      <c r="H219" s="30"/>
      <c r="I219" s="30"/>
    </row>
    <row r="220">
      <c r="A220" s="30"/>
      <c r="B220" s="30"/>
      <c r="C220" s="30"/>
      <c r="D220" s="30"/>
      <c r="E220" s="30"/>
      <c r="F220" s="30"/>
      <c r="G220" s="30"/>
      <c r="H220" s="30"/>
      <c r="I220" s="30"/>
    </row>
    <row r="221">
      <c r="A221" s="30"/>
      <c r="B221" s="30"/>
      <c r="C221" s="30"/>
      <c r="D221" s="30"/>
      <c r="E221" s="30"/>
      <c r="F221" s="30"/>
      <c r="G221" s="30"/>
      <c r="H221" s="30"/>
      <c r="I221" s="30"/>
    </row>
    <row r="222">
      <c r="A222" s="30"/>
      <c r="B222" s="30"/>
      <c r="C222" s="30"/>
      <c r="D222" s="30"/>
      <c r="E222" s="30"/>
      <c r="F222" s="30"/>
      <c r="G222" s="30"/>
      <c r="H222" s="30"/>
      <c r="I222" s="30"/>
    </row>
    <row r="223">
      <c r="A223" s="30"/>
      <c r="B223" s="30"/>
      <c r="C223" s="30"/>
      <c r="D223" s="30"/>
      <c r="E223" s="30"/>
      <c r="F223" s="30"/>
      <c r="G223" s="30"/>
      <c r="H223" s="30"/>
      <c r="I223" s="30"/>
    </row>
    <row r="224">
      <c r="A224" s="30"/>
      <c r="B224" s="30"/>
      <c r="C224" s="30"/>
      <c r="D224" s="30"/>
      <c r="E224" s="30"/>
      <c r="F224" s="30"/>
      <c r="G224" s="30"/>
      <c r="H224" s="30"/>
      <c r="I224" s="30"/>
    </row>
    <row r="225">
      <c r="A225" s="30"/>
      <c r="B225" s="30"/>
      <c r="C225" s="30"/>
      <c r="D225" s="30"/>
      <c r="E225" s="30"/>
      <c r="F225" s="30"/>
      <c r="G225" s="30"/>
      <c r="H225" s="30"/>
      <c r="I225" s="30"/>
    </row>
    <row r="226">
      <c r="A226" s="30"/>
      <c r="B226" s="30"/>
      <c r="C226" s="30"/>
      <c r="D226" s="30"/>
      <c r="E226" s="30"/>
      <c r="F226" s="30"/>
      <c r="G226" s="30"/>
      <c r="H226" s="30"/>
      <c r="I226" s="30"/>
    </row>
    <row r="227">
      <c r="A227" s="30"/>
      <c r="B227" s="30"/>
      <c r="C227" s="30"/>
      <c r="D227" s="30"/>
      <c r="E227" s="30"/>
      <c r="F227" s="30"/>
      <c r="G227" s="30"/>
      <c r="H227" s="30"/>
      <c r="I227" s="30"/>
    </row>
    <row r="228">
      <c r="A228" s="30"/>
      <c r="B228" s="30"/>
      <c r="C228" s="30"/>
      <c r="D228" s="30"/>
      <c r="E228" s="30"/>
      <c r="F228" s="30"/>
      <c r="G228" s="30"/>
      <c r="H228" s="30"/>
      <c r="I228" s="30"/>
    </row>
    <row r="229">
      <c r="A229" s="30"/>
      <c r="B229" s="30"/>
      <c r="C229" s="30"/>
      <c r="D229" s="30"/>
      <c r="E229" s="30"/>
      <c r="F229" s="30"/>
      <c r="G229" s="30"/>
      <c r="H229" s="30"/>
      <c r="I229" s="30"/>
    </row>
    <row r="230">
      <c r="A230" s="30"/>
      <c r="B230" s="30"/>
      <c r="C230" s="30"/>
      <c r="D230" s="30"/>
      <c r="E230" s="30"/>
      <c r="F230" s="30"/>
      <c r="G230" s="30"/>
      <c r="H230" s="30"/>
      <c r="I230" s="30"/>
    </row>
    <row r="231">
      <c r="A231" s="30"/>
      <c r="B231" s="30"/>
      <c r="C231" s="30"/>
      <c r="D231" s="30"/>
      <c r="E231" s="30"/>
      <c r="F231" s="30"/>
      <c r="G231" s="30"/>
      <c r="H231" s="30"/>
      <c r="I231" s="30"/>
    </row>
    <row r="232">
      <c r="A232" s="30"/>
      <c r="B232" s="30"/>
      <c r="C232" s="30"/>
      <c r="D232" s="30"/>
      <c r="E232" s="30"/>
      <c r="F232" s="30"/>
      <c r="G232" s="30"/>
      <c r="H232" s="30"/>
      <c r="I232" s="30"/>
    </row>
    <row r="233">
      <c r="A233" s="30"/>
      <c r="B233" s="30"/>
      <c r="C233" s="30"/>
      <c r="D233" s="30"/>
      <c r="E233" s="30"/>
      <c r="F233" s="30"/>
      <c r="G233" s="30"/>
      <c r="H233" s="30"/>
      <c r="I233" s="30"/>
    </row>
    <row r="234">
      <c r="A234" s="30"/>
      <c r="B234" s="30"/>
      <c r="C234" s="30"/>
      <c r="D234" s="30"/>
      <c r="E234" s="30"/>
      <c r="F234" s="30"/>
      <c r="G234" s="30"/>
      <c r="H234" s="30"/>
      <c r="I234" s="30"/>
    </row>
    <row r="235">
      <c r="A235" s="30"/>
      <c r="B235" s="30"/>
      <c r="C235" s="30"/>
      <c r="D235" s="30"/>
      <c r="E235" s="30"/>
      <c r="F235" s="30"/>
      <c r="G235" s="30"/>
      <c r="H235" s="30"/>
      <c r="I235" s="30"/>
    </row>
    <row r="236">
      <c r="A236" s="30"/>
      <c r="B236" s="30"/>
      <c r="C236" s="30"/>
      <c r="D236" s="30"/>
      <c r="E236" s="30"/>
      <c r="F236" s="30"/>
      <c r="G236" s="30"/>
      <c r="H236" s="30"/>
      <c r="I236" s="30"/>
    </row>
    <row r="237">
      <c r="A237" s="30"/>
      <c r="B237" s="30"/>
      <c r="C237" s="30"/>
      <c r="D237" s="30"/>
      <c r="E237" s="30"/>
      <c r="F237" s="30"/>
      <c r="G237" s="30"/>
      <c r="H237" s="30"/>
      <c r="I237" s="30"/>
    </row>
    <row r="238">
      <c r="A238" s="30"/>
      <c r="B238" s="30"/>
      <c r="C238" s="30"/>
      <c r="D238" s="30"/>
      <c r="E238" s="30"/>
      <c r="F238" s="30"/>
      <c r="G238" s="30"/>
      <c r="H238" s="30"/>
      <c r="I238" s="30"/>
    </row>
    <row r="239">
      <c r="A239" s="30"/>
      <c r="B239" s="30"/>
      <c r="C239" s="30"/>
      <c r="D239" s="30"/>
      <c r="E239" s="30"/>
      <c r="F239" s="30"/>
      <c r="G239" s="30"/>
      <c r="H239" s="30"/>
      <c r="I239" s="30"/>
    </row>
    <row r="240">
      <c r="A240" s="30"/>
      <c r="B240" s="30"/>
      <c r="C240" s="30"/>
      <c r="D240" s="30"/>
      <c r="E240" s="30"/>
      <c r="F240" s="30"/>
      <c r="G240" s="30"/>
      <c r="H240" s="30"/>
      <c r="I240" s="30"/>
    </row>
    <row r="241">
      <c r="A241" s="30"/>
      <c r="B241" s="30"/>
      <c r="C241" s="30"/>
      <c r="D241" s="30"/>
      <c r="E241" s="30"/>
      <c r="F241" s="30"/>
      <c r="G241" s="30"/>
      <c r="H241" s="30"/>
      <c r="I241" s="30"/>
    </row>
    <row r="242">
      <c r="A242" s="30"/>
      <c r="B242" s="30"/>
      <c r="C242" s="30"/>
      <c r="D242" s="30"/>
      <c r="E242" s="30"/>
      <c r="F242" s="30"/>
      <c r="G242" s="30"/>
      <c r="H242" s="30"/>
      <c r="I242" s="30"/>
    </row>
    <row r="243">
      <c r="A243" s="30"/>
      <c r="B243" s="30"/>
      <c r="C243" s="30"/>
      <c r="D243" s="30"/>
      <c r="E243" s="30"/>
      <c r="F243" s="30"/>
      <c r="G243" s="30"/>
      <c r="H243" s="30"/>
      <c r="I243" s="30"/>
    </row>
    <row r="244">
      <c r="A244" s="30"/>
      <c r="B244" s="30"/>
      <c r="C244" s="30"/>
      <c r="D244" s="30"/>
      <c r="E244" s="30"/>
      <c r="F244" s="30"/>
      <c r="G244" s="30"/>
      <c r="H244" s="30"/>
      <c r="I244" s="30"/>
    </row>
    <row r="245">
      <c r="A245" s="30"/>
      <c r="B245" s="30"/>
      <c r="C245" s="30"/>
      <c r="D245" s="30"/>
      <c r="E245" s="30"/>
      <c r="F245" s="30"/>
      <c r="G245" s="30"/>
      <c r="H245" s="30"/>
      <c r="I245" s="30"/>
    </row>
    <row r="246">
      <c r="A246" s="30"/>
      <c r="B246" s="30"/>
      <c r="C246" s="30"/>
      <c r="D246" s="30"/>
      <c r="E246" s="30"/>
      <c r="F246" s="30"/>
      <c r="G246" s="30"/>
      <c r="H246" s="30"/>
      <c r="I246" s="30"/>
    </row>
    <row r="247">
      <c r="A247" s="30"/>
      <c r="B247" s="30"/>
      <c r="C247" s="30"/>
      <c r="D247" s="30"/>
      <c r="E247" s="30"/>
      <c r="F247" s="30"/>
      <c r="G247" s="30"/>
      <c r="H247" s="30"/>
      <c r="I247" s="30"/>
    </row>
    <row r="248">
      <c r="A248" s="30"/>
      <c r="B248" s="30"/>
      <c r="C248" s="30"/>
      <c r="D248" s="30"/>
      <c r="E248" s="30"/>
      <c r="F248" s="30"/>
      <c r="G248" s="30"/>
      <c r="H248" s="30"/>
      <c r="I248" s="30"/>
    </row>
    <row r="249">
      <c r="A249" s="30"/>
      <c r="B249" s="30"/>
      <c r="C249" s="30"/>
      <c r="D249" s="30"/>
      <c r="E249" s="30"/>
      <c r="F249" s="30"/>
      <c r="G249" s="30"/>
      <c r="H249" s="30"/>
      <c r="I249" s="30"/>
    </row>
    <row r="250">
      <c r="A250" s="30"/>
      <c r="B250" s="30"/>
      <c r="C250" s="30"/>
      <c r="D250" s="30"/>
      <c r="E250" s="30"/>
      <c r="F250" s="30"/>
      <c r="G250" s="30"/>
      <c r="H250" s="30"/>
      <c r="I250" s="30"/>
    </row>
    <row r="251">
      <c r="A251" s="30"/>
      <c r="B251" s="30"/>
      <c r="C251" s="30"/>
      <c r="D251" s="30"/>
      <c r="E251" s="30"/>
      <c r="F251" s="30"/>
      <c r="G251" s="30"/>
      <c r="H251" s="30"/>
      <c r="I251" s="30"/>
    </row>
    <row r="252">
      <c r="A252" s="30"/>
      <c r="B252" s="30"/>
      <c r="C252" s="30"/>
      <c r="D252" s="30"/>
      <c r="E252" s="30"/>
      <c r="F252" s="30"/>
      <c r="G252" s="30"/>
      <c r="H252" s="30"/>
      <c r="I252" s="30"/>
    </row>
    <row r="253">
      <c r="A253" s="30"/>
      <c r="B253" s="30"/>
      <c r="C253" s="30"/>
      <c r="D253" s="30"/>
      <c r="E253" s="30"/>
      <c r="F253" s="30"/>
      <c r="G253" s="30"/>
      <c r="H253" s="30"/>
      <c r="I253" s="30"/>
    </row>
    <row r="254">
      <c r="A254" s="30"/>
      <c r="B254" s="30"/>
      <c r="C254" s="30"/>
      <c r="D254" s="30"/>
      <c r="E254" s="30"/>
      <c r="F254" s="30"/>
      <c r="G254" s="30"/>
      <c r="H254" s="30"/>
      <c r="I254" s="30"/>
    </row>
    <row r="255">
      <c r="A255" s="30"/>
      <c r="B255" s="30"/>
      <c r="C255" s="30"/>
      <c r="D255" s="30"/>
      <c r="E255" s="30"/>
      <c r="F255" s="30"/>
      <c r="G255" s="30"/>
      <c r="H255" s="30"/>
      <c r="I255" s="30"/>
    </row>
    <row r="256">
      <c r="A256" s="30"/>
      <c r="B256" s="30"/>
      <c r="C256" s="30"/>
      <c r="D256" s="30"/>
      <c r="E256" s="30"/>
      <c r="F256" s="30"/>
      <c r="G256" s="30"/>
      <c r="H256" s="30"/>
      <c r="I256" s="30"/>
    </row>
    <row r="257">
      <c r="A257" s="30"/>
      <c r="B257" s="30"/>
      <c r="C257" s="30"/>
      <c r="D257" s="30"/>
      <c r="E257" s="30"/>
      <c r="F257" s="30"/>
      <c r="G257" s="30"/>
      <c r="H257" s="30"/>
      <c r="I257" s="30"/>
    </row>
    <row r="258">
      <c r="A258" s="30"/>
      <c r="B258" s="30"/>
      <c r="C258" s="30"/>
      <c r="D258" s="30"/>
      <c r="E258" s="30"/>
      <c r="F258" s="30"/>
      <c r="G258" s="30"/>
      <c r="H258" s="30"/>
      <c r="I258" s="30"/>
    </row>
    <row r="259">
      <c r="A259" s="30"/>
      <c r="B259" s="30"/>
      <c r="C259" s="30"/>
      <c r="D259" s="30"/>
      <c r="E259" s="30"/>
      <c r="F259" s="30"/>
      <c r="G259" s="30"/>
      <c r="H259" s="30"/>
      <c r="I259" s="30"/>
    </row>
    <row r="260">
      <c r="A260" s="30"/>
      <c r="B260" s="30"/>
      <c r="C260" s="30"/>
      <c r="D260" s="30"/>
      <c r="E260" s="30"/>
      <c r="F260" s="30"/>
      <c r="G260" s="30"/>
      <c r="H260" s="30"/>
      <c r="I260" s="30"/>
    </row>
    <row r="261">
      <c r="A261" s="30"/>
      <c r="B261" s="30"/>
      <c r="C261" s="30"/>
      <c r="D261" s="30"/>
      <c r="E261" s="30"/>
      <c r="F261" s="30"/>
      <c r="G261" s="30"/>
      <c r="H261" s="30"/>
      <c r="I261" s="30"/>
    </row>
    <row r="262">
      <c r="A262" s="30"/>
      <c r="B262" s="30"/>
      <c r="C262" s="30"/>
      <c r="D262" s="30"/>
      <c r="E262" s="30"/>
      <c r="F262" s="30"/>
      <c r="G262" s="30"/>
      <c r="H262" s="30"/>
      <c r="I262" s="30"/>
    </row>
    <row r="263">
      <c r="A263" s="30"/>
      <c r="B263" s="30"/>
      <c r="C263" s="30"/>
      <c r="D263" s="30"/>
      <c r="E263" s="30"/>
      <c r="F263" s="30"/>
      <c r="G263" s="30"/>
      <c r="H263" s="30"/>
      <c r="I263" s="30"/>
    </row>
    <row r="264">
      <c r="A264" s="30"/>
      <c r="B264" s="30"/>
      <c r="C264" s="30"/>
      <c r="D264" s="30"/>
      <c r="E264" s="30"/>
      <c r="F264" s="30"/>
      <c r="G264" s="30"/>
      <c r="H264" s="30"/>
      <c r="I264" s="30"/>
    </row>
    <row r="265">
      <c r="A265" s="30"/>
      <c r="B265" s="30"/>
      <c r="C265" s="30"/>
      <c r="D265" s="30"/>
      <c r="E265" s="30"/>
      <c r="F265" s="30"/>
      <c r="G265" s="30"/>
      <c r="H265" s="30"/>
      <c r="I265" s="30"/>
    </row>
    <row r="266">
      <c r="A266" s="30"/>
      <c r="B266" s="30"/>
      <c r="C266" s="30"/>
      <c r="D266" s="30"/>
      <c r="E266" s="30"/>
      <c r="F266" s="30"/>
      <c r="G266" s="30"/>
      <c r="H266" s="30"/>
      <c r="I266" s="30"/>
    </row>
    <row r="267">
      <c r="A267" s="30"/>
      <c r="B267" s="30"/>
      <c r="C267" s="30"/>
      <c r="D267" s="30"/>
      <c r="E267" s="30"/>
      <c r="F267" s="30"/>
      <c r="G267" s="30"/>
      <c r="H267" s="30"/>
      <c r="I267" s="30"/>
    </row>
    <row r="268">
      <c r="A268" s="30"/>
      <c r="B268" s="30"/>
      <c r="C268" s="30"/>
      <c r="D268" s="30"/>
      <c r="E268" s="30"/>
      <c r="F268" s="30"/>
      <c r="G268" s="30"/>
      <c r="H268" s="30"/>
      <c r="I268" s="30"/>
    </row>
    <row r="269">
      <c r="A269" s="30"/>
      <c r="B269" s="30"/>
      <c r="C269" s="30"/>
      <c r="D269" s="30"/>
      <c r="E269" s="30"/>
      <c r="F269" s="30"/>
      <c r="G269" s="30"/>
      <c r="H269" s="30"/>
      <c r="I269" s="30"/>
    </row>
    <row r="270">
      <c r="A270" s="30"/>
      <c r="B270" s="30"/>
      <c r="C270" s="30"/>
      <c r="D270" s="30"/>
      <c r="E270" s="30"/>
      <c r="F270" s="30"/>
      <c r="G270" s="30"/>
      <c r="H270" s="30"/>
      <c r="I270" s="30"/>
    </row>
    <row r="271">
      <c r="A271" s="30"/>
      <c r="B271" s="30"/>
      <c r="C271" s="30"/>
      <c r="D271" s="30"/>
      <c r="E271" s="30"/>
      <c r="F271" s="30"/>
      <c r="G271" s="30"/>
      <c r="H271" s="30"/>
      <c r="I271" s="30"/>
    </row>
    <row r="272">
      <c r="A272" s="30"/>
      <c r="B272" s="30"/>
      <c r="C272" s="30"/>
      <c r="D272" s="30"/>
      <c r="E272" s="30"/>
      <c r="F272" s="30"/>
      <c r="G272" s="30"/>
      <c r="H272" s="30"/>
      <c r="I272" s="30"/>
    </row>
    <row r="273">
      <c r="A273" s="30"/>
      <c r="B273" s="30"/>
      <c r="C273" s="30"/>
      <c r="D273" s="30"/>
      <c r="E273" s="30"/>
      <c r="F273" s="30"/>
      <c r="G273" s="30"/>
      <c r="H273" s="30"/>
      <c r="I273" s="30"/>
    </row>
    <row r="274">
      <c r="A274" s="30"/>
      <c r="B274" s="30"/>
      <c r="C274" s="30"/>
      <c r="D274" s="30"/>
      <c r="E274" s="30"/>
      <c r="F274" s="30"/>
      <c r="G274" s="30"/>
      <c r="H274" s="30"/>
      <c r="I274" s="30"/>
    </row>
    <row r="275">
      <c r="A275" s="30"/>
      <c r="B275" s="30"/>
      <c r="C275" s="30"/>
      <c r="D275" s="30"/>
      <c r="E275" s="30"/>
      <c r="F275" s="30"/>
      <c r="G275" s="30"/>
      <c r="H275" s="30"/>
      <c r="I275" s="30"/>
    </row>
    <row r="276">
      <c r="A276" s="30"/>
      <c r="B276" s="30"/>
      <c r="C276" s="30"/>
      <c r="D276" s="30"/>
      <c r="E276" s="30"/>
      <c r="F276" s="30"/>
      <c r="G276" s="30"/>
      <c r="H276" s="30"/>
      <c r="I276" s="30"/>
    </row>
    <row r="277">
      <c r="A277" s="30"/>
      <c r="B277" s="30"/>
      <c r="C277" s="30"/>
      <c r="D277" s="30"/>
      <c r="E277" s="30"/>
      <c r="F277" s="30"/>
      <c r="G277" s="30"/>
      <c r="H277" s="30"/>
      <c r="I277" s="30"/>
    </row>
    <row r="278">
      <c r="A278" s="30"/>
      <c r="B278" s="30"/>
      <c r="C278" s="30"/>
      <c r="D278" s="30"/>
      <c r="E278" s="30"/>
      <c r="F278" s="30"/>
      <c r="G278" s="30"/>
      <c r="H278" s="30"/>
      <c r="I278" s="30"/>
    </row>
    <row r="279">
      <c r="A279" s="30"/>
      <c r="B279" s="30"/>
      <c r="C279" s="30"/>
      <c r="D279" s="30"/>
      <c r="E279" s="30"/>
      <c r="F279" s="30"/>
      <c r="G279" s="30"/>
      <c r="H279" s="30"/>
      <c r="I279" s="30"/>
    </row>
    <row r="280">
      <c r="A280" s="30"/>
      <c r="B280" s="30"/>
      <c r="C280" s="30"/>
      <c r="D280" s="30"/>
      <c r="E280" s="30"/>
      <c r="F280" s="30"/>
      <c r="G280" s="30"/>
      <c r="H280" s="30"/>
      <c r="I280" s="30"/>
    </row>
    <row r="281">
      <c r="A281" s="30"/>
      <c r="B281" s="30"/>
      <c r="C281" s="30"/>
      <c r="D281" s="30"/>
      <c r="E281" s="30"/>
      <c r="F281" s="30"/>
      <c r="G281" s="30"/>
      <c r="H281" s="30"/>
      <c r="I281" s="30"/>
    </row>
    <row r="282">
      <c r="A282" s="30"/>
      <c r="B282" s="30"/>
      <c r="C282" s="30"/>
      <c r="D282" s="30"/>
      <c r="E282" s="30"/>
      <c r="F282" s="30"/>
      <c r="G282" s="30"/>
      <c r="H282" s="30"/>
      <c r="I282" s="30"/>
    </row>
    <row r="283">
      <c r="A283" s="30"/>
      <c r="B283" s="30"/>
      <c r="C283" s="30"/>
      <c r="D283" s="30"/>
      <c r="E283" s="30"/>
      <c r="F283" s="30"/>
      <c r="G283" s="30"/>
      <c r="H283" s="30"/>
      <c r="I283" s="30"/>
    </row>
    <row r="284">
      <c r="A284" s="30"/>
      <c r="B284" s="30"/>
      <c r="C284" s="30"/>
      <c r="D284" s="30"/>
      <c r="E284" s="30"/>
      <c r="F284" s="30"/>
      <c r="G284" s="30"/>
      <c r="H284" s="30"/>
      <c r="I284" s="30"/>
    </row>
    <row r="285">
      <c r="A285" s="30"/>
      <c r="B285" s="30"/>
      <c r="C285" s="30"/>
      <c r="D285" s="30"/>
      <c r="E285" s="30"/>
      <c r="F285" s="30"/>
      <c r="G285" s="30"/>
      <c r="H285" s="30"/>
      <c r="I285" s="30"/>
    </row>
    <row r="286">
      <c r="A286" s="30"/>
      <c r="B286" s="30"/>
      <c r="C286" s="30"/>
      <c r="D286" s="30"/>
      <c r="E286" s="30"/>
      <c r="F286" s="30"/>
      <c r="G286" s="30"/>
      <c r="H286" s="30"/>
      <c r="I286" s="30"/>
    </row>
    <row r="287">
      <c r="A287" s="30"/>
      <c r="B287" s="30"/>
      <c r="C287" s="30"/>
      <c r="D287" s="30"/>
      <c r="E287" s="30"/>
      <c r="F287" s="30"/>
      <c r="G287" s="30"/>
      <c r="H287" s="30"/>
      <c r="I287" s="30"/>
    </row>
    <row r="288">
      <c r="A288" s="30"/>
      <c r="B288" s="30"/>
      <c r="C288" s="30"/>
      <c r="D288" s="30"/>
      <c r="E288" s="30"/>
      <c r="F288" s="30"/>
      <c r="G288" s="30"/>
      <c r="H288" s="30"/>
      <c r="I288" s="30"/>
    </row>
    <row r="289">
      <c r="A289" s="30"/>
      <c r="B289" s="30"/>
      <c r="C289" s="30"/>
      <c r="D289" s="30"/>
      <c r="E289" s="30"/>
      <c r="F289" s="30"/>
      <c r="G289" s="30"/>
      <c r="H289" s="30"/>
      <c r="I289" s="30"/>
    </row>
    <row r="290">
      <c r="A290" s="30"/>
      <c r="B290" s="30"/>
      <c r="C290" s="30"/>
      <c r="D290" s="30"/>
      <c r="E290" s="30"/>
      <c r="F290" s="30"/>
      <c r="G290" s="30"/>
      <c r="H290" s="30"/>
      <c r="I290" s="30"/>
    </row>
    <row r="291">
      <c r="A291" s="30"/>
      <c r="B291" s="30"/>
      <c r="C291" s="30"/>
      <c r="D291" s="30"/>
      <c r="E291" s="30"/>
      <c r="F291" s="30"/>
      <c r="G291" s="30"/>
      <c r="H291" s="30"/>
      <c r="I291" s="30"/>
    </row>
    <row r="292">
      <c r="A292" s="30"/>
      <c r="B292" s="30"/>
      <c r="C292" s="30"/>
      <c r="D292" s="30"/>
      <c r="E292" s="30"/>
      <c r="F292" s="30"/>
      <c r="G292" s="30"/>
      <c r="H292" s="30"/>
      <c r="I292" s="30"/>
    </row>
    <row r="293">
      <c r="A293" s="30"/>
      <c r="B293" s="30"/>
      <c r="C293" s="30"/>
      <c r="D293" s="30"/>
      <c r="E293" s="30"/>
      <c r="F293" s="30"/>
      <c r="G293" s="30"/>
      <c r="H293" s="30"/>
      <c r="I293" s="30"/>
    </row>
    <row r="294">
      <c r="A294" s="30"/>
      <c r="B294" s="30"/>
      <c r="C294" s="30"/>
      <c r="D294" s="30"/>
      <c r="E294" s="30"/>
      <c r="F294" s="30"/>
      <c r="G294" s="30"/>
      <c r="H294" s="30"/>
      <c r="I294" s="30"/>
    </row>
    <row r="295">
      <c r="A295" s="30"/>
      <c r="B295" s="30"/>
      <c r="C295" s="30"/>
      <c r="D295" s="30"/>
      <c r="E295" s="30"/>
      <c r="F295" s="30"/>
      <c r="G295" s="30"/>
      <c r="H295" s="30"/>
      <c r="I295" s="30"/>
    </row>
    <row r="296">
      <c r="A296" s="30"/>
      <c r="B296" s="30"/>
      <c r="C296" s="30"/>
      <c r="D296" s="30"/>
      <c r="E296" s="30"/>
      <c r="F296" s="30"/>
      <c r="G296" s="30"/>
      <c r="H296" s="30"/>
      <c r="I296" s="30"/>
    </row>
    <row r="297">
      <c r="A297" s="30"/>
      <c r="B297" s="30"/>
      <c r="C297" s="30"/>
      <c r="D297" s="30"/>
      <c r="E297" s="30"/>
      <c r="F297" s="30"/>
      <c r="G297" s="30"/>
      <c r="H297" s="30"/>
      <c r="I297" s="30"/>
    </row>
    <row r="298">
      <c r="A298" s="30"/>
      <c r="B298" s="30"/>
      <c r="C298" s="30"/>
      <c r="D298" s="30"/>
      <c r="E298" s="30"/>
      <c r="F298" s="30"/>
      <c r="G298" s="30"/>
      <c r="H298" s="30"/>
      <c r="I298" s="30"/>
    </row>
    <row r="299">
      <c r="A299" s="30"/>
      <c r="B299" s="30"/>
      <c r="C299" s="30"/>
      <c r="D299" s="30"/>
      <c r="E299" s="30"/>
      <c r="F299" s="30"/>
      <c r="G299" s="30"/>
      <c r="H299" s="30"/>
      <c r="I299" s="30"/>
    </row>
    <row r="300">
      <c r="A300" s="30"/>
      <c r="B300" s="30"/>
      <c r="C300" s="30"/>
      <c r="D300" s="30"/>
      <c r="E300" s="30"/>
      <c r="F300" s="30"/>
      <c r="G300" s="30"/>
      <c r="H300" s="30"/>
      <c r="I300" s="30"/>
    </row>
    <row r="301">
      <c r="A301" s="30"/>
      <c r="B301" s="30"/>
      <c r="C301" s="30"/>
      <c r="D301" s="30"/>
      <c r="E301" s="30"/>
      <c r="F301" s="30"/>
      <c r="G301" s="30"/>
      <c r="H301" s="30"/>
      <c r="I301" s="30"/>
    </row>
    <row r="302">
      <c r="A302" s="30"/>
      <c r="B302" s="30"/>
      <c r="C302" s="30"/>
      <c r="D302" s="30"/>
      <c r="E302" s="30"/>
      <c r="F302" s="30"/>
      <c r="G302" s="30"/>
      <c r="H302" s="30"/>
      <c r="I302" s="30"/>
    </row>
    <row r="303">
      <c r="A303" s="30"/>
      <c r="B303" s="30"/>
      <c r="C303" s="30"/>
      <c r="D303" s="30"/>
      <c r="E303" s="30"/>
      <c r="F303" s="30"/>
      <c r="G303" s="30"/>
      <c r="H303" s="30"/>
      <c r="I303" s="30"/>
    </row>
    <row r="304">
      <c r="A304" s="30"/>
      <c r="B304" s="30"/>
      <c r="C304" s="30"/>
      <c r="D304" s="30"/>
      <c r="E304" s="30"/>
      <c r="F304" s="30"/>
      <c r="G304" s="30"/>
      <c r="H304" s="30"/>
      <c r="I304" s="30"/>
    </row>
    <row r="305">
      <c r="A305" s="30"/>
      <c r="B305" s="30"/>
      <c r="C305" s="30"/>
      <c r="D305" s="30"/>
      <c r="E305" s="30"/>
      <c r="F305" s="30"/>
      <c r="G305" s="30"/>
      <c r="H305" s="30"/>
      <c r="I305" s="30"/>
    </row>
    <row r="306">
      <c r="A306" s="30"/>
      <c r="B306" s="30"/>
      <c r="C306" s="30"/>
      <c r="D306" s="30"/>
      <c r="E306" s="30"/>
      <c r="F306" s="30"/>
      <c r="G306" s="30"/>
      <c r="H306" s="30"/>
      <c r="I306" s="30"/>
    </row>
    <row r="307">
      <c r="A307" s="30"/>
      <c r="B307" s="30"/>
      <c r="C307" s="30"/>
      <c r="D307" s="30"/>
      <c r="E307" s="30"/>
      <c r="F307" s="30"/>
      <c r="G307" s="30"/>
      <c r="H307" s="30"/>
      <c r="I307" s="30"/>
    </row>
    <row r="308">
      <c r="A308" s="30"/>
      <c r="B308" s="30"/>
      <c r="C308" s="30"/>
      <c r="D308" s="30"/>
      <c r="E308" s="30"/>
      <c r="F308" s="30"/>
      <c r="G308" s="30"/>
      <c r="H308" s="30"/>
      <c r="I308" s="30"/>
    </row>
    <row r="309">
      <c r="A309" s="30"/>
      <c r="B309" s="30"/>
      <c r="C309" s="30"/>
      <c r="D309" s="30"/>
      <c r="E309" s="30"/>
      <c r="F309" s="30"/>
      <c r="G309" s="30"/>
      <c r="H309" s="30"/>
      <c r="I309" s="30"/>
    </row>
    <row r="310">
      <c r="A310" s="30"/>
      <c r="B310" s="30"/>
      <c r="C310" s="30"/>
      <c r="D310" s="30"/>
      <c r="E310" s="30"/>
      <c r="F310" s="30"/>
      <c r="G310" s="30"/>
      <c r="H310" s="30"/>
      <c r="I310" s="30"/>
    </row>
    <row r="311">
      <c r="A311" s="30"/>
      <c r="B311" s="30"/>
      <c r="C311" s="30"/>
      <c r="D311" s="30"/>
      <c r="E311" s="30"/>
      <c r="F311" s="30"/>
      <c r="G311" s="30"/>
      <c r="H311" s="30"/>
      <c r="I311" s="30"/>
    </row>
    <row r="312">
      <c r="A312" s="30"/>
      <c r="B312" s="30"/>
      <c r="C312" s="30"/>
      <c r="D312" s="30"/>
      <c r="E312" s="30"/>
      <c r="F312" s="30"/>
      <c r="G312" s="30"/>
      <c r="H312" s="30"/>
      <c r="I312" s="30"/>
    </row>
    <row r="313">
      <c r="A313" s="30"/>
      <c r="B313" s="30"/>
      <c r="C313" s="30"/>
      <c r="D313" s="30"/>
      <c r="E313" s="30"/>
      <c r="F313" s="30"/>
      <c r="G313" s="30"/>
      <c r="H313" s="30"/>
      <c r="I313" s="30"/>
    </row>
    <row r="314">
      <c r="A314" s="30"/>
      <c r="B314" s="30"/>
      <c r="C314" s="30"/>
      <c r="D314" s="30"/>
      <c r="E314" s="30"/>
      <c r="F314" s="30"/>
      <c r="G314" s="30"/>
      <c r="H314" s="30"/>
      <c r="I314" s="30"/>
    </row>
    <row r="315">
      <c r="A315" s="30"/>
      <c r="B315" s="30"/>
      <c r="C315" s="30"/>
      <c r="D315" s="30"/>
      <c r="E315" s="30"/>
      <c r="F315" s="30"/>
      <c r="G315" s="30"/>
      <c r="H315" s="30"/>
      <c r="I315" s="30"/>
    </row>
    <row r="316">
      <c r="A316" s="30"/>
      <c r="B316" s="30"/>
      <c r="C316" s="30"/>
      <c r="D316" s="30"/>
      <c r="E316" s="30"/>
      <c r="F316" s="30"/>
      <c r="G316" s="30"/>
      <c r="H316" s="30"/>
      <c r="I316" s="30"/>
    </row>
    <row r="317">
      <c r="A317" s="30"/>
      <c r="B317" s="30"/>
      <c r="C317" s="30"/>
      <c r="D317" s="30"/>
      <c r="E317" s="30"/>
      <c r="F317" s="30"/>
      <c r="G317" s="30"/>
      <c r="H317" s="30"/>
      <c r="I317" s="30"/>
    </row>
    <row r="318">
      <c r="A318" s="30"/>
      <c r="B318" s="30"/>
      <c r="C318" s="30"/>
      <c r="D318" s="30"/>
      <c r="E318" s="30"/>
      <c r="F318" s="30"/>
      <c r="G318" s="30"/>
      <c r="H318" s="30"/>
      <c r="I318" s="30"/>
    </row>
    <row r="319">
      <c r="A319" s="30"/>
      <c r="B319" s="30"/>
      <c r="C319" s="30"/>
      <c r="D319" s="30"/>
      <c r="E319" s="30"/>
      <c r="F319" s="30"/>
      <c r="G319" s="30"/>
      <c r="H319" s="30"/>
      <c r="I319" s="30"/>
    </row>
    <row r="320">
      <c r="A320" s="30"/>
      <c r="B320" s="30"/>
      <c r="C320" s="30"/>
      <c r="D320" s="30"/>
      <c r="E320" s="30"/>
      <c r="F320" s="30"/>
      <c r="G320" s="30"/>
      <c r="H320" s="30"/>
      <c r="I320" s="30"/>
    </row>
    <row r="321">
      <c r="A321" s="30"/>
      <c r="B321" s="30"/>
      <c r="C321" s="30"/>
      <c r="D321" s="30"/>
      <c r="E321" s="30"/>
      <c r="F321" s="30"/>
      <c r="G321" s="30"/>
      <c r="H321" s="30"/>
      <c r="I321" s="30"/>
    </row>
    <row r="322">
      <c r="A322" s="30"/>
      <c r="B322" s="30"/>
      <c r="C322" s="30"/>
      <c r="D322" s="30"/>
      <c r="E322" s="30"/>
      <c r="F322" s="30"/>
      <c r="G322" s="30"/>
      <c r="H322" s="30"/>
      <c r="I322" s="30"/>
    </row>
    <row r="323">
      <c r="A323" s="30"/>
      <c r="B323" s="30"/>
      <c r="C323" s="30"/>
      <c r="D323" s="30"/>
      <c r="E323" s="30"/>
      <c r="F323" s="30"/>
      <c r="G323" s="30"/>
      <c r="H323" s="30"/>
      <c r="I323" s="30"/>
    </row>
    <row r="324">
      <c r="A324" s="30"/>
      <c r="B324" s="30"/>
      <c r="C324" s="30"/>
      <c r="D324" s="30"/>
      <c r="E324" s="30"/>
      <c r="F324" s="30"/>
      <c r="G324" s="30"/>
      <c r="H324" s="30"/>
      <c r="I324" s="30"/>
    </row>
    <row r="325">
      <c r="A325" s="30"/>
      <c r="B325" s="30"/>
      <c r="C325" s="30"/>
      <c r="D325" s="30"/>
      <c r="E325" s="30"/>
      <c r="F325" s="30"/>
      <c r="G325" s="30"/>
      <c r="H325" s="30"/>
      <c r="I325" s="30"/>
    </row>
    <row r="326">
      <c r="A326" s="30"/>
      <c r="B326" s="30"/>
      <c r="C326" s="30"/>
      <c r="D326" s="30"/>
      <c r="E326" s="30"/>
      <c r="F326" s="30"/>
      <c r="G326" s="30"/>
      <c r="H326" s="30"/>
      <c r="I326" s="30"/>
    </row>
    <row r="327">
      <c r="A327" s="30"/>
      <c r="B327" s="30"/>
      <c r="C327" s="30"/>
      <c r="D327" s="30"/>
      <c r="E327" s="30"/>
      <c r="F327" s="30"/>
      <c r="G327" s="30"/>
      <c r="H327" s="30"/>
      <c r="I327" s="30"/>
    </row>
    <row r="328">
      <c r="A328" s="30"/>
      <c r="B328" s="30"/>
      <c r="C328" s="30"/>
      <c r="D328" s="30"/>
      <c r="E328" s="30"/>
      <c r="F328" s="30"/>
      <c r="G328" s="30"/>
      <c r="H328" s="30"/>
      <c r="I328" s="30"/>
    </row>
    <row r="329">
      <c r="A329" s="30"/>
      <c r="B329" s="30"/>
      <c r="C329" s="30"/>
      <c r="D329" s="30"/>
      <c r="E329" s="30"/>
      <c r="F329" s="30"/>
      <c r="G329" s="30"/>
      <c r="H329" s="30"/>
      <c r="I329" s="30"/>
    </row>
    <row r="330">
      <c r="A330" s="30"/>
      <c r="B330" s="30"/>
      <c r="C330" s="30"/>
      <c r="D330" s="30"/>
      <c r="E330" s="30"/>
      <c r="F330" s="30"/>
      <c r="G330" s="30"/>
      <c r="H330" s="30"/>
      <c r="I330" s="30"/>
    </row>
    <row r="331">
      <c r="A331" s="30"/>
      <c r="B331" s="30"/>
      <c r="C331" s="30"/>
      <c r="D331" s="30"/>
      <c r="E331" s="30"/>
      <c r="F331" s="30"/>
      <c r="G331" s="30"/>
      <c r="H331" s="30"/>
      <c r="I331" s="30"/>
    </row>
    <row r="332">
      <c r="A332" s="30"/>
      <c r="B332" s="30"/>
      <c r="C332" s="30"/>
      <c r="D332" s="30"/>
      <c r="E332" s="30"/>
      <c r="F332" s="30"/>
      <c r="G332" s="30"/>
      <c r="H332" s="30"/>
      <c r="I332" s="30"/>
    </row>
    <row r="333">
      <c r="A333" s="30"/>
      <c r="B333" s="30"/>
      <c r="C333" s="30"/>
      <c r="D333" s="30"/>
      <c r="E333" s="30"/>
      <c r="F333" s="30"/>
      <c r="G333" s="30"/>
      <c r="H333" s="30"/>
      <c r="I333" s="30"/>
    </row>
    <row r="334">
      <c r="A334" s="30"/>
      <c r="B334" s="30"/>
      <c r="C334" s="30"/>
      <c r="D334" s="30"/>
      <c r="E334" s="30"/>
      <c r="F334" s="30"/>
      <c r="G334" s="30"/>
      <c r="H334" s="30"/>
      <c r="I334" s="30"/>
    </row>
    <row r="335">
      <c r="A335" s="30"/>
      <c r="B335" s="30"/>
      <c r="C335" s="30"/>
      <c r="D335" s="30"/>
      <c r="E335" s="30"/>
      <c r="F335" s="30"/>
      <c r="G335" s="30"/>
      <c r="H335" s="30"/>
      <c r="I335" s="30"/>
    </row>
    <row r="336">
      <c r="A336" s="30"/>
      <c r="B336" s="30"/>
      <c r="C336" s="30"/>
      <c r="D336" s="30"/>
      <c r="E336" s="30"/>
      <c r="F336" s="30"/>
      <c r="G336" s="30"/>
      <c r="H336" s="30"/>
      <c r="I336" s="30"/>
    </row>
    <row r="337">
      <c r="A337" s="30"/>
      <c r="B337" s="30"/>
      <c r="C337" s="30"/>
      <c r="D337" s="30"/>
      <c r="E337" s="30"/>
      <c r="F337" s="30"/>
      <c r="G337" s="30"/>
      <c r="H337" s="30"/>
      <c r="I337" s="30"/>
    </row>
    <row r="338">
      <c r="A338" s="30"/>
      <c r="B338" s="30"/>
      <c r="C338" s="30"/>
      <c r="D338" s="30"/>
      <c r="E338" s="30"/>
      <c r="F338" s="30"/>
      <c r="G338" s="30"/>
      <c r="H338" s="30"/>
      <c r="I338" s="30"/>
    </row>
    <row r="339">
      <c r="A339" s="30"/>
      <c r="B339" s="30"/>
      <c r="C339" s="30"/>
      <c r="D339" s="30"/>
      <c r="E339" s="30"/>
      <c r="F339" s="30"/>
      <c r="G339" s="30"/>
      <c r="H339" s="30"/>
      <c r="I339" s="30"/>
    </row>
    <row r="340">
      <c r="A340" s="30"/>
      <c r="B340" s="30"/>
      <c r="C340" s="30"/>
      <c r="D340" s="30"/>
      <c r="E340" s="30"/>
      <c r="F340" s="30"/>
      <c r="G340" s="30"/>
      <c r="H340" s="30"/>
      <c r="I340" s="30"/>
    </row>
    <row r="341">
      <c r="A341" s="30"/>
      <c r="B341" s="30"/>
      <c r="C341" s="30"/>
      <c r="D341" s="30"/>
      <c r="E341" s="30"/>
      <c r="F341" s="30"/>
      <c r="G341" s="30"/>
      <c r="H341" s="30"/>
      <c r="I341" s="30"/>
    </row>
    <row r="342">
      <c r="A342" s="30"/>
      <c r="B342" s="30"/>
      <c r="C342" s="30"/>
      <c r="D342" s="30"/>
      <c r="E342" s="30"/>
      <c r="F342" s="30"/>
      <c r="G342" s="30"/>
      <c r="H342" s="30"/>
      <c r="I342" s="30"/>
    </row>
    <row r="343">
      <c r="A343" s="30"/>
      <c r="B343" s="30"/>
      <c r="C343" s="30"/>
      <c r="D343" s="30"/>
      <c r="E343" s="30"/>
      <c r="F343" s="30"/>
      <c r="G343" s="30"/>
      <c r="H343" s="30"/>
      <c r="I343" s="30"/>
    </row>
    <row r="344">
      <c r="A344" s="30"/>
      <c r="B344" s="30"/>
      <c r="C344" s="30"/>
      <c r="D344" s="30"/>
      <c r="E344" s="30"/>
      <c r="F344" s="30"/>
      <c r="G344" s="30"/>
      <c r="H344" s="30"/>
      <c r="I344" s="30"/>
    </row>
    <row r="345">
      <c r="A345" s="30"/>
      <c r="B345" s="30"/>
      <c r="C345" s="30"/>
      <c r="D345" s="30"/>
      <c r="E345" s="30"/>
      <c r="F345" s="30"/>
      <c r="G345" s="30"/>
      <c r="H345" s="30"/>
      <c r="I345" s="30"/>
    </row>
    <row r="346">
      <c r="A346" s="30"/>
      <c r="B346" s="30"/>
      <c r="C346" s="30"/>
      <c r="D346" s="30"/>
      <c r="E346" s="30"/>
      <c r="F346" s="30"/>
      <c r="G346" s="30"/>
      <c r="H346" s="30"/>
      <c r="I346" s="30"/>
    </row>
    <row r="347">
      <c r="A347" s="30"/>
      <c r="B347" s="30"/>
      <c r="C347" s="30"/>
      <c r="D347" s="30"/>
      <c r="E347" s="30"/>
      <c r="F347" s="30"/>
      <c r="G347" s="30"/>
      <c r="H347" s="30"/>
      <c r="I347" s="30"/>
    </row>
    <row r="348">
      <c r="A348" s="30"/>
      <c r="B348" s="30"/>
      <c r="C348" s="30"/>
      <c r="D348" s="30"/>
      <c r="E348" s="30"/>
      <c r="F348" s="30"/>
      <c r="G348" s="30"/>
      <c r="H348" s="30"/>
      <c r="I348" s="30"/>
    </row>
    <row r="349">
      <c r="A349" s="30"/>
      <c r="B349" s="30"/>
      <c r="C349" s="30"/>
      <c r="D349" s="30"/>
      <c r="E349" s="30"/>
      <c r="F349" s="30"/>
      <c r="G349" s="30"/>
      <c r="H349" s="30"/>
      <c r="I349" s="30"/>
    </row>
    <row r="350">
      <c r="A350" s="30"/>
      <c r="B350" s="30"/>
      <c r="C350" s="30"/>
      <c r="D350" s="30"/>
      <c r="E350" s="30"/>
      <c r="F350" s="30"/>
      <c r="G350" s="30"/>
      <c r="H350" s="30"/>
      <c r="I350" s="30"/>
    </row>
    <row r="351">
      <c r="A351" s="30"/>
      <c r="B351" s="30"/>
      <c r="C351" s="30"/>
      <c r="D351" s="30"/>
      <c r="E351" s="30"/>
      <c r="F351" s="30"/>
      <c r="G351" s="30"/>
      <c r="H351" s="30"/>
      <c r="I351" s="30"/>
    </row>
    <row r="352">
      <c r="A352" s="30"/>
      <c r="B352" s="30"/>
      <c r="C352" s="30"/>
      <c r="D352" s="30"/>
      <c r="E352" s="30"/>
      <c r="F352" s="30"/>
      <c r="G352" s="30"/>
      <c r="H352" s="30"/>
      <c r="I352" s="30"/>
    </row>
    <row r="353">
      <c r="A353" s="30"/>
      <c r="B353" s="30"/>
      <c r="C353" s="30"/>
      <c r="D353" s="30"/>
      <c r="E353" s="30"/>
      <c r="F353" s="30"/>
      <c r="G353" s="30"/>
      <c r="H353" s="30"/>
      <c r="I353" s="30"/>
    </row>
    <row r="354">
      <c r="A354" s="30"/>
      <c r="B354" s="30"/>
      <c r="C354" s="30"/>
      <c r="D354" s="30"/>
      <c r="E354" s="30"/>
      <c r="F354" s="30"/>
      <c r="G354" s="30"/>
      <c r="H354" s="30"/>
      <c r="I354" s="30"/>
    </row>
    <row r="355">
      <c r="A355" s="30"/>
      <c r="B355" s="30"/>
      <c r="C355" s="30"/>
      <c r="D355" s="30"/>
      <c r="E355" s="30"/>
      <c r="F355" s="30"/>
      <c r="G355" s="30"/>
      <c r="H355" s="30"/>
      <c r="I355" s="30"/>
    </row>
    <row r="356">
      <c r="A356" s="30"/>
      <c r="B356" s="30"/>
      <c r="C356" s="30"/>
      <c r="D356" s="30"/>
      <c r="E356" s="30"/>
      <c r="F356" s="30"/>
      <c r="G356" s="30"/>
      <c r="H356" s="30"/>
      <c r="I356" s="30"/>
    </row>
    <row r="357">
      <c r="A357" s="30"/>
      <c r="B357" s="30"/>
      <c r="C357" s="30"/>
      <c r="D357" s="30"/>
      <c r="E357" s="30"/>
      <c r="F357" s="30"/>
      <c r="G357" s="30"/>
      <c r="H357" s="30"/>
      <c r="I357" s="30"/>
    </row>
    <row r="358">
      <c r="A358" s="30"/>
      <c r="B358" s="30"/>
      <c r="C358" s="30"/>
      <c r="D358" s="30"/>
      <c r="E358" s="30"/>
      <c r="F358" s="30"/>
      <c r="G358" s="30"/>
      <c r="H358" s="30"/>
      <c r="I358" s="30"/>
    </row>
    <row r="359">
      <c r="A359" s="30"/>
      <c r="B359" s="30"/>
      <c r="C359" s="30"/>
      <c r="D359" s="30"/>
      <c r="E359" s="30"/>
      <c r="F359" s="30"/>
      <c r="G359" s="30"/>
      <c r="H359" s="30"/>
      <c r="I359" s="30"/>
    </row>
    <row r="360">
      <c r="A360" s="30"/>
      <c r="B360" s="30"/>
      <c r="C360" s="30"/>
      <c r="D360" s="30"/>
      <c r="E360" s="30"/>
      <c r="F360" s="30"/>
      <c r="G360" s="30"/>
      <c r="H360" s="30"/>
      <c r="I360" s="30"/>
    </row>
    <row r="361">
      <c r="A361" s="30"/>
      <c r="B361" s="30"/>
      <c r="C361" s="30"/>
      <c r="D361" s="30"/>
      <c r="E361" s="30"/>
      <c r="F361" s="30"/>
      <c r="G361" s="30"/>
      <c r="H361" s="30"/>
      <c r="I361" s="30"/>
    </row>
    <row r="362">
      <c r="A362" s="30"/>
      <c r="B362" s="30"/>
      <c r="C362" s="30"/>
      <c r="D362" s="30"/>
      <c r="E362" s="30"/>
      <c r="F362" s="30"/>
      <c r="G362" s="30"/>
      <c r="H362" s="30"/>
      <c r="I362" s="30"/>
    </row>
    <row r="363">
      <c r="A363" s="30"/>
      <c r="B363" s="30"/>
      <c r="C363" s="30"/>
      <c r="D363" s="30"/>
      <c r="E363" s="30"/>
      <c r="F363" s="30"/>
      <c r="G363" s="30"/>
      <c r="H363" s="30"/>
      <c r="I363" s="30"/>
    </row>
    <row r="364">
      <c r="A364" s="30"/>
      <c r="B364" s="30"/>
      <c r="C364" s="30"/>
      <c r="D364" s="30"/>
      <c r="E364" s="30"/>
      <c r="F364" s="30"/>
      <c r="G364" s="30"/>
      <c r="H364" s="30"/>
      <c r="I364" s="30"/>
    </row>
    <row r="365">
      <c r="A365" s="30"/>
      <c r="B365" s="30"/>
      <c r="C365" s="30"/>
      <c r="D365" s="30"/>
      <c r="E365" s="30"/>
      <c r="F365" s="30"/>
      <c r="G365" s="30"/>
      <c r="H365" s="30"/>
      <c r="I365" s="30"/>
    </row>
    <row r="366">
      <c r="A366" s="30"/>
      <c r="B366" s="30"/>
      <c r="C366" s="30"/>
      <c r="D366" s="30"/>
      <c r="E366" s="30"/>
      <c r="F366" s="30"/>
      <c r="G366" s="30"/>
      <c r="H366" s="30"/>
      <c r="I366" s="30"/>
    </row>
    <row r="367">
      <c r="A367" s="30"/>
      <c r="B367" s="30"/>
      <c r="C367" s="30"/>
      <c r="D367" s="30"/>
      <c r="E367" s="30"/>
      <c r="F367" s="30"/>
      <c r="G367" s="30"/>
      <c r="H367" s="30"/>
      <c r="I367" s="30"/>
    </row>
    <row r="368">
      <c r="A368" s="30"/>
      <c r="B368" s="30"/>
      <c r="C368" s="30"/>
      <c r="D368" s="30"/>
      <c r="E368" s="30"/>
      <c r="F368" s="30"/>
      <c r="G368" s="30"/>
      <c r="H368" s="30"/>
      <c r="I368" s="30"/>
    </row>
    <row r="369">
      <c r="A369" s="30"/>
      <c r="B369" s="30"/>
      <c r="C369" s="30"/>
      <c r="D369" s="30"/>
      <c r="E369" s="30"/>
      <c r="F369" s="30"/>
      <c r="G369" s="30"/>
      <c r="H369" s="30"/>
      <c r="I369" s="30"/>
    </row>
    <row r="370">
      <c r="A370" s="30"/>
      <c r="B370" s="30"/>
      <c r="C370" s="30"/>
      <c r="D370" s="30"/>
      <c r="E370" s="30"/>
      <c r="F370" s="30"/>
      <c r="G370" s="30"/>
      <c r="H370" s="30"/>
      <c r="I370" s="30"/>
    </row>
    <row r="371">
      <c r="A371" s="30"/>
      <c r="B371" s="30"/>
      <c r="C371" s="30"/>
      <c r="D371" s="30"/>
      <c r="E371" s="30"/>
      <c r="F371" s="30"/>
      <c r="G371" s="30"/>
      <c r="H371" s="30"/>
      <c r="I371" s="30"/>
    </row>
    <row r="372">
      <c r="A372" s="30"/>
      <c r="B372" s="30"/>
      <c r="C372" s="30"/>
      <c r="D372" s="30"/>
      <c r="E372" s="30"/>
      <c r="F372" s="30"/>
      <c r="G372" s="30"/>
      <c r="H372" s="30"/>
      <c r="I372" s="30"/>
    </row>
    <row r="373">
      <c r="A373" s="30"/>
      <c r="B373" s="30"/>
      <c r="C373" s="30"/>
      <c r="D373" s="30"/>
      <c r="E373" s="30"/>
      <c r="F373" s="30"/>
      <c r="G373" s="30"/>
      <c r="H373" s="30"/>
      <c r="I373" s="30"/>
    </row>
    <row r="374">
      <c r="A374" s="30"/>
      <c r="B374" s="30"/>
      <c r="C374" s="30"/>
      <c r="D374" s="30"/>
      <c r="E374" s="30"/>
      <c r="F374" s="30"/>
      <c r="G374" s="30"/>
      <c r="H374" s="30"/>
      <c r="I374" s="30"/>
    </row>
    <row r="375">
      <c r="A375" s="30"/>
      <c r="B375" s="30"/>
      <c r="C375" s="30"/>
      <c r="D375" s="30"/>
      <c r="E375" s="30"/>
      <c r="F375" s="30"/>
      <c r="G375" s="30"/>
      <c r="H375" s="30"/>
      <c r="I375" s="30"/>
    </row>
    <row r="376">
      <c r="A376" s="30"/>
      <c r="B376" s="30"/>
      <c r="C376" s="30"/>
      <c r="D376" s="30"/>
      <c r="E376" s="30"/>
      <c r="F376" s="30"/>
      <c r="G376" s="30"/>
      <c r="H376" s="30"/>
      <c r="I376" s="30"/>
    </row>
    <row r="377">
      <c r="A377" s="30"/>
      <c r="B377" s="30"/>
      <c r="C377" s="30"/>
      <c r="D377" s="30"/>
      <c r="E377" s="30"/>
      <c r="F377" s="30"/>
      <c r="G377" s="30"/>
      <c r="H377" s="30"/>
      <c r="I377" s="30"/>
    </row>
    <row r="378">
      <c r="A378" s="30"/>
      <c r="B378" s="30"/>
      <c r="C378" s="30"/>
      <c r="D378" s="30"/>
      <c r="E378" s="30"/>
      <c r="F378" s="30"/>
      <c r="G378" s="30"/>
      <c r="H378" s="30"/>
      <c r="I378" s="30"/>
    </row>
    <row r="379">
      <c r="A379" s="30"/>
      <c r="B379" s="30"/>
      <c r="C379" s="30"/>
      <c r="D379" s="30"/>
      <c r="E379" s="30"/>
      <c r="F379" s="30"/>
      <c r="G379" s="30"/>
      <c r="H379" s="30"/>
      <c r="I379" s="30"/>
    </row>
    <row r="380">
      <c r="A380" s="30"/>
      <c r="B380" s="30"/>
      <c r="C380" s="30"/>
      <c r="D380" s="30"/>
      <c r="E380" s="30"/>
      <c r="F380" s="30"/>
      <c r="G380" s="30"/>
      <c r="H380" s="30"/>
      <c r="I380" s="30"/>
    </row>
    <row r="381">
      <c r="A381" s="30"/>
      <c r="B381" s="30"/>
      <c r="C381" s="30"/>
      <c r="D381" s="30"/>
      <c r="E381" s="30"/>
      <c r="F381" s="30"/>
      <c r="G381" s="30"/>
      <c r="H381" s="30"/>
      <c r="I381" s="30"/>
    </row>
    <row r="382">
      <c r="A382" s="30"/>
      <c r="B382" s="30"/>
      <c r="C382" s="30"/>
      <c r="D382" s="30"/>
      <c r="E382" s="30"/>
      <c r="F382" s="30"/>
      <c r="G382" s="30"/>
      <c r="H382" s="30"/>
      <c r="I382" s="30"/>
    </row>
    <row r="383">
      <c r="A383" s="30"/>
      <c r="B383" s="30"/>
      <c r="C383" s="30"/>
      <c r="D383" s="30"/>
      <c r="E383" s="30"/>
      <c r="F383" s="30"/>
      <c r="G383" s="30"/>
      <c r="H383" s="30"/>
      <c r="I383" s="30"/>
    </row>
    <row r="384">
      <c r="A384" s="30"/>
      <c r="B384" s="30"/>
      <c r="C384" s="30"/>
      <c r="D384" s="30"/>
      <c r="E384" s="30"/>
      <c r="F384" s="30"/>
      <c r="G384" s="30"/>
      <c r="H384" s="30"/>
      <c r="I384" s="30"/>
    </row>
    <row r="385">
      <c r="A385" s="30"/>
      <c r="B385" s="30"/>
      <c r="C385" s="30"/>
      <c r="D385" s="30"/>
      <c r="E385" s="30"/>
      <c r="F385" s="30"/>
      <c r="G385" s="30"/>
      <c r="H385" s="30"/>
      <c r="I385" s="30"/>
    </row>
    <row r="386">
      <c r="A386" s="30"/>
      <c r="B386" s="30"/>
      <c r="C386" s="30"/>
      <c r="D386" s="30"/>
      <c r="E386" s="30"/>
      <c r="F386" s="30"/>
      <c r="G386" s="30"/>
      <c r="H386" s="30"/>
      <c r="I386" s="30"/>
    </row>
    <row r="387">
      <c r="A387" s="30"/>
      <c r="B387" s="30"/>
      <c r="C387" s="30"/>
      <c r="D387" s="30"/>
      <c r="E387" s="30"/>
      <c r="F387" s="30"/>
      <c r="G387" s="30"/>
      <c r="H387" s="30"/>
      <c r="I387" s="30"/>
    </row>
    <row r="388">
      <c r="A388" s="30"/>
      <c r="B388" s="30"/>
      <c r="C388" s="30"/>
      <c r="D388" s="30"/>
      <c r="E388" s="30"/>
      <c r="F388" s="30"/>
      <c r="G388" s="30"/>
      <c r="H388" s="30"/>
      <c r="I388" s="30"/>
    </row>
    <row r="389">
      <c r="A389" s="30"/>
      <c r="B389" s="30"/>
      <c r="C389" s="30"/>
      <c r="D389" s="30"/>
      <c r="E389" s="30"/>
      <c r="F389" s="30"/>
      <c r="G389" s="30"/>
      <c r="H389" s="30"/>
      <c r="I389" s="30"/>
    </row>
    <row r="390">
      <c r="A390" s="30"/>
      <c r="B390" s="30"/>
      <c r="C390" s="30"/>
      <c r="D390" s="30"/>
      <c r="E390" s="30"/>
      <c r="F390" s="30"/>
      <c r="G390" s="30"/>
      <c r="H390" s="30"/>
      <c r="I390" s="30"/>
    </row>
    <row r="391">
      <c r="A391" s="30"/>
      <c r="B391" s="30"/>
      <c r="C391" s="30"/>
      <c r="D391" s="30"/>
      <c r="E391" s="30"/>
      <c r="F391" s="30"/>
      <c r="G391" s="30"/>
      <c r="H391" s="30"/>
      <c r="I391" s="30"/>
    </row>
    <row r="392">
      <c r="A392" s="30"/>
      <c r="B392" s="30"/>
      <c r="C392" s="30"/>
      <c r="D392" s="30"/>
      <c r="E392" s="30"/>
      <c r="F392" s="30"/>
      <c r="G392" s="30"/>
      <c r="H392" s="30"/>
      <c r="I392" s="30"/>
    </row>
    <row r="393">
      <c r="A393" s="30"/>
      <c r="B393" s="30"/>
      <c r="C393" s="30"/>
      <c r="D393" s="30"/>
      <c r="E393" s="30"/>
      <c r="F393" s="30"/>
      <c r="G393" s="30"/>
      <c r="H393" s="30"/>
      <c r="I393" s="30"/>
    </row>
    <row r="394">
      <c r="A394" s="30"/>
      <c r="B394" s="30"/>
      <c r="C394" s="30"/>
      <c r="D394" s="30"/>
      <c r="E394" s="30"/>
      <c r="F394" s="30"/>
      <c r="G394" s="30"/>
      <c r="H394" s="30"/>
      <c r="I394" s="30"/>
    </row>
    <row r="395">
      <c r="A395" s="30"/>
      <c r="B395" s="30"/>
      <c r="C395" s="30"/>
      <c r="D395" s="30"/>
      <c r="E395" s="30"/>
      <c r="F395" s="30"/>
      <c r="G395" s="30"/>
      <c r="H395" s="30"/>
      <c r="I395" s="30"/>
    </row>
    <row r="396">
      <c r="A396" s="30"/>
      <c r="B396" s="30"/>
      <c r="C396" s="30"/>
      <c r="D396" s="30"/>
      <c r="E396" s="30"/>
      <c r="F396" s="30"/>
      <c r="G396" s="30"/>
      <c r="H396" s="30"/>
      <c r="I396" s="30"/>
    </row>
    <row r="397">
      <c r="A397" s="30"/>
      <c r="B397" s="30"/>
      <c r="C397" s="30"/>
      <c r="D397" s="30"/>
      <c r="E397" s="30"/>
      <c r="F397" s="30"/>
      <c r="G397" s="30"/>
      <c r="H397" s="30"/>
      <c r="I397" s="30"/>
    </row>
    <row r="398">
      <c r="A398" s="30"/>
      <c r="B398" s="30"/>
      <c r="C398" s="30"/>
      <c r="D398" s="30"/>
      <c r="E398" s="30"/>
      <c r="F398" s="30"/>
      <c r="G398" s="30"/>
      <c r="H398" s="30"/>
      <c r="I398" s="30"/>
    </row>
    <row r="399">
      <c r="A399" s="30"/>
      <c r="B399" s="30"/>
      <c r="C399" s="30"/>
      <c r="D399" s="30"/>
      <c r="E399" s="30"/>
      <c r="F399" s="30"/>
      <c r="G399" s="30"/>
      <c r="H399" s="30"/>
      <c r="I399" s="30"/>
    </row>
    <row r="400">
      <c r="A400" s="30"/>
      <c r="B400" s="30"/>
      <c r="C400" s="30"/>
      <c r="D400" s="30"/>
      <c r="E400" s="30"/>
      <c r="F400" s="30"/>
      <c r="G400" s="30"/>
      <c r="H400" s="30"/>
      <c r="I400" s="30"/>
    </row>
    <row r="401">
      <c r="A401" s="30"/>
      <c r="B401" s="30"/>
      <c r="C401" s="30"/>
      <c r="D401" s="30"/>
      <c r="E401" s="30"/>
      <c r="F401" s="30"/>
      <c r="G401" s="30"/>
      <c r="H401" s="30"/>
      <c r="I401" s="30"/>
    </row>
    <row r="402">
      <c r="A402" s="30"/>
      <c r="B402" s="30"/>
      <c r="C402" s="30"/>
      <c r="D402" s="30"/>
      <c r="E402" s="30"/>
      <c r="F402" s="30"/>
      <c r="G402" s="30"/>
      <c r="H402" s="30"/>
      <c r="I402" s="30"/>
    </row>
    <row r="403">
      <c r="A403" s="30"/>
      <c r="B403" s="30"/>
      <c r="C403" s="30"/>
      <c r="D403" s="30"/>
      <c r="E403" s="30"/>
      <c r="F403" s="30"/>
      <c r="G403" s="30"/>
      <c r="H403" s="30"/>
      <c r="I403" s="30"/>
    </row>
    <row r="404">
      <c r="A404" s="30"/>
      <c r="B404" s="30"/>
      <c r="C404" s="30"/>
      <c r="D404" s="30"/>
      <c r="E404" s="30"/>
      <c r="F404" s="30"/>
      <c r="G404" s="30"/>
      <c r="H404" s="30"/>
      <c r="I404" s="30"/>
    </row>
    <row r="405">
      <c r="A405" s="30"/>
      <c r="B405" s="30"/>
      <c r="C405" s="30"/>
      <c r="D405" s="30"/>
      <c r="E405" s="30"/>
      <c r="F405" s="30"/>
      <c r="G405" s="30"/>
      <c r="H405" s="30"/>
      <c r="I405" s="30"/>
    </row>
    <row r="406">
      <c r="A406" s="30"/>
      <c r="B406" s="30"/>
      <c r="C406" s="30"/>
      <c r="D406" s="30"/>
      <c r="E406" s="30"/>
      <c r="F406" s="30"/>
      <c r="G406" s="30"/>
      <c r="H406" s="30"/>
      <c r="I406" s="30"/>
    </row>
    <row r="407">
      <c r="A407" s="30"/>
      <c r="B407" s="30"/>
      <c r="C407" s="30"/>
      <c r="D407" s="30"/>
      <c r="E407" s="30"/>
      <c r="F407" s="30"/>
      <c r="G407" s="30"/>
      <c r="H407" s="30"/>
      <c r="I407" s="30"/>
    </row>
    <row r="408">
      <c r="A408" s="30"/>
      <c r="B408" s="30"/>
      <c r="C408" s="30"/>
      <c r="D408" s="30"/>
      <c r="E408" s="30"/>
      <c r="F408" s="30"/>
      <c r="G408" s="30"/>
      <c r="H408" s="30"/>
      <c r="I408" s="30"/>
    </row>
    <row r="409">
      <c r="A409" s="30"/>
      <c r="B409" s="30"/>
      <c r="C409" s="30"/>
      <c r="D409" s="30"/>
      <c r="E409" s="30"/>
      <c r="F409" s="30"/>
      <c r="G409" s="30"/>
      <c r="H409" s="30"/>
      <c r="I409" s="30"/>
    </row>
    <row r="410">
      <c r="A410" s="30"/>
      <c r="B410" s="30"/>
      <c r="C410" s="30"/>
      <c r="D410" s="30"/>
      <c r="E410" s="30"/>
      <c r="F410" s="30"/>
      <c r="G410" s="30"/>
      <c r="H410" s="30"/>
      <c r="I410" s="30"/>
    </row>
    <row r="411">
      <c r="A411" s="30"/>
      <c r="B411" s="30"/>
      <c r="C411" s="30"/>
      <c r="D411" s="30"/>
      <c r="E411" s="30"/>
      <c r="F411" s="30"/>
      <c r="G411" s="30"/>
      <c r="H411" s="30"/>
      <c r="I411" s="30"/>
    </row>
    <row r="412">
      <c r="A412" s="30"/>
      <c r="B412" s="30"/>
      <c r="C412" s="30"/>
      <c r="D412" s="30"/>
      <c r="E412" s="30"/>
      <c r="F412" s="30"/>
      <c r="G412" s="30"/>
      <c r="H412" s="30"/>
      <c r="I412" s="30"/>
    </row>
    <row r="413">
      <c r="A413" s="30"/>
      <c r="B413" s="30"/>
      <c r="C413" s="30"/>
      <c r="D413" s="30"/>
      <c r="E413" s="30"/>
      <c r="F413" s="30"/>
      <c r="G413" s="30"/>
      <c r="H413" s="30"/>
      <c r="I413" s="30"/>
    </row>
    <row r="414">
      <c r="A414" s="30"/>
      <c r="B414" s="30"/>
      <c r="C414" s="30"/>
      <c r="D414" s="30"/>
      <c r="E414" s="30"/>
      <c r="F414" s="30"/>
      <c r="G414" s="30"/>
      <c r="H414" s="30"/>
      <c r="I414" s="30"/>
    </row>
    <row r="415">
      <c r="A415" s="30"/>
      <c r="B415" s="30"/>
      <c r="C415" s="30"/>
      <c r="D415" s="30"/>
      <c r="E415" s="30"/>
      <c r="F415" s="30"/>
      <c r="G415" s="30"/>
      <c r="H415" s="30"/>
      <c r="I415" s="30"/>
    </row>
    <row r="416">
      <c r="A416" s="30"/>
      <c r="B416" s="30"/>
      <c r="C416" s="30"/>
      <c r="D416" s="30"/>
      <c r="E416" s="30"/>
      <c r="F416" s="30"/>
      <c r="G416" s="30"/>
      <c r="H416" s="30"/>
      <c r="I416" s="30"/>
    </row>
    <row r="417">
      <c r="A417" s="30"/>
      <c r="B417" s="30"/>
      <c r="C417" s="30"/>
      <c r="D417" s="30"/>
      <c r="E417" s="30"/>
      <c r="F417" s="30"/>
      <c r="G417" s="30"/>
      <c r="H417" s="30"/>
      <c r="I417" s="30"/>
    </row>
    <row r="418">
      <c r="A418" s="30"/>
      <c r="B418" s="30"/>
      <c r="C418" s="30"/>
      <c r="D418" s="30"/>
      <c r="E418" s="30"/>
      <c r="F418" s="30"/>
      <c r="G418" s="30"/>
      <c r="H418" s="30"/>
      <c r="I418" s="30"/>
    </row>
    <row r="419">
      <c r="A419" s="30"/>
      <c r="B419" s="30"/>
      <c r="C419" s="30"/>
      <c r="D419" s="30"/>
      <c r="E419" s="30"/>
      <c r="F419" s="30"/>
      <c r="G419" s="30"/>
      <c r="H419" s="30"/>
      <c r="I419" s="30"/>
    </row>
    <row r="420">
      <c r="A420" s="30"/>
      <c r="B420" s="30"/>
      <c r="C420" s="30"/>
      <c r="D420" s="30"/>
      <c r="E420" s="30"/>
      <c r="F420" s="30"/>
      <c r="G420" s="30"/>
      <c r="H420" s="30"/>
      <c r="I420" s="30"/>
    </row>
    <row r="421">
      <c r="A421" s="30"/>
      <c r="B421" s="30"/>
      <c r="C421" s="30"/>
      <c r="D421" s="30"/>
      <c r="E421" s="30"/>
      <c r="F421" s="30"/>
      <c r="G421" s="30"/>
      <c r="H421" s="30"/>
      <c r="I421" s="30"/>
    </row>
    <row r="422">
      <c r="A422" s="30"/>
      <c r="B422" s="30"/>
      <c r="C422" s="30"/>
      <c r="D422" s="30"/>
      <c r="E422" s="30"/>
      <c r="F422" s="30"/>
      <c r="G422" s="30"/>
      <c r="H422" s="30"/>
      <c r="I422" s="30"/>
    </row>
    <row r="423">
      <c r="A423" s="30"/>
      <c r="B423" s="30"/>
      <c r="C423" s="30"/>
      <c r="D423" s="30"/>
      <c r="E423" s="30"/>
      <c r="F423" s="30"/>
      <c r="G423" s="30"/>
      <c r="H423" s="30"/>
      <c r="I423" s="30"/>
    </row>
    <row r="424">
      <c r="A424" s="30"/>
      <c r="B424" s="30"/>
      <c r="C424" s="30"/>
      <c r="D424" s="30"/>
      <c r="E424" s="30"/>
      <c r="F424" s="30"/>
      <c r="G424" s="30"/>
      <c r="H424" s="30"/>
      <c r="I424" s="30"/>
    </row>
    <row r="425">
      <c r="A425" s="30"/>
      <c r="B425" s="30"/>
      <c r="C425" s="30"/>
      <c r="D425" s="30"/>
      <c r="E425" s="30"/>
      <c r="F425" s="30"/>
      <c r="G425" s="30"/>
      <c r="H425" s="30"/>
      <c r="I425" s="30"/>
    </row>
    <row r="426">
      <c r="A426" s="30"/>
      <c r="B426" s="30"/>
      <c r="C426" s="30"/>
      <c r="D426" s="30"/>
      <c r="E426" s="30"/>
      <c r="F426" s="30"/>
      <c r="G426" s="30"/>
      <c r="H426" s="30"/>
      <c r="I426" s="30"/>
    </row>
    <row r="427">
      <c r="A427" s="30"/>
      <c r="B427" s="30"/>
      <c r="C427" s="30"/>
      <c r="D427" s="30"/>
      <c r="E427" s="30"/>
      <c r="F427" s="30"/>
      <c r="G427" s="30"/>
      <c r="H427" s="30"/>
      <c r="I427" s="30"/>
    </row>
    <row r="428">
      <c r="A428" s="30"/>
      <c r="B428" s="30"/>
      <c r="C428" s="30"/>
      <c r="D428" s="30"/>
      <c r="E428" s="30"/>
      <c r="F428" s="30"/>
      <c r="G428" s="30"/>
      <c r="H428" s="30"/>
      <c r="I428" s="30"/>
    </row>
    <row r="429">
      <c r="A429" s="30"/>
      <c r="B429" s="30"/>
      <c r="C429" s="30"/>
      <c r="D429" s="30"/>
      <c r="E429" s="30"/>
      <c r="F429" s="30"/>
      <c r="G429" s="30"/>
      <c r="H429" s="30"/>
      <c r="I429" s="30"/>
    </row>
    <row r="430">
      <c r="A430" s="30"/>
      <c r="B430" s="30"/>
      <c r="C430" s="30"/>
      <c r="D430" s="30"/>
      <c r="E430" s="30"/>
      <c r="F430" s="30"/>
      <c r="G430" s="30"/>
      <c r="H430" s="30"/>
      <c r="I430" s="30"/>
    </row>
    <row r="431">
      <c r="A431" s="30"/>
      <c r="B431" s="30"/>
      <c r="C431" s="30"/>
      <c r="D431" s="30"/>
      <c r="E431" s="30"/>
      <c r="F431" s="30"/>
      <c r="G431" s="30"/>
      <c r="H431" s="30"/>
      <c r="I431" s="30"/>
    </row>
    <row r="432">
      <c r="A432" s="30"/>
      <c r="B432" s="30"/>
      <c r="C432" s="30"/>
      <c r="D432" s="30"/>
      <c r="E432" s="30"/>
      <c r="F432" s="30"/>
      <c r="G432" s="30"/>
      <c r="H432" s="30"/>
      <c r="I432" s="30"/>
    </row>
    <row r="433">
      <c r="A433" s="30"/>
      <c r="B433" s="30"/>
      <c r="C433" s="30"/>
      <c r="D433" s="30"/>
      <c r="E433" s="30"/>
      <c r="F433" s="30"/>
      <c r="G433" s="30"/>
      <c r="H433" s="30"/>
      <c r="I433" s="30"/>
    </row>
    <row r="434">
      <c r="A434" s="30"/>
      <c r="B434" s="30"/>
      <c r="C434" s="30"/>
      <c r="D434" s="30"/>
      <c r="E434" s="30"/>
      <c r="F434" s="30"/>
      <c r="G434" s="30"/>
      <c r="H434" s="30"/>
      <c r="I434" s="30"/>
    </row>
    <row r="435">
      <c r="A435" s="30"/>
      <c r="B435" s="30"/>
      <c r="C435" s="30"/>
      <c r="D435" s="30"/>
      <c r="E435" s="30"/>
      <c r="F435" s="30"/>
      <c r="G435" s="30"/>
      <c r="H435" s="30"/>
      <c r="I435" s="30"/>
    </row>
    <row r="436">
      <c r="A436" s="30"/>
      <c r="B436" s="30"/>
      <c r="C436" s="30"/>
      <c r="D436" s="30"/>
      <c r="E436" s="30"/>
      <c r="F436" s="30"/>
      <c r="G436" s="30"/>
      <c r="H436" s="30"/>
      <c r="I436" s="30"/>
    </row>
    <row r="437">
      <c r="A437" s="30"/>
      <c r="B437" s="30"/>
      <c r="C437" s="30"/>
      <c r="D437" s="30"/>
      <c r="E437" s="30"/>
      <c r="F437" s="30"/>
      <c r="G437" s="30"/>
      <c r="H437" s="30"/>
      <c r="I437" s="30"/>
    </row>
    <row r="438">
      <c r="A438" s="30"/>
      <c r="B438" s="30"/>
      <c r="C438" s="30"/>
      <c r="D438" s="30"/>
      <c r="E438" s="30"/>
      <c r="F438" s="30"/>
      <c r="G438" s="30"/>
      <c r="H438" s="30"/>
      <c r="I438" s="30"/>
    </row>
    <row r="439">
      <c r="A439" s="30"/>
      <c r="B439" s="30"/>
      <c r="C439" s="30"/>
      <c r="D439" s="30"/>
      <c r="E439" s="30"/>
      <c r="F439" s="30"/>
      <c r="G439" s="30"/>
      <c r="H439" s="30"/>
      <c r="I439" s="30"/>
    </row>
    <row r="440">
      <c r="A440" s="30"/>
      <c r="B440" s="30"/>
      <c r="C440" s="30"/>
      <c r="D440" s="30"/>
      <c r="E440" s="30"/>
      <c r="F440" s="30"/>
      <c r="G440" s="30"/>
      <c r="H440" s="30"/>
      <c r="I440" s="30"/>
    </row>
    <row r="441">
      <c r="A441" s="30"/>
      <c r="B441" s="30"/>
      <c r="C441" s="30"/>
      <c r="D441" s="30"/>
      <c r="E441" s="30"/>
      <c r="F441" s="30"/>
      <c r="G441" s="30"/>
      <c r="H441" s="30"/>
      <c r="I441" s="30"/>
    </row>
    <row r="442">
      <c r="A442" s="30"/>
      <c r="B442" s="30"/>
      <c r="C442" s="30"/>
      <c r="D442" s="30"/>
      <c r="E442" s="30"/>
      <c r="F442" s="30"/>
      <c r="G442" s="30"/>
      <c r="H442" s="30"/>
      <c r="I442" s="30"/>
    </row>
    <row r="443">
      <c r="A443" s="30"/>
      <c r="B443" s="30"/>
      <c r="C443" s="30"/>
      <c r="D443" s="30"/>
      <c r="E443" s="30"/>
      <c r="F443" s="30"/>
      <c r="G443" s="30"/>
      <c r="H443" s="30"/>
      <c r="I443" s="30"/>
    </row>
    <row r="444">
      <c r="A444" s="30"/>
      <c r="B444" s="30"/>
      <c r="C444" s="30"/>
      <c r="D444" s="30"/>
      <c r="E444" s="30"/>
      <c r="F444" s="30"/>
      <c r="G444" s="30"/>
      <c r="H444" s="30"/>
      <c r="I444" s="30"/>
    </row>
    <row r="445">
      <c r="A445" s="30"/>
      <c r="B445" s="30"/>
      <c r="C445" s="30"/>
      <c r="D445" s="30"/>
      <c r="E445" s="30"/>
      <c r="F445" s="30"/>
      <c r="G445" s="30"/>
      <c r="H445" s="30"/>
      <c r="I445" s="30"/>
    </row>
    <row r="446">
      <c r="A446" s="30"/>
      <c r="B446" s="30"/>
      <c r="C446" s="30"/>
      <c r="D446" s="30"/>
      <c r="E446" s="30"/>
      <c r="F446" s="30"/>
      <c r="G446" s="30"/>
      <c r="H446" s="30"/>
      <c r="I446" s="30"/>
    </row>
    <row r="447">
      <c r="A447" s="30"/>
      <c r="B447" s="30"/>
      <c r="C447" s="30"/>
      <c r="D447" s="30"/>
      <c r="E447" s="30"/>
      <c r="F447" s="30"/>
      <c r="G447" s="30"/>
      <c r="H447" s="30"/>
      <c r="I447" s="30"/>
    </row>
    <row r="448">
      <c r="A448" s="30"/>
      <c r="B448" s="30"/>
      <c r="C448" s="30"/>
      <c r="D448" s="30"/>
      <c r="E448" s="30"/>
      <c r="F448" s="30"/>
      <c r="G448" s="30"/>
      <c r="H448" s="30"/>
      <c r="I448" s="30"/>
    </row>
    <row r="449">
      <c r="A449" s="30"/>
      <c r="B449" s="30"/>
      <c r="C449" s="30"/>
      <c r="D449" s="30"/>
      <c r="E449" s="30"/>
      <c r="F449" s="30"/>
      <c r="G449" s="30"/>
      <c r="H449" s="30"/>
      <c r="I449" s="30"/>
    </row>
    <row r="450">
      <c r="A450" s="30"/>
      <c r="B450" s="30"/>
      <c r="C450" s="30"/>
      <c r="D450" s="30"/>
      <c r="E450" s="30"/>
      <c r="F450" s="30"/>
      <c r="G450" s="30"/>
      <c r="H450" s="30"/>
      <c r="I450" s="30"/>
    </row>
    <row r="451">
      <c r="A451" s="30"/>
      <c r="B451" s="30"/>
      <c r="C451" s="30"/>
      <c r="D451" s="30"/>
      <c r="E451" s="30"/>
      <c r="F451" s="30"/>
      <c r="G451" s="30"/>
      <c r="H451" s="30"/>
      <c r="I451" s="30"/>
    </row>
    <row r="452">
      <c r="A452" s="30"/>
      <c r="B452" s="30"/>
      <c r="C452" s="30"/>
      <c r="D452" s="30"/>
      <c r="E452" s="30"/>
      <c r="F452" s="30"/>
      <c r="G452" s="30"/>
      <c r="H452" s="30"/>
      <c r="I452" s="30"/>
    </row>
    <row r="453">
      <c r="A453" s="30"/>
      <c r="B453" s="30"/>
      <c r="C453" s="30"/>
      <c r="D453" s="30"/>
      <c r="E453" s="30"/>
      <c r="F453" s="30"/>
      <c r="G453" s="30"/>
      <c r="H453" s="30"/>
      <c r="I453" s="30"/>
    </row>
    <row r="454">
      <c r="A454" s="30"/>
      <c r="B454" s="30"/>
      <c r="C454" s="30"/>
      <c r="D454" s="30"/>
      <c r="E454" s="30"/>
      <c r="F454" s="30"/>
      <c r="G454" s="30"/>
      <c r="H454" s="30"/>
      <c r="I454" s="30"/>
    </row>
    <row r="455">
      <c r="A455" s="30"/>
      <c r="B455" s="30"/>
      <c r="C455" s="30"/>
      <c r="D455" s="30"/>
      <c r="E455" s="30"/>
      <c r="F455" s="30"/>
      <c r="G455" s="30"/>
      <c r="H455" s="30"/>
      <c r="I455" s="30"/>
    </row>
    <row r="456">
      <c r="A456" s="30"/>
      <c r="B456" s="30"/>
      <c r="C456" s="30"/>
      <c r="D456" s="30"/>
      <c r="E456" s="30"/>
      <c r="F456" s="30"/>
      <c r="G456" s="30"/>
      <c r="H456" s="30"/>
      <c r="I456" s="30"/>
    </row>
    <row r="457">
      <c r="A457" s="30"/>
      <c r="B457" s="30"/>
      <c r="C457" s="30"/>
      <c r="D457" s="30"/>
      <c r="E457" s="30"/>
      <c r="F457" s="30"/>
      <c r="G457" s="30"/>
      <c r="H457" s="30"/>
      <c r="I457" s="30"/>
    </row>
    <row r="458">
      <c r="A458" s="30"/>
      <c r="B458" s="30"/>
      <c r="C458" s="30"/>
      <c r="D458" s="30"/>
      <c r="E458" s="30"/>
      <c r="F458" s="30"/>
      <c r="G458" s="30"/>
      <c r="H458" s="30"/>
      <c r="I458" s="30"/>
    </row>
    <row r="459">
      <c r="A459" s="30"/>
      <c r="B459" s="30"/>
      <c r="C459" s="30"/>
      <c r="D459" s="30"/>
      <c r="E459" s="30"/>
      <c r="F459" s="30"/>
      <c r="G459" s="30"/>
      <c r="H459" s="30"/>
      <c r="I459" s="30"/>
    </row>
    <row r="460">
      <c r="A460" s="30"/>
      <c r="B460" s="30"/>
      <c r="C460" s="30"/>
      <c r="D460" s="30"/>
      <c r="E460" s="30"/>
      <c r="F460" s="30"/>
      <c r="G460" s="30"/>
      <c r="H460" s="30"/>
      <c r="I460" s="30"/>
    </row>
    <row r="461">
      <c r="A461" s="30"/>
      <c r="B461" s="30"/>
      <c r="C461" s="30"/>
      <c r="D461" s="30"/>
      <c r="E461" s="30"/>
      <c r="F461" s="30"/>
      <c r="G461" s="30"/>
      <c r="H461" s="30"/>
      <c r="I461" s="30"/>
    </row>
    <row r="462">
      <c r="A462" s="30"/>
      <c r="B462" s="30"/>
      <c r="C462" s="30"/>
      <c r="D462" s="30"/>
      <c r="E462" s="30"/>
      <c r="F462" s="30"/>
      <c r="G462" s="30"/>
      <c r="H462" s="30"/>
      <c r="I462" s="30"/>
    </row>
    <row r="463">
      <c r="A463" s="30"/>
      <c r="B463" s="30"/>
      <c r="C463" s="30"/>
      <c r="D463" s="30"/>
      <c r="E463" s="30"/>
      <c r="F463" s="30"/>
      <c r="G463" s="30"/>
      <c r="H463" s="30"/>
      <c r="I463" s="30"/>
    </row>
    <row r="464">
      <c r="A464" s="30"/>
      <c r="B464" s="30"/>
      <c r="C464" s="30"/>
      <c r="D464" s="30"/>
      <c r="E464" s="30"/>
      <c r="F464" s="30"/>
      <c r="G464" s="30"/>
      <c r="H464" s="30"/>
      <c r="I464" s="30"/>
    </row>
    <row r="465">
      <c r="A465" s="30"/>
      <c r="B465" s="30"/>
      <c r="C465" s="30"/>
      <c r="D465" s="30"/>
      <c r="E465" s="30"/>
      <c r="F465" s="30"/>
      <c r="G465" s="30"/>
      <c r="H465" s="30"/>
      <c r="I465" s="30"/>
    </row>
    <row r="466">
      <c r="A466" s="30"/>
      <c r="B466" s="30"/>
      <c r="C466" s="30"/>
      <c r="D466" s="30"/>
      <c r="E466" s="30"/>
      <c r="F466" s="30"/>
      <c r="G466" s="30"/>
      <c r="H466" s="30"/>
      <c r="I466" s="30"/>
    </row>
    <row r="467">
      <c r="A467" s="30"/>
      <c r="B467" s="30"/>
      <c r="C467" s="30"/>
      <c r="D467" s="30"/>
      <c r="E467" s="30"/>
      <c r="F467" s="30"/>
      <c r="G467" s="30"/>
      <c r="H467" s="30"/>
      <c r="I467" s="30"/>
    </row>
    <row r="468">
      <c r="A468" s="30"/>
      <c r="B468" s="30"/>
      <c r="C468" s="30"/>
      <c r="D468" s="30"/>
      <c r="E468" s="30"/>
      <c r="F468" s="30"/>
      <c r="G468" s="30"/>
      <c r="H468" s="30"/>
      <c r="I468" s="30"/>
    </row>
    <row r="469">
      <c r="A469" s="30"/>
      <c r="B469" s="30"/>
      <c r="C469" s="30"/>
      <c r="D469" s="30"/>
      <c r="E469" s="30"/>
      <c r="F469" s="30"/>
      <c r="G469" s="30"/>
      <c r="H469" s="30"/>
      <c r="I469" s="30"/>
    </row>
    <row r="470">
      <c r="A470" s="30"/>
      <c r="B470" s="30"/>
      <c r="C470" s="30"/>
      <c r="D470" s="30"/>
      <c r="E470" s="30"/>
      <c r="F470" s="30"/>
      <c r="G470" s="30"/>
      <c r="H470" s="30"/>
      <c r="I470" s="30"/>
    </row>
    <row r="471">
      <c r="A471" s="30"/>
      <c r="B471" s="30"/>
      <c r="C471" s="30"/>
      <c r="D471" s="30"/>
      <c r="E471" s="30"/>
      <c r="F471" s="30"/>
      <c r="G471" s="30"/>
      <c r="H471" s="30"/>
      <c r="I471" s="30"/>
    </row>
    <row r="472">
      <c r="A472" s="30"/>
      <c r="B472" s="30"/>
      <c r="C472" s="30"/>
      <c r="D472" s="30"/>
      <c r="E472" s="30"/>
      <c r="F472" s="30"/>
      <c r="G472" s="30"/>
      <c r="H472" s="30"/>
      <c r="I472" s="30"/>
    </row>
    <row r="473">
      <c r="A473" s="30"/>
      <c r="B473" s="30"/>
      <c r="C473" s="30"/>
      <c r="D473" s="30"/>
      <c r="E473" s="30"/>
      <c r="F473" s="30"/>
      <c r="G473" s="30"/>
      <c r="H473" s="30"/>
      <c r="I473" s="30"/>
    </row>
    <row r="474">
      <c r="A474" s="30"/>
      <c r="B474" s="30"/>
      <c r="C474" s="30"/>
      <c r="D474" s="30"/>
      <c r="E474" s="30"/>
      <c r="F474" s="30"/>
      <c r="G474" s="30"/>
      <c r="H474" s="30"/>
      <c r="I474" s="30"/>
    </row>
    <row r="475">
      <c r="A475" s="30"/>
      <c r="B475" s="30"/>
      <c r="C475" s="30"/>
      <c r="D475" s="30"/>
      <c r="E475" s="30"/>
      <c r="F475" s="30"/>
      <c r="G475" s="30"/>
      <c r="H475" s="30"/>
      <c r="I475" s="30"/>
    </row>
    <row r="476">
      <c r="A476" s="30"/>
      <c r="B476" s="30"/>
      <c r="C476" s="30"/>
      <c r="D476" s="30"/>
      <c r="E476" s="30"/>
      <c r="F476" s="30"/>
      <c r="G476" s="30"/>
      <c r="H476" s="30"/>
      <c r="I476" s="30"/>
    </row>
    <row r="477">
      <c r="A477" s="30"/>
      <c r="B477" s="30"/>
      <c r="C477" s="30"/>
      <c r="D477" s="30"/>
      <c r="E477" s="30"/>
      <c r="F477" s="30"/>
      <c r="G477" s="30"/>
      <c r="H477" s="30"/>
      <c r="I477" s="30"/>
    </row>
    <row r="478">
      <c r="A478" s="30"/>
      <c r="B478" s="30"/>
      <c r="C478" s="30"/>
      <c r="D478" s="30"/>
      <c r="E478" s="30"/>
      <c r="F478" s="30"/>
      <c r="G478" s="30"/>
      <c r="H478" s="30"/>
      <c r="I478" s="30"/>
    </row>
    <row r="479">
      <c r="A479" s="30"/>
      <c r="B479" s="30"/>
      <c r="C479" s="30"/>
      <c r="D479" s="30"/>
      <c r="E479" s="30"/>
      <c r="F479" s="30"/>
      <c r="G479" s="30"/>
      <c r="H479" s="30"/>
      <c r="I479" s="30"/>
    </row>
    <row r="480">
      <c r="A480" s="30"/>
      <c r="B480" s="30"/>
      <c r="C480" s="30"/>
      <c r="D480" s="30"/>
      <c r="E480" s="30"/>
      <c r="F480" s="30"/>
      <c r="G480" s="30"/>
      <c r="H480" s="30"/>
      <c r="I480" s="30"/>
    </row>
    <row r="481">
      <c r="A481" s="30"/>
      <c r="B481" s="30"/>
      <c r="C481" s="30"/>
      <c r="D481" s="30"/>
      <c r="E481" s="30"/>
      <c r="F481" s="30"/>
      <c r="G481" s="30"/>
      <c r="H481" s="30"/>
      <c r="I481" s="30"/>
    </row>
    <row r="482">
      <c r="A482" s="30"/>
      <c r="B482" s="30"/>
      <c r="C482" s="30"/>
      <c r="D482" s="30"/>
      <c r="E482" s="30"/>
      <c r="F482" s="30"/>
      <c r="G482" s="30"/>
      <c r="H482" s="30"/>
      <c r="I482" s="30"/>
    </row>
    <row r="483">
      <c r="A483" s="30"/>
      <c r="B483" s="30"/>
      <c r="C483" s="30"/>
      <c r="D483" s="30"/>
      <c r="E483" s="30"/>
      <c r="F483" s="30"/>
      <c r="G483" s="30"/>
      <c r="H483" s="30"/>
      <c r="I483" s="30"/>
    </row>
    <row r="484">
      <c r="A484" s="30"/>
      <c r="B484" s="30"/>
      <c r="C484" s="30"/>
      <c r="D484" s="30"/>
      <c r="E484" s="30"/>
      <c r="F484" s="30"/>
      <c r="G484" s="30"/>
      <c r="H484" s="30"/>
      <c r="I484" s="30"/>
    </row>
    <row r="485">
      <c r="A485" s="30"/>
      <c r="B485" s="30"/>
      <c r="C485" s="30"/>
      <c r="D485" s="30"/>
      <c r="E485" s="30"/>
      <c r="F485" s="30"/>
      <c r="G485" s="30"/>
      <c r="H485" s="30"/>
      <c r="I485" s="30"/>
    </row>
    <row r="486">
      <c r="A486" s="30"/>
      <c r="B486" s="30"/>
      <c r="C486" s="30"/>
      <c r="D486" s="30"/>
      <c r="E486" s="30"/>
      <c r="F486" s="30"/>
      <c r="G486" s="30"/>
      <c r="H486" s="30"/>
      <c r="I486" s="30"/>
    </row>
    <row r="487">
      <c r="A487" s="30"/>
      <c r="B487" s="30"/>
      <c r="C487" s="30"/>
      <c r="D487" s="30"/>
      <c r="E487" s="30"/>
      <c r="F487" s="30"/>
      <c r="G487" s="30"/>
      <c r="H487" s="30"/>
      <c r="I487" s="30"/>
    </row>
    <row r="488">
      <c r="A488" s="30"/>
      <c r="B488" s="30"/>
      <c r="C488" s="30"/>
      <c r="D488" s="30"/>
      <c r="E488" s="30"/>
      <c r="F488" s="30"/>
      <c r="G488" s="30"/>
      <c r="H488" s="30"/>
      <c r="I488" s="30"/>
    </row>
    <row r="489">
      <c r="A489" s="30"/>
      <c r="B489" s="30"/>
      <c r="C489" s="30"/>
      <c r="D489" s="30"/>
      <c r="E489" s="30"/>
      <c r="F489" s="30"/>
      <c r="G489" s="30"/>
      <c r="H489" s="30"/>
      <c r="I489" s="30"/>
    </row>
    <row r="490">
      <c r="A490" s="30"/>
      <c r="B490" s="30"/>
      <c r="C490" s="30"/>
      <c r="D490" s="30"/>
      <c r="E490" s="30"/>
      <c r="F490" s="30"/>
      <c r="G490" s="30"/>
      <c r="H490" s="30"/>
      <c r="I490" s="30"/>
    </row>
    <row r="491">
      <c r="A491" s="30"/>
      <c r="B491" s="30"/>
      <c r="C491" s="30"/>
      <c r="D491" s="30"/>
      <c r="E491" s="30"/>
      <c r="F491" s="30"/>
      <c r="G491" s="30"/>
      <c r="H491" s="30"/>
      <c r="I491" s="30"/>
    </row>
    <row r="492">
      <c r="A492" s="30"/>
      <c r="B492" s="30"/>
      <c r="C492" s="30"/>
      <c r="D492" s="30"/>
      <c r="E492" s="30"/>
      <c r="F492" s="30"/>
      <c r="G492" s="30"/>
      <c r="H492" s="30"/>
      <c r="I492" s="30"/>
    </row>
    <row r="493">
      <c r="A493" s="30"/>
      <c r="B493" s="30"/>
      <c r="C493" s="30"/>
      <c r="D493" s="30"/>
      <c r="E493" s="30"/>
      <c r="F493" s="30"/>
      <c r="G493" s="30"/>
      <c r="H493" s="30"/>
      <c r="I493" s="30"/>
    </row>
    <row r="494">
      <c r="A494" s="30"/>
      <c r="B494" s="30"/>
      <c r="C494" s="30"/>
      <c r="D494" s="30"/>
      <c r="E494" s="30"/>
      <c r="F494" s="30"/>
      <c r="G494" s="30"/>
      <c r="H494" s="30"/>
      <c r="I494" s="30"/>
    </row>
    <row r="495">
      <c r="A495" s="30"/>
      <c r="B495" s="30"/>
      <c r="C495" s="30"/>
      <c r="D495" s="30"/>
      <c r="E495" s="30"/>
      <c r="F495" s="30"/>
      <c r="G495" s="30"/>
      <c r="H495" s="30"/>
      <c r="I495" s="30"/>
    </row>
    <row r="496">
      <c r="A496" s="30"/>
      <c r="B496" s="30"/>
      <c r="C496" s="30"/>
      <c r="D496" s="30"/>
      <c r="E496" s="30"/>
      <c r="F496" s="30"/>
      <c r="G496" s="30"/>
      <c r="H496" s="30"/>
      <c r="I496" s="30"/>
    </row>
    <row r="497">
      <c r="A497" s="30"/>
      <c r="B497" s="30"/>
      <c r="C497" s="30"/>
      <c r="D497" s="30"/>
      <c r="E497" s="30"/>
      <c r="F497" s="30"/>
      <c r="G497" s="30"/>
      <c r="H497" s="30"/>
      <c r="I497" s="30"/>
    </row>
    <row r="498">
      <c r="A498" s="30"/>
      <c r="B498" s="30"/>
      <c r="C498" s="30"/>
      <c r="D498" s="30"/>
      <c r="E498" s="30"/>
      <c r="F498" s="30"/>
      <c r="G498" s="30"/>
      <c r="H498" s="30"/>
      <c r="I498" s="30"/>
    </row>
    <row r="499">
      <c r="A499" s="30"/>
      <c r="B499" s="30"/>
      <c r="C499" s="30"/>
      <c r="D499" s="30"/>
      <c r="E499" s="30"/>
      <c r="F499" s="30"/>
      <c r="G499" s="30"/>
      <c r="H499" s="30"/>
      <c r="I499" s="30"/>
    </row>
    <row r="500">
      <c r="A500" s="30"/>
      <c r="B500" s="30"/>
      <c r="C500" s="30"/>
      <c r="D500" s="30"/>
      <c r="E500" s="30"/>
      <c r="F500" s="30"/>
      <c r="G500" s="30"/>
      <c r="H500" s="30"/>
      <c r="I500" s="30"/>
    </row>
    <row r="501">
      <c r="A501" s="30"/>
      <c r="B501" s="30"/>
      <c r="C501" s="30"/>
      <c r="D501" s="30"/>
      <c r="E501" s="30"/>
      <c r="F501" s="30"/>
      <c r="G501" s="30"/>
      <c r="H501" s="30"/>
      <c r="I501" s="30"/>
    </row>
    <row r="502">
      <c r="A502" s="30"/>
      <c r="B502" s="30"/>
      <c r="C502" s="30"/>
      <c r="D502" s="30"/>
      <c r="E502" s="30"/>
      <c r="F502" s="30"/>
      <c r="G502" s="30"/>
      <c r="H502" s="30"/>
      <c r="I502" s="30"/>
    </row>
    <row r="503">
      <c r="A503" s="30"/>
      <c r="B503" s="30"/>
      <c r="C503" s="30"/>
      <c r="D503" s="30"/>
      <c r="E503" s="30"/>
      <c r="F503" s="30"/>
      <c r="G503" s="30"/>
      <c r="H503" s="30"/>
      <c r="I503" s="30"/>
    </row>
    <row r="504">
      <c r="A504" s="30"/>
      <c r="B504" s="30"/>
      <c r="C504" s="30"/>
      <c r="D504" s="30"/>
      <c r="E504" s="30"/>
      <c r="F504" s="30"/>
      <c r="G504" s="30"/>
      <c r="H504" s="30"/>
      <c r="I504" s="30"/>
    </row>
    <row r="505">
      <c r="A505" s="30"/>
      <c r="B505" s="30"/>
      <c r="C505" s="30"/>
      <c r="D505" s="30"/>
      <c r="E505" s="30"/>
      <c r="F505" s="30"/>
      <c r="G505" s="30"/>
      <c r="H505" s="30"/>
      <c r="I505" s="30"/>
    </row>
    <row r="506">
      <c r="A506" s="30"/>
      <c r="B506" s="30"/>
      <c r="C506" s="30"/>
      <c r="D506" s="30"/>
      <c r="E506" s="30"/>
      <c r="F506" s="30"/>
      <c r="G506" s="30"/>
      <c r="H506" s="30"/>
      <c r="I506" s="30"/>
    </row>
    <row r="507">
      <c r="A507" s="30"/>
      <c r="B507" s="30"/>
      <c r="C507" s="30"/>
      <c r="D507" s="30"/>
      <c r="E507" s="30"/>
      <c r="F507" s="30"/>
      <c r="G507" s="30"/>
      <c r="H507" s="30"/>
      <c r="I507" s="30"/>
    </row>
    <row r="508">
      <c r="A508" s="30"/>
      <c r="B508" s="30"/>
      <c r="C508" s="30"/>
      <c r="D508" s="30"/>
      <c r="E508" s="30"/>
      <c r="F508" s="30"/>
      <c r="G508" s="30"/>
      <c r="H508" s="30"/>
      <c r="I508" s="30"/>
    </row>
    <row r="509">
      <c r="A509" s="30"/>
      <c r="B509" s="30"/>
      <c r="C509" s="30"/>
      <c r="D509" s="30"/>
      <c r="E509" s="30"/>
      <c r="F509" s="30"/>
      <c r="G509" s="30"/>
      <c r="H509" s="30"/>
      <c r="I509" s="30"/>
    </row>
    <row r="510">
      <c r="A510" s="30"/>
      <c r="B510" s="30"/>
      <c r="C510" s="30"/>
      <c r="D510" s="30"/>
      <c r="E510" s="30"/>
      <c r="F510" s="30"/>
      <c r="G510" s="30"/>
      <c r="H510" s="30"/>
      <c r="I510" s="30"/>
    </row>
    <row r="511">
      <c r="A511" s="30"/>
      <c r="B511" s="30"/>
      <c r="C511" s="30"/>
      <c r="D511" s="30"/>
      <c r="E511" s="30"/>
      <c r="F511" s="30"/>
      <c r="G511" s="30"/>
      <c r="H511" s="30"/>
      <c r="I511" s="30"/>
    </row>
    <row r="512">
      <c r="A512" s="30"/>
      <c r="B512" s="30"/>
      <c r="C512" s="30"/>
      <c r="D512" s="30"/>
      <c r="E512" s="30"/>
      <c r="F512" s="30"/>
      <c r="G512" s="30"/>
      <c r="H512" s="30"/>
      <c r="I512" s="30"/>
    </row>
    <row r="513">
      <c r="A513" s="30"/>
      <c r="B513" s="30"/>
      <c r="C513" s="30"/>
      <c r="D513" s="30"/>
      <c r="E513" s="30"/>
      <c r="F513" s="30"/>
      <c r="G513" s="30"/>
      <c r="H513" s="30"/>
      <c r="I513" s="30"/>
    </row>
    <row r="514">
      <c r="A514" s="30"/>
      <c r="B514" s="30"/>
      <c r="C514" s="30"/>
      <c r="D514" s="30"/>
      <c r="E514" s="30"/>
      <c r="F514" s="30"/>
      <c r="G514" s="30"/>
      <c r="H514" s="30"/>
      <c r="I514" s="30"/>
    </row>
    <row r="515">
      <c r="A515" s="30"/>
      <c r="B515" s="30"/>
      <c r="C515" s="30"/>
      <c r="D515" s="30"/>
      <c r="E515" s="30"/>
      <c r="F515" s="30"/>
      <c r="G515" s="30"/>
      <c r="H515" s="30"/>
      <c r="I515" s="30"/>
    </row>
    <row r="516">
      <c r="A516" s="30"/>
      <c r="B516" s="30"/>
      <c r="C516" s="30"/>
      <c r="D516" s="30"/>
      <c r="E516" s="30"/>
      <c r="F516" s="30"/>
      <c r="G516" s="30"/>
      <c r="H516" s="30"/>
      <c r="I516" s="30"/>
    </row>
    <row r="517">
      <c r="A517" s="30"/>
      <c r="B517" s="30"/>
      <c r="C517" s="30"/>
      <c r="D517" s="30"/>
      <c r="E517" s="30"/>
      <c r="F517" s="30"/>
      <c r="G517" s="30"/>
      <c r="H517" s="30"/>
      <c r="I517" s="30"/>
    </row>
    <row r="518">
      <c r="A518" s="30"/>
      <c r="B518" s="30"/>
      <c r="C518" s="30"/>
      <c r="D518" s="30"/>
      <c r="E518" s="30"/>
      <c r="F518" s="30"/>
      <c r="G518" s="30"/>
      <c r="H518" s="30"/>
      <c r="I518" s="30"/>
    </row>
    <row r="519">
      <c r="A519" s="30"/>
      <c r="B519" s="30"/>
      <c r="C519" s="30"/>
      <c r="D519" s="30"/>
      <c r="E519" s="30"/>
      <c r="F519" s="30"/>
      <c r="G519" s="30"/>
      <c r="H519" s="30"/>
      <c r="I519" s="30"/>
    </row>
    <row r="520">
      <c r="A520" s="30"/>
      <c r="B520" s="30"/>
      <c r="C520" s="30"/>
      <c r="D520" s="30"/>
      <c r="E520" s="30"/>
      <c r="F520" s="30"/>
      <c r="G520" s="30"/>
      <c r="H520" s="30"/>
      <c r="I520" s="30"/>
    </row>
    <row r="521">
      <c r="A521" s="30"/>
      <c r="B521" s="30"/>
      <c r="C521" s="30"/>
      <c r="D521" s="30"/>
      <c r="E521" s="30"/>
      <c r="F521" s="30"/>
      <c r="G521" s="30"/>
      <c r="H521" s="30"/>
      <c r="I521" s="30"/>
    </row>
    <row r="522">
      <c r="A522" s="30"/>
      <c r="B522" s="30"/>
      <c r="C522" s="30"/>
      <c r="D522" s="30"/>
      <c r="E522" s="30"/>
      <c r="F522" s="30"/>
      <c r="G522" s="30"/>
      <c r="H522" s="30"/>
      <c r="I522" s="30"/>
    </row>
    <row r="523">
      <c r="A523" s="30"/>
      <c r="B523" s="30"/>
      <c r="C523" s="30"/>
      <c r="D523" s="30"/>
      <c r="E523" s="30"/>
      <c r="F523" s="30"/>
      <c r="G523" s="30"/>
      <c r="H523" s="30"/>
      <c r="I523" s="30"/>
    </row>
    <row r="524">
      <c r="A524" s="30"/>
      <c r="B524" s="30"/>
      <c r="C524" s="30"/>
      <c r="D524" s="30"/>
      <c r="E524" s="30"/>
      <c r="F524" s="30"/>
      <c r="G524" s="30"/>
      <c r="H524" s="30"/>
      <c r="I524" s="30"/>
    </row>
    <row r="525">
      <c r="A525" s="30"/>
      <c r="B525" s="30"/>
      <c r="C525" s="30"/>
      <c r="D525" s="30"/>
      <c r="E525" s="30"/>
      <c r="F525" s="30"/>
      <c r="G525" s="30"/>
      <c r="H525" s="30"/>
      <c r="I525" s="30"/>
    </row>
    <row r="526">
      <c r="A526" s="30"/>
      <c r="B526" s="30"/>
      <c r="C526" s="30"/>
      <c r="D526" s="30"/>
      <c r="E526" s="30"/>
      <c r="F526" s="30"/>
      <c r="G526" s="30"/>
      <c r="H526" s="30"/>
      <c r="I526" s="30"/>
    </row>
    <row r="527">
      <c r="A527" s="30"/>
      <c r="B527" s="30"/>
      <c r="C527" s="30"/>
      <c r="D527" s="30"/>
      <c r="E527" s="30"/>
      <c r="F527" s="30"/>
      <c r="G527" s="30"/>
      <c r="H527" s="30"/>
      <c r="I527" s="30"/>
    </row>
    <row r="528">
      <c r="A528" s="30"/>
      <c r="B528" s="30"/>
      <c r="C528" s="30"/>
      <c r="D528" s="30"/>
      <c r="E528" s="30"/>
      <c r="F528" s="30"/>
      <c r="G528" s="30"/>
      <c r="H528" s="30"/>
      <c r="I528" s="30"/>
    </row>
    <row r="529">
      <c r="A529" s="30"/>
      <c r="B529" s="30"/>
      <c r="C529" s="30"/>
      <c r="D529" s="30"/>
      <c r="E529" s="30"/>
      <c r="F529" s="30"/>
      <c r="G529" s="30"/>
      <c r="H529" s="30"/>
      <c r="I529" s="30"/>
    </row>
    <row r="530">
      <c r="A530" s="30"/>
      <c r="B530" s="30"/>
      <c r="C530" s="30"/>
      <c r="D530" s="30"/>
      <c r="E530" s="30"/>
      <c r="F530" s="30"/>
      <c r="G530" s="30"/>
      <c r="H530" s="30"/>
      <c r="I530" s="30"/>
    </row>
    <row r="531">
      <c r="A531" s="30"/>
      <c r="B531" s="30"/>
      <c r="C531" s="30"/>
      <c r="D531" s="30"/>
      <c r="E531" s="30"/>
      <c r="F531" s="30"/>
      <c r="G531" s="30"/>
      <c r="H531" s="30"/>
      <c r="I531" s="30"/>
    </row>
    <row r="532">
      <c r="A532" s="30"/>
      <c r="B532" s="30"/>
      <c r="C532" s="30"/>
      <c r="D532" s="30"/>
      <c r="E532" s="30"/>
      <c r="F532" s="30"/>
      <c r="G532" s="30"/>
      <c r="H532" s="30"/>
      <c r="I532" s="30"/>
    </row>
    <row r="533">
      <c r="A533" s="30"/>
      <c r="B533" s="30"/>
      <c r="C533" s="30"/>
      <c r="D533" s="30"/>
      <c r="E533" s="30"/>
      <c r="F533" s="30"/>
      <c r="G533" s="30"/>
      <c r="H533" s="30"/>
      <c r="I533" s="30"/>
    </row>
    <row r="534">
      <c r="A534" s="30"/>
      <c r="B534" s="30"/>
      <c r="C534" s="30"/>
      <c r="D534" s="30"/>
      <c r="E534" s="30"/>
      <c r="F534" s="30"/>
      <c r="G534" s="30"/>
      <c r="H534" s="30"/>
      <c r="I534" s="30"/>
    </row>
    <row r="535">
      <c r="A535" s="30"/>
      <c r="B535" s="30"/>
      <c r="C535" s="30"/>
      <c r="D535" s="30"/>
      <c r="E535" s="30"/>
      <c r="F535" s="30"/>
      <c r="G535" s="30"/>
      <c r="H535" s="30"/>
      <c r="I535" s="30"/>
    </row>
    <row r="536">
      <c r="A536" s="30"/>
      <c r="B536" s="30"/>
      <c r="C536" s="30"/>
      <c r="D536" s="30"/>
      <c r="E536" s="30"/>
      <c r="F536" s="30"/>
      <c r="G536" s="30"/>
      <c r="H536" s="30"/>
      <c r="I536" s="30"/>
    </row>
    <row r="537">
      <c r="A537" s="30"/>
      <c r="B537" s="30"/>
      <c r="C537" s="30"/>
      <c r="D537" s="30"/>
      <c r="E537" s="30"/>
      <c r="F537" s="30"/>
      <c r="G537" s="30"/>
      <c r="H537" s="30"/>
      <c r="I537" s="30"/>
    </row>
    <row r="538">
      <c r="A538" s="30"/>
      <c r="B538" s="30"/>
      <c r="C538" s="30"/>
      <c r="D538" s="30"/>
      <c r="E538" s="30"/>
      <c r="F538" s="30"/>
      <c r="G538" s="30"/>
      <c r="H538" s="30"/>
      <c r="I538" s="30"/>
    </row>
    <row r="539">
      <c r="A539" s="30"/>
      <c r="B539" s="30"/>
      <c r="C539" s="30"/>
      <c r="D539" s="30"/>
      <c r="E539" s="30"/>
      <c r="F539" s="30"/>
      <c r="G539" s="30"/>
      <c r="H539" s="30"/>
      <c r="I539" s="30"/>
    </row>
    <row r="540">
      <c r="A540" s="30"/>
      <c r="B540" s="30"/>
      <c r="C540" s="30"/>
      <c r="D540" s="30"/>
      <c r="E540" s="30"/>
      <c r="F540" s="30"/>
      <c r="G540" s="30"/>
      <c r="H540" s="30"/>
      <c r="I540" s="30"/>
    </row>
    <row r="541">
      <c r="A541" s="30"/>
      <c r="B541" s="30"/>
      <c r="C541" s="30"/>
      <c r="D541" s="30"/>
      <c r="E541" s="30"/>
      <c r="F541" s="30"/>
      <c r="G541" s="30"/>
      <c r="H541" s="30"/>
      <c r="I541" s="30"/>
    </row>
    <row r="542">
      <c r="A542" s="30"/>
      <c r="B542" s="30"/>
      <c r="C542" s="30"/>
      <c r="D542" s="30"/>
      <c r="E542" s="30"/>
      <c r="F542" s="30"/>
      <c r="G542" s="30"/>
      <c r="H542" s="30"/>
      <c r="I542" s="30"/>
    </row>
    <row r="543">
      <c r="A543" s="30"/>
      <c r="B543" s="30"/>
      <c r="C543" s="30"/>
      <c r="D543" s="30"/>
      <c r="E543" s="30"/>
      <c r="F543" s="30"/>
      <c r="G543" s="30"/>
      <c r="H543" s="30"/>
      <c r="I543" s="30"/>
    </row>
    <row r="544">
      <c r="A544" s="30"/>
      <c r="B544" s="30"/>
      <c r="C544" s="30"/>
      <c r="D544" s="30"/>
      <c r="E544" s="30"/>
      <c r="F544" s="30"/>
      <c r="G544" s="30"/>
      <c r="H544" s="30"/>
      <c r="I544" s="30"/>
    </row>
    <row r="545">
      <c r="A545" s="30"/>
      <c r="B545" s="30"/>
      <c r="C545" s="30"/>
      <c r="D545" s="30"/>
      <c r="E545" s="30"/>
      <c r="F545" s="30"/>
      <c r="G545" s="30"/>
      <c r="H545" s="30"/>
      <c r="I545" s="30"/>
    </row>
    <row r="546">
      <c r="A546" s="30"/>
      <c r="B546" s="30"/>
      <c r="C546" s="30"/>
      <c r="D546" s="30"/>
      <c r="E546" s="30"/>
      <c r="F546" s="30"/>
      <c r="G546" s="30"/>
      <c r="H546" s="30"/>
      <c r="I546" s="30"/>
    </row>
    <row r="547">
      <c r="A547" s="30"/>
      <c r="B547" s="30"/>
      <c r="C547" s="30"/>
      <c r="D547" s="30"/>
      <c r="E547" s="30"/>
      <c r="F547" s="30"/>
      <c r="G547" s="30"/>
      <c r="H547" s="30"/>
      <c r="I547" s="30"/>
    </row>
    <row r="548">
      <c r="A548" s="30"/>
      <c r="B548" s="30"/>
      <c r="C548" s="30"/>
      <c r="D548" s="30"/>
      <c r="E548" s="30"/>
      <c r="F548" s="30"/>
      <c r="G548" s="30"/>
      <c r="H548" s="30"/>
      <c r="I548" s="30"/>
    </row>
    <row r="549">
      <c r="A549" s="30"/>
      <c r="B549" s="30"/>
      <c r="C549" s="30"/>
      <c r="D549" s="30"/>
      <c r="E549" s="30"/>
      <c r="F549" s="30"/>
      <c r="G549" s="30"/>
      <c r="H549" s="30"/>
      <c r="I549" s="30"/>
    </row>
    <row r="550">
      <c r="A550" s="30"/>
      <c r="B550" s="30"/>
      <c r="C550" s="30"/>
      <c r="D550" s="30"/>
      <c r="E550" s="30"/>
      <c r="F550" s="30"/>
      <c r="G550" s="30"/>
      <c r="H550" s="30"/>
      <c r="I550" s="30"/>
    </row>
    <row r="551">
      <c r="A551" s="30"/>
      <c r="B551" s="30"/>
      <c r="C551" s="30"/>
      <c r="D551" s="30"/>
      <c r="E551" s="30"/>
      <c r="F551" s="30"/>
      <c r="G551" s="30"/>
      <c r="H551" s="30"/>
      <c r="I551" s="30"/>
    </row>
    <row r="552">
      <c r="A552" s="30"/>
      <c r="B552" s="30"/>
      <c r="C552" s="30"/>
      <c r="D552" s="30"/>
      <c r="E552" s="30"/>
      <c r="F552" s="30"/>
      <c r="G552" s="30"/>
      <c r="H552" s="30"/>
      <c r="I552" s="30"/>
    </row>
    <row r="553">
      <c r="A553" s="30"/>
      <c r="B553" s="30"/>
      <c r="C553" s="30"/>
      <c r="D553" s="30"/>
      <c r="E553" s="30"/>
      <c r="F553" s="30"/>
      <c r="G553" s="30"/>
      <c r="H553" s="30"/>
      <c r="I553" s="30"/>
    </row>
    <row r="554">
      <c r="A554" s="30"/>
      <c r="B554" s="30"/>
      <c r="C554" s="30"/>
      <c r="D554" s="30"/>
      <c r="E554" s="30"/>
      <c r="F554" s="30"/>
      <c r="G554" s="30"/>
      <c r="H554" s="30"/>
      <c r="I554" s="30"/>
    </row>
    <row r="555">
      <c r="A555" s="30"/>
      <c r="B555" s="30"/>
      <c r="C555" s="30"/>
      <c r="D555" s="30"/>
      <c r="E555" s="30"/>
      <c r="F555" s="30"/>
      <c r="G555" s="30"/>
      <c r="H555" s="30"/>
      <c r="I555" s="30"/>
    </row>
    <row r="556">
      <c r="A556" s="30"/>
      <c r="B556" s="30"/>
      <c r="C556" s="30"/>
      <c r="D556" s="30"/>
      <c r="E556" s="30"/>
      <c r="F556" s="30"/>
      <c r="G556" s="30"/>
      <c r="H556" s="30"/>
      <c r="I556" s="30"/>
    </row>
    <row r="557">
      <c r="A557" s="30"/>
      <c r="B557" s="30"/>
      <c r="C557" s="30"/>
      <c r="D557" s="30"/>
      <c r="E557" s="30"/>
      <c r="F557" s="30"/>
      <c r="G557" s="30"/>
      <c r="H557" s="30"/>
      <c r="I557" s="30"/>
    </row>
    <row r="558">
      <c r="A558" s="30"/>
      <c r="B558" s="30"/>
      <c r="C558" s="30"/>
      <c r="D558" s="30"/>
      <c r="E558" s="30"/>
      <c r="F558" s="30"/>
      <c r="G558" s="30"/>
      <c r="H558" s="30"/>
      <c r="I558" s="30"/>
    </row>
    <row r="559">
      <c r="A559" s="30"/>
      <c r="B559" s="30"/>
      <c r="C559" s="30"/>
      <c r="D559" s="30"/>
      <c r="E559" s="30"/>
      <c r="F559" s="30"/>
      <c r="G559" s="30"/>
      <c r="H559" s="30"/>
      <c r="I559" s="30"/>
    </row>
    <row r="560">
      <c r="A560" s="30"/>
      <c r="B560" s="30"/>
      <c r="C560" s="30"/>
      <c r="D560" s="30"/>
      <c r="E560" s="30"/>
      <c r="F560" s="30"/>
      <c r="G560" s="30"/>
      <c r="H560" s="30"/>
      <c r="I560" s="30"/>
    </row>
    <row r="561">
      <c r="A561" s="30"/>
      <c r="B561" s="30"/>
      <c r="C561" s="30"/>
      <c r="D561" s="30"/>
      <c r="E561" s="30"/>
      <c r="F561" s="30"/>
      <c r="G561" s="30"/>
      <c r="H561" s="30"/>
      <c r="I561" s="30"/>
    </row>
    <row r="562">
      <c r="A562" s="30"/>
      <c r="B562" s="30"/>
      <c r="C562" s="30"/>
      <c r="D562" s="30"/>
      <c r="E562" s="30"/>
      <c r="F562" s="30"/>
      <c r="G562" s="30"/>
      <c r="H562" s="30"/>
      <c r="I562" s="30"/>
    </row>
    <row r="563">
      <c r="A563" s="30"/>
      <c r="B563" s="30"/>
      <c r="C563" s="30"/>
      <c r="D563" s="30"/>
      <c r="E563" s="30"/>
      <c r="F563" s="30"/>
      <c r="G563" s="30"/>
      <c r="H563" s="30"/>
      <c r="I563" s="30"/>
    </row>
    <row r="564">
      <c r="A564" s="30"/>
      <c r="B564" s="30"/>
      <c r="C564" s="30"/>
      <c r="D564" s="30"/>
      <c r="E564" s="30"/>
      <c r="F564" s="30"/>
      <c r="G564" s="30"/>
      <c r="H564" s="30"/>
      <c r="I564" s="30"/>
    </row>
    <row r="565">
      <c r="A565" s="30"/>
      <c r="B565" s="30"/>
      <c r="C565" s="30"/>
      <c r="D565" s="30"/>
      <c r="E565" s="30"/>
      <c r="F565" s="30"/>
      <c r="G565" s="30"/>
      <c r="H565" s="30"/>
      <c r="I565" s="30"/>
    </row>
    <row r="566">
      <c r="A566" s="30"/>
      <c r="B566" s="30"/>
      <c r="C566" s="30"/>
      <c r="D566" s="30"/>
      <c r="E566" s="30"/>
      <c r="F566" s="30"/>
      <c r="G566" s="30"/>
      <c r="H566" s="30"/>
      <c r="I566" s="30"/>
    </row>
    <row r="567">
      <c r="A567" s="30"/>
      <c r="B567" s="30"/>
      <c r="C567" s="30"/>
      <c r="D567" s="30"/>
      <c r="E567" s="30"/>
      <c r="F567" s="30"/>
      <c r="G567" s="30"/>
      <c r="H567" s="30"/>
      <c r="I567" s="30"/>
    </row>
    <row r="568">
      <c r="A568" s="30"/>
      <c r="B568" s="30"/>
      <c r="C568" s="30"/>
      <c r="D568" s="30"/>
      <c r="E568" s="30"/>
      <c r="F568" s="30"/>
      <c r="G568" s="30"/>
      <c r="H568" s="30"/>
      <c r="I568" s="30"/>
    </row>
    <row r="569">
      <c r="A569" s="30"/>
      <c r="B569" s="30"/>
      <c r="C569" s="30"/>
      <c r="D569" s="30"/>
      <c r="E569" s="30"/>
      <c r="F569" s="30"/>
      <c r="G569" s="30"/>
      <c r="H569" s="30"/>
      <c r="I569" s="30"/>
    </row>
    <row r="570">
      <c r="A570" s="30"/>
      <c r="B570" s="30"/>
      <c r="C570" s="30"/>
      <c r="D570" s="30"/>
      <c r="E570" s="30"/>
      <c r="F570" s="30"/>
      <c r="G570" s="30"/>
      <c r="H570" s="30"/>
      <c r="I570" s="30"/>
    </row>
    <row r="571">
      <c r="A571" s="30"/>
      <c r="B571" s="30"/>
      <c r="C571" s="30"/>
      <c r="D571" s="30"/>
      <c r="E571" s="30"/>
      <c r="F571" s="30"/>
      <c r="G571" s="30"/>
      <c r="H571" s="30"/>
      <c r="I571" s="30"/>
    </row>
    <row r="572">
      <c r="A572" s="30"/>
      <c r="B572" s="30"/>
      <c r="C572" s="30"/>
      <c r="D572" s="30"/>
      <c r="E572" s="30"/>
      <c r="F572" s="30"/>
      <c r="G572" s="30"/>
      <c r="H572" s="30"/>
      <c r="I572" s="30"/>
    </row>
    <row r="573">
      <c r="A573" s="30"/>
      <c r="B573" s="30"/>
      <c r="C573" s="30"/>
      <c r="D573" s="30"/>
      <c r="E573" s="30"/>
      <c r="F573" s="30"/>
      <c r="G573" s="30"/>
      <c r="H573" s="30"/>
      <c r="I573" s="30"/>
    </row>
    <row r="574">
      <c r="A574" s="30"/>
      <c r="B574" s="30"/>
      <c r="C574" s="30"/>
      <c r="D574" s="30"/>
      <c r="E574" s="30"/>
      <c r="F574" s="30"/>
      <c r="G574" s="30"/>
      <c r="H574" s="30"/>
      <c r="I574" s="30"/>
    </row>
    <row r="575">
      <c r="A575" s="30"/>
      <c r="B575" s="30"/>
      <c r="C575" s="30"/>
      <c r="D575" s="30"/>
      <c r="E575" s="30"/>
      <c r="F575" s="30"/>
      <c r="G575" s="30"/>
      <c r="H575" s="30"/>
      <c r="I575" s="30"/>
    </row>
    <row r="576">
      <c r="A576" s="30"/>
      <c r="B576" s="30"/>
      <c r="C576" s="30"/>
      <c r="D576" s="30"/>
      <c r="E576" s="30"/>
      <c r="F576" s="30"/>
      <c r="G576" s="30"/>
      <c r="H576" s="30"/>
      <c r="I576" s="30"/>
    </row>
    <row r="577">
      <c r="A577" s="30"/>
      <c r="B577" s="30"/>
      <c r="C577" s="30"/>
      <c r="D577" s="30"/>
      <c r="E577" s="30"/>
      <c r="F577" s="30"/>
      <c r="G577" s="30"/>
      <c r="H577" s="30"/>
      <c r="I577" s="30"/>
    </row>
    <row r="578">
      <c r="A578" s="30"/>
      <c r="B578" s="30"/>
      <c r="C578" s="30"/>
      <c r="D578" s="30"/>
      <c r="E578" s="30"/>
      <c r="F578" s="30"/>
      <c r="G578" s="30"/>
      <c r="H578" s="30"/>
      <c r="I578" s="30"/>
    </row>
    <row r="579">
      <c r="A579" s="30"/>
      <c r="B579" s="30"/>
      <c r="C579" s="30"/>
      <c r="D579" s="30"/>
      <c r="E579" s="30"/>
      <c r="F579" s="30"/>
      <c r="G579" s="30"/>
      <c r="H579" s="30"/>
      <c r="I579" s="30"/>
    </row>
    <row r="580">
      <c r="A580" s="30"/>
      <c r="B580" s="30"/>
      <c r="C580" s="30"/>
      <c r="D580" s="30"/>
      <c r="E580" s="30"/>
      <c r="F580" s="30"/>
      <c r="G580" s="30"/>
      <c r="H580" s="30"/>
      <c r="I580" s="30"/>
    </row>
    <row r="581">
      <c r="A581" s="30"/>
      <c r="B581" s="30"/>
      <c r="C581" s="30"/>
      <c r="D581" s="30"/>
      <c r="E581" s="30"/>
      <c r="F581" s="30"/>
      <c r="G581" s="30"/>
      <c r="H581" s="30"/>
      <c r="I581" s="30"/>
    </row>
    <row r="582">
      <c r="A582" s="30"/>
      <c r="B582" s="30"/>
      <c r="C582" s="30"/>
      <c r="D582" s="30"/>
      <c r="E582" s="30"/>
      <c r="F582" s="30"/>
      <c r="G582" s="30"/>
      <c r="H582" s="30"/>
      <c r="I582" s="30"/>
    </row>
    <row r="583">
      <c r="A583" s="30"/>
      <c r="B583" s="30"/>
      <c r="C583" s="30"/>
      <c r="D583" s="30"/>
      <c r="E583" s="30"/>
      <c r="F583" s="30"/>
      <c r="G583" s="30"/>
      <c r="H583" s="30"/>
      <c r="I583" s="30"/>
    </row>
    <row r="584">
      <c r="A584" s="30"/>
      <c r="B584" s="30"/>
      <c r="C584" s="30"/>
      <c r="D584" s="30"/>
      <c r="E584" s="30"/>
      <c r="F584" s="30"/>
      <c r="G584" s="30"/>
      <c r="H584" s="30"/>
      <c r="I584" s="30"/>
    </row>
    <row r="585">
      <c r="A585" s="30"/>
      <c r="B585" s="30"/>
      <c r="C585" s="30"/>
      <c r="D585" s="30"/>
      <c r="E585" s="30"/>
      <c r="F585" s="30"/>
      <c r="G585" s="30"/>
      <c r="H585" s="30"/>
      <c r="I585" s="30"/>
    </row>
    <row r="586">
      <c r="A586" s="30"/>
      <c r="B586" s="30"/>
      <c r="C586" s="30"/>
      <c r="D586" s="30"/>
      <c r="E586" s="30"/>
      <c r="F586" s="30"/>
      <c r="G586" s="30"/>
      <c r="H586" s="30"/>
      <c r="I586" s="30"/>
    </row>
    <row r="587">
      <c r="A587" s="30"/>
      <c r="B587" s="30"/>
      <c r="C587" s="30"/>
      <c r="D587" s="30"/>
      <c r="E587" s="30"/>
      <c r="F587" s="30"/>
      <c r="G587" s="30"/>
      <c r="H587" s="30"/>
      <c r="I587" s="30"/>
    </row>
    <row r="588">
      <c r="A588" s="30"/>
      <c r="B588" s="30"/>
      <c r="C588" s="30"/>
      <c r="D588" s="30"/>
      <c r="E588" s="30"/>
      <c r="F588" s="30"/>
      <c r="G588" s="30"/>
      <c r="H588" s="30"/>
      <c r="I588" s="30"/>
    </row>
    <row r="589">
      <c r="A589" s="30"/>
      <c r="B589" s="30"/>
      <c r="C589" s="30"/>
      <c r="D589" s="30"/>
      <c r="E589" s="30"/>
      <c r="F589" s="30"/>
      <c r="G589" s="30"/>
      <c r="H589" s="30"/>
      <c r="I589" s="30"/>
    </row>
    <row r="590">
      <c r="A590" s="30"/>
      <c r="B590" s="30"/>
      <c r="C590" s="30"/>
      <c r="D590" s="30"/>
      <c r="E590" s="30"/>
      <c r="F590" s="30"/>
      <c r="G590" s="30"/>
      <c r="H590" s="30"/>
      <c r="I590" s="30"/>
    </row>
    <row r="591">
      <c r="A591" s="30"/>
      <c r="B591" s="30"/>
      <c r="C591" s="30"/>
      <c r="D591" s="30"/>
      <c r="E591" s="30"/>
      <c r="F591" s="30"/>
      <c r="G591" s="30"/>
      <c r="H591" s="30"/>
      <c r="I591" s="30"/>
    </row>
    <row r="592">
      <c r="A592" s="30"/>
      <c r="B592" s="30"/>
      <c r="C592" s="30"/>
      <c r="D592" s="30"/>
      <c r="E592" s="30"/>
      <c r="F592" s="30"/>
      <c r="G592" s="30"/>
      <c r="H592" s="30"/>
      <c r="I592" s="30"/>
    </row>
    <row r="593">
      <c r="A593" s="30"/>
      <c r="B593" s="30"/>
      <c r="C593" s="30"/>
      <c r="D593" s="30"/>
      <c r="E593" s="30"/>
      <c r="F593" s="30"/>
      <c r="G593" s="30"/>
      <c r="H593" s="30"/>
      <c r="I593" s="30"/>
    </row>
    <row r="594">
      <c r="A594" s="30"/>
      <c r="B594" s="30"/>
      <c r="C594" s="30"/>
      <c r="D594" s="30"/>
      <c r="E594" s="30"/>
      <c r="F594" s="30"/>
      <c r="G594" s="30"/>
      <c r="H594" s="30"/>
      <c r="I594" s="30"/>
    </row>
    <row r="595">
      <c r="A595" s="30"/>
      <c r="B595" s="30"/>
      <c r="C595" s="30"/>
      <c r="D595" s="30"/>
      <c r="E595" s="30"/>
      <c r="F595" s="30"/>
      <c r="G595" s="30"/>
      <c r="H595" s="30"/>
      <c r="I595" s="30"/>
    </row>
    <row r="596">
      <c r="A596" s="30"/>
      <c r="B596" s="30"/>
      <c r="C596" s="30"/>
      <c r="D596" s="30"/>
      <c r="E596" s="30"/>
      <c r="F596" s="30"/>
      <c r="G596" s="30"/>
      <c r="H596" s="30"/>
      <c r="I596" s="30"/>
    </row>
    <row r="597">
      <c r="A597" s="30"/>
      <c r="B597" s="30"/>
      <c r="C597" s="30"/>
      <c r="D597" s="30"/>
      <c r="E597" s="30"/>
      <c r="F597" s="30"/>
      <c r="G597" s="30"/>
      <c r="H597" s="30"/>
      <c r="I597" s="30"/>
    </row>
    <row r="598">
      <c r="A598" s="30"/>
      <c r="B598" s="30"/>
      <c r="C598" s="30"/>
      <c r="D598" s="30"/>
      <c r="E598" s="30"/>
      <c r="F598" s="30"/>
      <c r="G598" s="30"/>
      <c r="H598" s="30"/>
      <c r="I598" s="30"/>
    </row>
    <row r="599">
      <c r="A599" s="30"/>
      <c r="B599" s="30"/>
      <c r="C599" s="30"/>
      <c r="D599" s="30"/>
      <c r="E599" s="30"/>
      <c r="F599" s="30"/>
      <c r="G599" s="30"/>
      <c r="H599" s="30"/>
      <c r="I599" s="30"/>
    </row>
    <row r="600">
      <c r="A600" s="30"/>
      <c r="B600" s="30"/>
      <c r="C600" s="30"/>
      <c r="D600" s="30"/>
      <c r="E600" s="30"/>
      <c r="F600" s="30"/>
      <c r="G600" s="30"/>
      <c r="H600" s="30"/>
      <c r="I600" s="30"/>
    </row>
    <row r="601">
      <c r="A601" s="30"/>
      <c r="B601" s="30"/>
      <c r="C601" s="30"/>
      <c r="D601" s="30"/>
      <c r="E601" s="30"/>
      <c r="F601" s="30"/>
      <c r="G601" s="30"/>
      <c r="H601" s="30"/>
      <c r="I601" s="30"/>
    </row>
    <row r="602">
      <c r="A602" s="30"/>
      <c r="B602" s="30"/>
      <c r="C602" s="30"/>
      <c r="D602" s="30"/>
      <c r="E602" s="30"/>
      <c r="F602" s="30"/>
      <c r="G602" s="30"/>
      <c r="H602" s="30"/>
      <c r="I602" s="30"/>
    </row>
    <row r="603">
      <c r="A603" s="30"/>
      <c r="B603" s="30"/>
      <c r="C603" s="30"/>
      <c r="D603" s="30"/>
      <c r="E603" s="30"/>
      <c r="F603" s="30"/>
      <c r="G603" s="30"/>
      <c r="H603" s="30"/>
      <c r="I603" s="30"/>
    </row>
    <row r="604">
      <c r="A604" s="30"/>
      <c r="B604" s="30"/>
      <c r="C604" s="30"/>
      <c r="D604" s="30"/>
      <c r="E604" s="30"/>
      <c r="F604" s="30"/>
      <c r="G604" s="30"/>
      <c r="H604" s="30"/>
      <c r="I604" s="30"/>
    </row>
    <row r="605">
      <c r="A605" s="30"/>
      <c r="B605" s="30"/>
      <c r="C605" s="30"/>
      <c r="D605" s="30"/>
      <c r="E605" s="30"/>
      <c r="F605" s="30"/>
      <c r="G605" s="30"/>
      <c r="H605" s="30"/>
      <c r="I605" s="30"/>
    </row>
    <row r="606">
      <c r="A606" s="30"/>
      <c r="B606" s="30"/>
      <c r="C606" s="30"/>
      <c r="D606" s="30"/>
      <c r="E606" s="30"/>
      <c r="F606" s="30"/>
      <c r="G606" s="30"/>
      <c r="H606" s="30"/>
      <c r="I606" s="30"/>
    </row>
    <row r="607">
      <c r="A607" s="30"/>
      <c r="B607" s="30"/>
      <c r="C607" s="30"/>
      <c r="D607" s="30"/>
      <c r="E607" s="30"/>
      <c r="F607" s="30"/>
      <c r="G607" s="30"/>
      <c r="H607" s="30"/>
      <c r="I607" s="30"/>
    </row>
    <row r="608">
      <c r="A608" s="30"/>
      <c r="B608" s="30"/>
      <c r="C608" s="30"/>
      <c r="D608" s="30"/>
      <c r="E608" s="30"/>
      <c r="F608" s="30"/>
      <c r="G608" s="30"/>
      <c r="H608" s="30"/>
      <c r="I608" s="30"/>
    </row>
    <row r="609">
      <c r="A609" s="30"/>
      <c r="B609" s="30"/>
      <c r="C609" s="30"/>
      <c r="D609" s="30"/>
      <c r="E609" s="30"/>
      <c r="F609" s="30"/>
      <c r="G609" s="30"/>
      <c r="H609" s="30"/>
      <c r="I609" s="30"/>
    </row>
    <row r="610">
      <c r="A610" s="30"/>
      <c r="B610" s="30"/>
      <c r="C610" s="30"/>
      <c r="D610" s="30"/>
      <c r="E610" s="30"/>
      <c r="F610" s="30"/>
      <c r="G610" s="30"/>
      <c r="H610" s="30"/>
      <c r="I610" s="30"/>
    </row>
    <row r="611">
      <c r="A611" s="30"/>
      <c r="B611" s="30"/>
      <c r="C611" s="30"/>
      <c r="D611" s="30"/>
      <c r="E611" s="30"/>
      <c r="F611" s="30"/>
      <c r="G611" s="30"/>
      <c r="H611" s="30"/>
      <c r="I611" s="30"/>
    </row>
    <row r="612">
      <c r="A612" s="30"/>
      <c r="B612" s="30"/>
      <c r="C612" s="30"/>
      <c r="D612" s="30"/>
      <c r="E612" s="30"/>
      <c r="F612" s="30"/>
      <c r="G612" s="30"/>
      <c r="H612" s="30"/>
      <c r="I612" s="30"/>
    </row>
    <row r="613">
      <c r="A613" s="30"/>
      <c r="B613" s="30"/>
      <c r="C613" s="30"/>
      <c r="D613" s="30"/>
      <c r="E613" s="30"/>
      <c r="F613" s="30"/>
      <c r="G613" s="30"/>
      <c r="H613" s="30"/>
      <c r="I613" s="30"/>
    </row>
    <row r="614">
      <c r="A614" s="30"/>
      <c r="B614" s="30"/>
      <c r="C614" s="30"/>
      <c r="D614" s="30"/>
      <c r="E614" s="30"/>
      <c r="F614" s="30"/>
      <c r="G614" s="30"/>
      <c r="H614" s="30"/>
      <c r="I614" s="30"/>
    </row>
    <row r="615">
      <c r="A615" s="30"/>
      <c r="B615" s="30"/>
      <c r="C615" s="30"/>
      <c r="D615" s="30"/>
      <c r="E615" s="30"/>
      <c r="F615" s="30"/>
      <c r="G615" s="30"/>
      <c r="H615" s="30"/>
      <c r="I615" s="30"/>
    </row>
    <row r="616">
      <c r="A616" s="30"/>
      <c r="B616" s="30"/>
      <c r="C616" s="30"/>
      <c r="D616" s="30"/>
      <c r="E616" s="30"/>
      <c r="F616" s="30"/>
      <c r="G616" s="30"/>
      <c r="H616" s="30"/>
      <c r="I616" s="30"/>
    </row>
    <row r="617">
      <c r="A617" s="30"/>
      <c r="B617" s="30"/>
      <c r="C617" s="30"/>
      <c r="D617" s="30"/>
      <c r="E617" s="30"/>
      <c r="F617" s="30"/>
      <c r="G617" s="30"/>
      <c r="H617" s="30"/>
      <c r="I617" s="30"/>
    </row>
    <row r="618">
      <c r="A618" s="30"/>
      <c r="B618" s="30"/>
      <c r="C618" s="30"/>
      <c r="D618" s="30"/>
      <c r="E618" s="30"/>
      <c r="F618" s="30"/>
      <c r="G618" s="30"/>
      <c r="H618" s="30"/>
      <c r="I618" s="30"/>
    </row>
    <row r="619">
      <c r="A619" s="30"/>
      <c r="B619" s="30"/>
      <c r="C619" s="30"/>
      <c r="D619" s="30"/>
      <c r="E619" s="30"/>
      <c r="F619" s="30"/>
      <c r="G619" s="30"/>
      <c r="H619" s="30"/>
      <c r="I619" s="30"/>
    </row>
    <row r="620">
      <c r="A620" s="30"/>
      <c r="B620" s="30"/>
      <c r="C620" s="30"/>
      <c r="D620" s="30"/>
      <c r="E620" s="30"/>
      <c r="F620" s="30"/>
      <c r="G620" s="30"/>
      <c r="H620" s="30"/>
      <c r="I620" s="30"/>
    </row>
    <row r="621">
      <c r="A621" s="30"/>
      <c r="B621" s="30"/>
      <c r="C621" s="30"/>
      <c r="D621" s="30"/>
      <c r="E621" s="30"/>
      <c r="F621" s="30"/>
      <c r="G621" s="30"/>
      <c r="H621" s="30"/>
      <c r="I621" s="30"/>
    </row>
    <row r="622">
      <c r="A622" s="30"/>
      <c r="B622" s="30"/>
      <c r="C622" s="30"/>
      <c r="D622" s="30"/>
      <c r="E622" s="30"/>
      <c r="F622" s="30"/>
      <c r="G622" s="30"/>
      <c r="H622" s="30"/>
      <c r="I622" s="30"/>
    </row>
    <row r="623">
      <c r="A623" s="30"/>
      <c r="B623" s="30"/>
      <c r="C623" s="30"/>
      <c r="D623" s="30"/>
      <c r="E623" s="30"/>
      <c r="F623" s="30"/>
      <c r="G623" s="30"/>
      <c r="H623" s="30"/>
      <c r="I623" s="30"/>
    </row>
    <row r="624">
      <c r="A624" s="30"/>
      <c r="B624" s="30"/>
      <c r="C624" s="30"/>
      <c r="D624" s="30"/>
      <c r="E624" s="30"/>
      <c r="F624" s="30"/>
      <c r="G624" s="30"/>
      <c r="H624" s="30"/>
      <c r="I624" s="30"/>
    </row>
    <row r="625">
      <c r="A625" s="30"/>
      <c r="B625" s="30"/>
      <c r="C625" s="30"/>
      <c r="D625" s="30"/>
      <c r="E625" s="30"/>
      <c r="F625" s="30"/>
      <c r="G625" s="30"/>
      <c r="H625" s="30"/>
      <c r="I625" s="30"/>
    </row>
    <row r="626">
      <c r="A626" s="30"/>
      <c r="B626" s="30"/>
      <c r="C626" s="30"/>
      <c r="D626" s="30"/>
      <c r="E626" s="30"/>
      <c r="F626" s="30"/>
      <c r="G626" s="30"/>
      <c r="H626" s="30"/>
      <c r="I626" s="30"/>
    </row>
    <row r="627">
      <c r="A627" s="30"/>
      <c r="B627" s="30"/>
      <c r="C627" s="30"/>
      <c r="D627" s="30"/>
      <c r="E627" s="30"/>
      <c r="F627" s="30"/>
      <c r="G627" s="30"/>
      <c r="H627" s="30"/>
      <c r="I627" s="30"/>
    </row>
    <row r="628">
      <c r="A628" s="30"/>
      <c r="B628" s="30"/>
      <c r="C628" s="30"/>
      <c r="D628" s="30"/>
      <c r="E628" s="30"/>
      <c r="F628" s="30"/>
      <c r="G628" s="30"/>
      <c r="H628" s="30"/>
      <c r="I628" s="30"/>
    </row>
    <row r="629">
      <c r="A629" s="30"/>
      <c r="B629" s="30"/>
      <c r="C629" s="30"/>
      <c r="D629" s="30"/>
      <c r="E629" s="30"/>
      <c r="F629" s="30"/>
      <c r="G629" s="30"/>
      <c r="H629" s="30"/>
      <c r="I629" s="30"/>
    </row>
    <row r="630">
      <c r="A630" s="30"/>
      <c r="B630" s="30"/>
      <c r="C630" s="30"/>
      <c r="D630" s="30"/>
      <c r="E630" s="30"/>
      <c r="F630" s="30"/>
      <c r="G630" s="30"/>
      <c r="H630" s="30"/>
      <c r="I630" s="30"/>
    </row>
    <row r="631">
      <c r="A631" s="30"/>
      <c r="B631" s="30"/>
      <c r="C631" s="30"/>
      <c r="D631" s="30"/>
      <c r="E631" s="30"/>
      <c r="F631" s="30"/>
      <c r="G631" s="30"/>
      <c r="H631" s="30"/>
      <c r="I631" s="30"/>
    </row>
    <row r="632">
      <c r="A632" s="30"/>
      <c r="B632" s="30"/>
      <c r="C632" s="30"/>
      <c r="D632" s="30"/>
      <c r="E632" s="30"/>
      <c r="F632" s="30"/>
      <c r="G632" s="30"/>
      <c r="H632" s="30"/>
      <c r="I632" s="30"/>
    </row>
    <row r="633">
      <c r="A633" s="30"/>
      <c r="B633" s="30"/>
      <c r="C633" s="30"/>
      <c r="D633" s="30"/>
      <c r="E633" s="30"/>
      <c r="F633" s="30"/>
      <c r="G633" s="30"/>
      <c r="H633" s="30"/>
      <c r="I633" s="30"/>
    </row>
    <row r="634">
      <c r="A634" s="30"/>
      <c r="B634" s="30"/>
      <c r="C634" s="30"/>
      <c r="D634" s="30"/>
      <c r="E634" s="30"/>
      <c r="F634" s="30"/>
      <c r="G634" s="30"/>
      <c r="H634" s="30"/>
      <c r="I634" s="30"/>
    </row>
    <row r="635">
      <c r="A635" s="30"/>
      <c r="B635" s="30"/>
      <c r="C635" s="30"/>
      <c r="D635" s="30"/>
      <c r="E635" s="30"/>
      <c r="F635" s="30"/>
      <c r="G635" s="30"/>
      <c r="H635" s="30"/>
      <c r="I635" s="30"/>
    </row>
    <row r="636">
      <c r="A636" s="30"/>
      <c r="B636" s="30"/>
      <c r="C636" s="30"/>
      <c r="D636" s="30"/>
      <c r="E636" s="30"/>
      <c r="F636" s="30"/>
      <c r="G636" s="30"/>
      <c r="H636" s="30"/>
      <c r="I636" s="30"/>
    </row>
    <row r="637">
      <c r="A637" s="30"/>
      <c r="B637" s="30"/>
      <c r="C637" s="30"/>
      <c r="D637" s="30"/>
      <c r="E637" s="30"/>
      <c r="F637" s="30"/>
      <c r="G637" s="30"/>
      <c r="H637" s="30"/>
      <c r="I637" s="30"/>
    </row>
    <row r="638">
      <c r="A638" s="30"/>
      <c r="B638" s="30"/>
      <c r="C638" s="30"/>
      <c r="D638" s="30"/>
      <c r="E638" s="30"/>
      <c r="F638" s="30"/>
      <c r="G638" s="30"/>
      <c r="H638" s="30"/>
      <c r="I638" s="30"/>
    </row>
    <row r="639">
      <c r="A639" s="30"/>
      <c r="B639" s="30"/>
      <c r="C639" s="30"/>
      <c r="D639" s="30"/>
      <c r="E639" s="30"/>
      <c r="F639" s="30"/>
      <c r="G639" s="30"/>
      <c r="H639" s="30"/>
      <c r="I639" s="30"/>
    </row>
    <row r="640">
      <c r="A640" s="30"/>
      <c r="B640" s="30"/>
      <c r="C640" s="30"/>
      <c r="D640" s="30"/>
      <c r="E640" s="30"/>
      <c r="F640" s="30"/>
      <c r="G640" s="30"/>
      <c r="H640" s="30"/>
      <c r="I640" s="30"/>
    </row>
    <row r="641">
      <c r="A641" s="30"/>
      <c r="B641" s="30"/>
      <c r="C641" s="30"/>
      <c r="D641" s="30"/>
      <c r="E641" s="30"/>
      <c r="F641" s="30"/>
      <c r="G641" s="30"/>
      <c r="H641" s="30"/>
      <c r="I641" s="30"/>
    </row>
    <row r="642">
      <c r="A642" s="30"/>
      <c r="B642" s="30"/>
      <c r="C642" s="30"/>
      <c r="D642" s="30"/>
      <c r="E642" s="30"/>
      <c r="F642" s="30"/>
      <c r="G642" s="30"/>
      <c r="H642" s="30"/>
      <c r="I642" s="30"/>
    </row>
    <row r="643">
      <c r="A643" s="30"/>
      <c r="B643" s="30"/>
      <c r="C643" s="30"/>
      <c r="D643" s="30"/>
      <c r="E643" s="30"/>
      <c r="F643" s="30"/>
      <c r="G643" s="30"/>
      <c r="H643" s="30"/>
      <c r="I643" s="30"/>
    </row>
    <row r="644">
      <c r="A644" s="30"/>
      <c r="B644" s="30"/>
      <c r="C644" s="30"/>
      <c r="D644" s="30"/>
      <c r="E644" s="30"/>
      <c r="F644" s="30"/>
      <c r="G644" s="30"/>
      <c r="H644" s="30"/>
      <c r="I644" s="30"/>
    </row>
    <row r="645">
      <c r="A645" s="30"/>
      <c r="B645" s="30"/>
      <c r="C645" s="30"/>
      <c r="D645" s="30"/>
      <c r="E645" s="30"/>
      <c r="F645" s="30"/>
      <c r="G645" s="30"/>
      <c r="H645" s="30"/>
      <c r="I645" s="30"/>
    </row>
    <row r="646">
      <c r="A646" s="30"/>
      <c r="B646" s="30"/>
      <c r="C646" s="30"/>
      <c r="D646" s="30"/>
      <c r="E646" s="30"/>
      <c r="F646" s="30"/>
      <c r="G646" s="30"/>
      <c r="H646" s="30"/>
      <c r="I646" s="30"/>
    </row>
    <row r="647">
      <c r="A647" s="30"/>
      <c r="B647" s="30"/>
      <c r="C647" s="30"/>
      <c r="D647" s="30"/>
      <c r="E647" s="30"/>
      <c r="F647" s="30"/>
      <c r="G647" s="30"/>
      <c r="H647" s="30"/>
      <c r="I647" s="30"/>
    </row>
    <row r="648">
      <c r="A648" s="30"/>
      <c r="B648" s="30"/>
      <c r="C648" s="30"/>
      <c r="D648" s="30"/>
      <c r="E648" s="30"/>
      <c r="F648" s="30"/>
      <c r="G648" s="30"/>
      <c r="H648" s="30"/>
      <c r="I648" s="30"/>
    </row>
    <row r="649">
      <c r="A649" s="30"/>
      <c r="B649" s="30"/>
      <c r="C649" s="30"/>
      <c r="D649" s="30"/>
      <c r="E649" s="30"/>
      <c r="F649" s="30"/>
      <c r="G649" s="30"/>
      <c r="H649" s="30"/>
      <c r="I649" s="30"/>
    </row>
    <row r="650">
      <c r="A650" s="30"/>
      <c r="B650" s="30"/>
      <c r="C650" s="30"/>
      <c r="D650" s="30"/>
      <c r="E650" s="30"/>
      <c r="F650" s="30"/>
      <c r="G650" s="30"/>
      <c r="H650" s="30"/>
      <c r="I650" s="30"/>
    </row>
    <row r="651">
      <c r="A651" s="30"/>
      <c r="B651" s="30"/>
      <c r="C651" s="30"/>
      <c r="D651" s="30"/>
      <c r="E651" s="30"/>
      <c r="F651" s="30"/>
      <c r="G651" s="30"/>
      <c r="H651" s="30"/>
      <c r="I651" s="30"/>
    </row>
    <row r="652">
      <c r="A652" s="30"/>
      <c r="B652" s="30"/>
      <c r="C652" s="30"/>
      <c r="D652" s="30"/>
      <c r="E652" s="30"/>
      <c r="F652" s="30"/>
      <c r="G652" s="30"/>
      <c r="H652" s="30"/>
      <c r="I652" s="30"/>
    </row>
    <row r="653">
      <c r="A653" s="30"/>
      <c r="B653" s="30"/>
      <c r="C653" s="30"/>
      <c r="D653" s="30"/>
      <c r="E653" s="30"/>
      <c r="F653" s="30"/>
      <c r="G653" s="30"/>
      <c r="H653" s="30"/>
      <c r="I653" s="30"/>
    </row>
    <row r="654">
      <c r="A654" s="30"/>
      <c r="B654" s="30"/>
      <c r="C654" s="30"/>
      <c r="D654" s="30"/>
      <c r="E654" s="30"/>
      <c r="F654" s="30"/>
      <c r="G654" s="30"/>
      <c r="H654" s="30"/>
      <c r="I654" s="30"/>
    </row>
    <row r="655">
      <c r="A655" s="30"/>
      <c r="B655" s="30"/>
      <c r="C655" s="30"/>
      <c r="D655" s="30"/>
      <c r="E655" s="30"/>
      <c r="F655" s="30"/>
      <c r="G655" s="30"/>
      <c r="H655" s="30"/>
      <c r="I655" s="30"/>
    </row>
    <row r="656">
      <c r="A656" s="30"/>
      <c r="B656" s="30"/>
      <c r="C656" s="30"/>
      <c r="D656" s="30"/>
      <c r="E656" s="30"/>
      <c r="F656" s="30"/>
      <c r="G656" s="30"/>
      <c r="H656" s="30"/>
      <c r="I656" s="30"/>
    </row>
    <row r="657">
      <c r="A657" s="30"/>
      <c r="B657" s="30"/>
      <c r="C657" s="30"/>
      <c r="D657" s="30"/>
      <c r="E657" s="30"/>
      <c r="F657" s="30"/>
      <c r="G657" s="30"/>
      <c r="H657" s="30"/>
      <c r="I657" s="30"/>
    </row>
    <row r="658">
      <c r="A658" s="30"/>
      <c r="B658" s="30"/>
      <c r="C658" s="30"/>
      <c r="D658" s="30"/>
      <c r="E658" s="30"/>
      <c r="F658" s="30"/>
      <c r="G658" s="30"/>
      <c r="H658" s="30"/>
      <c r="I658" s="30"/>
    </row>
    <row r="659">
      <c r="A659" s="30"/>
      <c r="B659" s="30"/>
      <c r="C659" s="30"/>
      <c r="D659" s="30"/>
      <c r="E659" s="30"/>
      <c r="F659" s="30"/>
      <c r="G659" s="30"/>
      <c r="H659" s="30"/>
      <c r="I659" s="30"/>
    </row>
    <row r="660">
      <c r="A660" s="30"/>
      <c r="B660" s="30"/>
      <c r="C660" s="30"/>
      <c r="D660" s="30"/>
      <c r="E660" s="30"/>
      <c r="F660" s="30"/>
      <c r="G660" s="30"/>
      <c r="H660" s="30"/>
      <c r="I660" s="30"/>
    </row>
    <row r="661">
      <c r="A661" s="30"/>
      <c r="B661" s="30"/>
      <c r="C661" s="30"/>
      <c r="D661" s="30"/>
      <c r="E661" s="30"/>
      <c r="F661" s="30"/>
      <c r="G661" s="30"/>
      <c r="H661" s="30"/>
      <c r="I661" s="30"/>
    </row>
    <row r="662">
      <c r="A662" s="30"/>
      <c r="B662" s="30"/>
      <c r="C662" s="30"/>
      <c r="D662" s="30"/>
      <c r="E662" s="30"/>
      <c r="F662" s="30"/>
      <c r="G662" s="30"/>
      <c r="H662" s="30"/>
      <c r="I662" s="30"/>
    </row>
    <row r="663">
      <c r="A663" s="30"/>
      <c r="B663" s="30"/>
      <c r="C663" s="30"/>
      <c r="D663" s="30"/>
      <c r="E663" s="30"/>
      <c r="F663" s="30"/>
      <c r="G663" s="30"/>
      <c r="H663" s="30"/>
      <c r="I663" s="30"/>
    </row>
    <row r="664">
      <c r="A664" s="30"/>
      <c r="B664" s="30"/>
      <c r="C664" s="30"/>
      <c r="D664" s="30"/>
      <c r="E664" s="30"/>
      <c r="F664" s="30"/>
      <c r="G664" s="30"/>
      <c r="H664" s="30"/>
      <c r="I664" s="30"/>
    </row>
    <row r="665">
      <c r="A665" s="30"/>
      <c r="B665" s="30"/>
      <c r="C665" s="30"/>
      <c r="D665" s="30"/>
      <c r="E665" s="30"/>
      <c r="F665" s="30"/>
      <c r="G665" s="30"/>
      <c r="H665" s="30"/>
      <c r="I665" s="30"/>
    </row>
    <row r="666">
      <c r="A666" s="30"/>
      <c r="B666" s="30"/>
      <c r="C666" s="30"/>
      <c r="D666" s="30"/>
      <c r="E666" s="30"/>
      <c r="F666" s="30"/>
      <c r="G666" s="30"/>
      <c r="H666" s="30"/>
      <c r="I666" s="30"/>
    </row>
    <row r="667">
      <c r="A667" s="30"/>
      <c r="B667" s="30"/>
      <c r="C667" s="30"/>
      <c r="D667" s="30"/>
      <c r="E667" s="30"/>
      <c r="F667" s="30"/>
      <c r="G667" s="30"/>
      <c r="H667" s="30"/>
      <c r="I667" s="30"/>
    </row>
    <row r="668">
      <c r="A668" s="30"/>
      <c r="B668" s="30"/>
      <c r="C668" s="30"/>
      <c r="D668" s="30"/>
      <c r="E668" s="30"/>
      <c r="F668" s="30"/>
      <c r="G668" s="30"/>
      <c r="H668" s="30"/>
      <c r="I668" s="30"/>
    </row>
    <row r="669">
      <c r="A669" s="30"/>
      <c r="B669" s="30"/>
      <c r="C669" s="30"/>
      <c r="D669" s="30"/>
      <c r="E669" s="30"/>
      <c r="F669" s="30"/>
      <c r="G669" s="30"/>
      <c r="H669" s="30"/>
      <c r="I669" s="30"/>
    </row>
    <row r="670">
      <c r="A670" s="30"/>
      <c r="B670" s="30"/>
      <c r="C670" s="30"/>
      <c r="D670" s="30"/>
      <c r="E670" s="30"/>
      <c r="F670" s="30"/>
      <c r="G670" s="30"/>
      <c r="H670" s="30"/>
      <c r="I670" s="30"/>
    </row>
    <row r="671">
      <c r="A671" s="30"/>
      <c r="B671" s="30"/>
      <c r="C671" s="30"/>
      <c r="D671" s="30"/>
      <c r="E671" s="30"/>
      <c r="F671" s="30"/>
      <c r="G671" s="30"/>
      <c r="H671" s="30"/>
      <c r="I671" s="30"/>
    </row>
    <row r="672">
      <c r="A672" s="30"/>
      <c r="B672" s="30"/>
      <c r="C672" s="30"/>
      <c r="D672" s="30"/>
      <c r="E672" s="30"/>
      <c r="F672" s="30"/>
      <c r="G672" s="30"/>
      <c r="H672" s="30"/>
      <c r="I672" s="30"/>
    </row>
    <row r="673">
      <c r="A673" s="30"/>
      <c r="B673" s="30"/>
      <c r="C673" s="30"/>
      <c r="D673" s="30"/>
      <c r="E673" s="30"/>
      <c r="F673" s="30"/>
      <c r="G673" s="30"/>
      <c r="H673" s="30"/>
      <c r="I673" s="30"/>
    </row>
    <row r="674">
      <c r="A674" s="30"/>
      <c r="B674" s="30"/>
      <c r="C674" s="30"/>
      <c r="D674" s="30"/>
      <c r="E674" s="30"/>
      <c r="F674" s="30"/>
      <c r="G674" s="30"/>
      <c r="H674" s="30"/>
      <c r="I674" s="30"/>
    </row>
    <row r="675">
      <c r="A675" s="30"/>
      <c r="B675" s="30"/>
      <c r="C675" s="30"/>
      <c r="D675" s="30"/>
      <c r="E675" s="30"/>
      <c r="F675" s="30"/>
      <c r="G675" s="30"/>
      <c r="H675" s="30"/>
      <c r="I675" s="30"/>
    </row>
    <row r="676">
      <c r="A676" s="30"/>
      <c r="B676" s="30"/>
      <c r="C676" s="30"/>
      <c r="D676" s="30"/>
      <c r="E676" s="30"/>
      <c r="F676" s="30"/>
      <c r="G676" s="30"/>
      <c r="H676" s="30"/>
      <c r="I676" s="30"/>
    </row>
    <row r="677">
      <c r="A677" s="30"/>
      <c r="B677" s="30"/>
      <c r="C677" s="30"/>
      <c r="D677" s="30"/>
      <c r="E677" s="30"/>
      <c r="F677" s="30"/>
      <c r="G677" s="30"/>
      <c r="H677" s="30"/>
      <c r="I677" s="30"/>
    </row>
    <row r="678">
      <c r="A678" s="30"/>
      <c r="B678" s="30"/>
      <c r="C678" s="30"/>
      <c r="D678" s="30"/>
      <c r="E678" s="30"/>
      <c r="F678" s="30"/>
      <c r="G678" s="30"/>
      <c r="H678" s="30"/>
      <c r="I678" s="30"/>
    </row>
    <row r="679">
      <c r="A679" s="30"/>
      <c r="B679" s="30"/>
      <c r="C679" s="30"/>
      <c r="D679" s="30"/>
      <c r="E679" s="30"/>
      <c r="F679" s="30"/>
      <c r="G679" s="30"/>
      <c r="H679" s="30"/>
      <c r="I679" s="30"/>
    </row>
    <row r="680">
      <c r="A680" s="30"/>
      <c r="B680" s="30"/>
      <c r="C680" s="30"/>
      <c r="D680" s="30"/>
      <c r="E680" s="30"/>
      <c r="F680" s="30"/>
      <c r="G680" s="30"/>
      <c r="H680" s="30"/>
      <c r="I680" s="30"/>
    </row>
    <row r="681">
      <c r="A681" s="30"/>
      <c r="B681" s="30"/>
      <c r="C681" s="30"/>
      <c r="D681" s="30"/>
      <c r="E681" s="30"/>
      <c r="F681" s="30"/>
      <c r="G681" s="30"/>
      <c r="H681" s="30"/>
      <c r="I681" s="30"/>
    </row>
    <row r="682">
      <c r="A682" s="30"/>
      <c r="B682" s="30"/>
      <c r="C682" s="30"/>
      <c r="D682" s="30"/>
      <c r="E682" s="30"/>
      <c r="F682" s="30"/>
      <c r="G682" s="30"/>
      <c r="H682" s="30"/>
      <c r="I682" s="30"/>
    </row>
    <row r="683">
      <c r="A683" s="30"/>
      <c r="B683" s="30"/>
      <c r="C683" s="30"/>
      <c r="D683" s="30"/>
      <c r="E683" s="30"/>
      <c r="F683" s="30"/>
      <c r="G683" s="30"/>
      <c r="H683" s="30"/>
      <c r="I683" s="30"/>
    </row>
    <row r="684">
      <c r="A684" s="30"/>
      <c r="B684" s="30"/>
      <c r="C684" s="30"/>
      <c r="D684" s="30"/>
      <c r="E684" s="30"/>
      <c r="F684" s="30"/>
      <c r="G684" s="30"/>
      <c r="H684" s="30"/>
      <c r="I684" s="30"/>
    </row>
    <row r="685">
      <c r="A685" s="30"/>
      <c r="B685" s="30"/>
      <c r="C685" s="30"/>
      <c r="D685" s="30"/>
      <c r="E685" s="30"/>
      <c r="F685" s="30"/>
      <c r="G685" s="30"/>
      <c r="H685" s="30"/>
      <c r="I685" s="30"/>
    </row>
    <row r="686">
      <c r="A686" s="30"/>
      <c r="B686" s="30"/>
      <c r="C686" s="30"/>
      <c r="D686" s="30"/>
      <c r="E686" s="30"/>
      <c r="F686" s="30"/>
      <c r="G686" s="30"/>
      <c r="H686" s="30"/>
      <c r="I686" s="30"/>
    </row>
    <row r="687">
      <c r="A687" s="30"/>
      <c r="B687" s="30"/>
      <c r="C687" s="30"/>
      <c r="D687" s="30"/>
      <c r="E687" s="30"/>
      <c r="F687" s="30"/>
      <c r="G687" s="30"/>
      <c r="H687" s="30"/>
      <c r="I687" s="30"/>
    </row>
    <row r="688">
      <c r="A688" s="30"/>
      <c r="B688" s="30"/>
      <c r="C688" s="30"/>
      <c r="D688" s="30"/>
      <c r="E688" s="30"/>
      <c r="F688" s="30"/>
      <c r="G688" s="30"/>
      <c r="H688" s="30"/>
      <c r="I688" s="30"/>
    </row>
    <row r="689">
      <c r="A689" s="30"/>
      <c r="B689" s="30"/>
      <c r="C689" s="30"/>
      <c r="D689" s="30"/>
      <c r="E689" s="30"/>
      <c r="F689" s="30"/>
      <c r="G689" s="30"/>
      <c r="H689" s="30"/>
      <c r="I689" s="30"/>
    </row>
    <row r="690">
      <c r="A690" s="30"/>
      <c r="B690" s="30"/>
      <c r="C690" s="30"/>
      <c r="D690" s="30"/>
      <c r="E690" s="30"/>
      <c r="F690" s="30"/>
      <c r="G690" s="30"/>
      <c r="H690" s="30"/>
      <c r="I690" s="30"/>
    </row>
    <row r="691">
      <c r="A691" s="30"/>
      <c r="B691" s="30"/>
      <c r="C691" s="30"/>
      <c r="D691" s="30"/>
      <c r="E691" s="30"/>
      <c r="F691" s="30"/>
      <c r="G691" s="30"/>
      <c r="H691" s="30"/>
      <c r="I691" s="30"/>
    </row>
    <row r="692">
      <c r="A692" s="30"/>
      <c r="B692" s="30"/>
      <c r="C692" s="30"/>
      <c r="D692" s="30"/>
      <c r="E692" s="30"/>
      <c r="F692" s="30"/>
      <c r="G692" s="30"/>
      <c r="H692" s="30"/>
      <c r="I692" s="30"/>
    </row>
    <row r="693">
      <c r="A693" s="30"/>
      <c r="B693" s="30"/>
      <c r="C693" s="30"/>
      <c r="D693" s="30"/>
      <c r="E693" s="30"/>
      <c r="F693" s="30"/>
      <c r="G693" s="30"/>
      <c r="H693" s="30"/>
      <c r="I693" s="30"/>
    </row>
    <row r="694">
      <c r="A694" s="30"/>
      <c r="B694" s="30"/>
      <c r="C694" s="30"/>
      <c r="D694" s="30"/>
      <c r="E694" s="30"/>
      <c r="F694" s="30"/>
      <c r="G694" s="30"/>
      <c r="H694" s="30"/>
      <c r="I694" s="30"/>
    </row>
    <row r="695">
      <c r="A695" s="30"/>
      <c r="B695" s="30"/>
      <c r="C695" s="30"/>
      <c r="D695" s="30"/>
      <c r="E695" s="30"/>
      <c r="F695" s="30"/>
      <c r="G695" s="30"/>
      <c r="H695" s="30"/>
      <c r="I695" s="30"/>
    </row>
    <row r="696">
      <c r="A696" s="30"/>
      <c r="B696" s="30"/>
      <c r="C696" s="30"/>
      <c r="D696" s="30"/>
      <c r="E696" s="30"/>
      <c r="F696" s="30"/>
      <c r="G696" s="30"/>
      <c r="H696" s="30"/>
      <c r="I696" s="30"/>
    </row>
    <row r="697">
      <c r="A697" s="30"/>
      <c r="B697" s="30"/>
      <c r="C697" s="30"/>
      <c r="D697" s="30"/>
      <c r="E697" s="30"/>
      <c r="F697" s="30"/>
      <c r="G697" s="30"/>
      <c r="H697" s="30"/>
      <c r="I697" s="30"/>
    </row>
    <row r="698">
      <c r="A698" s="30"/>
      <c r="B698" s="30"/>
      <c r="C698" s="30"/>
      <c r="D698" s="30"/>
      <c r="E698" s="30"/>
      <c r="F698" s="30"/>
      <c r="G698" s="30"/>
      <c r="H698" s="30"/>
      <c r="I698" s="30"/>
    </row>
    <row r="699">
      <c r="A699" s="30"/>
      <c r="B699" s="30"/>
      <c r="C699" s="30"/>
      <c r="D699" s="30"/>
      <c r="E699" s="30"/>
      <c r="F699" s="30"/>
      <c r="G699" s="30"/>
      <c r="H699" s="30"/>
      <c r="I699" s="30"/>
    </row>
    <row r="700">
      <c r="A700" s="30"/>
      <c r="B700" s="30"/>
      <c r="C700" s="30"/>
      <c r="D700" s="30"/>
      <c r="E700" s="30"/>
      <c r="F700" s="30"/>
      <c r="G700" s="30"/>
      <c r="H700" s="30"/>
      <c r="I700" s="30"/>
    </row>
    <row r="701">
      <c r="A701" s="30"/>
      <c r="B701" s="30"/>
      <c r="C701" s="30"/>
      <c r="D701" s="30"/>
      <c r="E701" s="30"/>
      <c r="F701" s="30"/>
      <c r="G701" s="30"/>
      <c r="H701" s="30"/>
      <c r="I701" s="30"/>
    </row>
    <row r="702">
      <c r="A702" s="30"/>
      <c r="B702" s="30"/>
      <c r="C702" s="30"/>
      <c r="D702" s="30"/>
      <c r="E702" s="30"/>
      <c r="F702" s="30"/>
      <c r="G702" s="30"/>
      <c r="H702" s="30"/>
      <c r="I702" s="30"/>
    </row>
    <row r="703">
      <c r="A703" s="30"/>
      <c r="B703" s="30"/>
      <c r="C703" s="30"/>
      <c r="D703" s="30"/>
      <c r="E703" s="30"/>
      <c r="F703" s="30"/>
      <c r="G703" s="30"/>
      <c r="H703" s="30"/>
      <c r="I703" s="30"/>
    </row>
    <row r="704">
      <c r="A704" s="30"/>
      <c r="B704" s="30"/>
      <c r="C704" s="30"/>
      <c r="D704" s="30"/>
      <c r="E704" s="30"/>
      <c r="F704" s="30"/>
      <c r="G704" s="30"/>
      <c r="H704" s="30"/>
      <c r="I704" s="30"/>
    </row>
    <row r="705">
      <c r="A705" s="30"/>
      <c r="B705" s="30"/>
      <c r="C705" s="30"/>
      <c r="D705" s="30"/>
      <c r="E705" s="30"/>
      <c r="F705" s="30"/>
      <c r="G705" s="30"/>
      <c r="H705" s="30"/>
      <c r="I705" s="30"/>
    </row>
    <row r="706">
      <c r="A706" s="30"/>
      <c r="B706" s="30"/>
      <c r="C706" s="30"/>
      <c r="D706" s="30"/>
      <c r="E706" s="30"/>
      <c r="F706" s="30"/>
      <c r="G706" s="30"/>
      <c r="H706" s="30"/>
      <c r="I706" s="30"/>
    </row>
    <row r="707">
      <c r="A707" s="30"/>
      <c r="B707" s="30"/>
      <c r="C707" s="30"/>
      <c r="D707" s="30"/>
      <c r="E707" s="30"/>
      <c r="F707" s="30"/>
      <c r="G707" s="30"/>
      <c r="H707" s="30"/>
      <c r="I707" s="30"/>
    </row>
    <row r="708">
      <c r="A708" s="30"/>
      <c r="B708" s="30"/>
      <c r="C708" s="30"/>
      <c r="D708" s="30"/>
      <c r="E708" s="30"/>
      <c r="F708" s="30"/>
      <c r="G708" s="30"/>
      <c r="H708" s="30"/>
      <c r="I708" s="30"/>
    </row>
    <row r="709">
      <c r="A709" s="30"/>
      <c r="B709" s="30"/>
      <c r="C709" s="30"/>
      <c r="D709" s="30"/>
      <c r="E709" s="30"/>
      <c r="F709" s="30"/>
      <c r="G709" s="30"/>
      <c r="H709" s="30"/>
      <c r="I709" s="30"/>
    </row>
    <row r="710">
      <c r="A710" s="30"/>
      <c r="B710" s="30"/>
      <c r="C710" s="30"/>
      <c r="D710" s="30"/>
      <c r="E710" s="30"/>
      <c r="F710" s="30"/>
      <c r="G710" s="30"/>
      <c r="H710" s="30"/>
      <c r="I710" s="30"/>
    </row>
    <row r="711">
      <c r="A711" s="30"/>
      <c r="B711" s="30"/>
      <c r="C711" s="30"/>
      <c r="D711" s="30"/>
      <c r="E711" s="30"/>
      <c r="F711" s="30"/>
      <c r="G711" s="30"/>
      <c r="H711" s="30"/>
      <c r="I711" s="30"/>
    </row>
    <row r="712">
      <c r="A712" s="30"/>
      <c r="B712" s="30"/>
      <c r="C712" s="30"/>
      <c r="D712" s="30"/>
      <c r="E712" s="30"/>
      <c r="F712" s="30"/>
      <c r="G712" s="30"/>
      <c r="H712" s="30"/>
      <c r="I712" s="30"/>
    </row>
    <row r="713">
      <c r="A713" s="30"/>
      <c r="B713" s="30"/>
      <c r="C713" s="30"/>
      <c r="D713" s="30"/>
      <c r="E713" s="30"/>
      <c r="F713" s="30"/>
      <c r="G713" s="30"/>
      <c r="H713" s="30"/>
      <c r="I713" s="30"/>
    </row>
    <row r="714">
      <c r="A714" s="30"/>
      <c r="B714" s="30"/>
      <c r="C714" s="30"/>
      <c r="D714" s="30"/>
      <c r="E714" s="30"/>
      <c r="F714" s="30"/>
      <c r="G714" s="30"/>
      <c r="H714" s="30"/>
      <c r="I714" s="30"/>
    </row>
    <row r="715">
      <c r="A715" s="30"/>
      <c r="B715" s="30"/>
      <c r="C715" s="30"/>
      <c r="D715" s="30"/>
      <c r="E715" s="30"/>
      <c r="F715" s="30"/>
      <c r="G715" s="30"/>
      <c r="H715" s="30"/>
      <c r="I715" s="30"/>
    </row>
    <row r="716">
      <c r="A716" s="30"/>
      <c r="B716" s="30"/>
      <c r="C716" s="30"/>
      <c r="D716" s="30"/>
      <c r="E716" s="30"/>
      <c r="F716" s="30"/>
      <c r="G716" s="30"/>
      <c r="H716" s="30"/>
      <c r="I716" s="30"/>
    </row>
    <row r="717">
      <c r="A717" s="30"/>
      <c r="B717" s="30"/>
      <c r="C717" s="30"/>
      <c r="D717" s="30"/>
      <c r="E717" s="30"/>
      <c r="F717" s="30"/>
      <c r="G717" s="30"/>
      <c r="H717" s="30"/>
      <c r="I717" s="30"/>
    </row>
    <row r="718">
      <c r="A718" s="30"/>
      <c r="B718" s="30"/>
      <c r="C718" s="30"/>
      <c r="D718" s="30"/>
      <c r="E718" s="30"/>
      <c r="F718" s="30"/>
      <c r="G718" s="30"/>
      <c r="H718" s="30"/>
      <c r="I718" s="30"/>
    </row>
    <row r="719">
      <c r="A719" s="30"/>
      <c r="B719" s="30"/>
      <c r="C719" s="30"/>
      <c r="D719" s="30"/>
      <c r="E719" s="30"/>
      <c r="F719" s="30"/>
      <c r="G719" s="30"/>
      <c r="H719" s="30"/>
      <c r="I719" s="30"/>
    </row>
    <row r="720">
      <c r="A720" s="30"/>
      <c r="B720" s="30"/>
      <c r="C720" s="30"/>
      <c r="D720" s="30"/>
      <c r="E720" s="30"/>
      <c r="F720" s="30"/>
      <c r="G720" s="30"/>
      <c r="H720" s="30"/>
      <c r="I720" s="30"/>
    </row>
    <row r="721">
      <c r="A721" s="30"/>
      <c r="B721" s="30"/>
      <c r="C721" s="30"/>
      <c r="D721" s="30"/>
      <c r="E721" s="30"/>
      <c r="F721" s="30"/>
      <c r="G721" s="30"/>
      <c r="H721" s="30"/>
      <c r="I721" s="30"/>
    </row>
    <row r="722">
      <c r="A722" s="30"/>
      <c r="B722" s="30"/>
      <c r="C722" s="30"/>
      <c r="D722" s="30"/>
      <c r="E722" s="30"/>
      <c r="F722" s="30"/>
      <c r="G722" s="30"/>
      <c r="H722" s="30"/>
      <c r="I722" s="30"/>
    </row>
    <row r="723">
      <c r="A723" s="30"/>
      <c r="B723" s="30"/>
      <c r="C723" s="30"/>
      <c r="D723" s="30"/>
      <c r="E723" s="30"/>
      <c r="F723" s="30"/>
      <c r="G723" s="30"/>
      <c r="H723" s="30"/>
      <c r="I723" s="30"/>
    </row>
    <row r="724">
      <c r="A724" s="30"/>
      <c r="B724" s="30"/>
      <c r="C724" s="30"/>
      <c r="D724" s="30"/>
      <c r="E724" s="30"/>
      <c r="F724" s="30"/>
      <c r="G724" s="30"/>
      <c r="H724" s="30"/>
      <c r="I724" s="30"/>
    </row>
    <row r="725">
      <c r="A725" s="30"/>
      <c r="B725" s="30"/>
      <c r="C725" s="30"/>
      <c r="D725" s="30"/>
      <c r="E725" s="30"/>
      <c r="F725" s="30"/>
      <c r="G725" s="30"/>
      <c r="H725" s="30"/>
      <c r="I725" s="30"/>
    </row>
    <row r="726">
      <c r="A726" s="30"/>
      <c r="B726" s="30"/>
      <c r="C726" s="30"/>
      <c r="D726" s="30"/>
      <c r="E726" s="30"/>
      <c r="F726" s="30"/>
      <c r="G726" s="30"/>
      <c r="H726" s="30"/>
      <c r="I726" s="30"/>
    </row>
    <row r="727">
      <c r="A727" s="30"/>
      <c r="B727" s="30"/>
      <c r="C727" s="30"/>
      <c r="D727" s="30"/>
      <c r="E727" s="30"/>
      <c r="F727" s="30"/>
      <c r="G727" s="30"/>
      <c r="H727" s="30"/>
      <c r="I727" s="30"/>
    </row>
    <row r="728">
      <c r="A728" s="30"/>
      <c r="B728" s="30"/>
      <c r="C728" s="30"/>
      <c r="D728" s="30"/>
      <c r="E728" s="30"/>
      <c r="F728" s="30"/>
      <c r="G728" s="30"/>
      <c r="H728" s="30"/>
      <c r="I728" s="30"/>
    </row>
    <row r="729">
      <c r="A729" s="30"/>
      <c r="B729" s="30"/>
      <c r="C729" s="30"/>
      <c r="D729" s="30"/>
      <c r="E729" s="30"/>
      <c r="F729" s="30"/>
      <c r="G729" s="30"/>
      <c r="H729" s="30"/>
      <c r="I729" s="30"/>
    </row>
    <row r="730">
      <c r="A730" s="30"/>
      <c r="B730" s="30"/>
      <c r="C730" s="30"/>
      <c r="D730" s="30"/>
      <c r="E730" s="30"/>
      <c r="F730" s="30"/>
      <c r="G730" s="30"/>
      <c r="H730" s="30"/>
      <c r="I730" s="30"/>
    </row>
    <row r="731">
      <c r="A731" s="30"/>
      <c r="B731" s="30"/>
      <c r="C731" s="30"/>
      <c r="D731" s="30"/>
      <c r="E731" s="30"/>
      <c r="F731" s="30"/>
      <c r="G731" s="30"/>
      <c r="H731" s="30"/>
      <c r="I731" s="30"/>
    </row>
    <row r="732">
      <c r="A732" s="30"/>
      <c r="B732" s="30"/>
      <c r="C732" s="30"/>
      <c r="D732" s="30"/>
      <c r="E732" s="30"/>
      <c r="F732" s="30"/>
      <c r="G732" s="30"/>
      <c r="H732" s="30"/>
      <c r="I732" s="30"/>
    </row>
    <row r="733">
      <c r="A733" s="30"/>
      <c r="B733" s="30"/>
      <c r="C733" s="30"/>
      <c r="D733" s="30"/>
      <c r="E733" s="30"/>
      <c r="F733" s="30"/>
      <c r="G733" s="30"/>
      <c r="H733" s="30"/>
      <c r="I733" s="30"/>
    </row>
    <row r="734">
      <c r="A734" s="30"/>
      <c r="B734" s="30"/>
      <c r="C734" s="30"/>
      <c r="D734" s="30"/>
      <c r="E734" s="30"/>
      <c r="F734" s="30"/>
      <c r="G734" s="30"/>
      <c r="H734" s="30"/>
      <c r="I734" s="30"/>
    </row>
    <row r="735">
      <c r="A735" s="30"/>
      <c r="B735" s="30"/>
      <c r="C735" s="30"/>
      <c r="D735" s="30"/>
      <c r="E735" s="30"/>
      <c r="F735" s="30"/>
      <c r="G735" s="30"/>
      <c r="H735" s="30"/>
      <c r="I735" s="30"/>
    </row>
    <row r="736">
      <c r="A736" s="30"/>
      <c r="B736" s="30"/>
      <c r="C736" s="30"/>
      <c r="D736" s="30"/>
      <c r="E736" s="30"/>
      <c r="F736" s="30"/>
      <c r="G736" s="30"/>
      <c r="H736" s="30"/>
      <c r="I736" s="30"/>
    </row>
    <row r="737">
      <c r="A737" s="30"/>
      <c r="B737" s="30"/>
      <c r="C737" s="30"/>
      <c r="D737" s="30"/>
      <c r="E737" s="30"/>
      <c r="F737" s="30"/>
      <c r="G737" s="30"/>
      <c r="H737" s="30"/>
      <c r="I737" s="30"/>
    </row>
    <row r="738">
      <c r="A738" s="30"/>
      <c r="B738" s="30"/>
      <c r="C738" s="30"/>
      <c r="D738" s="30"/>
      <c r="E738" s="30"/>
      <c r="F738" s="30"/>
      <c r="G738" s="30"/>
      <c r="H738" s="30"/>
      <c r="I738" s="30"/>
    </row>
    <row r="739">
      <c r="A739" s="30"/>
      <c r="B739" s="30"/>
      <c r="C739" s="30"/>
      <c r="D739" s="30"/>
      <c r="E739" s="30"/>
      <c r="F739" s="30"/>
      <c r="G739" s="30"/>
      <c r="H739" s="30"/>
      <c r="I739" s="30"/>
    </row>
    <row r="740">
      <c r="A740" s="30"/>
      <c r="B740" s="30"/>
      <c r="C740" s="30"/>
      <c r="D740" s="30"/>
      <c r="E740" s="30"/>
      <c r="F740" s="30"/>
      <c r="G740" s="30"/>
      <c r="H740" s="30"/>
      <c r="I740" s="30"/>
    </row>
    <row r="741">
      <c r="A741" s="30"/>
      <c r="B741" s="30"/>
      <c r="C741" s="30"/>
      <c r="D741" s="30"/>
      <c r="E741" s="30"/>
      <c r="F741" s="30"/>
      <c r="G741" s="30"/>
      <c r="H741" s="30"/>
      <c r="I741" s="30"/>
    </row>
    <row r="742">
      <c r="A742" s="30"/>
      <c r="B742" s="30"/>
      <c r="C742" s="30"/>
      <c r="D742" s="30"/>
      <c r="E742" s="30"/>
      <c r="F742" s="30"/>
      <c r="G742" s="30"/>
      <c r="H742" s="30"/>
      <c r="I742" s="30"/>
    </row>
    <row r="743">
      <c r="A743" s="30"/>
      <c r="B743" s="30"/>
      <c r="C743" s="30"/>
      <c r="D743" s="30"/>
      <c r="E743" s="30"/>
      <c r="F743" s="30"/>
      <c r="G743" s="30"/>
      <c r="H743" s="30"/>
      <c r="I743" s="30"/>
    </row>
    <row r="744">
      <c r="A744" s="30"/>
      <c r="B744" s="30"/>
      <c r="C744" s="30"/>
      <c r="D744" s="30"/>
      <c r="E744" s="30"/>
      <c r="F744" s="30"/>
      <c r="G744" s="30"/>
      <c r="H744" s="30"/>
      <c r="I744" s="30"/>
    </row>
    <row r="745">
      <c r="A745" s="30"/>
      <c r="B745" s="30"/>
      <c r="C745" s="30"/>
      <c r="D745" s="30"/>
      <c r="E745" s="30"/>
      <c r="F745" s="30"/>
      <c r="G745" s="30"/>
      <c r="H745" s="30"/>
      <c r="I745" s="30"/>
    </row>
    <row r="746">
      <c r="A746" s="30"/>
      <c r="B746" s="30"/>
      <c r="C746" s="30"/>
      <c r="D746" s="30"/>
      <c r="E746" s="30"/>
      <c r="F746" s="30"/>
      <c r="G746" s="30"/>
      <c r="H746" s="30"/>
      <c r="I746" s="30"/>
    </row>
    <row r="747">
      <c r="A747" s="30"/>
      <c r="B747" s="30"/>
      <c r="C747" s="30"/>
      <c r="D747" s="30"/>
      <c r="E747" s="30"/>
      <c r="F747" s="30"/>
      <c r="G747" s="30"/>
      <c r="H747" s="30"/>
      <c r="I747" s="30"/>
    </row>
    <row r="748">
      <c r="A748" s="30"/>
      <c r="B748" s="30"/>
      <c r="C748" s="30"/>
      <c r="D748" s="30"/>
      <c r="E748" s="30"/>
      <c r="F748" s="30"/>
      <c r="G748" s="30"/>
      <c r="H748" s="30"/>
      <c r="I748" s="30"/>
    </row>
    <row r="749">
      <c r="A749" s="30"/>
      <c r="B749" s="30"/>
      <c r="C749" s="30"/>
      <c r="D749" s="30"/>
      <c r="E749" s="30"/>
      <c r="F749" s="30"/>
      <c r="G749" s="30"/>
      <c r="H749" s="30"/>
      <c r="I749" s="30"/>
    </row>
    <row r="750">
      <c r="A750" s="30"/>
      <c r="B750" s="30"/>
      <c r="C750" s="30"/>
      <c r="D750" s="30"/>
      <c r="E750" s="30"/>
      <c r="F750" s="30"/>
      <c r="G750" s="30"/>
      <c r="H750" s="30"/>
      <c r="I750" s="30"/>
    </row>
    <row r="751">
      <c r="A751" s="30"/>
      <c r="B751" s="30"/>
      <c r="C751" s="30"/>
      <c r="D751" s="30"/>
      <c r="E751" s="30"/>
      <c r="F751" s="30"/>
      <c r="G751" s="30"/>
      <c r="H751" s="30"/>
      <c r="I751" s="30"/>
    </row>
    <row r="752">
      <c r="A752" s="30"/>
      <c r="B752" s="30"/>
      <c r="C752" s="30"/>
      <c r="D752" s="30"/>
      <c r="E752" s="30"/>
      <c r="F752" s="30"/>
      <c r="G752" s="30"/>
      <c r="H752" s="30"/>
      <c r="I752" s="30"/>
    </row>
    <row r="753">
      <c r="A753" s="30"/>
      <c r="B753" s="30"/>
      <c r="C753" s="30"/>
      <c r="D753" s="30"/>
      <c r="E753" s="30"/>
      <c r="F753" s="30"/>
      <c r="G753" s="30"/>
      <c r="H753" s="30"/>
      <c r="I753" s="30"/>
    </row>
    <row r="754">
      <c r="A754" s="30"/>
      <c r="B754" s="30"/>
      <c r="C754" s="30"/>
      <c r="D754" s="30"/>
      <c r="E754" s="30"/>
      <c r="F754" s="30"/>
      <c r="G754" s="30"/>
      <c r="H754" s="30"/>
      <c r="I754" s="30"/>
    </row>
    <row r="755">
      <c r="A755" s="30"/>
      <c r="B755" s="30"/>
      <c r="C755" s="30"/>
      <c r="D755" s="30"/>
      <c r="E755" s="30"/>
      <c r="F755" s="30"/>
      <c r="G755" s="30"/>
      <c r="H755" s="30"/>
      <c r="I755" s="30"/>
    </row>
    <row r="756">
      <c r="A756" s="30"/>
      <c r="B756" s="30"/>
      <c r="C756" s="30"/>
      <c r="D756" s="30"/>
      <c r="E756" s="30"/>
      <c r="F756" s="30"/>
      <c r="G756" s="30"/>
      <c r="H756" s="30"/>
      <c r="I756" s="30"/>
    </row>
    <row r="757">
      <c r="A757" s="30"/>
      <c r="B757" s="30"/>
      <c r="C757" s="30"/>
      <c r="D757" s="30"/>
      <c r="E757" s="30"/>
      <c r="F757" s="30"/>
      <c r="G757" s="30"/>
      <c r="H757" s="30"/>
      <c r="I757" s="30"/>
    </row>
    <row r="758">
      <c r="A758" s="30"/>
      <c r="B758" s="30"/>
      <c r="C758" s="30"/>
      <c r="D758" s="30"/>
      <c r="E758" s="30"/>
      <c r="F758" s="30"/>
      <c r="G758" s="30"/>
      <c r="H758" s="30"/>
      <c r="I758" s="30"/>
    </row>
    <row r="759">
      <c r="A759" s="30"/>
      <c r="B759" s="30"/>
      <c r="C759" s="30"/>
      <c r="D759" s="30"/>
      <c r="E759" s="30"/>
      <c r="F759" s="30"/>
      <c r="G759" s="30"/>
      <c r="H759" s="30"/>
      <c r="I759" s="30"/>
    </row>
    <row r="760">
      <c r="A760" s="30"/>
      <c r="B760" s="30"/>
      <c r="C760" s="30"/>
      <c r="D760" s="30"/>
      <c r="E760" s="30"/>
      <c r="F760" s="30"/>
      <c r="G760" s="30"/>
      <c r="H760" s="30"/>
      <c r="I760" s="30"/>
    </row>
    <row r="761">
      <c r="A761" s="30"/>
      <c r="B761" s="30"/>
      <c r="C761" s="30"/>
      <c r="D761" s="30"/>
      <c r="E761" s="30"/>
      <c r="F761" s="30"/>
      <c r="G761" s="30"/>
      <c r="H761" s="30"/>
      <c r="I761" s="30"/>
    </row>
    <row r="762">
      <c r="A762" s="30"/>
      <c r="B762" s="30"/>
      <c r="C762" s="30"/>
      <c r="D762" s="30"/>
      <c r="E762" s="30"/>
      <c r="F762" s="30"/>
      <c r="G762" s="30"/>
      <c r="H762" s="30"/>
      <c r="I762" s="30"/>
    </row>
    <row r="763">
      <c r="A763" s="30"/>
      <c r="B763" s="30"/>
      <c r="C763" s="30"/>
      <c r="D763" s="30"/>
      <c r="E763" s="30"/>
      <c r="F763" s="30"/>
      <c r="G763" s="30"/>
      <c r="H763" s="30"/>
      <c r="I763" s="30"/>
    </row>
    <row r="764">
      <c r="A764" s="30"/>
      <c r="B764" s="30"/>
      <c r="C764" s="30"/>
      <c r="D764" s="30"/>
      <c r="E764" s="30"/>
      <c r="F764" s="30"/>
      <c r="G764" s="30"/>
      <c r="H764" s="30"/>
      <c r="I764" s="30"/>
    </row>
    <row r="765">
      <c r="A765" s="30"/>
      <c r="B765" s="30"/>
      <c r="C765" s="30"/>
      <c r="D765" s="30"/>
      <c r="E765" s="30"/>
      <c r="F765" s="30"/>
      <c r="G765" s="30"/>
      <c r="H765" s="30"/>
      <c r="I765" s="30"/>
    </row>
    <row r="766">
      <c r="A766" s="30"/>
      <c r="B766" s="30"/>
      <c r="C766" s="30"/>
      <c r="D766" s="30"/>
      <c r="E766" s="30"/>
      <c r="F766" s="30"/>
      <c r="G766" s="30"/>
      <c r="H766" s="30"/>
      <c r="I766" s="30"/>
    </row>
    <row r="767">
      <c r="A767" s="30"/>
      <c r="B767" s="30"/>
      <c r="C767" s="30"/>
      <c r="D767" s="30"/>
      <c r="E767" s="30"/>
      <c r="F767" s="30"/>
      <c r="G767" s="30"/>
      <c r="H767" s="30"/>
      <c r="I767" s="30"/>
    </row>
    <row r="768">
      <c r="A768" s="30"/>
      <c r="B768" s="30"/>
      <c r="C768" s="30"/>
      <c r="D768" s="30"/>
      <c r="E768" s="30"/>
      <c r="F768" s="30"/>
      <c r="G768" s="30"/>
      <c r="H768" s="30"/>
      <c r="I768" s="30"/>
    </row>
    <row r="769">
      <c r="A769" s="30"/>
      <c r="B769" s="30"/>
      <c r="C769" s="30"/>
      <c r="D769" s="30"/>
      <c r="E769" s="30"/>
      <c r="F769" s="30"/>
      <c r="G769" s="30"/>
      <c r="H769" s="30"/>
      <c r="I769" s="30"/>
    </row>
    <row r="770">
      <c r="A770" s="30"/>
      <c r="B770" s="30"/>
      <c r="C770" s="30"/>
      <c r="D770" s="30"/>
      <c r="E770" s="30"/>
      <c r="F770" s="30"/>
      <c r="G770" s="30"/>
      <c r="H770" s="30"/>
      <c r="I770" s="30"/>
    </row>
    <row r="771">
      <c r="A771" s="30"/>
      <c r="B771" s="30"/>
      <c r="C771" s="30"/>
      <c r="D771" s="30"/>
      <c r="E771" s="30"/>
      <c r="F771" s="30"/>
      <c r="G771" s="30"/>
      <c r="H771" s="30"/>
      <c r="I771" s="30"/>
    </row>
    <row r="772">
      <c r="A772" s="30"/>
      <c r="B772" s="30"/>
      <c r="C772" s="30"/>
      <c r="D772" s="30"/>
      <c r="E772" s="30"/>
      <c r="F772" s="30"/>
      <c r="G772" s="30"/>
      <c r="H772" s="30"/>
      <c r="I772" s="30"/>
    </row>
    <row r="773">
      <c r="A773" s="30"/>
      <c r="B773" s="30"/>
      <c r="C773" s="30"/>
      <c r="D773" s="30"/>
      <c r="E773" s="30"/>
      <c r="F773" s="30"/>
      <c r="G773" s="30"/>
      <c r="H773" s="30"/>
      <c r="I773" s="30"/>
    </row>
    <row r="774">
      <c r="A774" s="30"/>
      <c r="B774" s="30"/>
      <c r="C774" s="30"/>
      <c r="D774" s="30"/>
      <c r="E774" s="30"/>
      <c r="F774" s="30"/>
      <c r="G774" s="30"/>
      <c r="H774" s="30"/>
      <c r="I774" s="30"/>
    </row>
    <row r="775">
      <c r="A775" s="30"/>
      <c r="B775" s="30"/>
      <c r="C775" s="30"/>
      <c r="D775" s="30"/>
      <c r="E775" s="30"/>
      <c r="F775" s="30"/>
      <c r="G775" s="30"/>
      <c r="H775" s="30"/>
      <c r="I775" s="30"/>
    </row>
    <row r="776">
      <c r="A776" s="30"/>
      <c r="B776" s="30"/>
      <c r="C776" s="30"/>
      <c r="D776" s="30"/>
      <c r="E776" s="30"/>
      <c r="F776" s="30"/>
      <c r="G776" s="30"/>
      <c r="H776" s="30"/>
      <c r="I776" s="30"/>
    </row>
    <row r="777">
      <c r="A777" s="30"/>
      <c r="B777" s="30"/>
      <c r="C777" s="30"/>
      <c r="D777" s="30"/>
      <c r="E777" s="30"/>
      <c r="F777" s="30"/>
      <c r="G777" s="30"/>
      <c r="H777" s="30"/>
      <c r="I777" s="30"/>
    </row>
    <row r="778">
      <c r="A778" s="30"/>
      <c r="B778" s="30"/>
      <c r="C778" s="30"/>
      <c r="D778" s="30"/>
      <c r="E778" s="30"/>
      <c r="F778" s="30"/>
      <c r="G778" s="30"/>
      <c r="H778" s="30"/>
      <c r="I778" s="30"/>
    </row>
    <row r="779">
      <c r="A779" s="30"/>
      <c r="B779" s="30"/>
      <c r="C779" s="30"/>
      <c r="D779" s="30"/>
      <c r="E779" s="30"/>
      <c r="F779" s="30"/>
      <c r="G779" s="30"/>
      <c r="H779" s="30"/>
      <c r="I779" s="30"/>
    </row>
    <row r="780">
      <c r="A780" s="30"/>
      <c r="B780" s="30"/>
      <c r="C780" s="30"/>
      <c r="D780" s="30"/>
      <c r="E780" s="30"/>
      <c r="F780" s="30"/>
      <c r="G780" s="30"/>
      <c r="H780" s="30"/>
      <c r="I780" s="30"/>
    </row>
    <row r="781">
      <c r="A781" s="30"/>
      <c r="B781" s="30"/>
      <c r="C781" s="30"/>
      <c r="D781" s="30"/>
      <c r="E781" s="30"/>
      <c r="F781" s="30"/>
      <c r="G781" s="30"/>
      <c r="H781" s="30"/>
      <c r="I781" s="30"/>
    </row>
    <row r="782">
      <c r="A782" s="30"/>
      <c r="B782" s="30"/>
      <c r="C782" s="30"/>
      <c r="D782" s="30"/>
      <c r="E782" s="30"/>
      <c r="F782" s="30"/>
      <c r="G782" s="30"/>
      <c r="H782" s="30"/>
      <c r="I782" s="30"/>
    </row>
    <row r="783">
      <c r="A783" s="30"/>
      <c r="B783" s="30"/>
      <c r="C783" s="30"/>
      <c r="D783" s="30"/>
      <c r="E783" s="30"/>
      <c r="F783" s="30"/>
      <c r="G783" s="30"/>
      <c r="H783" s="30"/>
      <c r="I783" s="30"/>
    </row>
    <row r="784">
      <c r="A784" s="30"/>
      <c r="B784" s="30"/>
      <c r="C784" s="30"/>
      <c r="D784" s="30"/>
      <c r="E784" s="30"/>
      <c r="F784" s="30"/>
      <c r="G784" s="30"/>
      <c r="H784" s="30"/>
      <c r="I784" s="30"/>
    </row>
    <row r="785">
      <c r="A785" s="30"/>
      <c r="B785" s="30"/>
      <c r="C785" s="30"/>
      <c r="D785" s="30"/>
      <c r="E785" s="30"/>
      <c r="F785" s="30"/>
      <c r="G785" s="30"/>
      <c r="H785" s="30"/>
      <c r="I785" s="30"/>
    </row>
    <row r="786">
      <c r="A786" s="30"/>
      <c r="B786" s="30"/>
      <c r="C786" s="30"/>
      <c r="D786" s="30"/>
      <c r="E786" s="30"/>
      <c r="F786" s="30"/>
      <c r="G786" s="30"/>
      <c r="H786" s="30"/>
      <c r="I786" s="30"/>
    </row>
    <row r="787">
      <c r="A787" s="30"/>
      <c r="B787" s="30"/>
      <c r="C787" s="30"/>
      <c r="D787" s="30"/>
      <c r="E787" s="30"/>
      <c r="F787" s="30"/>
      <c r="G787" s="30"/>
      <c r="H787" s="30"/>
      <c r="I787" s="30"/>
    </row>
    <row r="788">
      <c r="A788" s="30"/>
      <c r="B788" s="30"/>
      <c r="C788" s="30"/>
      <c r="D788" s="30"/>
      <c r="E788" s="30"/>
      <c r="F788" s="30"/>
      <c r="G788" s="30"/>
      <c r="H788" s="30"/>
      <c r="I788" s="30"/>
    </row>
    <row r="789">
      <c r="A789" s="30"/>
      <c r="B789" s="30"/>
      <c r="C789" s="30"/>
      <c r="D789" s="30"/>
      <c r="E789" s="30"/>
      <c r="F789" s="30"/>
      <c r="G789" s="30"/>
      <c r="H789" s="30"/>
      <c r="I789" s="30"/>
    </row>
    <row r="790">
      <c r="A790" s="30"/>
      <c r="B790" s="30"/>
      <c r="C790" s="30"/>
      <c r="D790" s="30"/>
      <c r="E790" s="30"/>
      <c r="F790" s="30"/>
      <c r="G790" s="30"/>
      <c r="H790" s="30"/>
      <c r="I790" s="30"/>
    </row>
    <row r="791">
      <c r="A791" s="30"/>
      <c r="B791" s="30"/>
      <c r="C791" s="30"/>
      <c r="D791" s="30"/>
      <c r="E791" s="30"/>
      <c r="F791" s="30"/>
      <c r="G791" s="30"/>
      <c r="H791" s="30"/>
      <c r="I791" s="30"/>
    </row>
    <row r="792">
      <c r="A792" s="30"/>
      <c r="B792" s="30"/>
      <c r="C792" s="30"/>
      <c r="D792" s="30"/>
      <c r="E792" s="30"/>
      <c r="F792" s="30"/>
      <c r="G792" s="30"/>
      <c r="H792" s="30"/>
      <c r="I792" s="30"/>
    </row>
    <row r="793">
      <c r="A793" s="30"/>
      <c r="B793" s="30"/>
      <c r="C793" s="30"/>
      <c r="D793" s="30"/>
      <c r="E793" s="30"/>
      <c r="F793" s="30"/>
      <c r="G793" s="30"/>
      <c r="H793" s="30"/>
      <c r="I793" s="30"/>
    </row>
    <row r="794">
      <c r="A794" s="30"/>
      <c r="B794" s="30"/>
      <c r="C794" s="30"/>
      <c r="D794" s="30"/>
      <c r="E794" s="30"/>
      <c r="F794" s="30"/>
      <c r="G794" s="30"/>
      <c r="H794" s="30"/>
      <c r="I794" s="30"/>
    </row>
    <row r="795">
      <c r="A795" s="30"/>
      <c r="B795" s="30"/>
      <c r="C795" s="30"/>
      <c r="D795" s="30"/>
      <c r="E795" s="30"/>
      <c r="F795" s="30"/>
      <c r="G795" s="30"/>
      <c r="H795" s="30"/>
      <c r="I795" s="30"/>
    </row>
    <row r="796">
      <c r="A796" s="30"/>
      <c r="B796" s="30"/>
      <c r="C796" s="30"/>
      <c r="D796" s="30"/>
      <c r="E796" s="30"/>
      <c r="F796" s="30"/>
      <c r="G796" s="30"/>
      <c r="H796" s="30"/>
      <c r="I796" s="30"/>
    </row>
    <row r="797">
      <c r="A797" s="30"/>
      <c r="B797" s="30"/>
      <c r="C797" s="30"/>
      <c r="D797" s="30"/>
      <c r="E797" s="30"/>
      <c r="F797" s="30"/>
      <c r="G797" s="30"/>
      <c r="H797" s="30"/>
      <c r="I797" s="30"/>
    </row>
    <row r="798">
      <c r="A798" s="30"/>
      <c r="B798" s="30"/>
      <c r="C798" s="30"/>
      <c r="D798" s="30"/>
      <c r="E798" s="30"/>
      <c r="F798" s="30"/>
      <c r="G798" s="30"/>
      <c r="H798" s="30"/>
      <c r="I798" s="30"/>
    </row>
    <row r="799">
      <c r="A799" s="30"/>
      <c r="B799" s="30"/>
      <c r="C799" s="30"/>
      <c r="D799" s="30"/>
      <c r="E799" s="30"/>
      <c r="F799" s="30"/>
      <c r="G799" s="30"/>
      <c r="H799" s="30"/>
      <c r="I799" s="30"/>
    </row>
    <row r="800">
      <c r="A800" s="30"/>
      <c r="B800" s="30"/>
      <c r="C800" s="30"/>
      <c r="D800" s="30"/>
      <c r="E800" s="30"/>
      <c r="F800" s="30"/>
      <c r="G800" s="30"/>
      <c r="H800" s="30"/>
      <c r="I800" s="30"/>
    </row>
    <row r="801">
      <c r="A801" s="30"/>
      <c r="B801" s="30"/>
      <c r="C801" s="30"/>
      <c r="D801" s="30"/>
      <c r="E801" s="30"/>
      <c r="F801" s="30"/>
      <c r="G801" s="30"/>
      <c r="H801" s="30"/>
      <c r="I801" s="30"/>
    </row>
    <row r="802">
      <c r="A802" s="30"/>
      <c r="B802" s="30"/>
      <c r="C802" s="30"/>
      <c r="D802" s="30"/>
      <c r="E802" s="30"/>
      <c r="F802" s="30"/>
      <c r="G802" s="30"/>
      <c r="H802" s="30"/>
      <c r="I802" s="30"/>
    </row>
    <row r="803">
      <c r="A803" s="30"/>
      <c r="B803" s="30"/>
      <c r="C803" s="30"/>
      <c r="D803" s="30"/>
      <c r="E803" s="30"/>
      <c r="F803" s="30"/>
      <c r="G803" s="30"/>
      <c r="H803" s="30"/>
      <c r="I803" s="30"/>
    </row>
    <row r="804">
      <c r="A804" s="30"/>
      <c r="B804" s="30"/>
      <c r="C804" s="30"/>
      <c r="D804" s="30"/>
      <c r="E804" s="30"/>
      <c r="F804" s="30"/>
      <c r="G804" s="30"/>
      <c r="H804" s="30"/>
      <c r="I804" s="30"/>
    </row>
    <row r="805">
      <c r="A805" s="30"/>
      <c r="B805" s="30"/>
      <c r="C805" s="30"/>
      <c r="D805" s="30"/>
      <c r="E805" s="30"/>
      <c r="F805" s="30"/>
      <c r="G805" s="30"/>
      <c r="H805" s="30"/>
      <c r="I805" s="30"/>
    </row>
    <row r="806">
      <c r="A806" s="30"/>
      <c r="B806" s="30"/>
      <c r="C806" s="30"/>
      <c r="D806" s="30"/>
      <c r="E806" s="30"/>
      <c r="F806" s="30"/>
      <c r="G806" s="30"/>
      <c r="H806" s="30"/>
      <c r="I806" s="30"/>
    </row>
    <row r="807">
      <c r="A807" s="30"/>
      <c r="B807" s="30"/>
      <c r="C807" s="30"/>
      <c r="D807" s="30"/>
      <c r="E807" s="30"/>
      <c r="F807" s="30"/>
      <c r="G807" s="30"/>
      <c r="H807" s="30"/>
      <c r="I807" s="30"/>
    </row>
    <row r="808">
      <c r="A808" s="30"/>
      <c r="B808" s="30"/>
      <c r="C808" s="30"/>
      <c r="D808" s="30"/>
      <c r="E808" s="30"/>
      <c r="F808" s="30"/>
      <c r="G808" s="30"/>
      <c r="H808" s="30"/>
      <c r="I808" s="30"/>
    </row>
    <row r="809">
      <c r="A809" s="30"/>
      <c r="B809" s="30"/>
      <c r="C809" s="30"/>
      <c r="D809" s="30"/>
      <c r="E809" s="30"/>
      <c r="F809" s="30"/>
      <c r="G809" s="30"/>
      <c r="H809" s="30"/>
      <c r="I809" s="30"/>
    </row>
    <row r="810">
      <c r="A810" s="30"/>
      <c r="B810" s="30"/>
      <c r="C810" s="30"/>
      <c r="D810" s="30"/>
      <c r="E810" s="30"/>
      <c r="F810" s="30"/>
      <c r="G810" s="30"/>
      <c r="H810" s="30"/>
      <c r="I810" s="30"/>
    </row>
    <row r="811">
      <c r="A811" s="30"/>
      <c r="B811" s="30"/>
      <c r="C811" s="30"/>
      <c r="D811" s="30"/>
      <c r="E811" s="30"/>
      <c r="F811" s="30"/>
      <c r="G811" s="30"/>
      <c r="H811" s="30"/>
      <c r="I811" s="30"/>
    </row>
    <row r="812">
      <c r="A812" s="30"/>
      <c r="B812" s="30"/>
      <c r="C812" s="30"/>
      <c r="D812" s="30"/>
      <c r="E812" s="30"/>
      <c r="F812" s="30"/>
      <c r="G812" s="30"/>
      <c r="H812" s="30"/>
      <c r="I812" s="30"/>
    </row>
    <row r="813">
      <c r="A813" s="30"/>
      <c r="B813" s="30"/>
      <c r="C813" s="30"/>
      <c r="D813" s="30"/>
      <c r="E813" s="30"/>
      <c r="F813" s="30"/>
      <c r="G813" s="30"/>
      <c r="H813" s="30"/>
      <c r="I813" s="30"/>
    </row>
    <row r="814">
      <c r="A814" s="30"/>
      <c r="B814" s="30"/>
      <c r="C814" s="30"/>
      <c r="D814" s="30"/>
      <c r="E814" s="30"/>
      <c r="F814" s="30"/>
      <c r="G814" s="30"/>
      <c r="H814" s="30"/>
      <c r="I814" s="30"/>
    </row>
    <row r="815">
      <c r="A815" s="30"/>
      <c r="B815" s="30"/>
      <c r="C815" s="30"/>
      <c r="D815" s="30"/>
      <c r="E815" s="30"/>
      <c r="F815" s="30"/>
      <c r="G815" s="30"/>
      <c r="H815" s="30"/>
      <c r="I815" s="30"/>
    </row>
    <row r="816">
      <c r="A816" s="30"/>
      <c r="B816" s="30"/>
      <c r="C816" s="30"/>
      <c r="D816" s="30"/>
      <c r="E816" s="30"/>
      <c r="F816" s="30"/>
      <c r="G816" s="30"/>
      <c r="H816" s="30"/>
      <c r="I816" s="30"/>
    </row>
    <row r="817">
      <c r="A817" s="30"/>
      <c r="B817" s="30"/>
      <c r="C817" s="30"/>
      <c r="D817" s="30"/>
      <c r="E817" s="30"/>
      <c r="F817" s="30"/>
      <c r="G817" s="30"/>
      <c r="H817" s="30"/>
      <c r="I817" s="30"/>
    </row>
    <row r="818">
      <c r="A818" s="30"/>
      <c r="B818" s="30"/>
      <c r="C818" s="30"/>
      <c r="D818" s="30"/>
      <c r="E818" s="30"/>
      <c r="F818" s="30"/>
      <c r="G818" s="30"/>
      <c r="H818" s="30"/>
      <c r="I818" s="30"/>
    </row>
    <row r="819">
      <c r="A819" s="30"/>
      <c r="B819" s="30"/>
      <c r="C819" s="30"/>
      <c r="D819" s="30"/>
      <c r="E819" s="30"/>
      <c r="F819" s="30"/>
      <c r="G819" s="30"/>
      <c r="H819" s="30"/>
      <c r="I819" s="30"/>
    </row>
    <row r="820">
      <c r="A820" s="30"/>
      <c r="B820" s="30"/>
      <c r="C820" s="30"/>
      <c r="D820" s="30"/>
      <c r="E820" s="30"/>
      <c r="F820" s="30"/>
      <c r="G820" s="30"/>
      <c r="H820" s="30"/>
      <c r="I820" s="30"/>
    </row>
    <row r="821">
      <c r="A821" s="30"/>
      <c r="B821" s="30"/>
      <c r="C821" s="30"/>
      <c r="D821" s="30"/>
      <c r="E821" s="30"/>
      <c r="F821" s="30"/>
      <c r="G821" s="30"/>
      <c r="H821" s="30"/>
      <c r="I821" s="30"/>
    </row>
    <row r="822">
      <c r="A822" s="30"/>
      <c r="B822" s="30"/>
      <c r="C822" s="30"/>
      <c r="D822" s="30"/>
      <c r="E822" s="30"/>
      <c r="F822" s="30"/>
      <c r="G822" s="30"/>
      <c r="H822" s="30"/>
      <c r="I822" s="30"/>
    </row>
    <row r="823">
      <c r="A823" s="30"/>
      <c r="B823" s="30"/>
      <c r="C823" s="30"/>
      <c r="D823" s="30"/>
      <c r="E823" s="30"/>
      <c r="F823" s="30"/>
      <c r="G823" s="30"/>
      <c r="H823" s="30"/>
      <c r="I823" s="30"/>
    </row>
    <row r="824">
      <c r="A824" s="30"/>
      <c r="B824" s="30"/>
      <c r="C824" s="30"/>
      <c r="D824" s="30"/>
      <c r="E824" s="30"/>
      <c r="F824" s="30"/>
      <c r="G824" s="30"/>
      <c r="H824" s="30"/>
      <c r="I824" s="30"/>
    </row>
    <row r="825">
      <c r="A825" s="30"/>
      <c r="B825" s="30"/>
      <c r="C825" s="30"/>
      <c r="D825" s="30"/>
      <c r="E825" s="30"/>
      <c r="F825" s="30"/>
      <c r="G825" s="30"/>
      <c r="H825" s="30"/>
      <c r="I825" s="30"/>
    </row>
    <row r="826">
      <c r="A826" s="30"/>
      <c r="B826" s="30"/>
      <c r="C826" s="30"/>
      <c r="D826" s="30"/>
      <c r="E826" s="30"/>
      <c r="F826" s="30"/>
      <c r="G826" s="30"/>
      <c r="H826" s="30"/>
      <c r="I826" s="30"/>
    </row>
    <row r="827">
      <c r="A827" s="30"/>
      <c r="B827" s="30"/>
      <c r="C827" s="30"/>
      <c r="D827" s="30"/>
      <c r="E827" s="30"/>
      <c r="F827" s="30"/>
      <c r="G827" s="30"/>
      <c r="H827" s="30"/>
      <c r="I827" s="30"/>
    </row>
    <row r="828">
      <c r="A828" s="30"/>
      <c r="B828" s="30"/>
      <c r="C828" s="30"/>
      <c r="D828" s="30"/>
      <c r="E828" s="30"/>
      <c r="F828" s="30"/>
      <c r="G828" s="30"/>
      <c r="H828" s="30"/>
      <c r="I828" s="30"/>
    </row>
    <row r="829">
      <c r="A829" s="30"/>
      <c r="B829" s="30"/>
      <c r="C829" s="30"/>
      <c r="D829" s="30"/>
      <c r="E829" s="30"/>
      <c r="F829" s="30"/>
      <c r="G829" s="30"/>
      <c r="H829" s="30"/>
      <c r="I829" s="30"/>
    </row>
    <row r="830">
      <c r="A830" s="30"/>
      <c r="B830" s="30"/>
      <c r="C830" s="30"/>
      <c r="D830" s="30"/>
      <c r="E830" s="30"/>
      <c r="F830" s="30"/>
      <c r="G830" s="30"/>
      <c r="H830" s="30"/>
      <c r="I830" s="30"/>
    </row>
    <row r="831">
      <c r="A831" s="30"/>
      <c r="B831" s="30"/>
      <c r="C831" s="30"/>
      <c r="D831" s="30"/>
      <c r="E831" s="30"/>
      <c r="F831" s="30"/>
      <c r="G831" s="30"/>
      <c r="H831" s="30"/>
      <c r="I831" s="30"/>
    </row>
    <row r="832">
      <c r="A832" s="30"/>
      <c r="B832" s="30"/>
      <c r="C832" s="30"/>
      <c r="D832" s="30"/>
      <c r="E832" s="30"/>
      <c r="F832" s="30"/>
      <c r="G832" s="30"/>
      <c r="H832" s="30"/>
      <c r="I832" s="30"/>
    </row>
    <row r="833">
      <c r="A833" s="30"/>
      <c r="B833" s="30"/>
      <c r="C833" s="30"/>
      <c r="D833" s="30"/>
      <c r="E833" s="30"/>
      <c r="F833" s="30"/>
      <c r="G833" s="30"/>
      <c r="H833" s="30"/>
      <c r="I833" s="30"/>
    </row>
    <row r="834">
      <c r="A834" s="30"/>
      <c r="B834" s="30"/>
      <c r="C834" s="30"/>
      <c r="D834" s="30"/>
      <c r="E834" s="30"/>
      <c r="F834" s="30"/>
      <c r="G834" s="30"/>
      <c r="H834" s="30"/>
      <c r="I834" s="30"/>
    </row>
    <row r="835">
      <c r="A835" s="30"/>
      <c r="B835" s="30"/>
      <c r="C835" s="30"/>
      <c r="D835" s="30"/>
      <c r="E835" s="30"/>
      <c r="F835" s="30"/>
      <c r="G835" s="30"/>
      <c r="H835" s="30"/>
      <c r="I835" s="30"/>
    </row>
    <row r="836">
      <c r="A836" s="30"/>
      <c r="B836" s="30"/>
      <c r="C836" s="30"/>
      <c r="D836" s="30"/>
      <c r="E836" s="30"/>
      <c r="F836" s="30"/>
      <c r="G836" s="30"/>
      <c r="H836" s="30"/>
      <c r="I836" s="30"/>
    </row>
    <row r="837">
      <c r="A837" s="30"/>
      <c r="B837" s="30"/>
      <c r="C837" s="30"/>
      <c r="D837" s="30"/>
      <c r="E837" s="30"/>
      <c r="F837" s="30"/>
      <c r="G837" s="30"/>
      <c r="H837" s="30"/>
      <c r="I837" s="30"/>
    </row>
    <row r="838">
      <c r="A838" s="30"/>
      <c r="B838" s="30"/>
      <c r="C838" s="30"/>
      <c r="D838" s="30"/>
      <c r="E838" s="30"/>
      <c r="F838" s="30"/>
      <c r="G838" s="30"/>
      <c r="H838" s="30"/>
      <c r="I838" s="30"/>
    </row>
    <row r="839">
      <c r="A839" s="30"/>
      <c r="B839" s="30"/>
      <c r="C839" s="30"/>
      <c r="D839" s="30"/>
      <c r="E839" s="30"/>
      <c r="F839" s="30"/>
      <c r="G839" s="30"/>
      <c r="H839" s="30"/>
      <c r="I839" s="30"/>
    </row>
    <row r="840">
      <c r="A840" s="30"/>
      <c r="B840" s="30"/>
      <c r="C840" s="30"/>
      <c r="D840" s="30"/>
      <c r="E840" s="30"/>
      <c r="F840" s="30"/>
      <c r="G840" s="30"/>
      <c r="H840" s="30"/>
      <c r="I840" s="30"/>
    </row>
    <row r="841">
      <c r="A841" s="30"/>
      <c r="B841" s="30"/>
      <c r="C841" s="30"/>
      <c r="D841" s="30"/>
      <c r="E841" s="30"/>
      <c r="F841" s="30"/>
      <c r="G841" s="30"/>
      <c r="H841" s="30"/>
      <c r="I841" s="30"/>
    </row>
    <row r="842">
      <c r="A842" s="30"/>
      <c r="B842" s="30"/>
      <c r="C842" s="30"/>
      <c r="D842" s="30"/>
      <c r="E842" s="30"/>
      <c r="F842" s="30"/>
      <c r="G842" s="30"/>
      <c r="H842" s="30"/>
      <c r="I842" s="30"/>
    </row>
    <row r="843">
      <c r="A843" s="30"/>
      <c r="B843" s="30"/>
      <c r="C843" s="30"/>
      <c r="D843" s="30"/>
      <c r="E843" s="30"/>
      <c r="F843" s="30"/>
      <c r="G843" s="30"/>
      <c r="H843" s="30"/>
      <c r="I843" s="30"/>
    </row>
    <row r="844">
      <c r="A844" s="30"/>
      <c r="B844" s="30"/>
      <c r="C844" s="30"/>
      <c r="D844" s="30"/>
      <c r="E844" s="30"/>
      <c r="F844" s="30"/>
      <c r="G844" s="30"/>
      <c r="H844" s="30"/>
      <c r="I844" s="30"/>
    </row>
    <row r="845">
      <c r="A845" s="30"/>
      <c r="B845" s="30"/>
      <c r="C845" s="30"/>
      <c r="D845" s="30"/>
      <c r="E845" s="30"/>
      <c r="F845" s="30"/>
      <c r="G845" s="30"/>
      <c r="H845" s="30"/>
      <c r="I845" s="30"/>
    </row>
    <row r="846">
      <c r="A846" s="30"/>
      <c r="B846" s="30"/>
      <c r="C846" s="30"/>
      <c r="D846" s="30"/>
      <c r="E846" s="30"/>
      <c r="F846" s="30"/>
      <c r="G846" s="30"/>
      <c r="H846" s="30"/>
      <c r="I846" s="30"/>
    </row>
    <row r="847">
      <c r="A847" s="30"/>
      <c r="B847" s="30"/>
      <c r="C847" s="30"/>
      <c r="D847" s="30"/>
      <c r="E847" s="30"/>
      <c r="F847" s="30"/>
      <c r="G847" s="30"/>
      <c r="H847" s="30"/>
      <c r="I847" s="30"/>
    </row>
    <row r="848">
      <c r="A848" s="30"/>
      <c r="B848" s="30"/>
      <c r="C848" s="30"/>
      <c r="D848" s="30"/>
      <c r="E848" s="30"/>
      <c r="F848" s="30"/>
      <c r="G848" s="30"/>
      <c r="H848" s="30"/>
      <c r="I848" s="30"/>
    </row>
    <row r="849">
      <c r="A849" s="30"/>
      <c r="B849" s="30"/>
      <c r="C849" s="30"/>
      <c r="D849" s="30"/>
      <c r="E849" s="30"/>
      <c r="F849" s="30"/>
      <c r="G849" s="30"/>
      <c r="H849" s="30"/>
      <c r="I849" s="30"/>
    </row>
    <row r="850">
      <c r="A850" s="30"/>
      <c r="B850" s="30"/>
      <c r="C850" s="30"/>
      <c r="D850" s="30"/>
      <c r="E850" s="30"/>
      <c r="F850" s="30"/>
      <c r="G850" s="30"/>
      <c r="H850" s="30"/>
      <c r="I850" s="30"/>
    </row>
    <row r="851">
      <c r="A851" s="30"/>
      <c r="B851" s="30"/>
      <c r="C851" s="30"/>
      <c r="D851" s="30"/>
      <c r="E851" s="30"/>
      <c r="F851" s="30"/>
      <c r="G851" s="30"/>
      <c r="H851" s="30"/>
      <c r="I851" s="30"/>
    </row>
    <row r="852">
      <c r="A852" s="30"/>
      <c r="B852" s="30"/>
      <c r="C852" s="30"/>
      <c r="D852" s="30"/>
      <c r="E852" s="30"/>
      <c r="F852" s="30"/>
      <c r="G852" s="30"/>
      <c r="H852" s="30"/>
      <c r="I852" s="30"/>
    </row>
    <row r="853">
      <c r="A853" s="30"/>
      <c r="B853" s="30"/>
      <c r="C853" s="30"/>
      <c r="D853" s="30"/>
      <c r="E853" s="30"/>
      <c r="F853" s="30"/>
      <c r="G853" s="30"/>
      <c r="H853" s="30"/>
      <c r="I853" s="30"/>
    </row>
    <row r="854">
      <c r="A854" s="30"/>
      <c r="B854" s="30"/>
      <c r="C854" s="30"/>
      <c r="D854" s="30"/>
      <c r="E854" s="30"/>
      <c r="F854" s="30"/>
      <c r="G854" s="30"/>
      <c r="H854" s="30"/>
      <c r="I854" s="30"/>
    </row>
    <row r="855">
      <c r="A855" s="30"/>
      <c r="B855" s="30"/>
      <c r="C855" s="30"/>
      <c r="D855" s="30"/>
      <c r="E855" s="30"/>
      <c r="F855" s="30"/>
      <c r="G855" s="30"/>
      <c r="H855" s="30"/>
      <c r="I855" s="30"/>
    </row>
    <row r="856">
      <c r="A856" s="30"/>
      <c r="B856" s="30"/>
      <c r="C856" s="30"/>
      <c r="D856" s="30"/>
      <c r="E856" s="30"/>
      <c r="F856" s="30"/>
      <c r="G856" s="30"/>
      <c r="H856" s="30"/>
      <c r="I856" s="30"/>
    </row>
    <row r="857">
      <c r="A857" s="30"/>
      <c r="B857" s="30"/>
      <c r="C857" s="30"/>
      <c r="D857" s="30"/>
      <c r="E857" s="30"/>
      <c r="F857" s="30"/>
      <c r="G857" s="30"/>
      <c r="H857" s="30"/>
      <c r="I857" s="30"/>
    </row>
    <row r="858">
      <c r="A858" s="30"/>
      <c r="B858" s="30"/>
      <c r="C858" s="30"/>
      <c r="D858" s="30"/>
      <c r="E858" s="30"/>
      <c r="F858" s="30"/>
      <c r="G858" s="30"/>
      <c r="H858" s="30"/>
      <c r="I858" s="30"/>
    </row>
    <row r="859">
      <c r="A859" s="30"/>
      <c r="B859" s="30"/>
      <c r="C859" s="30"/>
      <c r="D859" s="30"/>
      <c r="E859" s="30"/>
      <c r="F859" s="30"/>
      <c r="G859" s="30"/>
      <c r="H859" s="30"/>
      <c r="I859" s="30"/>
    </row>
    <row r="860">
      <c r="A860" s="30"/>
      <c r="B860" s="30"/>
      <c r="C860" s="30"/>
      <c r="D860" s="30"/>
      <c r="E860" s="30"/>
      <c r="F860" s="30"/>
      <c r="G860" s="30"/>
      <c r="H860" s="30"/>
      <c r="I860" s="30"/>
    </row>
    <row r="861">
      <c r="A861" s="30"/>
      <c r="B861" s="30"/>
      <c r="C861" s="30"/>
      <c r="D861" s="30"/>
      <c r="E861" s="30"/>
      <c r="F861" s="30"/>
      <c r="G861" s="30"/>
      <c r="H861" s="30"/>
      <c r="I861" s="30"/>
    </row>
    <row r="862">
      <c r="A862" s="30"/>
      <c r="B862" s="30"/>
      <c r="C862" s="30"/>
      <c r="D862" s="30"/>
      <c r="E862" s="30"/>
      <c r="F862" s="30"/>
      <c r="G862" s="30"/>
      <c r="H862" s="30"/>
      <c r="I862" s="30"/>
    </row>
    <row r="863">
      <c r="A863" s="30"/>
      <c r="B863" s="30"/>
      <c r="C863" s="30"/>
      <c r="D863" s="30"/>
      <c r="E863" s="30"/>
      <c r="F863" s="30"/>
      <c r="G863" s="30"/>
      <c r="H863" s="30"/>
      <c r="I863" s="30"/>
    </row>
    <row r="864">
      <c r="A864" s="30"/>
      <c r="B864" s="30"/>
      <c r="C864" s="30"/>
      <c r="D864" s="30"/>
      <c r="E864" s="30"/>
      <c r="F864" s="30"/>
      <c r="G864" s="30"/>
      <c r="H864" s="30"/>
      <c r="I864" s="30"/>
    </row>
    <row r="865">
      <c r="A865" s="30"/>
      <c r="B865" s="30"/>
      <c r="C865" s="30"/>
      <c r="D865" s="30"/>
      <c r="E865" s="30"/>
      <c r="F865" s="30"/>
      <c r="G865" s="30"/>
      <c r="H865" s="30"/>
      <c r="I865" s="30"/>
    </row>
    <row r="866">
      <c r="A866" s="30"/>
      <c r="B866" s="30"/>
      <c r="C866" s="30"/>
      <c r="D866" s="30"/>
      <c r="E866" s="30"/>
      <c r="F866" s="30"/>
      <c r="G866" s="30"/>
      <c r="H866" s="30"/>
      <c r="I866" s="30"/>
    </row>
    <row r="867">
      <c r="A867" s="30"/>
      <c r="B867" s="30"/>
      <c r="C867" s="30"/>
      <c r="D867" s="30"/>
      <c r="E867" s="30"/>
      <c r="F867" s="30"/>
      <c r="G867" s="30"/>
      <c r="H867" s="30"/>
      <c r="I867" s="30"/>
    </row>
    <row r="868">
      <c r="A868" s="30"/>
      <c r="B868" s="30"/>
      <c r="C868" s="30"/>
      <c r="D868" s="30"/>
      <c r="E868" s="30"/>
      <c r="F868" s="30"/>
      <c r="G868" s="30"/>
      <c r="H868" s="30"/>
      <c r="I868" s="30"/>
    </row>
    <row r="869">
      <c r="A869" s="30"/>
      <c r="B869" s="30"/>
      <c r="C869" s="30"/>
      <c r="D869" s="30"/>
      <c r="E869" s="30"/>
      <c r="F869" s="30"/>
      <c r="G869" s="30"/>
      <c r="H869" s="30"/>
      <c r="I869" s="30"/>
    </row>
    <row r="870">
      <c r="A870" s="30"/>
      <c r="B870" s="30"/>
      <c r="C870" s="30"/>
      <c r="D870" s="30"/>
      <c r="E870" s="30"/>
      <c r="F870" s="30"/>
      <c r="G870" s="30"/>
      <c r="H870" s="30"/>
      <c r="I870" s="30"/>
    </row>
    <row r="871">
      <c r="A871" s="30"/>
      <c r="B871" s="30"/>
      <c r="C871" s="30"/>
      <c r="D871" s="30"/>
      <c r="E871" s="30"/>
      <c r="F871" s="30"/>
      <c r="G871" s="30"/>
      <c r="H871" s="30"/>
      <c r="I871" s="30"/>
    </row>
    <row r="872">
      <c r="A872" s="30"/>
      <c r="B872" s="30"/>
      <c r="C872" s="30"/>
      <c r="D872" s="30"/>
      <c r="E872" s="30"/>
      <c r="F872" s="30"/>
      <c r="G872" s="30"/>
      <c r="H872" s="30"/>
      <c r="I872" s="30"/>
    </row>
    <row r="873">
      <c r="A873" s="30"/>
      <c r="B873" s="30"/>
      <c r="C873" s="30"/>
      <c r="D873" s="30"/>
      <c r="E873" s="30"/>
      <c r="F873" s="30"/>
      <c r="G873" s="30"/>
      <c r="H873" s="30"/>
      <c r="I873" s="30"/>
    </row>
    <row r="874">
      <c r="A874" s="30"/>
      <c r="B874" s="30"/>
      <c r="C874" s="30"/>
      <c r="D874" s="30"/>
      <c r="E874" s="30"/>
      <c r="F874" s="30"/>
      <c r="G874" s="30"/>
      <c r="H874" s="30"/>
      <c r="I874" s="30"/>
    </row>
    <row r="875">
      <c r="A875" s="30"/>
      <c r="B875" s="30"/>
      <c r="C875" s="30"/>
      <c r="D875" s="30"/>
      <c r="E875" s="30"/>
      <c r="F875" s="30"/>
      <c r="G875" s="30"/>
      <c r="H875" s="30"/>
      <c r="I875" s="30"/>
    </row>
    <row r="876">
      <c r="A876" s="30"/>
      <c r="B876" s="30"/>
      <c r="C876" s="30"/>
      <c r="D876" s="30"/>
      <c r="E876" s="30"/>
      <c r="F876" s="30"/>
      <c r="G876" s="30"/>
      <c r="H876" s="30"/>
      <c r="I876" s="30"/>
    </row>
    <row r="877">
      <c r="A877" s="30"/>
      <c r="B877" s="30"/>
      <c r="C877" s="30"/>
      <c r="D877" s="30"/>
      <c r="E877" s="30"/>
      <c r="F877" s="30"/>
      <c r="G877" s="30"/>
      <c r="H877" s="30"/>
      <c r="I877" s="30"/>
    </row>
    <row r="878">
      <c r="A878" s="30"/>
      <c r="B878" s="30"/>
      <c r="C878" s="30"/>
      <c r="D878" s="30"/>
      <c r="E878" s="30"/>
      <c r="F878" s="30"/>
      <c r="G878" s="30"/>
      <c r="H878" s="30"/>
      <c r="I878" s="30"/>
    </row>
    <row r="879">
      <c r="A879" s="30"/>
      <c r="B879" s="30"/>
      <c r="C879" s="30"/>
      <c r="D879" s="30"/>
      <c r="E879" s="30"/>
      <c r="F879" s="30"/>
      <c r="G879" s="30"/>
      <c r="H879" s="30"/>
      <c r="I879" s="30"/>
    </row>
    <row r="880">
      <c r="A880" s="30"/>
      <c r="B880" s="30"/>
      <c r="C880" s="30"/>
      <c r="D880" s="30"/>
      <c r="E880" s="30"/>
      <c r="F880" s="30"/>
      <c r="G880" s="30"/>
      <c r="H880" s="30"/>
      <c r="I880" s="30"/>
    </row>
    <row r="881">
      <c r="A881" s="30"/>
      <c r="B881" s="30"/>
      <c r="C881" s="30"/>
      <c r="D881" s="30"/>
      <c r="E881" s="30"/>
      <c r="F881" s="30"/>
      <c r="G881" s="30"/>
      <c r="H881" s="30"/>
      <c r="I881" s="30"/>
    </row>
    <row r="882">
      <c r="A882" s="30"/>
      <c r="B882" s="30"/>
      <c r="C882" s="30"/>
      <c r="D882" s="30"/>
      <c r="E882" s="30"/>
      <c r="F882" s="30"/>
      <c r="G882" s="30"/>
      <c r="H882" s="30"/>
      <c r="I882" s="30"/>
    </row>
    <row r="883">
      <c r="A883" s="30"/>
      <c r="B883" s="30"/>
      <c r="C883" s="30"/>
      <c r="D883" s="30"/>
      <c r="E883" s="30"/>
      <c r="F883" s="30"/>
      <c r="G883" s="30"/>
      <c r="H883" s="30"/>
      <c r="I883" s="30"/>
    </row>
    <row r="884">
      <c r="A884" s="30"/>
      <c r="B884" s="30"/>
      <c r="C884" s="30"/>
      <c r="D884" s="30"/>
      <c r="E884" s="30"/>
      <c r="F884" s="30"/>
      <c r="G884" s="30"/>
      <c r="H884" s="30"/>
      <c r="I884" s="30"/>
    </row>
    <row r="885">
      <c r="A885" s="30"/>
      <c r="B885" s="30"/>
      <c r="C885" s="30"/>
      <c r="D885" s="30"/>
      <c r="E885" s="30"/>
      <c r="F885" s="30"/>
      <c r="G885" s="30"/>
      <c r="H885" s="30"/>
      <c r="I885" s="30"/>
    </row>
    <row r="886">
      <c r="A886" s="30"/>
      <c r="B886" s="30"/>
      <c r="C886" s="30"/>
      <c r="D886" s="30"/>
      <c r="E886" s="30"/>
      <c r="F886" s="30"/>
      <c r="G886" s="30"/>
      <c r="H886" s="30"/>
      <c r="I886" s="30"/>
    </row>
    <row r="887">
      <c r="A887" s="30"/>
      <c r="B887" s="30"/>
      <c r="C887" s="30"/>
      <c r="D887" s="30"/>
      <c r="E887" s="30"/>
      <c r="F887" s="30"/>
      <c r="G887" s="30"/>
      <c r="H887" s="30"/>
      <c r="I887" s="30"/>
    </row>
    <row r="888">
      <c r="A888" s="30"/>
      <c r="B888" s="30"/>
      <c r="C888" s="30"/>
      <c r="D888" s="30"/>
      <c r="E888" s="30"/>
      <c r="F888" s="30"/>
      <c r="G888" s="30"/>
      <c r="H888" s="30"/>
      <c r="I888" s="30"/>
    </row>
    <row r="889">
      <c r="A889" s="30"/>
      <c r="B889" s="30"/>
      <c r="C889" s="30"/>
      <c r="D889" s="30"/>
      <c r="E889" s="30"/>
      <c r="F889" s="30"/>
      <c r="G889" s="30"/>
      <c r="H889" s="30"/>
      <c r="I889" s="30"/>
    </row>
    <row r="890">
      <c r="A890" s="30"/>
      <c r="B890" s="30"/>
      <c r="C890" s="30"/>
      <c r="D890" s="30"/>
      <c r="E890" s="30"/>
      <c r="F890" s="30"/>
      <c r="G890" s="30"/>
      <c r="H890" s="30"/>
      <c r="I890" s="30"/>
    </row>
    <row r="891">
      <c r="A891" s="30"/>
      <c r="B891" s="30"/>
      <c r="C891" s="30"/>
      <c r="D891" s="30"/>
      <c r="E891" s="30"/>
      <c r="F891" s="30"/>
      <c r="G891" s="30"/>
      <c r="H891" s="30"/>
      <c r="I891" s="30"/>
    </row>
    <row r="892">
      <c r="A892" s="30"/>
      <c r="B892" s="30"/>
      <c r="C892" s="30"/>
      <c r="D892" s="30"/>
      <c r="E892" s="30"/>
      <c r="F892" s="30"/>
      <c r="G892" s="30"/>
      <c r="H892" s="30"/>
      <c r="I892" s="30"/>
    </row>
    <row r="893">
      <c r="A893" s="30"/>
      <c r="B893" s="30"/>
      <c r="C893" s="30"/>
      <c r="D893" s="30"/>
      <c r="E893" s="30"/>
      <c r="F893" s="30"/>
      <c r="G893" s="30"/>
      <c r="H893" s="30"/>
      <c r="I893" s="30"/>
    </row>
    <row r="894">
      <c r="A894" s="30"/>
      <c r="B894" s="30"/>
      <c r="C894" s="30"/>
      <c r="D894" s="30"/>
      <c r="E894" s="30"/>
      <c r="F894" s="30"/>
      <c r="G894" s="30"/>
      <c r="H894" s="30"/>
      <c r="I894" s="30"/>
    </row>
    <row r="895">
      <c r="A895" s="30"/>
      <c r="B895" s="30"/>
      <c r="C895" s="30"/>
      <c r="D895" s="30"/>
      <c r="E895" s="30"/>
      <c r="F895" s="30"/>
      <c r="G895" s="30"/>
      <c r="H895" s="30"/>
      <c r="I895" s="30"/>
    </row>
    <row r="896">
      <c r="A896" s="30"/>
      <c r="B896" s="30"/>
      <c r="C896" s="30"/>
      <c r="D896" s="30"/>
      <c r="E896" s="30"/>
      <c r="F896" s="30"/>
      <c r="G896" s="30"/>
      <c r="H896" s="30"/>
      <c r="I896" s="30"/>
    </row>
    <row r="897">
      <c r="A897" s="30"/>
      <c r="B897" s="30"/>
      <c r="C897" s="30"/>
      <c r="D897" s="30"/>
      <c r="E897" s="30"/>
      <c r="F897" s="30"/>
      <c r="G897" s="30"/>
      <c r="H897" s="30"/>
      <c r="I897" s="30"/>
    </row>
    <row r="898">
      <c r="A898" s="30"/>
      <c r="B898" s="30"/>
      <c r="C898" s="30"/>
      <c r="D898" s="30"/>
      <c r="E898" s="30"/>
      <c r="F898" s="30"/>
      <c r="G898" s="30"/>
      <c r="H898" s="30"/>
      <c r="I898" s="30"/>
    </row>
    <row r="899">
      <c r="A899" s="30"/>
      <c r="B899" s="30"/>
      <c r="C899" s="30"/>
      <c r="D899" s="30"/>
      <c r="E899" s="30"/>
      <c r="F899" s="30"/>
      <c r="G899" s="30"/>
      <c r="H899" s="30"/>
      <c r="I899" s="30"/>
    </row>
    <row r="900">
      <c r="A900" s="30"/>
      <c r="B900" s="30"/>
      <c r="C900" s="30"/>
      <c r="D900" s="30"/>
      <c r="E900" s="30"/>
      <c r="F900" s="30"/>
      <c r="G900" s="30"/>
      <c r="H900" s="30"/>
      <c r="I900" s="30"/>
    </row>
    <row r="901">
      <c r="A901" s="30"/>
      <c r="B901" s="30"/>
      <c r="C901" s="30"/>
      <c r="D901" s="30"/>
      <c r="E901" s="30"/>
      <c r="F901" s="30"/>
      <c r="G901" s="30"/>
      <c r="H901" s="30"/>
      <c r="I901" s="30"/>
    </row>
    <row r="902">
      <c r="A902" s="30"/>
      <c r="B902" s="30"/>
      <c r="C902" s="30"/>
      <c r="D902" s="30"/>
      <c r="E902" s="30"/>
      <c r="F902" s="30"/>
      <c r="G902" s="30"/>
      <c r="H902" s="30"/>
      <c r="I902" s="30"/>
    </row>
    <row r="903">
      <c r="A903" s="30"/>
      <c r="B903" s="30"/>
      <c r="C903" s="30"/>
      <c r="D903" s="30"/>
      <c r="E903" s="30"/>
      <c r="F903" s="30"/>
      <c r="G903" s="30"/>
      <c r="H903" s="30"/>
      <c r="I903" s="30"/>
    </row>
    <row r="904">
      <c r="A904" s="30"/>
      <c r="B904" s="30"/>
      <c r="C904" s="30"/>
      <c r="D904" s="30"/>
      <c r="E904" s="30"/>
      <c r="F904" s="30"/>
      <c r="G904" s="30"/>
      <c r="H904" s="30"/>
      <c r="I904" s="30"/>
    </row>
    <row r="905">
      <c r="A905" s="30"/>
      <c r="B905" s="30"/>
      <c r="C905" s="30"/>
      <c r="D905" s="30"/>
      <c r="E905" s="30"/>
      <c r="F905" s="30"/>
      <c r="G905" s="30"/>
      <c r="H905" s="30"/>
      <c r="I905" s="30"/>
    </row>
    <row r="906">
      <c r="A906" s="30"/>
      <c r="B906" s="30"/>
      <c r="C906" s="30"/>
      <c r="D906" s="30"/>
      <c r="E906" s="30"/>
      <c r="F906" s="30"/>
      <c r="G906" s="30"/>
      <c r="H906" s="30"/>
      <c r="I906" s="30"/>
    </row>
    <row r="907">
      <c r="A907" s="30"/>
      <c r="B907" s="30"/>
      <c r="C907" s="30"/>
      <c r="D907" s="30"/>
      <c r="E907" s="30"/>
      <c r="F907" s="30"/>
      <c r="G907" s="30"/>
      <c r="H907" s="30"/>
      <c r="I907" s="30"/>
    </row>
    <row r="908">
      <c r="A908" s="30"/>
      <c r="B908" s="30"/>
      <c r="C908" s="30"/>
      <c r="D908" s="30"/>
      <c r="E908" s="30"/>
      <c r="F908" s="30"/>
      <c r="G908" s="30"/>
      <c r="H908" s="30"/>
      <c r="I908" s="30"/>
    </row>
    <row r="909">
      <c r="A909" s="30"/>
      <c r="B909" s="30"/>
      <c r="C909" s="30"/>
      <c r="D909" s="30"/>
      <c r="E909" s="30"/>
      <c r="F909" s="30"/>
      <c r="G909" s="30"/>
      <c r="H909" s="30"/>
      <c r="I909" s="30"/>
    </row>
    <row r="910">
      <c r="A910" s="30"/>
      <c r="B910" s="30"/>
      <c r="C910" s="30"/>
      <c r="D910" s="30"/>
      <c r="E910" s="30"/>
      <c r="F910" s="30"/>
      <c r="G910" s="30"/>
      <c r="H910" s="30"/>
      <c r="I910" s="30"/>
    </row>
    <row r="911">
      <c r="A911" s="30"/>
      <c r="B911" s="30"/>
      <c r="C911" s="30"/>
      <c r="D911" s="30"/>
      <c r="E911" s="30"/>
      <c r="F911" s="30"/>
      <c r="G911" s="30"/>
      <c r="H911" s="30"/>
      <c r="I911" s="30"/>
    </row>
    <row r="912">
      <c r="A912" s="30"/>
      <c r="B912" s="30"/>
      <c r="C912" s="30"/>
      <c r="D912" s="30"/>
      <c r="E912" s="30"/>
      <c r="F912" s="30"/>
      <c r="G912" s="30"/>
      <c r="H912" s="30"/>
      <c r="I912" s="30"/>
    </row>
    <row r="913">
      <c r="A913" s="30"/>
      <c r="B913" s="30"/>
      <c r="C913" s="30"/>
      <c r="D913" s="30"/>
      <c r="E913" s="30"/>
      <c r="F913" s="30"/>
      <c r="G913" s="30"/>
      <c r="H913" s="30"/>
      <c r="I913" s="30"/>
    </row>
    <row r="914">
      <c r="A914" s="30"/>
      <c r="B914" s="30"/>
      <c r="C914" s="30"/>
      <c r="D914" s="30"/>
      <c r="E914" s="30"/>
      <c r="F914" s="30"/>
      <c r="G914" s="30"/>
      <c r="H914" s="30"/>
      <c r="I914" s="30"/>
    </row>
    <row r="915">
      <c r="A915" s="30"/>
      <c r="B915" s="30"/>
      <c r="C915" s="30"/>
      <c r="D915" s="30"/>
      <c r="E915" s="30"/>
      <c r="F915" s="30"/>
      <c r="G915" s="30"/>
      <c r="H915" s="30"/>
      <c r="I915" s="30"/>
    </row>
    <row r="916">
      <c r="A916" s="30"/>
      <c r="B916" s="30"/>
      <c r="C916" s="30"/>
      <c r="D916" s="30"/>
      <c r="E916" s="30"/>
      <c r="F916" s="30"/>
      <c r="G916" s="30"/>
      <c r="H916" s="30"/>
      <c r="I916" s="30"/>
    </row>
    <row r="917">
      <c r="A917" s="30"/>
      <c r="B917" s="30"/>
      <c r="C917" s="30"/>
      <c r="D917" s="30"/>
      <c r="E917" s="30"/>
      <c r="F917" s="30"/>
      <c r="G917" s="30"/>
      <c r="H917" s="30"/>
      <c r="I917" s="30"/>
    </row>
    <row r="918">
      <c r="A918" s="30"/>
      <c r="B918" s="30"/>
      <c r="C918" s="30"/>
      <c r="D918" s="30"/>
      <c r="E918" s="30"/>
      <c r="F918" s="30"/>
      <c r="G918" s="30"/>
      <c r="H918" s="30"/>
      <c r="I918" s="30"/>
    </row>
    <row r="919">
      <c r="A919" s="30"/>
      <c r="B919" s="30"/>
      <c r="C919" s="30"/>
      <c r="D919" s="30"/>
      <c r="E919" s="30"/>
      <c r="F919" s="30"/>
      <c r="G919" s="30"/>
      <c r="H919" s="30"/>
      <c r="I919" s="30"/>
    </row>
    <row r="920">
      <c r="A920" s="30"/>
      <c r="B920" s="30"/>
      <c r="C920" s="30"/>
      <c r="D920" s="30"/>
      <c r="E920" s="30"/>
      <c r="F920" s="30"/>
      <c r="G920" s="30"/>
      <c r="H920" s="30"/>
      <c r="I920" s="30"/>
    </row>
    <row r="921">
      <c r="A921" s="30"/>
      <c r="B921" s="30"/>
      <c r="C921" s="30"/>
      <c r="D921" s="30"/>
      <c r="E921" s="30"/>
      <c r="F921" s="30"/>
      <c r="G921" s="30"/>
      <c r="H921" s="30"/>
      <c r="I921" s="30"/>
    </row>
    <row r="922">
      <c r="A922" s="30"/>
      <c r="B922" s="30"/>
      <c r="C922" s="30"/>
      <c r="D922" s="30"/>
      <c r="E922" s="30"/>
      <c r="F922" s="30"/>
      <c r="G922" s="30"/>
      <c r="H922" s="30"/>
      <c r="I922" s="30"/>
    </row>
    <row r="923">
      <c r="A923" s="30"/>
      <c r="B923" s="30"/>
      <c r="C923" s="30"/>
      <c r="D923" s="30"/>
      <c r="E923" s="30"/>
      <c r="F923" s="30"/>
      <c r="G923" s="30"/>
      <c r="H923" s="30"/>
      <c r="I923" s="30"/>
    </row>
    <row r="924">
      <c r="A924" s="30"/>
      <c r="B924" s="30"/>
      <c r="C924" s="30"/>
      <c r="D924" s="30"/>
      <c r="E924" s="30"/>
      <c r="F924" s="30"/>
      <c r="G924" s="30"/>
      <c r="H924" s="30"/>
      <c r="I924" s="30"/>
    </row>
    <row r="925">
      <c r="A925" s="30"/>
      <c r="B925" s="30"/>
      <c r="C925" s="30"/>
      <c r="D925" s="30"/>
      <c r="E925" s="30"/>
      <c r="F925" s="30"/>
      <c r="G925" s="30"/>
      <c r="H925" s="30"/>
      <c r="I925" s="30"/>
    </row>
    <row r="926">
      <c r="A926" s="30"/>
      <c r="B926" s="30"/>
      <c r="C926" s="30"/>
      <c r="D926" s="30"/>
      <c r="E926" s="30"/>
      <c r="F926" s="30"/>
      <c r="G926" s="30"/>
      <c r="H926" s="30"/>
      <c r="I926" s="30"/>
    </row>
    <row r="927">
      <c r="A927" s="30"/>
      <c r="B927" s="30"/>
      <c r="C927" s="30"/>
      <c r="D927" s="30"/>
      <c r="E927" s="30"/>
      <c r="F927" s="30"/>
      <c r="G927" s="30"/>
      <c r="H927" s="30"/>
      <c r="I927" s="30"/>
    </row>
    <row r="928">
      <c r="A928" s="30"/>
      <c r="B928" s="30"/>
      <c r="C928" s="30"/>
      <c r="D928" s="30"/>
      <c r="E928" s="30"/>
      <c r="F928" s="30"/>
      <c r="G928" s="30"/>
      <c r="H928" s="30"/>
      <c r="I928" s="30"/>
    </row>
    <row r="929">
      <c r="A929" s="30"/>
      <c r="B929" s="30"/>
      <c r="C929" s="30"/>
      <c r="D929" s="30"/>
      <c r="E929" s="30"/>
      <c r="F929" s="30"/>
      <c r="G929" s="30"/>
      <c r="H929" s="30"/>
      <c r="I929" s="30"/>
    </row>
    <row r="930">
      <c r="A930" s="30"/>
      <c r="B930" s="30"/>
      <c r="C930" s="30"/>
      <c r="D930" s="30"/>
      <c r="E930" s="30"/>
      <c r="F930" s="30"/>
      <c r="G930" s="30"/>
      <c r="H930" s="30"/>
      <c r="I930" s="30"/>
    </row>
    <row r="931">
      <c r="A931" s="30"/>
      <c r="B931" s="30"/>
      <c r="C931" s="30"/>
      <c r="D931" s="30"/>
      <c r="E931" s="30"/>
      <c r="F931" s="30"/>
      <c r="G931" s="30"/>
      <c r="H931" s="30"/>
      <c r="I931" s="30"/>
    </row>
    <row r="932">
      <c r="A932" s="30"/>
      <c r="B932" s="30"/>
      <c r="C932" s="30"/>
      <c r="D932" s="30"/>
      <c r="E932" s="30"/>
      <c r="F932" s="30"/>
      <c r="G932" s="30"/>
      <c r="H932" s="30"/>
      <c r="I932" s="30"/>
    </row>
    <row r="933">
      <c r="A933" s="30"/>
      <c r="B933" s="30"/>
      <c r="C933" s="30"/>
      <c r="D933" s="30"/>
      <c r="E933" s="30"/>
      <c r="F933" s="30"/>
      <c r="G933" s="30"/>
      <c r="H933" s="30"/>
      <c r="I933" s="30"/>
    </row>
    <row r="934">
      <c r="A934" s="30"/>
      <c r="B934" s="30"/>
      <c r="C934" s="30"/>
      <c r="D934" s="30"/>
      <c r="E934" s="30"/>
      <c r="F934" s="30"/>
      <c r="G934" s="30"/>
      <c r="H934" s="30"/>
      <c r="I934" s="30"/>
    </row>
    <row r="935">
      <c r="A935" s="30"/>
      <c r="B935" s="30"/>
      <c r="C935" s="30"/>
      <c r="D935" s="30"/>
      <c r="E935" s="30"/>
      <c r="F935" s="30"/>
      <c r="G935" s="30"/>
      <c r="H935" s="30"/>
      <c r="I935" s="30"/>
    </row>
    <row r="936">
      <c r="A936" s="30"/>
      <c r="B936" s="30"/>
      <c r="C936" s="30"/>
      <c r="D936" s="30"/>
      <c r="E936" s="30"/>
      <c r="F936" s="30"/>
      <c r="G936" s="30"/>
      <c r="H936" s="30"/>
      <c r="I936" s="30"/>
    </row>
    <row r="937">
      <c r="A937" s="30"/>
      <c r="B937" s="30"/>
      <c r="C937" s="30"/>
      <c r="D937" s="30"/>
      <c r="E937" s="30"/>
      <c r="F937" s="30"/>
      <c r="G937" s="30"/>
      <c r="H937" s="30"/>
      <c r="I937" s="30"/>
    </row>
    <row r="938">
      <c r="A938" s="30"/>
      <c r="B938" s="30"/>
      <c r="C938" s="30"/>
      <c r="D938" s="30"/>
      <c r="E938" s="30"/>
      <c r="F938" s="30"/>
      <c r="G938" s="30"/>
      <c r="H938" s="30"/>
      <c r="I938" s="30"/>
    </row>
    <row r="939">
      <c r="A939" s="30"/>
      <c r="B939" s="30"/>
      <c r="C939" s="30"/>
      <c r="D939" s="30"/>
      <c r="E939" s="30"/>
      <c r="F939" s="30"/>
      <c r="G939" s="30"/>
      <c r="H939" s="30"/>
      <c r="I939" s="30"/>
    </row>
    <row r="940">
      <c r="A940" s="30"/>
      <c r="B940" s="30"/>
      <c r="C940" s="30"/>
      <c r="D940" s="30"/>
      <c r="E940" s="30"/>
      <c r="F940" s="30"/>
      <c r="G940" s="30"/>
      <c r="H940" s="30"/>
      <c r="I940" s="30"/>
    </row>
    <row r="941">
      <c r="A941" s="30"/>
      <c r="B941" s="30"/>
      <c r="C941" s="30"/>
      <c r="D941" s="30"/>
      <c r="E941" s="30"/>
      <c r="F941" s="30"/>
      <c r="G941" s="30"/>
      <c r="H941" s="30"/>
      <c r="I941" s="30"/>
    </row>
    <row r="942">
      <c r="A942" s="30"/>
      <c r="B942" s="30"/>
      <c r="C942" s="30"/>
      <c r="D942" s="30"/>
      <c r="E942" s="30"/>
      <c r="F942" s="30"/>
      <c r="G942" s="30"/>
      <c r="H942" s="30"/>
      <c r="I942" s="30"/>
    </row>
    <row r="943">
      <c r="A943" s="30"/>
      <c r="B943" s="30"/>
      <c r="C943" s="30"/>
      <c r="D943" s="30"/>
      <c r="E943" s="30"/>
      <c r="F943" s="30"/>
      <c r="G943" s="30"/>
      <c r="H943" s="30"/>
      <c r="I943" s="30"/>
    </row>
    <row r="944">
      <c r="A944" s="30"/>
      <c r="B944" s="30"/>
      <c r="C944" s="30"/>
      <c r="D944" s="30"/>
      <c r="E944" s="30"/>
      <c r="F944" s="30"/>
      <c r="G944" s="30"/>
      <c r="H944" s="30"/>
      <c r="I944" s="30"/>
    </row>
    <row r="945">
      <c r="A945" s="30"/>
      <c r="B945" s="30"/>
      <c r="C945" s="30"/>
      <c r="D945" s="30"/>
      <c r="E945" s="30"/>
      <c r="F945" s="30"/>
      <c r="G945" s="30"/>
      <c r="H945" s="30"/>
      <c r="I945" s="30"/>
    </row>
    <row r="946">
      <c r="A946" s="30"/>
      <c r="B946" s="30"/>
      <c r="C946" s="30"/>
      <c r="D946" s="30"/>
      <c r="E946" s="30"/>
      <c r="F946" s="30"/>
      <c r="G946" s="30"/>
      <c r="H946" s="30"/>
      <c r="I946" s="30"/>
    </row>
    <row r="947">
      <c r="A947" s="30"/>
      <c r="B947" s="30"/>
      <c r="C947" s="30"/>
      <c r="D947" s="30"/>
      <c r="E947" s="30"/>
      <c r="F947" s="30"/>
      <c r="G947" s="30"/>
      <c r="H947" s="30"/>
      <c r="I947" s="30"/>
    </row>
    <row r="948">
      <c r="A948" s="30"/>
      <c r="B948" s="30"/>
      <c r="C948" s="30"/>
      <c r="D948" s="30"/>
      <c r="E948" s="30"/>
      <c r="F948" s="30"/>
      <c r="G948" s="30"/>
      <c r="H948" s="30"/>
      <c r="I948" s="30"/>
    </row>
    <row r="949">
      <c r="A949" s="30"/>
      <c r="B949" s="30"/>
      <c r="C949" s="30"/>
      <c r="D949" s="30"/>
      <c r="E949" s="30"/>
      <c r="F949" s="30"/>
      <c r="G949" s="30"/>
      <c r="H949" s="30"/>
      <c r="I949" s="30"/>
    </row>
    <row r="950">
      <c r="A950" s="30"/>
      <c r="B950" s="30"/>
      <c r="C950" s="30"/>
      <c r="D950" s="30"/>
      <c r="E950" s="30"/>
      <c r="F950" s="30"/>
      <c r="G950" s="30"/>
      <c r="H950" s="30"/>
      <c r="I950" s="30"/>
    </row>
    <row r="951">
      <c r="A951" s="30"/>
      <c r="B951" s="30"/>
      <c r="C951" s="30"/>
      <c r="D951" s="30"/>
      <c r="E951" s="30"/>
      <c r="F951" s="30"/>
      <c r="G951" s="30"/>
      <c r="H951" s="30"/>
      <c r="I951" s="30"/>
    </row>
    <row r="952">
      <c r="A952" s="30"/>
      <c r="B952" s="30"/>
      <c r="C952" s="30"/>
      <c r="D952" s="30"/>
      <c r="E952" s="30"/>
      <c r="F952" s="30"/>
      <c r="G952" s="30"/>
      <c r="H952" s="30"/>
      <c r="I952" s="30"/>
    </row>
    <row r="953">
      <c r="A953" s="30"/>
      <c r="B953" s="30"/>
      <c r="C953" s="30"/>
      <c r="D953" s="30"/>
      <c r="E953" s="30"/>
      <c r="F953" s="30"/>
      <c r="G953" s="30"/>
      <c r="H953" s="30"/>
      <c r="I953" s="30"/>
    </row>
    <row r="954">
      <c r="A954" s="30"/>
      <c r="B954" s="30"/>
      <c r="C954" s="30"/>
      <c r="D954" s="30"/>
      <c r="E954" s="30"/>
      <c r="F954" s="30"/>
      <c r="G954" s="30"/>
      <c r="H954" s="30"/>
      <c r="I954" s="30"/>
    </row>
    <row r="955">
      <c r="A955" s="30"/>
      <c r="B955" s="30"/>
      <c r="C955" s="30"/>
      <c r="D955" s="30"/>
      <c r="E955" s="30"/>
      <c r="F955" s="30"/>
      <c r="G955" s="30"/>
      <c r="H955" s="30"/>
      <c r="I955" s="30"/>
    </row>
    <row r="956">
      <c r="A956" s="30"/>
      <c r="B956" s="30"/>
      <c r="C956" s="30"/>
      <c r="D956" s="30"/>
      <c r="E956" s="30"/>
      <c r="F956" s="30"/>
      <c r="G956" s="30"/>
      <c r="H956" s="30"/>
      <c r="I956" s="30"/>
    </row>
    <row r="957">
      <c r="A957" s="30"/>
      <c r="B957" s="30"/>
      <c r="C957" s="30"/>
      <c r="D957" s="30"/>
      <c r="E957" s="30"/>
      <c r="F957" s="30"/>
      <c r="G957" s="30"/>
      <c r="H957" s="30"/>
      <c r="I957" s="30"/>
    </row>
    <row r="958">
      <c r="A958" s="30"/>
      <c r="B958" s="30"/>
      <c r="C958" s="30"/>
      <c r="D958" s="30"/>
      <c r="E958" s="30"/>
      <c r="F958" s="30"/>
      <c r="G958" s="30"/>
      <c r="H958" s="30"/>
      <c r="I958" s="30"/>
    </row>
    <row r="959">
      <c r="A959" s="30"/>
      <c r="B959" s="30"/>
      <c r="C959" s="30"/>
      <c r="D959" s="30"/>
      <c r="E959" s="30"/>
      <c r="F959" s="30"/>
      <c r="G959" s="30"/>
      <c r="H959" s="30"/>
      <c r="I959" s="30"/>
    </row>
    <row r="960">
      <c r="A960" s="30"/>
      <c r="B960" s="30"/>
      <c r="C960" s="30"/>
      <c r="D960" s="30"/>
      <c r="E960" s="30"/>
      <c r="F960" s="30"/>
      <c r="G960" s="30"/>
      <c r="H960" s="30"/>
      <c r="I960" s="30"/>
    </row>
    <row r="961">
      <c r="A961" s="30"/>
      <c r="B961" s="30"/>
      <c r="C961" s="30"/>
      <c r="D961" s="30"/>
      <c r="E961" s="30"/>
      <c r="F961" s="30"/>
      <c r="G961" s="30"/>
      <c r="H961" s="30"/>
      <c r="I961" s="30"/>
    </row>
    <row r="962">
      <c r="A962" s="30"/>
      <c r="B962" s="30"/>
      <c r="C962" s="30"/>
      <c r="D962" s="30"/>
      <c r="E962" s="30"/>
      <c r="F962" s="30"/>
      <c r="G962" s="30"/>
      <c r="H962" s="30"/>
      <c r="I962" s="30"/>
    </row>
    <row r="963">
      <c r="A963" s="30"/>
      <c r="B963" s="30"/>
      <c r="C963" s="30"/>
      <c r="D963" s="30"/>
      <c r="E963" s="30"/>
      <c r="F963" s="30"/>
      <c r="G963" s="30"/>
      <c r="H963" s="30"/>
      <c r="I963" s="30"/>
    </row>
    <row r="964">
      <c r="A964" s="30"/>
      <c r="B964" s="30"/>
      <c r="C964" s="30"/>
      <c r="D964" s="30"/>
      <c r="E964" s="30"/>
      <c r="F964" s="30"/>
      <c r="G964" s="30"/>
      <c r="H964" s="30"/>
      <c r="I964" s="30"/>
    </row>
    <row r="965">
      <c r="A965" s="30"/>
      <c r="B965" s="30"/>
      <c r="C965" s="30"/>
      <c r="D965" s="30"/>
      <c r="E965" s="30"/>
      <c r="F965" s="30"/>
      <c r="G965" s="30"/>
      <c r="H965" s="30"/>
      <c r="I965" s="30"/>
    </row>
    <row r="966">
      <c r="A966" s="30"/>
      <c r="B966" s="30"/>
      <c r="C966" s="30"/>
      <c r="D966" s="30"/>
      <c r="E966" s="30"/>
      <c r="F966" s="30"/>
      <c r="G966" s="30"/>
      <c r="H966" s="30"/>
      <c r="I966" s="30"/>
    </row>
    <row r="967">
      <c r="A967" s="30"/>
      <c r="B967" s="30"/>
      <c r="C967" s="30"/>
      <c r="D967" s="30"/>
      <c r="E967" s="30"/>
      <c r="F967" s="30"/>
      <c r="G967" s="30"/>
      <c r="H967" s="30"/>
      <c r="I967" s="30"/>
    </row>
    <row r="968">
      <c r="A968" s="30"/>
      <c r="B968" s="30"/>
      <c r="C968" s="30"/>
      <c r="D968" s="30"/>
      <c r="E968" s="30"/>
      <c r="F968" s="30"/>
      <c r="G968" s="30"/>
      <c r="H968" s="30"/>
      <c r="I968" s="30"/>
    </row>
    <row r="969">
      <c r="A969" s="30"/>
      <c r="B969" s="30"/>
      <c r="C969" s="30"/>
      <c r="D969" s="30"/>
      <c r="E969" s="30"/>
      <c r="F969" s="30"/>
      <c r="G969" s="30"/>
      <c r="H969" s="30"/>
      <c r="I969" s="30"/>
    </row>
    <row r="970">
      <c r="A970" s="30"/>
      <c r="B970" s="30"/>
      <c r="C970" s="30"/>
      <c r="D970" s="30"/>
      <c r="E970" s="30"/>
      <c r="F970" s="30"/>
      <c r="G970" s="30"/>
      <c r="H970" s="30"/>
      <c r="I970" s="30"/>
    </row>
    <row r="971">
      <c r="A971" s="30"/>
      <c r="B971" s="30"/>
      <c r="C971" s="30"/>
      <c r="D971" s="30"/>
      <c r="E971" s="30"/>
      <c r="F971" s="30"/>
      <c r="G971" s="30"/>
      <c r="H971" s="30"/>
      <c r="I971" s="30"/>
    </row>
    <row r="972">
      <c r="A972" s="30"/>
      <c r="B972" s="30"/>
      <c r="C972" s="30"/>
      <c r="D972" s="30"/>
      <c r="E972" s="30"/>
      <c r="F972" s="30"/>
      <c r="G972" s="30"/>
      <c r="H972" s="30"/>
      <c r="I972" s="30"/>
    </row>
    <row r="973">
      <c r="A973" s="30"/>
      <c r="B973" s="30"/>
      <c r="C973" s="30"/>
      <c r="D973" s="30"/>
      <c r="E973" s="30"/>
      <c r="F973" s="30"/>
      <c r="G973" s="30"/>
      <c r="H973" s="30"/>
      <c r="I973" s="30"/>
    </row>
    <row r="974">
      <c r="A974" s="30"/>
      <c r="B974" s="30"/>
      <c r="C974" s="30"/>
      <c r="D974" s="30"/>
      <c r="E974" s="30"/>
      <c r="F974" s="30"/>
      <c r="G974" s="30"/>
      <c r="H974" s="30"/>
      <c r="I974" s="30"/>
    </row>
    <row r="975">
      <c r="A975" s="30"/>
      <c r="B975" s="30"/>
      <c r="C975" s="30"/>
      <c r="D975" s="30"/>
      <c r="E975" s="30"/>
      <c r="F975" s="30"/>
      <c r="G975" s="30"/>
      <c r="H975" s="30"/>
      <c r="I975" s="30"/>
    </row>
    <row r="976">
      <c r="A976" s="30"/>
      <c r="B976" s="30"/>
      <c r="C976" s="30"/>
      <c r="D976" s="30"/>
      <c r="E976" s="30"/>
      <c r="F976" s="30"/>
      <c r="G976" s="30"/>
      <c r="H976" s="30"/>
      <c r="I976" s="30"/>
    </row>
    <row r="977">
      <c r="A977" s="30"/>
      <c r="B977" s="30"/>
      <c r="C977" s="30"/>
      <c r="D977" s="30"/>
      <c r="E977" s="30"/>
      <c r="F977" s="30"/>
      <c r="G977" s="30"/>
      <c r="H977" s="30"/>
      <c r="I977" s="30"/>
    </row>
    <row r="978">
      <c r="A978" s="30"/>
      <c r="B978" s="30"/>
      <c r="C978" s="30"/>
      <c r="D978" s="30"/>
      <c r="E978" s="30"/>
      <c r="F978" s="30"/>
      <c r="G978" s="30"/>
      <c r="H978" s="30"/>
      <c r="I978" s="30"/>
    </row>
    <row r="979">
      <c r="A979" s="30"/>
      <c r="B979" s="30"/>
      <c r="C979" s="30"/>
      <c r="D979" s="30"/>
      <c r="E979" s="30"/>
      <c r="F979" s="30"/>
      <c r="G979" s="30"/>
      <c r="H979" s="30"/>
      <c r="I979" s="30"/>
    </row>
    <row r="980">
      <c r="A980" s="30"/>
      <c r="B980" s="30"/>
      <c r="C980" s="30"/>
      <c r="D980" s="30"/>
      <c r="E980" s="30"/>
      <c r="F980" s="30"/>
      <c r="G980" s="30"/>
      <c r="H980" s="30"/>
      <c r="I980" s="30"/>
    </row>
    <row r="981">
      <c r="A981" s="30"/>
      <c r="B981" s="30"/>
      <c r="C981" s="30"/>
      <c r="D981" s="30"/>
      <c r="E981" s="30"/>
      <c r="F981" s="30"/>
      <c r="G981" s="30"/>
      <c r="H981" s="30"/>
      <c r="I981" s="30"/>
    </row>
    <row r="982">
      <c r="A982" s="30"/>
      <c r="B982" s="30"/>
      <c r="C982" s="30"/>
      <c r="D982" s="30"/>
      <c r="E982" s="30"/>
      <c r="F982" s="30"/>
      <c r="G982" s="30"/>
      <c r="H982" s="30"/>
      <c r="I982" s="30"/>
    </row>
    <row r="983">
      <c r="A983" s="30"/>
      <c r="B983" s="30"/>
      <c r="C983" s="30"/>
      <c r="D983" s="30"/>
      <c r="E983" s="30"/>
      <c r="F983" s="30"/>
      <c r="G983" s="30"/>
      <c r="H983" s="30"/>
      <c r="I983" s="30"/>
    </row>
    <row r="984">
      <c r="A984" s="30"/>
      <c r="B984" s="30"/>
      <c r="C984" s="30"/>
      <c r="D984" s="30"/>
      <c r="E984" s="30"/>
      <c r="F984" s="30"/>
      <c r="G984" s="30"/>
      <c r="H984" s="30"/>
      <c r="I984" s="30"/>
    </row>
    <row r="985">
      <c r="A985" s="30"/>
      <c r="B985" s="30"/>
      <c r="C985" s="30"/>
      <c r="D985" s="30"/>
      <c r="E985" s="30"/>
      <c r="F985" s="30"/>
      <c r="G985" s="30"/>
      <c r="H985" s="30"/>
      <c r="I985" s="30"/>
    </row>
    <row r="986">
      <c r="A986" s="30"/>
      <c r="B986" s="30"/>
      <c r="C986" s="30"/>
      <c r="D986" s="30"/>
      <c r="E986" s="30"/>
      <c r="F986" s="30"/>
      <c r="G986" s="30"/>
      <c r="H986" s="30"/>
      <c r="I986" s="30"/>
    </row>
    <row r="987">
      <c r="A987" s="30"/>
      <c r="B987" s="30"/>
      <c r="C987" s="30"/>
      <c r="D987" s="30"/>
      <c r="E987" s="30"/>
      <c r="F987" s="30"/>
      <c r="G987" s="30"/>
      <c r="H987" s="30"/>
      <c r="I987" s="30"/>
    </row>
    <row r="988">
      <c r="A988" s="30"/>
      <c r="B988" s="30"/>
      <c r="C988" s="30"/>
      <c r="D988" s="30"/>
      <c r="E988" s="30"/>
      <c r="F988" s="30"/>
      <c r="G988" s="30"/>
      <c r="H988" s="30"/>
      <c r="I988" s="30"/>
    </row>
    <row r="989">
      <c r="A989" s="30"/>
      <c r="B989" s="30"/>
      <c r="C989" s="30"/>
      <c r="D989" s="30"/>
      <c r="E989" s="30"/>
      <c r="F989" s="30"/>
      <c r="G989" s="30"/>
      <c r="H989" s="30"/>
      <c r="I989" s="30"/>
    </row>
    <row r="990">
      <c r="A990" s="30"/>
      <c r="B990" s="30"/>
      <c r="C990" s="30"/>
      <c r="D990" s="30"/>
      <c r="E990" s="30"/>
      <c r="F990" s="30"/>
      <c r="G990" s="30"/>
      <c r="H990" s="30"/>
      <c r="I990" s="30"/>
    </row>
    <row r="991">
      <c r="A991" s="30"/>
      <c r="B991" s="30"/>
      <c r="C991" s="30"/>
      <c r="D991" s="30"/>
      <c r="E991" s="30"/>
      <c r="F991" s="30"/>
      <c r="G991" s="30"/>
      <c r="H991" s="30"/>
      <c r="I991" s="30"/>
    </row>
    <row r="992">
      <c r="A992" s="30"/>
      <c r="B992" s="30"/>
      <c r="C992" s="30"/>
      <c r="D992" s="30"/>
      <c r="E992" s="30"/>
      <c r="F992" s="30"/>
      <c r="G992" s="30"/>
      <c r="H992" s="30"/>
      <c r="I992" s="30"/>
    </row>
    <row r="993">
      <c r="A993" s="30"/>
      <c r="B993" s="30"/>
      <c r="C993" s="30"/>
      <c r="D993" s="30"/>
      <c r="E993" s="30"/>
      <c r="F993" s="30"/>
      <c r="G993" s="30"/>
      <c r="H993" s="30"/>
      <c r="I993" s="30"/>
    </row>
    <row r="994">
      <c r="A994" s="30"/>
      <c r="B994" s="30"/>
      <c r="C994" s="30"/>
      <c r="D994" s="30"/>
      <c r="E994" s="30"/>
      <c r="F994" s="30"/>
      <c r="G994" s="30"/>
      <c r="H994" s="30"/>
      <c r="I994" s="30"/>
    </row>
    <row r="995">
      <c r="A995" s="30"/>
      <c r="B995" s="30"/>
      <c r="C995" s="30"/>
      <c r="D995" s="30"/>
      <c r="E995" s="30"/>
      <c r="F995" s="30"/>
      <c r="G995" s="30"/>
      <c r="H995" s="30"/>
      <c r="I995" s="30"/>
    </row>
    <row r="996">
      <c r="A996" s="30"/>
      <c r="B996" s="30"/>
      <c r="C996" s="30"/>
      <c r="D996" s="30"/>
      <c r="E996" s="30"/>
      <c r="F996" s="30"/>
      <c r="G996" s="30"/>
      <c r="H996" s="30"/>
      <c r="I996" s="30"/>
    </row>
    <row r="997">
      <c r="A997" s="30"/>
      <c r="B997" s="30"/>
      <c r="C997" s="30"/>
      <c r="D997" s="30"/>
      <c r="E997" s="30"/>
      <c r="F997" s="30"/>
      <c r="G997" s="30"/>
      <c r="H997" s="30"/>
      <c r="I997" s="30"/>
    </row>
    <row r="998">
      <c r="A998" s="30"/>
      <c r="B998" s="30"/>
      <c r="C998" s="30"/>
      <c r="D998" s="30"/>
      <c r="E998" s="30"/>
      <c r="F998" s="30"/>
      <c r="G998" s="30"/>
      <c r="H998" s="30"/>
      <c r="I998" s="30"/>
    </row>
    <row r="999">
      <c r="A999" s="30"/>
      <c r="B999" s="30"/>
      <c r="C999" s="30"/>
      <c r="D999" s="30"/>
      <c r="E999" s="30"/>
      <c r="F999" s="30"/>
      <c r="G999" s="30"/>
      <c r="H999" s="30"/>
      <c r="I999" s="30"/>
    </row>
    <row r="1000">
      <c r="A1000" s="30"/>
      <c r="B1000" s="30"/>
      <c r="C1000" s="30"/>
      <c r="D1000" s="30"/>
      <c r="E1000" s="30"/>
      <c r="F1000" s="30"/>
      <c r="G1000" s="30"/>
      <c r="H1000" s="30"/>
      <c r="I1000" s="30"/>
    </row>
  </sheetData>
  <mergeCells count="2">
    <mergeCell ref="A3:A17"/>
    <mergeCell ref="D17:F17"/>
  </mergeCells>
  <hyperlinks>
    <hyperlink display="Item Cost Efficiency" location="'道具性价比'!A1" ref="B1"/>
    <hyperlink display="Value Settings" location="'数值设定'!A1" ref="C1"/>
    <hyperlink display="DPS Calculator" location="'DPS计算器'!A1" ref="D1"/>
    <hyperlink display="Calculators" location="计算器!A1" ref="E1"/>
    <hyperlink display="Enemy Calculator" location="'敌人计算器'!A1" ref="F1"/>
    <hyperlink display="Endless" location="'无尽数据'!A1" ref="G1"/>
    <hyperlink display="DPS Calculator" location="#REF!" ref="E3"/>
    <hyperlink r:id="rId2" ref="F3"/>
    <hyperlink r:id="rId3" ref="G3"/>
    <hyperlink display="Enemy Calculator" location="'敌人计算器'!A1" ref="E4"/>
    <hyperlink r:id="rId4" ref="C5"/>
    <hyperlink r:id="rId5" ref="D5"/>
    <hyperlink display="Harvest Calculator" location="计算器!K2:R2" ref="E5"/>
    <hyperlink r:id="rId6" ref="C6"/>
    <hyperlink r:id="rId7" ref="D6"/>
    <hyperlink display="% Run Calculator" location="计算器!E17:G18" ref="E6"/>
    <hyperlink r:id="rId8" ref="C7"/>
    <hyperlink display="Rerolling Calculator" location="计算器!A1" ref="E7"/>
    <hyperlink r:id="rId9" ref="C8"/>
    <hyperlink display="Item Price Calculator" location="#REF!" ref="E8"/>
    <hyperlink r:id="rId10" ref="C9"/>
    <hyperlink display="eHP Calculator" location="计算器!A1:D1" ref="E9"/>
    <hyperlink r:id="rId11" ref="C10"/>
    <hyperlink r:id="rId12" ref="B13"/>
    <hyperlink r:id="rId13" ref="C13"/>
    <hyperlink r:id="rId14" ref="B14"/>
    <hyperlink r:id="rId15" ref="C14"/>
    <hyperlink r:id="rId16" ref="B15"/>
    <hyperlink r:id="rId17" ref="C15"/>
    <hyperlink r:id="rId18" ref="C16"/>
    <hyperlink r:id="rId19" ref="C17"/>
    <hyperlink r:id="rId20" ref="B37"/>
  </hyperlinks>
  <drawing r:id="rId21"/>
  <legacyDrawing r:id="rId22"/>
  <tableParts count="1">
    <tablePart r:id="rId2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7" max="7" width="13.25"/>
    <col customWidth="1" min="12" max="12" width="3.75"/>
    <col customWidth="1" min="16" max="16" width="10.88"/>
    <col customWidth="1" min="17" max="17" width="11.75"/>
  </cols>
  <sheetData>
    <row r="1">
      <c r="A1" s="95" t="s">
        <v>178</v>
      </c>
      <c r="K1" s="96" t="s">
        <v>179</v>
      </c>
      <c r="Q1" s="36"/>
      <c r="R1" s="36"/>
    </row>
    <row r="2" ht="18.0" customHeight="1">
      <c r="A2" s="97" t="s">
        <v>181</v>
      </c>
      <c r="C2" s="97" t="s">
        <v>182</v>
      </c>
      <c r="F2" s="97" t="s">
        <v>183</v>
      </c>
      <c r="H2" s="98" t="str">
        <f t="array" ref="H2">_xlfn.XLOOKUP(DPS_Weapon,武器数据!$A:$A,武器数据!B:B)</f>
        <v/>
      </c>
      <c r="I2" s="99"/>
      <c r="J2" s="100"/>
      <c r="K2" s="101" t="str">
        <f t="array" ref="K2">_xlfn.XLOOKUP(DPS_Weapon,武器数据!$A:$A,武器数据!AU:AU)</f>
        <v/>
      </c>
    </row>
    <row r="3" ht="21.75" customHeight="1">
      <c r="H3" s="102"/>
      <c r="J3" s="103"/>
    </row>
    <row r="4" ht="21.75" customHeight="1">
      <c r="H4" s="102"/>
      <c r="J4" s="103"/>
      <c r="V4" s="104"/>
    </row>
    <row r="5">
      <c r="A5" s="106" t="s">
        <v>192</v>
      </c>
      <c r="H5" s="107"/>
      <c r="I5" s="108"/>
      <c r="J5" s="109"/>
      <c r="K5" s="110"/>
      <c r="L5" s="110"/>
      <c r="M5" s="111" t="s">
        <v>194</v>
      </c>
      <c r="N5" s="111" t="s">
        <v>195</v>
      </c>
      <c r="O5" s="111" t="s">
        <v>196</v>
      </c>
    </row>
    <row r="6">
      <c r="A6" s="112" t="s">
        <v>197</v>
      </c>
      <c r="M6" s="113">
        <f>If(DPS_Weapon_Type="远程",(DPS_INC_WPN_SPD+1)/60+(ROUNDDOWN(DPS_Inc_Recoil*60+1,0)/60)*2,(ROUNDDOWN((DPS_INC_WPN_SPD+1)+ROUNDDOWN(DPS_Inc_Recoil*60+1,0)+ROUNDDOWN(DPS_Atk_Dur/2*60+1,0)+ROUNDDOWN(DPS_Back_Dur*60+1,0)+1,0))/60+If(DPS_ATK_TYPE="挥砍",1/60)+If(DPS_ATK_TYPE="挥砍/刺击",1/120))+DPS_Weapon_Randomization/60</f>
        <v>0.1883333333</v>
      </c>
      <c r="N6" s="114">
        <f>If(DPS_Weapon_Type="远程",DPS_INC_WPN_SPD/60+DPS_Inc_Recoil*2,DPS_INC_WPN_SPD/60+DPS_Inc_Recoil+DPS_Atk_Dur/2+DPS_Back_Dur)</f>
        <v>0.1452380952</v>
      </c>
      <c r="O6" s="114">
        <f>1/M6</f>
        <v>5.309734513</v>
      </c>
      <c r="P6" s="115">
        <f>M6*60</f>
        <v>11.3</v>
      </c>
      <c r="U6" s="116" t="s">
        <v>202</v>
      </c>
    </row>
    <row r="7">
      <c r="A7" s="117" t="s">
        <v>95</v>
      </c>
      <c r="B7" s="117" t="s">
        <v>147</v>
      </c>
      <c r="C7" s="117" t="s">
        <v>57</v>
      </c>
      <c r="D7" s="118" t="s">
        <v>203</v>
      </c>
      <c r="E7" s="118" t="s">
        <v>143</v>
      </c>
      <c r="F7" s="117" t="s">
        <v>206</v>
      </c>
      <c r="G7" s="117" t="s">
        <v>207</v>
      </c>
      <c r="H7" s="117" t="s">
        <v>149</v>
      </c>
      <c r="I7" s="117" t="s">
        <v>113</v>
      </c>
      <c r="J7" s="119" t="str">
        <f t="array" ref="J7">_xlfn.XLOOKUP(DPS_Weapon,武器数据!$A:$A,武器数据!AH:AH)</f>
        <v>特殊成长</v>
      </c>
      <c r="K7" s="120" t="s">
        <v>209</v>
      </c>
      <c r="M7" s="121" t="s">
        <v>210</v>
      </c>
      <c r="N7" s="122" t="s">
        <v>211</v>
      </c>
      <c r="O7" s="122" t="s">
        <v>212</v>
      </c>
      <c r="P7" s="122" t="s">
        <v>213</v>
      </c>
      <c r="T7" s="111" t="s">
        <v>214</v>
      </c>
      <c r="U7" s="111" t="s">
        <v>215</v>
      </c>
      <c r="V7" s="111" t="s">
        <v>216</v>
      </c>
      <c r="W7" s="111" t="s">
        <v>217</v>
      </c>
    </row>
    <row r="8">
      <c r="A8" s="123">
        <v>0.0</v>
      </c>
      <c r="B8" s="123">
        <v>0.0</v>
      </c>
      <c r="C8" s="123">
        <v>0.0</v>
      </c>
      <c r="D8" s="124">
        <v>0.0</v>
      </c>
      <c r="E8" s="125">
        <v>0.05</v>
      </c>
      <c r="F8" s="124">
        <v>0.0</v>
      </c>
      <c r="G8" s="123">
        <v>0.0</v>
      </c>
      <c r="H8" s="123">
        <v>0.0</v>
      </c>
      <c r="I8" s="123">
        <v>0.0</v>
      </c>
      <c r="J8" s="123">
        <v>0.0</v>
      </c>
      <c r="K8" s="126">
        <v>0.0</v>
      </c>
      <c r="M8" s="127">
        <f>Round(MAX(MAX(DPS_Base_DMG+ROUNDDOWN(A33*A14,0)+ROUNDDOWN(B33*B14,0)+ROUNDDOWN(C33*C14,0)+IF(DPS_Frozen_Heart=True,0.1*DPS_Elemental_Damage,0)+IF(DPS_Creature=True,0.35*DPS_Curse,0)+IF(DPS_Nail=True,0.2*DPS_Engineering,0),1)*(1+DPS_DMG_Percent),1),0)</f>
        <v>3</v>
      </c>
      <c r="N8" s="128">
        <f>Round($M$8*$H$14,0)</f>
        <v>5</v>
      </c>
      <c r="O8" s="129">
        <f>MAX(MIN(DPS_Crit_WPN_Base+DPS_Crit_Chance_Stat,1),0)</f>
        <v>0.01</v>
      </c>
      <c r="P8" s="129">
        <f>IFERROR(O8*(N8/M8-1),0)</f>
        <v>0.006666666667</v>
      </c>
      <c r="T8" s="114">
        <f>M6*60</f>
        <v>11.3</v>
      </c>
      <c r="U8" s="114">
        <f>IF(DPS_ReloadX_Shots&gt;0, ((DPS_INC_WPN_SPD*DPS_Reload_Multiplier)/60+ROUNDDOWN(DPS_Inc_Recoil*60,0)/60*2), 0)</f>
        <v>0</v>
      </c>
      <c r="V8" s="114">
        <f>IF(DPS_ReloadX_Shots&gt;0, ((DPS_INC_WPN_SPD*DPS_Reload_Multiplier+1)/60+ROUNDDOWN(DPS_Inc_Recoil*60+1,0)/60*2), 0)</f>
        <v>0</v>
      </c>
      <c r="W8" s="130">
        <f>IF(DPS_ReloadX_Shots&gt;0,DPS_Cooldown_W_Bonus+(DPS_Reload_Cooldown-DPS_Cooldown_W_Bonus)/DPS_ReloadX_Shots,0)</f>
        <v>0</v>
      </c>
    </row>
    <row r="9">
      <c r="A9" s="131" t="s">
        <v>223</v>
      </c>
      <c r="L9" s="132"/>
      <c r="M9" s="133"/>
      <c r="N9" s="133"/>
      <c r="O9" s="133"/>
      <c r="P9" s="133"/>
      <c r="Q9" s="133"/>
      <c r="R9" s="134"/>
      <c r="W9" s="132"/>
      <c r="X9" s="132"/>
      <c r="Y9" s="132"/>
    </row>
    <row r="10">
      <c r="A10" s="135" t="s">
        <v>225</v>
      </c>
      <c r="B10" s="136" t="s">
        <v>227</v>
      </c>
      <c r="C10" s="135" t="s">
        <v>228</v>
      </c>
      <c r="D10" s="137" t="s">
        <v>229</v>
      </c>
      <c r="E10" s="135" t="s">
        <v>230</v>
      </c>
      <c r="F10" s="135" t="s">
        <v>231</v>
      </c>
      <c r="G10" s="135" t="s">
        <v>233</v>
      </c>
      <c r="H10" s="135" t="s">
        <v>234</v>
      </c>
      <c r="I10" s="135" t="s">
        <v>235</v>
      </c>
      <c r="J10" s="138" t="s">
        <v>236</v>
      </c>
      <c r="M10" s="139" t="s">
        <v>237</v>
      </c>
      <c r="N10" s="139" t="s">
        <v>238</v>
      </c>
      <c r="O10" s="139" t="s">
        <v>239</v>
      </c>
      <c r="P10" s="139" t="s">
        <v>240</v>
      </c>
      <c r="Q10" s="139" t="s">
        <v>241</v>
      </c>
    </row>
    <row r="11">
      <c r="A11" s="140">
        <v>0.0</v>
      </c>
      <c r="B11" s="141">
        <v>0.0</v>
      </c>
      <c r="C11" s="140">
        <v>0.0</v>
      </c>
      <c r="D11" s="142">
        <v>0.0</v>
      </c>
      <c r="E11" s="140" t="b">
        <v>0</v>
      </c>
      <c r="F11" s="140" t="b">
        <v>0</v>
      </c>
      <c r="G11" s="140" t="b">
        <v>0</v>
      </c>
      <c r="H11" s="140" t="b">
        <v>0</v>
      </c>
      <c r="I11" s="140" t="b">
        <v>0</v>
      </c>
      <c r="J11" s="140" t="b">
        <v>0</v>
      </c>
      <c r="M11" s="143">
        <f t="array" ref="M11">_xlfn.XLOOKUP(DPS_Weapon,武器数据!$A:$A,武器数据!S:S)</f>
        <v>0</v>
      </c>
      <c r="N11" s="143">
        <f>ROUND(IF(DPS_Ice_Cube=True,1.1,1)*ROUND(IF(DPS_Base_Burn_DMG=0,0, (DPS_Base_Burn_DMG+DPS_Elemental_Damage)*(1+DPS_DMG_Percent)),0),0)</f>
        <v>0</v>
      </c>
      <c r="O11" s="143">
        <f t="array" ref="O11">_xlfn.XLOOKUP(DPS_Weapon,武器数据!$A:$A,武器数据!T:T)</f>
        <v>0</v>
      </c>
      <c r="P11" s="144">
        <f>DPS_Buffed_Burn_DMG/(MAX(1-DPS_Eyes_Surgery/5,0.6)+IF(DPS_Frozen_Heart=TRUE,1,0))</f>
        <v>0</v>
      </c>
      <c r="Q11" s="145">
        <f>DPS_Burn_Ticks*DPS_Buffed_Burn_DMG</f>
        <v>0</v>
      </c>
    </row>
    <row r="12">
      <c r="A12" s="146" t="s">
        <v>244</v>
      </c>
      <c r="M12" s="134"/>
      <c r="N12" s="134"/>
      <c r="O12" s="134"/>
      <c r="P12" s="134"/>
      <c r="Q12" s="134"/>
      <c r="R12" s="133"/>
    </row>
    <row r="13">
      <c r="A13" s="121" t="s">
        <v>246</v>
      </c>
      <c r="B13" s="147" t="s">
        <v>247</v>
      </c>
      <c r="C13" s="147" t="s">
        <v>248</v>
      </c>
      <c r="D13" s="148" t="s">
        <v>249</v>
      </c>
      <c r="E13" s="111" t="s">
        <v>250</v>
      </c>
      <c r="F13" s="111" t="s">
        <v>251</v>
      </c>
      <c r="G13" s="117" t="s">
        <v>252</v>
      </c>
      <c r="H13" s="117" t="s">
        <v>253</v>
      </c>
      <c r="I13" s="135" t="s">
        <v>254</v>
      </c>
      <c r="J13" s="149" t="s">
        <v>255</v>
      </c>
      <c r="M13" s="119" t="s">
        <v>256</v>
      </c>
      <c r="N13" s="117" t="s">
        <v>257</v>
      </c>
      <c r="O13" s="150" t="s">
        <v>258</v>
      </c>
      <c r="P13" s="122" t="s">
        <v>259</v>
      </c>
      <c r="S13" s="117" t="s">
        <v>260</v>
      </c>
      <c r="T13" s="117" t="s">
        <v>261</v>
      </c>
      <c r="U13" s="117" t="s">
        <v>262</v>
      </c>
      <c r="V13" s="117" t="s">
        <v>263</v>
      </c>
      <c r="W13" s="117" t="s">
        <v>264</v>
      </c>
      <c r="X13" s="117" t="s">
        <v>265</v>
      </c>
    </row>
    <row r="14">
      <c r="A14" s="151">
        <f t="array" ref="A14">_xlfn.XLOOKUP(DPS_Weapon,武器数据!$A:$A,武器数据!AE:AE)</f>
        <v>0.5</v>
      </c>
      <c r="B14" s="152" t="str">
        <f t="array" ref="B14">_xlfn.XLOOKUP(DPS_Weapon,武器数据!$A:$A,武器数据!AF:AF)</f>
        <v/>
      </c>
      <c r="C14" s="152" t="str">
        <f t="array" ref="C14">_xlfn.XLOOKUP(DPS_Weapon,武器数据!$A:$A,武器数据!AG:AG)</f>
        <v/>
      </c>
      <c r="D14" s="151">
        <f t="array" ref="D14">_xlfn.XLOOKUP(DPS_Weapon,武器数据!$A:$A,武器数据!AC:AC)</f>
        <v>0</v>
      </c>
      <c r="E14" s="153">
        <f t="array" ref="E14">_xlfn.XLOOKUP(DPS_Weapon,武器数据!$A:$A,武器数据!E:E)</f>
        <v>3</v>
      </c>
      <c r="F14" s="154">
        <f>If(DPS_Weapon_Type="远程",B31/60+C31*2,B31/60+C31+G33/2+H33)</f>
        <v>0.1666666667</v>
      </c>
      <c r="G14" s="155">
        <f t="array" ref="G14">_xlfn.XLOOKUP(DPS_Weapon,武器数据!$A:$A,武器数据!I:I)</f>
        <v>0.01</v>
      </c>
      <c r="H14" s="156">
        <f t="array" ref="H14">_xlfn.XLOOKUP(DPS_Weapon,武器数据!$A:$A,武器数据!J:J)</f>
        <v>1.5</v>
      </c>
      <c r="I14" s="157">
        <f t="array" ref="I14">_xlfn.XLOOKUP(DPS_Weapon,武器数据!$A:$A,武器数据!G:G)</f>
        <v>400</v>
      </c>
      <c r="J14" s="140">
        <v>6.0</v>
      </c>
      <c r="M14" s="158">
        <f t="array" ref="M14">_xlfn.XLOOKUP(DPS_Weapon,武器数据!$A:$A,武器数据!V:V)*If(A31="远程",1+DPS_Bounces+DPS_Pierce,1)*If(A31="远程",DPS_Projectiles,1)</f>
        <v>0</v>
      </c>
      <c r="N14" s="158">
        <f t="array" ref="N14">IF(_xlfn.XLOOKUP(DPS_Weapon,武器数据!$A:$A,武器数据!U:U)=0,0,ROUND((1+DPS_DMG_Percent)*RoundDown(Max(_xlfn.XLOOKUP(DPS_Weapon,武器数据!$A:$A,武器数据!U:U)+DPS_Spawn_Scaling*DPS_Spawn_Stat,1),0),0))</f>
        <v>0</v>
      </c>
      <c r="O14" s="159">
        <f>IFerror($M$14*DPS_Attacks_P_Sec*DPS_Spawn_DMG_Per_Hit*(1+((ROUND(DPS_SpawnCritMult*DPS_Spawn_DMG_Per_Hit,0)/DPS_Spawn_DMG_Per_Hit-1)*DPS_Spawn_Final_Crit)),0)</f>
        <v>0</v>
      </c>
      <c r="P14" s="159">
        <f t="array" ref="P14">O14+M14*DPS_Attacks_P_Sec*((1-DPS_Spawn_Final_Crit)*SUM(G35:INdirect(ADDRESS(35+DPS_Spawn_T_Bounces,7)))+DPS_Spawn_Final_Crit*SUM(H35:INdirect(ADDRESS(35+DPS_Spawn_T_Bounces,8)))+(1-DPS_Spawn_Final_Crit)*SUM(J35:INdirect(ADDRESS(35+DPS_Spawn_T_Piercing,10)))+DPS_Spawn_Final_Crit*SUM(K35:INdirect(ADDRESS(35+DPS_Spawn_T_Piercing,11))))</f>
        <v>0</v>
      </c>
      <c r="S14" s="158">
        <f t="array" ref="S14">_xlfn.XLOOKUP(DPS_Weapon,武器数据!$A:$A,武器数据!W:W)</f>
        <v>0</v>
      </c>
      <c r="T14" s="158">
        <f>S14+DPS_Ricochet</f>
        <v>0</v>
      </c>
      <c r="U14" s="160">
        <f t="array" ref="U14">Max(0,Min(1,_xlfn.XLOOKUP(DPS_Weapon,武器数据!$A:$A,武器数据!X:X)))</f>
        <v>0.5</v>
      </c>
      <c r="V14" s="161">
        <f t="array" ref="V14">_xlfn.XLOOKUP(DPS_Weapon,武器数据!$A:$A,武器数据!Y:Y)</f>
        <v>0</v>
      </c>
      <c r="W14" s="161">
        <f>V14+DPS_Bandana+IF(DPS_Renegade=True,1,0)+IF(DPS_Sharp_Bullet=True,1,0)</f>
        <v>0</v>
      </c>
      <c r="X14" s="160">
        <f t="array" ref="X14">Max(0,Min(1,_xlfn.XLOOKUP(DPS_Weapon,武器数据!$A:$A,武器数据!Z:Z)-Max(0,B11*0.15)+IF(DPS_Sharp_Bullet=True, 0.2, 0)))</f>
        <v>0.5</v>
      </c>
    </row>
    <row r="15">
      <c r="A15" s="146" t="s">
        <v>280</v>
      </c>
      <c r="M15" s="133"/>
      <c r="N15" s="133"/>
      <c r="O15" s="133"/>
      <c r="P15" s="133"/>
      <c r="Q15" s="133"/>
      <c r="R15" s="133"/>
    </row>
    <row r="16">
      <c r="A16" s="162" t="s">
        <v>281</v>
      </c>
      <c r="B16" s="162" t="s">
        <v>282</v>
      </c>
      <c r="C16" s="162" t="s">
        <v>283</v>
      </c>
      <c r="D16" s="162" t="s">
        <v>284</v>
      </c>
      <c r="E16" s="162" t="s">
        <v>285</v>
      </c>
      <c r="F16" s="162" t="s">
        <v>286</v>
      </c>
      <c r="G16" s="162" t="s">
        <v>288</v>
      </c>
      <c r="H16" s="162" t="s">
        <v>289</v>
      </c>
      <c r="M16" s="163" t="s">
        <v>290</v>
      </c>
      <c r="N16" s="163" t="s">
        <v>291</v>
      </c>
      <c r="P16" s="163" t="s">
        <v>292</v>
      </c>
      <c r="S16" s="121" t="s">
        <v>293</v>
      </c>
    </row>
    <row r="17">
      <c r="A17" s="164">
        <f t="array" ref="A17">_xlfn.XLOOKUP(DPS_Weapon,武器数据!$A:$A,武器数据!N:N)</f>
        <v>0</v>
      </c>
      <c r="B17" s="165">
        <f t="array" ref="B17">_xlfn.XLOOKUP(DPS_Weapon,武器数据!$A:$A,武器数据!O:O)</f>
        <v>0.5</v>
      </c>
      <c r="C17" s="164">
        <f t="array" ref="C17">_xlfn.XLOOKUP(DPS_Weapon,武器数据!$A:$A,武器数据!L:L)</f>
        <v>0</v>
      </c>
      <c r="D17" s="165">
        <f t="array" ref="D17">_xlfn.XLOOKUP(DPS_Weapon,武器数据!$A:$A,武器数据!M:M)</f>
        <v>0.5</v>
      </c>
      <c r="E17" s="164">
        <f t="array" ref="E17">_xlfn.XLOOKUP(DPS_Weapon,武器数据!$A:$A,武器数据!K:K)</f>
        <v>1</v>
      </c>
      <c r="F17" s="164">
        <f t="array" ref="F17">_xlfn.XLOOKUP(DPS_Weapon,武器数据!$A:$A,武器数据!P:P)</f>
        <v>0</v>
      </c>
      <c r="G17" s="166">
        <f t="array" ref="G17">_xlfn.XLOOKUP(DPS_Weapon,武器数据!$A:$A,武器数据!Q:Q)</f>
        <v>0</v>
      </c>
      <c r="H17" s="164">
        <f t="array" ref="H17">_xlfn.XLOOKUP(DPS_Weapon,武器数据!$A:$A,武器数据!R:R)</f>
        <v>0</v>
      </c>
      <c r="M17" s="167">
        <f>DPS_DMG_Per_Hit*(1+DPS_Crit_DPS_Inc)*DPS_Attacks_P_Sec*DPS_Projectiles/IF(DPS_ReloadX_Shots&gt;0, 1+((DPS_Reload_Cooldown/DPS_Cooldown_W_Bonus-1)/DPS_ReloadX_Shots), 1)</f>
        <v>16.03539823</v>
      </c>
      <c r="N17" s="167">
        <f>DPS_DPS+IF(DPS_Weapon_Type="远程",DPS_Projectiles*DPS_Attacks_P_Sec*DPS_Total_BP_Per_Hit)/IF(DPS_ReloadX_Shots&gt;0, 1+((DPS_Reload_Cooldown/DPS_Cooldown_W_Bonus-1)/DPS_ReloadX_Shots), 1)</f>
        <v>16.03539823</v>
      </c>
      <c r="P17" s="167">
        <f>N17+P14</f>
        <v>16.03539823</v>
      </c>
      <c r="S17" s="168">
        <f>IFERROR(__xludf.DUMMYFUNCTION("IF(DPS_Weapon_Type=""远程"",(IF(REGEXMATCH(DPS_Weapon, ""十字弓""),If(DPS_Bounces&gt;0,(1-DPS_Crit_Chance_Final)*INdirect(ADDRESS(35+DPS_Bounces,2))+DPS_Crit_Chance_Final*INdirect(ADDRESS(35+DPS_Bounces,3)),(DPS_Crit_Chance_Final*DPS_Crit_Hit_Dmg+(1-DPS_"&amp;"Crit_Chance_Final)*DPS_DMG_Per_Hit)),(DPS_Crit_Chance_Final*DPS_Crit_Hit_Dmg+(1-DPS_Crit_Chance_Final)*DPS_DMG_Per_Hit))*SUM(F35:INdirect(ADDRESS(35+F17,6)))+(1-DPS_Crit_Chance_Final)*SUM(B35:INdirect(ADDRESS(35+DPS_Bounces,2)))+DPS_Crit_Chance_Final*SUM("&amp;"C35:INdirect(ADDRESS(35+DPS_Bounces,3)))+(1-DPS_Crit_Chance_Final)*SUM(D35:INdirect(ADDRESS(35+DPS_Pierce,4)))+DPS_Crit_Chance_Final*SUM(E35:INdirect(ADDRESS(35+DPS_Pierce,5)))),0)"),0.0)</f>
        <v>0</v>
      </c>
    </row>
    <row r="18">
      <c r="A18" s="169"/>
      <c r="B18" s="169"/>
      <c r="C18" s="169"/>
      <c r="D18" s="169"/>
      <c r="E18" s="169"/>
      <c r="F18" s="169"/>
      <c r="G18" s="169"/>
      <c r="H18" s="169"/>
      <c r="I18" s="169"/>
      <c r="J18" s="169"/>
      <c r="K18" s="169"/>
    </row>
    <row r="19">
      <c r="A19" s="170" t="s">
        <v>299</v>
      </c>
      <c r="F19" s="169"/>
      <c r="M19" s="135" t="s">
        <v>301</v>
      </c>
      <c r="N19" s="135" t="s">
        <v>302</v>
      </c>
      <c r="O19" s="135" t="s">
        <v>303</v>
      </c>
      <c r="P19" s="135" t="s">
        <v>304</v>
      </c>
      <c r="Q19" s="135" t="s">
        <v>305</v>
      </c>
      <c r="S19" s="135" t="s">
        <v>306</v>
      </c>
      <c r="T19" s="135" t="s">
        <v>6</v>
      </c>
      <c r="U19" s="135" t="s">
        <v>307</v>
      </c>
      <c r="V19" s="135" t="s">
        <v>308</v>
      </c>
    </row>
    <row r="20">
      <c r="A20" s="118" t="s">
        <v>309</v>
      </c>
      <c r="B20" s="171" t="s">
        <v>310</v>
      </c>
      <c r="C20" s="172" t="s">
        <v>311</v>
      </c>
      <c r="D20" s="172" t="s">
        <v>312</v>
      </c>
      <c r="F20" s="138" t="s">
        <v>313</v>
      </c>
      <c r="G20" s="138" t="s">
        <v>314</v>
      </c>
      <c r="H20" s="138" t="s">
        <v>315</v>
      </c>
      <c r="I20" s="138" t="s">
        <v>316</v>
      </c>
      <c r="J20" s="138" t="s">
        <v>317</v>
      </c>
      <c r="M20" s="173">
        <f>MAX(If(DPS_Weapon_Type="近战",DPS_Base_Range+DPS_Range_Stat*0.5,DPS_Base_Range+DPS_Range_Stat),25)</f>
        <v>400</v>
      </c>
      <c r="N20" s="174">
        <f t="array" ref="N20">_xlfn.XLOOKUP(DPS_Weapon,武器数据!$A:$A,武器数据!AM:AM)</f>
        <v>0</v>
      </c>
      <c r="O20" s="174" t="str">
        <f t="array" ref="O20">_xlfn.XLOOKUP(DPS_Weapon,武器数据!$A:$A,武器数据!D:D)</f>
        <v>弹幕</v>
      </c>
      <c r="P20" s="174">
        <f t="array" ref="P20">_xlfn.XLOOKUP(DPS_Weapon,武器数据!$A:$A,武器数据!AR:AR)</f>
        <v>0</v>
      </c>
      <c r="Q20" s="178">
        <f t="array" ref="Q20">_xlfn.XLOOKUP(DPS_Weapon,武器数据!$A:$A,武器数据!AQ:AQ)</f>
        <v>0</v>
      </c>
      <c r="S20" s="174">
        <f t="array" ref="S20">_xlfn.XLOOKUP(DPS_Weapon,武器数据!$A:$A,武器数据!AL:AL)</f>
        <v>3000</v>
      </c>
      <c r="T20" s="174">
        <f t="array" ref="T20">_xlfn.XLOOKUP(DPS_Weapon,武器数据!$A:$A,武器数据!AP:AP)</f>
        <v>20</v>
      </c>
      <c r="U20" s="186">
        <f t="array" ref="U20">_xlfn.XLOOKUP(DPS_Weapon,武器数据!$A:$A,武器数据!AN:AN)+IF(DPS_Weapon_Type="远程",IF(DPS_Renegade=True,-0.5,0),0)</f>
        <v>0.7</v>
      </c>
      <c r="V20" s="174">
        <f t="array" ref="V20">_xlfn.XLOOKUP(DPS_Weapon,武器数据!$A:$A,武器数据!AO:AO)</f>
        <v>0</v>
      </c>
    </row>
    <row r="21">
      <c r="A21" s="191" t="b">
        <v>1</v>
      </c>
      <c r="B21" s="191" t="b">
        <v>1</v>
      </c>
      <c r="C21" s="193">
        <v>-1.0</v>
      </c>
      <c r="D21" s="193">
        <v>3.0</v>
      </c>
      <c r="F21" s="140" t="b">
        <v>0</v>
      </c>
      <c r="G21" s="140" t="b">
        <v>0</v>
      </c>
      <c r="H21" s="140" t="b">
        <v>0</v>
      </c>
      <c r="I21" s="140" t="b">
        <v>0</v>
      </c>
      <c r="J21" s="140" t="b">
        <v>0</v>
      </c>
    </row>
    <row r="22">
      <c r="A22" s="169"/>
      <c r="B22" s="169"/>
      <c r="C22" s="169"/>
      <c r="D22" s="169"/>
      <c r="E22" s="169"/>
      <c r="F22" s="169"/>
      <c r="G22" s="169"/>
      <c r="H22" s="169"/>
      <c r="I22" s="169"/>
      <c r="J22" s="169"/>
      <c r="K22" s="169"/>
      <c r="M22" s="162" t="s">
        <v>338</v>
      </c>
      <c r="N22" s="162" t="s">
        <v>339</v>
      </c>
      <c r="O22" s="162" t="s">
        <v>340</v>
      </c>
      <c r="P22" s="162" t="s">
        <v>342</v>
      </c>
      <c r="Q22" s="162" t="s">
        <v>343</v>
      </c>
    </row>
    <row r="23">
      <c r="A23" s="169"/>
      <c r="B23" s="169"/>
      <c r="C23" s="169"/>
      <c r="D23" s="169"/>
      <c r="E23" s="169"/>
      <c r="F23" s="169"/>
      <c r="G23" s="169"/>
      <c r="H23" s="169"/>
      <c r="I23" s="169"/>
      <c r="J23" s="169"/>
      <c r="K23" s="169"/>
      <c r="M23" s="164">
        <f>Max(0,A17+DPS_Bandana+IF(DPS_Renegade=True,1,0)+IF(DPS_Sharp_Bullet=True,1,0))</f>
        <v>0</v>
      </c>
      <c r="N23" s="165">
        <f>Max(0,Min(1,B17-Max(0,B11*0.15)+IF(DPS_Sharp_Bullet=True, 0.2, 0)))</f>
        <v>0.5</v>
      </c>
      <c r="O23" s="164">
        <f>Max(0,C17+C11)</f>
        <v>0</v>
      </c>
      <c r="P23" s="165">
        <f>D17</f>
        <v>0.5</v>
      </c>
      <c r="Q23" s="164">
        <f>E17+IF(DPS_Weapon_Type="远程",IF(DPS_Renegade=True,2,0),0)</f>
        <v>1</v>
      </c>
    </row>
    <row r="24" ht="17.25" customHeight="1">
      <c r="A24" s="169"/>
      <c r="B24" s="169"/>
      <c r="C24" s="169"/>
      <c r="D24" s="169"/>
      <c r="E24" s="169"/>
      <c r="F24" s="169"/>
      <c r="G24" s="169"/>
    </row>
    <row r="25" ht="32.25" customHeight="1">
      <c r="A25" s="208"/>
      <c r="B25" s="208"/>
      <c r="C25" s="208"/>
      <c r="D25" s="208"/>
      <c r="E25" s="209"/>
      <c r="F25" s="209"/>
      <c r="G25" s="209"/>
      <c r="L25" s="208"/>
    </row>
    <row r="26">
      <c r="A26" s="209"/>
      <c r="B26" s="209"/>
      <c r="C26" s="209"/>
      <c r="D26" s="209"/>
      <c r="E26" s="209"/>
      <c r="F26" s="209"/>
      <c r="G26" s="209"/>
      <c r="L26" s="208"/>
    </row>
    <row r="27" ht="171.0" customHeight="1">
      <c r="A27" s="208"/>
      <c r="B27" s="208"/>
      <c r="C27" s="208"/>
      <c r="D27" s="208"/>
      <c r="E27" s="209"/>
      <c r="F27" s="209"/>
      <c r="G27" s="209"/>
      <c r="H27" s="209"/>
      <c r="I27" s="209"/>
      <c r="J27" s="209"/>
      <c r="K27" s="209"/>
      <c r="L27" s="208"/>
      <c r="M27" s="208"/>
      <c r="O27" s="213"/>
    </row>
    <row r="28">
      <c r="A28" s="214" t="s">
        <v>353</v>
      </c>
      <c r="I28" s="215"/>
      <c r="J28" s="215"/>
      <c r="K28" s="215"/>
    </row>
    <row r="29">
      <c r="I29" s="215"/>
      <c r="J29" s="215"/>
      <c r="K29" s="215"/>
    </row>
    <row r="30">
      <c r="A30" s="163" t="s">
        <v>354</v>
      </c>
      <c r="B30" s="163" t="s">
        <v>355</v>
      </c>
      <c r="C30" s="163" t="s">
        <v>356</v>
      </c>
      <c r="D30" s="163" t="s">
        <v>357</v>
      </c>
      <c r="E30" s="163" t="s">
        <v>358</v>
      </c>
      <c r="F30" s="163" t="s">
        <v>360</v>
      </c>
      <c r="I30" s="121" t="s">
        <v>362</v>
      </c>
      <c r="K30" s="121" t="s">
        <v>364</v>
      </c>
    </row>
    <row r="31">
      <c r="A31" s="222" t="str">
        <f t="array" ref="A31">_xlfn.XLOOKUP(DPS_Weapon,武器数据!$A:$A,武器数据!C:C)</f>
        <v>远程</v>
      </c>
      <c r="B31" s="226">
        <f t="array" ref="B31">_xlfn.XLOOKUP(DPS_Weapon,武器数据!$A:$A,武器数据!F:F)</f>
        <v>4</v>
      </c>
      <c r="C31" s="226">
        <f t="array" ref="C31">_xlfn.XLOOKUP(DPS_Weapon,武器数据!$A:$A,武器数据!H:H)</f>
        <v>0.05</v>
      </c>
      <c r="D31" s="222">
        <f>ROUNDDOWN(MAX(2,IF(DPS_Attack_Speed&gt;=0, DPS_Base_Wpn_Spd/(1+DPS_Attack_Speed),DPS_Base_Wpn_Spd*(1+ABS(DPS_Attack_Speed)))),0)</f>
        <v>3</v>
      </c>
      <c r="E31" s="232">
        <f>IF(DPS_Attack_Speed&gt;=0, DPS_Base_Recoil/(1+DPS_Attack_Speed),DPS_Base_Recoil)</f>
        <v>0.04761904762</v>
      </c>
      <c r="F31" s="237">
        <f>A8/'数值设定'!B7+B8/'数值设定'!B14+C8/'数值设定'!B3+100*D8/'数值设定'!B17+100*E8/'数值设定'!B13+100*F8/'数值设定'!B6+G8/'数值设定'!B5</f>
        <v>1</v>
      </c>
      <c r="I31" s="239">
        <f t="array" ref="I31">_xlfn.XLOOKUP(DPS_Weapon,武器数据!$A:$A,武器数据!AA:AA)</f>
        <v>2</v>
      </c>
      <c r="K31" s="240">
        <f t="array" ref="K31">_xlfn.XLOOKUP(DPS_Weapon,武器数据!$A:$A,武器数据!AB:AB)</f>
        <v>0.03</v>
      </c>
      <c r="N31" s="21"/>
    </row>
    <row r="32">
      <c r="A32" s="121" t="s">
        <v>379</v>
      </c>
      <c r="B32" s="121" t="s">
        <v>380</v>
      </c>
      <c r="C32" s="121" t="s">
        <v>381</v>
      </c>
      <c r="D32" s="121" t="s">
        <v>382</v>
      </c>
      <c r="E32" s="121" t="s">
        <v>383</v>
      </c>
      <c r="F32" s="121" t="s">
        <v>384</v>
      </c>
      <c r="G32" s="121" t="s">
        <v>385</v>
      </c>
      <c r="H32" s="121" t="s">
        <v>386</v>
      </c>
      <c r="I32" s="121" t="s">
        <v>387</v>
      </c>
      <c r="J32" s="121" t="s">
        <v>388</v>
      </c>
      <c r="K32" s="121" t="s">
        <v>389</v>
      </c>
      <c r="S32" s="242" t="s">
        <v>255</v>
      </c>
    </row>
    <row r="33">
      <c r="A33" s="243">
        <f t="array" ref="A33">_xlfn.XLOOKUP(DPS_Weapon,武器数据!$A:$A,武器数据!AI:AI)</f>
        <v>0</v>
      </c>
      <c r="B33" s="243">
        <f t="array" ref="B33">_xlfn.XLOOKUP(DPS_Weapon,武器数据!$A:$A,武器数据!AJ:AJ)</f>
        <v>0</v>
      </c>
      <c r="C33" s="243" t="str">
        <f t="array" ref="C33">_xlfn.XLOOKUP(DPS_Weapon,武器数据!$A:$A,武器数据!AK:AK)</f>
        <v/>
      </c>
      <c r="D33" s="244">
        <f>MAX(0.01, 0.2 - (DPS_Attack_Speed / 10)) + (DPS_Range_Factor * 0.15)</f>
        <v>1.038091335</v>
      </c>
      <c r="E33" s="244">
        <f>(0.2 / (1 + (Max(0,DPS_Attack_Speed) * 3)))</f>
        <v>0.1739130435</v>
      </c>
      <c r="F33" s="244">
        <f>MAX(0, Max(25,(DPS_Base_Range + ((DPS_Range_Stat) / 2))) / MIN(MAX(70, (70 * (1 + (DPS_Attack_Speed / 3)))), 120))</f>
        <v>5.620608899</v>
      </c>
      <c r="G33" s="244">
        <f>MAX(0.01, 0.2 - (0 / 10)) + (DPS_Range_Factor * 0.15)</f>
        <v>1.043091335</v>
      </c>
      <c r="H33" s="244">
        <f>0.2 / (1 + (0 * 3))</f>
        <v>0.2</v>
      </c>
      <c r="I33" s="244">
        <f>MAX(0, Max(25,(DPS_Weapon_Range + ((DPS_Range_Stat) / 2))) / MIN(MAX(70, (70 * (1 + (0 / 3)))), 120))</f>
        <v>5.714285714</v>
      </c>
      <c r="J33" s="239">
        <f t="array" ref="J33">_xlfn.XLOOKUP(DPS_Weapon,武器数据!$A:$A,武器数据!AD:AD)</f>
        <v>0</v>
      </c>
      <c r="K33" s="240">
        <f>MAX(MIN(K31+DPS_Crit_Chance_Stat,1),0)</f>
        <v>0.03</v>
      </c>
      <c r="S33" s="251" t="s">
        <v>399</v>
      </c>
      <c r="T33" s="251" t="s">
        <v>400</v>
      </c>
      <c r="U33" s="251" t="s">
        <v>402</v>
      </c>
      <c r="V33" s="251" t="s">
        <v>403</v>
      </c>
      <c r="W33" s="251" t="s">
        <v>404</v>
      </c>
      <c r="X33" s="252"/>
    </row>
    <row r="34">
      <c r="A34" s="253" t="s">
        <v>405</v>
      </c>
      <c r="B34" s="253" t="s">
        <v>406</v>
      </c>
      <c r="C34" s="253" t="s">
        <v>407</v>
      </c>
      <c r="D34" s="253" t="s">
        <v>408</v>
      </c>
      <c r="E34" s="253" t="s">
        <v>409</v>
      </c>
      <c r="F34" s="253" t="s">
        <v>410</v>
      </c>
      <c r="G34" s="253" t="s">
        <v>411</v>
      </c>
      <c r="H34" s="253" t="s">
        <v>412</v>
      </c>
      <c r="I34" s="254"/>
      <c r="J34" s="253" t="s">
        <v>413</v>
      </c>
      <c r="K34" s="253" t="s">
        <v>414</v>
      </c>
      <c r="S34" s="251">
        <f>J14</f>
        <v>6</v>
      </c>
      <c r="T34" s="256">
        <f>Min(20%*S34,1.2)</f>
        <v>1.2</v>
      </c>
      <c r="U34" s="251">
        <f>D31</f>
        <v>3</v>
      </c>
      <c r="V34" s="251">
        <v>1.0</v>
      </c>
      <c r="W34" s="115">
        <f>If(T34=0,0,0.5)</f>
        <v>0.5</v>
      </c>
    </row>
    <row r="35">
      <c r="A35" s="257">
        <v>0.0</v>
      </c>
      <c r="B35" s="257">
        <v>0.0</v>
      </c>
      <c r="C35" s="257">
        <v>0.0</v>
      </c>
      <c r="D35" s="257">
        <v>0.0</v>
      </c>
      <c r="E35" s="257">
        <v>0.0</v>
      </c>
      <c r="F35" s="257">
        <v>0.0</v>
      </c>
      <c r="G35" s="257">
        <v>0.0</v>
      </c>
      <c r="H35" s="257">
        <v>0.0</v>
      </c>
      <c r="I35" s="259"/>
      <c r="J35" s="257">
        <v>0.0</v>
      </c>
      <c r="K35" s="257">
        <v>0.0</v>
      </c>
      <c r="S35" s="83" t="s">
        <v>418</v>
      </c>
      <c r="T35" s="251" t="s">
        <v>420</v>
      </c>
      <c r="U35" s="251" t="s">
        <v>421</v>
      </c>
      <c r="V35" s="251" t="s">
        <v>422</v>
      </c>
      <c r="W35" s="83" t="s">
        <v>424</v>
      </c>
    </row>
    <row r="36">
      <c r="A36" s="83">
        <v>1.0</v>
      </c>
      <c r="B36" s="263">
        <f>IF($A$31="远程", MAX(ROUNDDOWN(M8*(1-$P$23),0),1),0)</f>
        <v>1</v>
      </c>
      <c r="C36" s="259">
        <f t="shared" ref="C36:C140" si="1">Round(B36*$H$14,0)</f>
        <v>2</v>
      </c>
      <c r="D36" s="263">
        <f t="array" ref="D36">IF($A$31="远程",MAX(IF(DPS_Bounces&gt;=1, ROUNDDOWN((1-DPS_Piercing_Falloff)*INdirect(ADDRESS(MAX(35,34+DPS_Bounces),2)),0),ROUNDDOWN((1-DPS_Piercing_Falloff)*DPS_DMG_Per_Hit,0)),1),0)</f>
        <v>1</v>
      </c>
      <c r="E36" s="259">
        <f t="shared" ref="E36:E140" si="2">Round(D36*$H$14,0)</f>
        <v>2</v>
      </c>
      <c r="F36" s="269">
        <f t="shared" ref="F36:F140" si="3">IF($A$31="远程",$O$8^A36,0)</f>
        <v>0.01</v>
      </c>
      <c r="G36" s="263">
        <f> MAX(ROUNDDOWN(N14*(1-$U$14),0),1)</f>
        <v>1</v>
      </c>
      <c r="H36" s="259">
        <f>Round(G36*DPS_SpawnCritMult,0)</f>
        <v>2</v>
      </c>
      <c r="J36" s="263">
        <f t="array" ref="J36">MAX(IF(DPS_Spawn_T_Bounces&gt;=1, (1-$X$14)*INdirect(ADDRESS(MAX(35,34+DPS_Spawn_T_Bounces),7)),ROUNDDOWN((1-$X$14)*DPS_Spawn_DMG_Per_Hit,0)),1)</f>
        <v>1</v>
      </c>
      <c r="K36" s="259">
        <f>Round(J36*DPS_SpawnCritMult,0)</f>
        <v>2</v>
      </c>
      <c r="S36" s="115">
        <f>MIN(T34*U34,5*S34)</f>
        <v>3.6</v>
      </c>
      <c r="T36" s="115">
        <f>MAX( 1,U34-S36)</f>
        <v>1</v>
      </c>
      <c r="U36" s="115">
        <f>S36+U34</f>
        <v>6.6</v>
      </c>
      <c r="V36" s="115">
        <f>(T36+U36)/2</f>
        <v>3.8</v>
      </c>
      <c r="W36" s="115">
        <f>V36+W34-U34</f>
        <v>1.3</v>
      </c>
    </row>
    <row r="37">
      <c r="A37" s="83">
        <v>2.0</v>
      </c>
      <c r="B37" s="263">
        <f t="shared" ref="B37:B140" si="4">IF($A$31="远程",MAX(ROUNDDOWN(B36*(1-$P$23),0),1),0)</f>
        <v>1</v>
      </c>
      <c r="C37" s="259">
        <f t="shared" si="1"/>
        <v>2</v>
      </c>
      <c r="D37" s="263">
        <f>IF($A$31="远程",MAX(ROUNDDOWN((1-DPS_Piercing_Falloff)*D36,0),1),0)</f>
        <v>1</v>
      </c>
      <c r="E37" s="259">
        <f t="shared" si="2"/>
        <v>2</v>
      </c>
      <c r="F37" s="269">
        <f t="shared" si="3"/>
        <v>0.0001</v>
      </c>
      <c r="G37" s="263">
        <f t="shared" ref="G37:G140" si="5"> MAX(ROUNDDOWN(G36*(1-$U$14),0),1)</f>
        <v>1</v>
      </c>
      <c r="H37" s="259">
        <f>Round(G37*DPS_SpawnCritMult,0)</f>
        <v>2</v>
      </c>
      <c r="J37" s="263">
        <f t="shared" ref="J37:J140" si="6">MAX(ROUNDDOWN((1-$X$14)*J36,0),1)</f>
        <v>1</v>
      </c>
      <c r="K37" s="259">
        <f>Round(J37*DPS_SpawnCritMult,0)</f>
        <v>2</v>
      </c>
    </row>
    <row r="38">
      <c r="A38" s="83">
        <v>3.0</v>
      </c>
      <c r="B38" s="263">
        <f t="shared" si="4"/>
        <v>1</v>
      </c>
      <c r="C38" s="259">
        <f t="shared" si="1"/>
        <v>2</v>
      </c>
      <c r="D38" s="263">
        <f>IF($A$31="远程",MAX(ROUNDDOWN((1-DPS_Piercing_Falloff)*D37,0),1),0)</f>
        <v>1</v>
      </c>
      <c r="E38" s="259">
        <f t="shared" si="2"/>
        <v>2</v>
      </c>
      <c r="F38" s="269">
        <f t="shared" si="3"/>
        <v>0.000001</v>
      </c>
      <c r="G38" s="263">
        <f t="shared" si="5"/>
        <v>1</v>
      </c>
      <c r="H38" s="259">
        <f>Round(G38*DPS_SpawnCritMult,0)</f>
        <v>2</v>
      </c>
      <c r="J38" s="263">
        <f t="shared" si="6"/>
        <v>1</v>
      </c>
      <c r="K38" s="259">
        <f>Round(J38*DPS_SpawnCritMult,0)</f>
        <v>2</v>
      </c>
    </row>
    <row r="39">
      <c r="A39" s="83">
        <v>4.0</v>
      </c>
      <c r="B39" s="263">
        <f t="shared" si="4"/>
        <v>1</v>
      </c>
      <c r="C39" s="259">
        <f t="shared" si="1"/>
        <v>2</v>
      </c>
      <c r="D39" s="263">
        <f>IF($A$31="远程",MAX(ROUNDDOWN((1-DPS_Piercing_Falloff)*D38,0),1),0)</f>
        <v>1</v>
      </c>
      <c r="E39" s="259">
        <f t="shared" si="2"/>
        <v>2</v>
      </c>
      <c r="F39" s="269">
        <f t="shared" si="3"/>
        <v>0.00000001</v>
      </c>
      <c r="G39" s="263">
        <f t="shared" si="5"/>
        <v>1</v>
      </c>
      <c r="H39" s="259">
        <f>Round(G39*DPS_SpawnCritMult,0)</f>
        <v>2</v>
      </c>
      <c r="J39" s="263">
        <f t="shared" si="6"/>
        <v>1</v>
      </c>
      <c r="K39" s="259">
        <f>Round(J39*DPS_SpawnCritMult,0)</f>
        <v>2</v>
      </c>
    </row>
    <row r="40">
      <c r="A40" s="83">
        <v>5.0</v>
      </c>
      <c r="B40" s="263">
        <f t="shared" si="4"/>
        <v>1</v>
      </c>
      <c r="C40" s="259">
        <f t="shared" si="1"/>
        <v>2</v>
      </c>
      <c r="D40" s="263">
        <f>IF($A$31="远程",MAX(ROUNDDOWN((1-DPS_Piercing_Falloff)*D39,0),1),0)</f>
        <v>1</v>
      </c>
      <c r="E40" s="259">
        <f t="shared" si="2"/>
        <v>2</v>
      </c>
      <c r="F40" s="269">
        <f t="shared" si="3"/>
        <v>0.0000000001</v>
      </c>
      <c r="G40" s="263">
        <f t="shared" si="5"/>
        <v>1</v>
      </c>
      <c r="H40" s="259">
        <f>Round(G40*DPS_SpawnCritMult,0)</f>
        <v>2</v>
      </c>
      <c r="J40" s="263">
        <f t="shared" si="6"/>
        <v>1</v>
      </c>
      <c r="K40" s="259">
        <f>Round(J40*DPS_SpawnCritMult,0)</f>
        <v>2</v>
      </c>
    </row>
    <row r="41">
      <c r="A41" s="83">
        <v>6.0</v>
      </c>
      <c r="B41" s="263">
        <f t="shared" si="4"/>
        <v>1</v>
      </c>
      <c r="C41" s="259">
        <f t="shared" si="1"/>
        <v>2</v>
      </c>
      <c r="D41" s="263">
        <f>IF($A$31="远程",MAX(ROUNDDOWN((1-DPS_Piercing_Falloff)*D40,0),1),0)</f>
        <v>1</v>
      </c>
      <c r="E41" s="259">
        <f t="shared" si="2"/>
        <v>2</v>
      </c>
      <c r="F41" s="269">
        <f t="shared" si="3"/>
        <v>0</v>
      </c>
      <c r="G41" s="263">
        <f t="shared" si="5"/>
        <v>1</v>
      </c>
      <c r="H41" s="259">
        <f>Round(G41*DPS_SpawnCritMult,0)</f>
        <v>2</v>
      </c>
      <c r="J41" s="263">
        <f t="shared" si="6"/>
        <v>1</v>
      </c>
      <c r="K41" s="259">
        <f>Round(J41*DPS_SpawnCritMult,0)</f>
        <v>2</v>
      </c>
    </row>
    <row r="42">
      <c r="A42" s="83">
        <v>7.0</v>
      </c>
      <c r="B42" s="263">
        <f t="shared" si="4"/>
        <v>1</v>
      </c>
      <c r="C42" s="259">
        <f t="shared" si="1"/>
        <v>2</v>
      </c>
      <c r="D42" s="263">
        <f>IF($A$31="远程",MAX(ROUNDDOWN((1-DPS_Piercing_Falloff)*D41,0),1),0)</f>
        <v>1</v>
      </c>
      <c r="E42" s="259">
        <f t="shared" si="2"/>
        <v>2</v>
      </c>
      <c r="F42" s="269">
        <f t="shared" si="3"/>
        <v>0</v>
      </c>
      <c r="G42" s="263">
        <f t="shared" si="5"/>
        <v>1</v>
      </c>
      <c r="H42" s="259">
        <f>Round(G42*DPS_SpawnCritMult,0)</f>
        <v>2</v>
      </c>
      <c r="J42" s="263">
        <f t="shared" si="6"/>
        <v>1</v>
      </c>
      <c r="K42" s="259">
        <f>Round(J42*DPS_SpawnCritMult,0)</f>
        <v>2</v>
      </c>
    </row>
    <row r="43">
      <c r="A43" s="83">
        <v>8.0</v>
      </c>
      <c r="B43" s="263">
        <f t="shared" si="4"/>
        <v>1</v>
      </c>
      <c r="C43" s="259">
        <f t="shared" si="1"/>
        <v>2</v>
      </c>
      <c r="D43" s="263">
        <f>IF($A$31="远程",MAX(ROUNDDOWN((1-DPS_Piercing_Falloff)*D42,0),1),0)</f>
        <v>1</v>
      </c>
      <c r="E43" s="259">
        <f t="shared" si="2"/>
        <v>2</v>
      </c>
      <c r="F43" s="269">
        <f t="shared" si="3"/>
        <v>0</v>
      </c>
      <c r="G43" s="263">
        <f t="shared" si="5"/>
        <v>1</v>
      </c>
      <c r="H43" s="259">
        <f>Round(G43*DPS_SpawnCritMult,0)</f>
        <v>2</v>
      </c>
      <c r="J43" s="263">
        <f t="shared" si="6"/>
        <v>1</v>
      </c>
      <c r="K43" s="259">
        <f>Round(J43*DPS_SpawnCritMult,0)</f>
        <v>2</v>
      </c>
    </row>
    <row r="44">
      <c r="A44" s="83">
        <v>9.0</v>
      </c>
      <c r="B44" s="263">
        <f t="shared" si="4"/>
        <v>1</v>
      </c>
      <c r="C44" s="259">
        <f t="shared" si="1"/>
        <v>2</v>
      </c>
      <c r="D44" s="263">
        <f>IF($A$31="远程",MAX(ROUNDDOWN((1-DPS_Piercing_Falloff)*D43,0),1),0)</f>
        <v>1</v>
      </c>
      <c r="E44" s="259">
        <f t="shared" si="2"/>
        <v>2</v>
      </c>
      <c r="F44" s="269">
        <f t="shared" si="3"/>
        <v>0</v>
      </c>
      <c r="G44" s="263">
        <f t="shared" si="5"/>
        <v>1</v>
      </c>
      <c r="H44" s="259">
        <f>Round(G44*DPS_SpawnCritMult,0)</f>
        <v>2</v>
      </c>
      <c r="J44" s="263">
        <f t="shared" si="6"/>
        <v>1</v>
      </c>
      <c r="K44" s="259">
        <f>Round(J44*DPS_SpawnCritMult,0)</f>
        <v>2</v>
      </c>
    </row>
    <row r="45">
      <c r="A45" s="83">
        <v>10.0</v>
      </c>
      <c r="B45" s="263">
        <f t="shared" si="4"/>
        <v>1</v>
      </c>
      <c r="C45" s="259">
        <f t="shared" si="1"/>
        <v>2</v>
      </c>
      <c r="D45" s="263">
        <f>IF($A$31="远程",MAX(ROUNDDOWN((1-DPS_Piercing_Falloff)*D44,0),1),0)</f>
        <v>1</v>
      </c>
      <c r="E45" s="259">
        <f t="shared" si="2"/>
        <v>2</v>
      </c>
      <c r="F45" s="269">
        <f t="shared" si="3"/>
        <v>0</v>
      </c>
      <c r="G45" s="263">
        <f t="shared" si="5"/>
        <v>1</v>
      </c>
      <c r="H45" s="259">
        <f>Round(G45*DPS_SpawnCritMult,0)</f>
        <v>2</v>
      </c>
      <c r="J45" s="263">
        <f t="shared" si="6"/>
        <v>1</v>
      </c>
      <c r="K45" s="259">
        <f>Round(J45*DPS_SpawnCritMult,0)</f>
        <v>2</v>
      </c>
      <c r="U45" s="288"/>
      <c r="V45" s="288"/>
      <c r="W45" s="288"/>
      <c r="X45" s="288"/>
    </row>
    <row r="46">
      <c r="A46" s="83">
        <v>11.0</v>
      </c>
      <c r="B46" s="263">
        <f t="shared" si="4"/>
        <v>1</v>
      </c>
      <c r="C46" s="259">
        <f t="shared" si="1"/>
        <v>2</v>
      </c>
      <c r="D46" s="263">
        <f>IF($A$31="远程",MAX(ROUNDDOWN((1-DPS_Piercing_Falloff)*D45,0),1),0)</f>
        <v>1</v>
      </c>
      <c r="E46" s="259">
        <f t="shared" si="2"/>
        <v>2</v>
      </c>
      <c r="F46" s="269">
        <f t="shared" si="3"/>
        <v>0</v>
      </c>
      <c r="G46" s="263">
        <f t="shared" si="5"/>
        <v>1</v>
      </c>
      <c r="H46" s="259">
        <f>Round(G46*DPS_SpawnCritMult,0)</f>
        <v>2</v>
      </c>
      <c r="J46" s="263">
        <f t="shared" si="6"/>
        <v>1</v>
      </c>
      <c r="K46" s="259">
        <f>Round(J46*DPS_SpawnCritMult,0)</f>
        <v>2</v>
      </c>
      <c r="U46" s="329"/>
      <c r="V46" s="330"/>
      <c r="W46" s="288"/>
      <c r="X46" s="288"/>
    </row>
    <row r="47">
      <c r="A47" s="83">
        <v>12.0</v>
      </c>
      <c r="B47" s="263">
        <f t="shared" si="4"/>
        <v>1</v>
      </c>
      <c r="C47" s="259">
        <f t="shared" si="1"/>
        <v>2</v>
      </c>
      <c r="D47" s="263">
        <f>IF($A$31="远程",MAX(ROUNDDOWN((1-DPS_Piercing_Falloff)*D46,0),1),0)</f>
        <v>1</v>
      </c>
      <c r="E47" s="259">
        <f t="shared" si="2"/>
        <v>2</v>
      </c>
      <c r="F47" s="269">
        <f t="shared" si="3"/>
        <v>0</v>
      </c>
      <c r="G47" s="263">
        <f t="shared" si="5"/>
        <v>1</v>
      </c>
      <c r="H47" s="259">
        <f>Round(G47*DPS_SpawnCritMult,0)</f>
        <v>2</v>
      </c>
      <c r="J47" s="263">
        <f t="shared" si="6"/>
        <v>1</v>
      </c>
      <c r="K47" s="259">
        <f>Round(J47*DPS_SpawnCritMult,0)</f>
        <v>2</v>
      </c>
      <c r="U47" s="288"/>
      <c r="V47" s="288"/>
      <c r="W47" s="288"/>
      <c r="X47" s="288"/>
    </row>
    <row r="48">
      <c r="A48" s="83">
        <v>13.0</v>
      </c>
      <c r="B48" s="263">
        <f t="shared" si="4"/>
        <v>1</v>
      </c>
      <c r="C48" s="259">
        <f t="shared" si="1"/>
        <v>2</v>
      </c>
      <c r="D48" s="263">
        <f>IF($A$31="远程",MAX(ROUNDDOWN((1-DPS_Piercing_Falloff)*D47,0),1),0)</f>
        <v>1</v>
      </c>
      <c r="E48" s="259">
        <f t="shared" si="2"/>
        <v>2</v>
      </c>
      <c r="F48" s="269">
        <f t="shared" si="3"/>
        <v>0</v>
      </c>
      <c r="G48" s="263">
        <f t="shared" si="5"/>
        <v>1</v>
      </c>
      <c r="H48" s="259">
        <f>Round(G48*DPS_SpawnCritMult,0)</f>
        <v>2</v>
      </c>
      <c r="J48" s="263">
        <f t="shared" si="6"/>
        <v>1</v>
      </c>
      <c r="K48" s="259">
        <f>Round(J48*DPS_SpawnCritMult,0)</f>
        <v>2</v>
      </c>
      <c r="U48" s="288"/>
      <c r="V48" s="288"/>
      <c r="W48" s="288"/>
      <c r="X48" s="288"/>
    </row>
    <row r="49">
      <c r="A49" s="83">
        <v>14.0</v>
      </c>
      <c r="B49" s="263">
        <f t="shared" si="4"/>
        <v>1</v>
      </c>
      <c r="C49" s="259">
        <f t="shared" si="1"/>
        <v>2</v>
      </c>
      <c r="D49" s="263">
        <f>IF($A$31="远程",MAX(ROUNDDOWN((1-DPS_Piercing_Falloff)*D48,0),1),0)</f>
        <v>1</v>
      </c>
      <c r="E49" s="259">
        <f t="shared" si="2"/>
        <v>2</v>
      </c>
      <c r="F49" s="269">
        <f t="shared" si="3"/>
        <v>0</v>
      </c>
      <c r="G49" s="263">
        <f t="shared" si="5"/>
        <v>1</v>
      </c>
      <c r="H49" s="259">
        <f>Round(G49*DPS_SpawnCritMult,0)</f>
        <v>2</v>
      </c>
      <c r="J49" s="263">
        <f t="shared" si="6"/>
        <v>1</v>
      </c>
      <c r="K49" s="259">
        <f>Round(J49*DPS_SpawnCritMult,0)</f>
        <v>2</v>
      </c>
      <c r="U49" s="288"/>
      <c r="V49" s="288"/>
      <c r="W49" s="288"/>
      <c r="X49" s="288"/>
    </row>
    <row r="50">
      <c r="A50" s="83">
        <v>15.0</v>
      </c>
      <c r="B50" s="263">
        <f t="shared" si="4"/>
        <v>1</v>
      </c>
      <c r="C50" s="259">
        <f t="shared" si="1"/>
        <v>2</v>
      </c>
      <c r="D50" s="263">
        <f>IF($A$31="远程",MAX(ROUNDDOWN((1-DPS_Piercing_Falloff)*D49,0),1),0)</f>
        <v>1</v>
      </c>
      <c r="E50" s="259">
        <f t="shared" si="2"/>
        <v>2</v>
      </c>
      <c r="F50" s="269">
        <f t="shared" si="3"/>
        <v>0</v>
      </c>
      <c r="G50" s="263">
        <f t="shared" si="5"/>
        <v>1</v>
      </c>
      <c r="H50" s="259">
        <f>Round(G50*DPS_SpawnCritMult,0)</f>
        <v>2</v>
      </c>
      <c r="J50" s="263">
        <f t="shared" si="6"/>
        <v>1</v>
      </c>
      <c r="K50" s="259">
        <f>Round(J50*DPS_SpawnCritMult,0)</f>
        <v>2</v>
      </c>
      <c r="U50" s="329"/>
      <c r="V50" s="329"/>
      <c r="W50" s="329"/>
      <c r="X50" s="329"/>
    </row>
    <row r="51">
      <c r="A51" s="83">
        <v>16.0</v>
      </c>
      <c r="B51" s="263">
        <f t="shared" si="4"/>
        <v>1</v>
      </c>
      <c r="C51" s="259">
        <f t="shared" si="1"/>
        <v>2</v>
      </c>
      <c r="D51" s="263">
        <f>IF($A$31="远程",MAX(ROUNDDOWN((1-DPS_Piercing_Falloff)*D50,0),1),0)</f>
        <v>1</v>
      </c>
      <c r="E51" s="259">
        <f t="shared" si="2"/>
        <v>2</v>
      </c>
      <c r="F51" s="269">
        <f t="shared" si="3"/>
        <v>0</v>
      </c>
      <c r="G51" s="263">
        <f t="shared" si="5"/>
        <v>1</v>
      </c>
      <c r="H51" s="259">
        <f>Round(G51*DPS_SpawnCritMult,0)</f>
        <v>2</v>
      </c>
      <c r="J51" s="263">
        <f t="shared" si="6"/>
        <v>1</v>
      </c>
      <c r="K51" s="259">
        <f>Round(J51*DPS_SpawnCritMult,0)</f>
        <v>2</v>
      </c>
      <c r="U51" s="288"/>
      <c r="V51" s="288"/>
      <c r="W51" s="288"/>
      <c r="X51" s="288"/>
    </row>
    <row r="52">
      <c r="A52" s="83">
        <v>17.0</v>
      </c>
      <c r="B52" s="263">
        <f t="shared" si="4"/>
        <v>1</v>
      </c>
      <c r="C52" s="259">
        <f t="shared" si="1"/>
        <v>2</v>
      </c>
      <c r="D52" s="263">
        <f>IF($A$31="远程",MAX(ROUNDDOWN((1-DPS_Piercing_Falloff)*D51,0),1),0)</f>
        <v>1</v>
      </c>
      <c r="E52" s="259">
        <f t="shared" si="2"/>
        <v>2</v>
      </c>
      <c r="F52" s="269">
        <f t="shared" si="3"/>
        <v>0</v>
      </c>
      <c r="G52" s="263">
        <f t="shared" si="5"/>
        <v>1</v>
      </c>
      <c r="H52" s="259">
        <f>Round(G52*DPS_SpawnCritMult,0)</f>
        <v>2</v>
      </c>
      <c r="J52" s="263">
        <f t="shared" si="6"/>
        <v>1</v>
      </c>
      <c r="K52" s="259">
        <f>Round(J52*DPS_SpawnCritMult,0)</f>
        <v>2</v>
      </c>
      <c r="U52" s="288"/>
      <c r="V52" s="288"/>
      <c r="W52" s="288"/>
      <c r="X52" s="288"/>
    </row>
    <row r="53">
      <c r="A53" s="83">
        <v>18.0</v>
      </c>
      <c r="B53" s="263">
        <f t="shared" si="4"/>
        <v>1</v>
      </c>
      <c r="C53" s="259">
        <f t="shared" si="1"/>
        <v>2</v>
      </c>
      <c r="D53" s="263">
        <f>IF($A$31="远程",MAX(ROUNDDOWN((1-DPS_Piercing_Falloff)*D52,0),1),0)</f>
        <v>1</v>
      </c>
      <c r="E53" s="259">
        <f t="shared" si="2"/>
        <v>2</v>
      </c>
      <c r="F53" s="269">
        <f t="shared" si="3"/>
        <v>0</v>
      </c>
      <c r="G53" s="263">
        <f t="shared" si="5"/>
        <v>1</v>
      </c>
      <c r="H53" s="259">
        <f>Round(G53*DPS_SpawnCritMult,0)</f>
        <v>2</v>
      </c>
      <c r="J53" s="263">
        <f t="shared" si="6"/>
        <v>1</v>
      </c>
      <c r="K53" s="259">
        <f>Round(J53*DPS_SpawnCritMult,0)</f>
        <v>2</v>
      </c>
      <c r="U53" s="329"/>
      <c r="V53" s="329"/>
      <c r="W53" s="329"/>
      <c r="X53" s="329"/>
    </row>
    <row r="54">
      <c r="A54" s="83">
        <v>19.0</v>
      </c>
      <c r="B54" s="263">
        <f t="shared" si="4"/>
        <v>1</v>
      </c>
      <c r="C54" s="259">
        <f t="shared" si="1"/>
        <v>2</v>
      </c>
      <c r="D54" s="263">
        <f>IF($A$31="远程",MAX(ROUNDDOWN((1-DPS_Piercing_Falloff)*D53,0),1),0)</f>
        <v>1</v>
      </c>
      <c r="E54" s="259">
        <f t="shared" si="2"/>
        <v>2</v>
      </c>
      <c r="F54" s="269">
        <f t="shared" si="3"/>
        <v>0</v>
      </c>
      <c r="G54" s="263">
        <f t="shared" si="5"/>
        <v>1</v>
      </c>
      <c r="H54" s="259">
        <f>Round(G54*DPS_SpawnCritMult,0)</f>
        <v>2</v>
      </c>
      <c r="J54" s="263">
        <f t="shared" si="6"/>
        <v>1</v>
      </c>
      <c r="K54" s="259">
        <f>Round(J54*DPS_SpawnCritMult,0)</f>
        <v>2</v>
      </c>
    </row>
    <row r="55">
      <c r="A55" s="83">
        <v>20.0</v>
      </c>
      <c r="B55" s="263">
        <f t="shared" si="4"/>
        <v>1</v>
      </c>
      <c r="C55" s="259">
        <f t="shared" si="1"/>
        <v>2</v>
      </c>
      <c r="D55" s="263">
        <f>IF($A$31="远程",MAX(ROUNDDOWN((1-DPS_Piercing_Falloff)*D54,0),1),0)</f>
        <v>1</v>
      </c>
      <c r="E55" s="259">
        <f t="shared" si="2"/>
        <v>2</v>
      </c>
      <c r="F55" s="269">
        <f t="shared" si="3"/>
        <v>0</v>
      </c>
      <c r="G55" s="263">
        <f t="shared" si="5"/>
        <v>1</v>
      </c>
      <c r="H55" s="259">
        <f>Round(G55*DPS_SpawnCritMult,0)</f>
        <v>2</v>
      </c>
      <c r="J55" s="263">
        <f t="shared" si="6"/>
        <v>1</v>
      </c>
      <c r="K55" s="259">
        <f>Round(J55*DPS_SpawnCritMult,0)</f>
        <v>2</v>
      </c>
    </row>
    <row r="56">
      <c r="A56" s="83">
        <v>21.0</v>
      </c>
      <c r="B56" s="263">
        <f t="shared" si="4"/>
        <v>1</v>
      </c>
      <c r="C56" s="259">
        <f t="shared" si="1"/>
        <v>2</v>
      </c>
      <c r="D56" s="263">
        <f>IF($A$31="远程",MAX(ROUNDDOWN((1-DPS_Piercing_Falloff)*D55,0),1),0)</f>
        <v>1</v>
      </c>
      <c r="E56" s="259">
        <f t="shared" si="2"/>
        <v>2</v>
      </c>
      <c r="F56" s="269">
        <f t="shared" si="3"/>
        <v>0</v>
      </c>
      <c r="G56" s="263">
        <f t="shared" si="5"/>
        <v>1</v>
      </c>
      <c r="H56" s="259">
        <f>Round(G56*DPS_SpawnCritMult,0)</f>
        <v>2</v>
      </c>
      <c r="J56" s="263">
        <f t="shared" si="6"/>
        <v>1</v>
      </c>
      <c r="K56" s="259">
        <f>Round(J56*DPS_SpawnCritMult,0)</f>
        <v>2</v>
      </c>
    </row>
    <row r="57">
      <c r="A57" s="83">
        <v>22.0</v>
      </c>
      <c r="B57" s="263">
        <f t="shared" si="4"/>
        <v>1</v>
      </c>
      <c r="C57" s="259">
        <f t="shared" si="1"/>
        <v>2</v>
      </c>
      <c r="D57" s="263">
        <f>IF($A$31="远程",MAX(ROUNDDOWN((1-DPS_Piercing_Falloff)*D56,0),1),0)</f>
        <v>1</v>
      </c>
      <c r="E57" s="259">
        <f t="shared" si="2"/>
        <v>2</v>
      </c>
      <c r="F57" s="269">
        <f t="shared" si="3"/>
        <v>0</v>
      </c>
      <c r="G57" s="263">
        <f t="shared" si="5"/>
        <v>1</v>
      </c>
      <c r="H57" s="259">
        <f>Round(G57*DPS_SpawnCritMult,0)</f>
        <v>2</v>
      </c>
      <c r="J57" s="263">
        <f t="shared" si="6"/>
        <v>1</v>
      </c>
      <c r="K57" s="259">
        <f>Round(J57*DPS_SpawnCritMult,0)</f>
        <v>2</v>
      </c>
    </row>
    <row r="58">
      <c r="A58" s="83">
        <v>23.0</v>
      </c>
      <c r="B58" s="263">
        <f t="shared" si="4"/>
        <v>1</v>
      </c>
      <c r="C58" s="259">
        <f t="shared" si="1"/>
        <v>2</v>
      </c>
      <c r="D58" s="263">
        <f>IF($A$31="远程",MAX(ROUNDDOWN((1-DPS_Piercing_Falloff)*D57,0),1),0)</f>
        <v>1</v>
      </c>
      <c r="E58" s="259">
        <f t="shared" si="2"/>
        <v>2</v>
      </c>
      <c r="F58" s="269">
        <f t="shared" si="3"/>
        <v>0</v>
      </c>
      <c r="G58" s="263">
        <f t="shared" si="5"/>
        <v>1</v>
      </c>
      <c r="H58" s="259">
        <f>Round(G58*DPS_SpawnCritMult,0)</f>
        <v>2</v>
      </c>
      <c r="J58" s="263">
        <f t="shared" si="6"/>
        <v>1</v>
      </c>
      <c r="K58" s="259">
        <f>Round(J58*DPS_SpawnCritMult,0)</f>
        <v>2</v>
      </c>
    </row>
    <row r="59">
      <c r="A59" s="83">
        <v>24.0</v>
      </c>
      <c r="B59" s="263">
        <f t="shared" si="4"/>
        <v>1</v>
      </c>
      <c r="C59" s="259">
        <f t="shared" si="1"/>
        <v>2</v>
      </c>
      <c r="D59" s="263">
        <f>IF($A$31="远程",MAX(ROUNDDOWN((1-DPS_Piercing_Falloff)*D58,0),1),0)</f>
        <v>1</v>
      </c>
      <c r="E59" s="259">
        <f t="shared" si="2"/>
        <v>2</v>
      </c>
      <c r="F59" s="269">
        <f t="shared" si="3"/>
        <v>0</v>
      </c>
      <c r="G59" s="263">
        <f t="shared" si="5"/>
        <v>1</v>
      </c>
      <c r="H59" s="259">
        <f>Round(G59*DPS_SpawnCritMult,0)</f>
        <v>2</v>
      </c>
      <c r="J59" s="263">
        <f t="shared" si="6"/>
        <v>1</v>
      </c>
      <c r="K59" s="259">
        <f>Round(J59*DPS_SpawnCritMult,0)</f>
        <v>2</v>
      </c>
    </row>
    <row r="60">
      <c r="A60" s="83">
        <v>25.0</v>
      </c>
      <c r="B60" s="263">
        <f t="shared" si="4"/>
        <v>1</v>
      </c>
      <c r="C60" s="259">
        <f t="shared" si="1"/>
        <v>2</v>
      </c>
      <c r="D60" s="263">
        <f>IF($A$31="远程",MAX(ROUNDDOWN((1-DPS_Piercing_Falloff)*D59,0),1),0)</f>
        <v>1</v>
      </c>
      <c r="E60" s="259">
        <f t="shared" si="2"/>
        <v>2</v>
      </c>
      <c r="F60" s="269">
        <f t="shared" si="3"/>
        <v>0</v>
      </c>
      <c r="G60" s="263">
        <f t="shared" si="5"/>
        <v>1</v>
      </c>
      <c r="H60" s="259">
        <f>Round(G60*DPS_SpawnCritMult,0)</f>
        <v>2</v>
      </c>
      <c r="J60" s="263">
        <f t="shared" si="6"/>
        <v>1</v>
      </c>
      <c r="K60" s="259">
        <f>Round(J60*DPS_SpawnCritMult,0)</f>
        <v>2</v>
      </c>
    </row>
    <row r="61">
      <c r="A61" s="83">
        <v>26.0</v>
      </c>
      <c r="B61" s="263">
        <f t="shared" si="4"/>
        <v>1</v>
      </c>
      <c r="C61" s="259">
        <f t="shared" si="1"/>
        <v>2</v>
      </c>
      <c r="D61" s="263">
        <f>IF($A$31="远程",MAX(ROUNDDOWN((1-DPS_Piercing_Falloff)*D60,0),1),0)</f>
        <v>1</v>
      </c>
      <c r="E61" s="259">
        <f t="shared" si="2"/>
        <v>2</v>
      </c>
      <c r="F61" s="269">
        <f t="shared" si="3"/>
        <v>0</v>
      </c>
      <c r="G61" s="263">
        <f t="shared" si="5"/>
        <v>1</v>
      </c>
      <c r="H61" s="259">
        <f>Round(G61*DPS_SpawnCritMult,0)</f>
        <v>2</v>
      </c>
      <c r="J61" s="263">
        <f t="shared" si="6"/>
        <v>1</v>
      </c>
      <c r="K61" s="259">
        <f>Round(J61*DPS_SpawnCritMult,0)</f>
        <v>2</v>
      </c>
    </row>
    <row r="62">
      <c r="A62" s="83">
        <v>27.0</v>
      </c>
      <c r="B62" s="263">
        <f t="shared" si="4"/>
        <v>1</v>
      </c>
      <c r="C62" s="259">
        <f t="shared" si="1"/>
        <v>2</v>
      </c>
      <c r="D62" s="263">
        <f>IF($A$31="远程",MAX(ROUNDDOWN((1-DPS_Piercing_Falloff)*D61,0),1),0)</f>
        <v>1</v>
      </c>
      <c r="E62" s="259">
        <f t="shared" si="2"/>
        <v>2</v>
      </c>
      <c r="F62" s="269">
        <f t="shared" si="3"/>
        <v>0</v>
      </c>
      <c r="G62" s="263">
        <f t="shared" si="5"/>
        <v>1</v>
      </c>
      <c r="H62" s="259">
        <f>Round(G62*DPS_SpawnCritMult,0)</f>
        <v>2</v>
      </c>
      <c r="J62" s="263">
        <f t="shared" si="6"/>
        <v>1</v>
      </c>
      <c r="K62" s="259">
        <f>Round(J62*DPS_SpawnCritMult,0)</f>
        <v>2</v>
      </c>
    </row>
    <row r="63">
      <c r="A63" s="83">
        <v>28.0</v>
      </c>
      <c r="B63" s="263">
        <f t="shared" si="4"/>
        <v>1</v>
      </c>
      <c r="C63" s="259">
        <f t="shared" si="1"/>
        <v>2</v>
      </c>
      <c r="D63" s="263">
        <f>IF($A$31="远程",MAX(ROUNDDOWN((1-DPS_Piercing_Falloff)*D62,0),1),0)</f>
        <v>1</v>
      </c>
      <c r="E63" s="259">
        <f t="shared" si="2"/>
        <v>2</v>
      </c>
      <c r="F63" s="269">
        <f t="shared" si="3"/>
        <v>0</v>
      </c>
      <c r="G63" s="263">
        <f t="shared" si="5"/>
        <v>1</v>
      </c>
      <c r="H63" s="259">
        <f>Round(G63*DPS_SpawnCritMult,0)</f>
        <v>2</v>
      </c>
      <c r="J63" s="263">
        <f t="shared" si="6"/>
        <v>1</v>
      </c>
      <c r="K63" s="259">
        <f>Round(J63*DPS_SpawnCritMult,0)</f>
        <v>2</v>
      </c>
    </row>
    <row r="64">
      <c r="A64" s="83">
        <v>29.0</v>
      </c>
      <c r="B64" s="263">
        <f t="shared" si="4"/>
        <v>1</v>
      </c>
      <c r="C64" s="259">
        <f t="shared" si="1"/>
        <v>2</v>
      </c>
      <c r="D64" s="263">
        <f>IF($A$31="远程",MAX(ROUNDDOWN((1-DPS_Piercing_Falloff)*D63,0),1),0)</f>
        <v>1</v>
      </c>
      <c r="E64" s="259">
        <f t="shared" si="2"/>
        <v>2</v>
      </c>
      <c r="F64" s="269">
        <f t="shared" si="3"/>
        <v>0</v>
      </c>
      <c r="G64" s="263">
        <f t="shared" si="5"/>
        <v>1</v>
      </c>
      <c r="H64" s="259">
        <f>Round(G64*DPS_SpawnCritMult,0)</f>
        <v>2</v>
      </c>
      <c r="J64" s="263">
        <f t="shared" si="6"/>
        <v>1</v>
      </c>
      <c r="K64" s="259">
        <f>Round(J64*DPS_SpawnCritMult,0)</f>
        <v>2</v>
      </c>
    </row>
    <row r="65">
      <c r="A65" s="83">
        <v>30.0</v>
      </c>
      <c r="B65" s="263">
        <f t="shared" si="4"/>
        <v>1</v>
      </c>
      <c r="C65" s="259">
        <f t="shared" si="1"/>
        <v>2</v>
      </c>
      <c r="D65" s="263">
        <f>IF($A$31="远程",MAX(ROUNDDOWN((1-DPS_Piercing_Falloff)*D64,0),1),0)</f>
        <v>1</v>
      </c>
      <c r="E65" s="259">
        <f t="shared" si="2"/>
        <v>2</v>
      </c>
      <c r="F65" s="269">
        <f t="shared" si="3"/>
        <v>0</v>
      </c>
      <c r="G65" s="263">
        <f t="shared" si="5"/>
        <v>1</v>
      </c>
      <c r="H65" s="259">
        <f>Round(G65*DPS_SpawnCritMult,0)</f>
        <v>2</v>
      </c>
      <c r="J65" s="263">
        <f t="shared" si="6"/>
        <v>1</v>
      </c>
      <c r="K65" s="259">
        <f>Round(J65*DPS_SpawnCritMult,0)</f>
        <v>2</v>
      </c>
    </row>
    <row r="66">
      <c r="A66" s="83">
        <v>31.0</v>
      </c>
      <c r="B66" s="263">
        <f t="shared" si="4"/>
        <v>1</v>
      </c>
      <c r="C66" s="259">
        <f t="shared" si="1"/>
        <v>2</v>
      </c>
      <c r="D66" s="263">
        <f>IF($A$31="远程",MAX(ROUNDDOWN((1-DPS_Piercing_Falloff)*D65,0),1),0)</f>
        <v>1</v>
      </c>
      <c r="E66" s="259">
        <f t="shared" si="2"/>
        <v>2</v>
      </c>
      <c r="F66" s="269">
        <f t="shared" si="3"/>
        <v>0</v>
      </c>
      <c r="G66" s="263">
        <f t="shared" si="5"/>
        <v>1</v>
      </c>
      <c r="H66" s="259">
        <f>Round(G66*DPS_SpawnCritMult,0)</f>
        <v>2</v>
      </c>
      <c r="J66" s="263">
        <f t="shared" si="6"/>
        <v>1</v>
      </c>
      <c r="K66" s="259">
        <f>Round(J66*DPS_SpawnCritMult,0)</f>
        <v>2</v>
      </c>
    </row>
    <row r="67">
      <c r="A67" s="83">
        <v>32.0</v>
      </c>
      <c r="B67" s="263">
        <f t="shared" si="4"/>
        <v>1</v>
      </c>
      <c r="C67" s="259">
        <f t="shared" si="1"/>
        <v>2</v>
      </c>
      <c r="D67" s="263">
        <f>IF($A$31="远程",MAX(ROUNDDOWN((1-DPS_Piercing_Falloff)*D66,0),1),0)</f>
        <v>1</v>
      </c>
      <c r="E67" s="259">
        <f t="shared" si="2"/>
        <v>2</v>
      </c>
      <c r="F67" s="269">
        <f t="shared" si="3"/>
        <v>0</v>
      </c>
      <c r="G67" s="263">
        <f t="shared" si="5"/>
        <v>1</v>
      </c>
      <c r="H67" s="259">
        <f>Round(G67*DPS_SpawnCritMult,0)</f>
        <v>2</v>
      </c>
      <c r="J67" s="263">
        <f t="shared" si="6"/>
        <v>1</v>
      </c>
      <c r="K67" s="259">
        <f>Round(J67*DPS_SpawnCritMult,0)</f>
        <v>2</v>
      </c>
    </row>
    <row r="68">
      <c r="A68" s="83">
        <v>33.0</v>
      </c>
      <c r="B68" s="263">
        <f t="shared" si="4"/>
        <v>1</v>
      </c>
      <c r="C68" s="259">
        <f t="shared" si="1"/>
        <v>2</v>
      </c>
      <c r="D68" s="263">
        <f>IF($A$31="远程",MAX(ROUNDDOWN((1-DPS_Piercing_Falloff)*D67,0),1),0)</f>
        <v>1</v>
      </c>
      <c r="E68" s="259">
        <f t="shared" si="2"/>
        <v>2</v>
      </c>
      <c r="F68" s="269">
        <f t="shared" si="3"/>
        <v>0</v>
      </c>
      <c r="G68" s="263">
        <f t="shared" si="5"/>
        <v>1</v>
      </c>
      <c r="H68" s="259">
        <f>Round(G68*DPS_SpawnCritMult,0)</f>
        <v>2</v>
      </c>
      <c r="J68" s="263">
        <f t="shared" si="6"/>
        <v>1</v>
      </c>
      <c r="K68" s="259">
        <f>Round(J68*DPS_SpawnCritMult,0)</f>
        <v>2</v>
      </c>
    </row>
    <row r="69">
      <c r="A69" s="83">
        <v>34.0</v>
      </c>
      <c r="B69" s="263">
        <f t="shared" si="4"/>
        <v>1</v>
      </c>
      <c r="C69" s="259">
        <f t="shared" si="1"/>
        <v>2</v>
      </c>
      <c r="D69" s="263">
        <f>IF($A$31="远程",MAX(ROUNDDOWN((1-DPS_Piercing_Falloff)*D68,0),1),0)</f>
        <v>1</v>
      </c>
      <c r="E69" s="259">
        <f t="shared" si="2"/>
        <v>2</v>
      </c>
      <c r="F69" s="269">
        <f t="shared" si="3"/>
        <v>0</v>
      </c>
      <c r="G69" s="263">
        <f t="shared" si="5"/>
        <v>1</v>
      </c>
      <c r="H69" s="259">
        <f>Round(G69*DPS_SpawnCritMult,0)</f>
        <v>2</v>
      </c>
      <c r="J69" s="263">
        <f t="shared" si="6"/>
        <v>1</v>
      </c>
      <c r="K69" s="259">
        <f>Round(J69*DPS_SpawnCritMult,0)</f>
        <v>2</v>
      </c>
    </row>
    <row r="70">
      <c r="A70" s="83">
        <v>35.0</v>
      </c>
      <c r="B70" s="263">
        <f t="shared" si="4"/>
        <v>1</v>
      </c>
      <c r="C70" s="259">
        <f t="shared" si="1"/>
        <v>2</v>
      </c>
      <c r="D70" s="263">
        <f>IF($A$31="远程",MAX(ROUNDDOWN((1-DPS_Piercing_Falloff)*D69,0),1),0)</f>
        <v>1</v>
      </c>
      <c r="E70" s="259">
        <f t="shared" si="2"/>
        <v>2</v>
      </c>
      <c r="F70" s="269">
        <f t="shared" si="3"/>
        <v>0</v>
      </c>
      <c r="G70" s="263">
        <f t="shared" si="5"/>
        <v>1</v>
      </c>
      <c r="H70" s="259">
        <f>Round(G70*DPS_SpawnCritMult,0)</f>
        <v>2</v>
      </c>
      <c r="J70" s="263">
        <f t="shared" si="6"/>
        <v>1</v>
      </c>
      <c r="K70" s="259">
        <f>Round(J70*DPS_SpawnCritMult,0)</f>
        <v>2</v>
      </c>
    </row>
    <row r="71">
      <c r="A71" s="83">
        <v>36.0</v>
      </c>
      <c r="B71" s="263">
        <f t="shared" si="4"/>
        <v>1</v>
      </c>
      <c r="C71" s="259">
        <f t="shared" si="1"/>
        <v>2</v>
      </c>
      <c r="D71" s="263">
        <f>IF($A$31="远程",MAX(ROUNDDOWN((1-DPS_Piercing_Falloff)*D70,0),1),0)</f>
        <v>1</v>
      </c>
      <c r="E71" s="259">
        <f t="shared" si="2"/>
        <v>2</v>
      </c>
      <c r="F71" s="269">
        <f t="shared" si="3"/>
        <v>0</v>
      </c>
      <c r="G71" s="263">
        <f t="shared" si="5"/>
        <v>1</v>
      </c>
      <c r="H71" s="259">
        <f>Round(G71*DPS_SpawnCritMult,0)</f>
        <v>2</v>
      </c>
      <c r="J71" s="263">
        <f t="shared" si="6"/>
        <v>1</v>
      </c>
      <c r="K71" s="259">
        <f>Round(J71*DPS_SpawnCritMult,0)</f>
        <v>2</v>
      </c>
    </row>
    <row r="72">
      <c r="A72" s="83">
        <v>37.0</v>
      </c>
      <c r="B72" s="263">
        <f t="shared" si="4"/>
        <v>1</v>
      </c>
      <c r="C72" s="259">
        <f t="shared" si="1"/>
        <v>2</v>
      </c>
      <c r="D72" s="263">
        <f>IF($A$31="远程",MAX(ROUNDDOWN((1-DPS_Piercing_Falloff)*D71,0),1),0)</f>
        <v>1</v>
      </c>
      <c r="E72" s="259">
        <f t="shared" si="2"/>
        <v>2</v>
      </c>
      <c r="F72" s="269">
        <f t="shared" si="3"/>
        <v>0</v>
      </c>
      <c r="G72" s="263">
        <f t="shared" si="5"/>
        <v>1</v>
      </c>
      <c r="H72" s="259">
        <f>Round(G72*DPS_SpawnCritMult,0)</f>
        <v>2</v>
      </c>
      <c r="J72" s="263">
        <f t="shared" si="6"/>
        <v>1</v>
      </c>
      <c r="K72" s="259">
        <f>Round(J72*DPS_SpawnCritMult,0)</f>
        <v>2</v>
      </c>
    </row>
    <row r="73">
      <c r="A73" s="83">
        <v>38.0</v>
      </c>
      <c r="B73" s="263">
        <f t="shared" si="4"/>
        <v>1</v>
      </c>
      <c r="C73" s="259">
        <f t="shared" si="1"/>
        <v>2</v>
      </c>
      <c r="D73" s="263">
        <f>IF($A$31="远程",MAX(ROUNDDOWN((1-DPS_Piercing_Falloff)*D72,0),1),0)</f>
        <v>1</v>
      </c>
      <c r="E73" s="259">
        <f t="shared" si="2"/>
        <v>2</v>
      </c>
      <c r="F73" s="269">
        <f t="shared" si="3"/>
        <v>0</v>
      </c>
      <c r="G73" s="263">
        <f t="shared" si="5"/>
        <v>1</v>
      </c>
      <c r="H73" s="259">
        <f>Round(G73*DPS_SpawnCritMult,0)</f>
        <v>2</v>
      </c>
      <c r="J73" s="263">
        <f t="shared" si="6"/>
        <v>1</v>
      </c>
      <c r="K73" s="259">
        <f>Round(J73*DPS_SpawnCritMult,0)</f>
        <v>2</v>
      </c>
    </row>
    <row r="74">
      <c r="A74" s="83">
        <v>39.0</v>
      </c>
      <c r="B74" s="263">
        <f t="shared" si="4"/>
        <v>1</v>
      </c>
      <c r="C74" s="259">
        <f t="shared" si="1"/>
        <v>2</v>
      </c>
      <c r="D74" s="263">
        <f>IF($A$31="远程",MAX(ROUNDDOWN((1-DPS_Piercing_Falloff)*D73,0),1),0)</f>
        <v>1</v>
      </c>
      <c r="E74" s="259">
        <f t="shared" si="2"/>
        <v>2</v>
      </c>
      <c r="F74" s="269">
        <f t="shared" si="3"/>
        <v>0</v>
      </c>
      <c r="G74" s="263">
        <f t="shared" si="5"/>
        <v>1</v>
      </c>
      <c r="H74" s="259">
        <f>Round(G74*DPS_SpawnCritMult,0)</f>
        <v>2</v>
      </c>
      <c r="J74" s="263">
        <f t="shared" si="6"/>
        <v>1</v>
      </c>
      <c r="K74" s="259">
        <f>Round(J74*DPS_SpawnCritMult,0)</f>
        <v>2</v>
      </c>
    </row>
    <row r="75">
      <c r="A75" s="83">
        <v>40.0</v>
      </c>
      <c r="B75" s="263">
        <f t="shared" si="4"/>
        <v>1</v>
      </c>
      <c r="C75" s="259">
        <f t="shared" si="1"/>
        <v>2</v>
      </c>
      <c r="D75" s="263">
        <f>IF($A$31="远程",MAX(ROUNDDOWN((1-DPS_Piercing_Falloff)*D74,0),1),0)</f>
        <v>1</v>
      </c>
      <c r="E75" s="259">
        <f t="shared" si="2"/>
        <v>2</v>
      </c>
      <c r="F75" s="269">
        <f t="shared" si="3"/>
        <v>0</v>
      </c>
      <c r="G75" s="263">
        <f t="shared" si="5"/>
        <v>1</v>
      </c>
      <c r="H75" s="259">
        <f>Round(G75*DPS_SpawnCritMult,0)</f>
        <v>2</v>
      </c>
      <c r="J75" s="263">
        <f t="shared" si="6"/>
        <v>1</v>
      </c>
      <c r="K75" s="259">
        <f>Round(J75*DPS_SpawnCritMult,0)</f>
        <v>2</v>
      </c>
    </row>
    <row r="76">
      <c r="A76" s="83">
        <v>41.0</v>
      </c>
      <c r="B76" s="263">
        <f t="shared" si="4"/>
        <v>1</v>
      </c>
      <c r="C76" s="259">
        <f t="shared" si="1"/>
        <v>2</v>
      </c>
      <c r="D76" s="263">
        <f>IF($A$31="远程",MAX(ROUNDDOWN((1-DPS_Piercing_Falloff)*D75,0),1),0)</f>
        <v>1</v>
      </c>
      <c r="E76" s="259">
        <f t="shared" si="2"/>
        <v>2</v>
      </c>
      <c r="F76" s="269">
        <f t="shared" si="3"/>
        <v>0</v>
      </c>
      <c r="G76" s="263">
        <f t="shared" si="5"/>
        <v>1</v>
      </c>
      <c r="H76" s="259">
        <f>Round(G76*DPS_SpawnCritMult,0)</f>
        <v>2</v>
      </c>
      <c r="J76" s="263">
        <f t="shared" si="6"/>
        <v>1</v>
      </c>
      <c r="K76" s="259">
        <f>Round(J76*DPS_SpawnCritMult,0)</f>
        <v>2</v>
      </c>
    </row>
    <row r="77">
      <c r="A77" s="83">
        <v>42.0</v>
      </c>
      <c r="B77" s="263">
        <f t="shared" si="4"/>
        <v>1</v>
      </c>
      <c r="C77" s="259">
        <f t="shared" si="1"/>
        <v>2</v>
      </c>
      <c r="D77" s="263">
        <f>IF($A$31="远程",MAX(ROUNDDOWN((1-DPS_Piercing_Falloff)*D76,0),1),0)</f>
        <v>1</v>
      </c>
      <c r="E77" s="259">
        <f t="shared" si="2"/>
        <v>2</v>
      </c>
      <c r="F77" s="269">
        <f t="shared" si="3"/>
        <v>0</v>
      </c>
      <c r="G77" s="263">
        <f t="shared" si="5"/>
        <v>1</v>
      </c>
      <c r="H77" s="259">
        <f>Round(G77*DPS_SpawnCritMult,0)</f>
        <v>2</v>
      </c>
      <c r="J77" s="263">
        <f t="shared" si="6"/>
        <v>1</v>
      </c>
      <c r="K77" s="259">
        <f>Round(J77*DPS_SpawnCritMult,0)</f>
        <v>2</v>
      </c>
    </row>
    <row r="78">
      <c r="A78" s="83">
        <v>43.0</v>
      </c>
      <c r="B78" s="263">
        <f t="shared" si="4"/>
        <v>1</v>
      </c>
      <c r="C78" s="259">
        <f t="shared" si="1"/>
        <v>2</v>
      </c>
      <c r="D78" s="263">
        <f>IF($A$31="远程",MAX(ROUNDDOWN((1-DPS_Piercing_Falloff)*D77,0),1),0)</f>
        <v>1</v>
      </c>
      <c r="E78" s="259">
        <f t="shared" si="2"/>
        <v>2</v>
      </c>
      <c r="F78" s="269">
        <f t="shared" si="3"/>
        <v>0</v>
      </c>
      <c r="G78" s="263">
        <f t="shared" si="5"/>
        <v>1</v>
      </c>
      <c r="H78" s="259">
        <f>Round(G78*DPS_SpawnCritMult,0)</f>
        <v>2</v>
      </c>
      <c r="J78" s="263">
        <f t="shared" si="6"/>
        <v>1</v>
      </c>
      <c r="K78" s="259">
        <f>Round(J78*DPS_SpawnCritMult,0)</f>
        <v>2</v>
      </c>
    </row>
    <row r="79">
      <c r="A79" s="83">
        <v>44.0</v>
      </c>
      <c r="B79" s="263">
        <f t="shared" si="4"/>
        <v>1</v>
      </c>
      <c r="C79" s="259">
        <f t="shared" si="1"/>
        <v>2</v>
      </c>
      <c r="D79" s="263">
        <f>IF($A$31="远程",MAX(ROUNDDOWN((1-DPS_Piercing_Falloff)*D78,0),1),0)</f>
        <v>1</v>
      </c>
      <c r="E79" s="259">
        <f t="shared" si="2"/>
        <v>2</v>
      </c>
      <c r="F79" s="269">
        <f t="shared" si="3"/>
        <v>0</v>
      </c>
      <c r="G79" s="263">
        <f t="shared" si="5"/>
        <v>1</v>
      </c>
      <c r="H79" s="259">
        <f>Round(G79*DPS_SpawnCritMult,0)</f>
        <v>2</v>
      </c>
      <c r="J79" s="263">
        <f t="shared" si="6"/>
        <v>1</v>
      </c>
      <c r="K79" s="259">
        <f>Round(J79*DPS_SpawnCritMult,0)</f>
        <v>2</v>
      </c>
    </row>
    <row r="80">
      <c r="A80" s="83">
        <v>45.0</v>
      </c>
      <c r="B80" s="263">
        <f t="shared" si="4"/>
        <v>1</v>
      </c>
      <c r="C80" s="259">
        <f t="shared" si="1"/>
        <v>2</v>
      </c>
      <c r="D80" s="263">
        <f>IF($A$31="远程",MAX(ROUNDDOWN((1-DPS_Piercing_Falloff)*D79,0),1),0)</f>
        <v>1</v>
      </c>
      <c r="E80" s="259">
        <f t="shared" si="2"/>
        <v>2</v>
      </c>
      <c r="F80" s="269">
        <f t="shared" si="3"/>
        <v>0</v>
      </c>
      <c r="G80" s="263">
        <f t="shared" si="5"/>
        <v>1</v>
      </c>
      <c r="H80" s="259">
        <f>Round(G80*DPS_SpawnCritMult,0)</f>
        <v>2</v>
      </c>
      <c r="J80" s="263">
        <f t="shared" si="6"/>
        <v>1</v>
      </c>
      <c r="K80" s="259">
        <f>Round(J80*DPS_SpawnCritMult,0)</f>
        <v>2</v>
      </c>
    </row>
    <row r="81">
      <c r="A81" s="83">
        <v>46.0</v>
      </c>
      <c r="B81" s="263">
        <f t="shared" si="4"/>
        <v>1</v>
      </c>
      <c r="C81" s="259">
        <f t="shared" si="1"/>
        <v>2</v>
      </c>
      <c r="D81" s="263">
        <f>IF($A$31="远程",MAX(ROUNDDOWN((1-DPS_Piercing_Falloff)*D80,0),1),0)</f>
        <v>1</v>
      </c>
      <c r="E81" s="259">
        <f t="shared" si="2"/>
        <v>2</v>
      </c>
      <c r="F81" s="269">
        <f t="shared" si="3"/>
        <v>0</v>
      </c>
      <c r="G81" s="263">
        <f t="shared" si="5"/>
        <v>1</v>
      </c>
      <c r="H81" s="259">
        <f>Round(G81*DPS_SpawnCritMult,0)</f>
        <v>2</v>
      </c>
      <c r="J81" s="263">
        <f t="shared" si="6"/>
        <v>1</v>
      </c>
      <c r="K81" s="259">
        <f>Round(J81*DPS_SpawnCritMult,0)</f>
        <v>2</v>
      </c>
    </row>
    <row r="82">
      <c r="A82" s="83">
        <v>47.0</v>
      </c>
      <c r="B82" s="263">
        <f t="shared" si="4"/>
        <v>1</v>
      </c>
      <c r="C82" s="259">
        <f t="shared" si="1"/>
        <v>2</v>
      </c>
      <c r="D82" s="263">
        <f>IF($A$31="远程",MAX(ROUNDDOWN((1-DPS_Piercing_Falloff)*D81,0),1),0)</f>
        <v>1</v>
      </c>
      <c r="E82" s="259">
        <f t="shared" si="2"/>
        <v>2</v>
      </c>
      <c r="F82" s="269">
        <f t="shared" si="3"/>
        <v>0</v>
      </c>
      <c r="G82" s="263">
        <f t="shared" si="5"/>
        <v>1</v>
      </c>
      <c r="H82" s="259">
        <f>Round(G82*DPS_SpawnCritMult,0)</f>
        <v>2</v>
      </c>
      <c r="J82" s="263">
        <f t="shared" si="6"/>
        <v>1</v>
      </c>
      <c r="K82" s="259">
        <f>Round(J82*DPS_SpawnCritMult,0)</f>
        <v>2</v>
      </c>
    </row>
    <row r="83">
      <c r="A83" s="83">
        <v>48.0</v>
      </c>
      <c r="B83" s="263">
        <f t="shared" si="4"/>
        <v>1</v>
      </c>
      <c r="C83" s="259">
        <f t="shared" si="1"/>
        <v>2</v>
      </c>
      <c r="D83" s="263">
        <f>IF($A$31="远程",MAX(ROUNDDOWN((1-DPS_Piercing_Falloff)*D82,0),1),0)</f>
        <v>1</v>
      </c>
      <c r="E83" s="259">
        <f t="shared" si="2"/>
        <v>2</v>
      </c>
      <c r="F83" s="269">
        <f t="shared" si="3"/>
        <v>0</v>
      </c>
      <c r="G83" s="263">
        <f t="shared" si="5"/>
        <v>1</v>
      </c>
      <c r="H83" s="259">
        <f>Round(G83*DPS_SpawnCritMult,0)</f>
        <v>2</v>
      </c>
      <c r="J83" s="263">
        <f t="shared" si="6"/>
        <v>1</v>
      </c>
      <c r="K83" s="259">
        <f>Round(J83*DPS_SpawnCritMult,0)</f>
        <v>2</v>
      </c>
    </row>
    <row r="84">
      <c r="A84" s="83">
        <v>49.0</v>
      </c>
      <c r="B84" s="263">
        <f t="shared" si="4"/>
        <v>1</v>
      </c>
      <c r="C84" s="259">
        <f t="shared" si="1"/>
        <v>2</v>
      </c>
      <c r="D84" s="263">
        <f>IF($A$31="远程",MAX(ROUNDDOWN((1-DPS_Piercing_Falloff)*D83,0),1),0)</f>
        <v>1</v>
      </c>
      <c r="E84" s="259">
        <f t="shared" si="2"/>
        <v>2</v>
      </c>
      <c r="F84" s="269">
        <f t="shared" si="3"/>
        <v>0</v>
      </c>
      <c r="G84" s="263">
        <f t="shared" si="5"/>
        <v>1</v>
      </c>
      <c r="H84" s="259">
        <f>Round(G84*DPS_SpawnCritMult,0)</f>
        <v>2</v>
      </c>
      <c r="J84" s="263">
        <f t="shared" si="6"/>
        <v>1</v>
      </c>
      <c r="K84" s="259">
        <f>Round(J84*DPS_SpawnCritMult,0)</f>
        <v>2</v>
      </c>
    </row>
    <row r="85">
      <c r="A85" s="83">
        <v>50.0</v>
      </c>
      <c r="B85" s="263">
        <f t="shared" si="4"/>
        <v>1</v>
      </c>
      <c r="C85" s="259">
        <f t="shared" si="1"/>
        <v>2</v>
      </c>
      <c r="D85" s="263">
        <f>IF($A$31="远程",MAX(ROUNDDOWN((1-DPS_Piercing_Falloff)*D84,0),1),0)</f>
        <v>1</v>
      </c>
      <c r="E85" s="259">
        <f t="shared" si="2"/>
        <v>2</v>
      </c>
      <c r="F85" s="269">
        <f t="shared" si="3"/>
        <v>0</v>
      </c>
      <c r="G85" s="263">
        <f t="shared" si="5"/>
        <v>1</v>
      </c>
      <c r="H85" s="259">
        <f>Round(G85*DPS_SpawnCritMult,0)</f>
        <v>2</v>
      </c>
      <c r="J85" s="263">
        <f t="shared" si="6"/>
        <v>1</v>
      </c>
      <c r="K85" s="259">
        <f>Round(J85*DPS_SpawnCritMult,0)</f>
        <v>2</v>
      </c>
    </row>
    <row r="86">
      <c r="A86" s="83">
        <v>51.0</v>
      </c>
      <c r="B86" s="263">
        <f t="shared" si="4"/>
        <v>1</v>
      </c>
      <c r="C86" s="259">
        <f t="shared" si="1"/>
        <v>2</v>
      </c>
      <c r="D86" s="263">
        <f>IF($A$31="远程",MAX(ROUNDDOWN((1-DPS_Piercing_Falloff)*D85,0),1),0)</f>
        <v>1</v>
      </c>
      <c r="E86" s="259">
        <f t="shared" si="2"/>
        <v>2</v>
      </c>
      <c r="F86" s="269">
        <f t="shared" si="3"/>
        <v>0</v>
      </c>
      <c r="G86" s="263">
        <f t="shared" si="5"/>
        <v>1</v>
      </c>
      <c r="H86" s="259">
        <f>Round(G86*DPS_SpawnCritMult,0)</f>
        <v>2</v>
      </c>
      <c r="J86" s="263">
        <f t="shared" si="6"/>
        <v>1</v>
      </c>
      <c r="K86" s="259">
        <f>Round(J86*DPS_SpawnCritMult,0)</f>
        <v>2</v>
      </c>
    </row>
    <row r="87">
      <c r="A87" s="83">
        <v>52.0</v>
      </c>
      <c r="B87" s="263">
        <f t="shared" si="4"/>
        <v>1</v>
      </c>
      <c r="C87" s="259">
        <f t="shared" si="1"/>
        <v>2</v>
      </c>
      <c r="D87" s="263">
        <f>IF($A$31="远程",MAX(ROUNDDOWN((1-DPS_Piercing_Falloff)*D86,0),1),0)</f>
        <v>1</v>
      </c>
      <c r="E87" s="259">
        <f t="shared" si="2"/>
        <v>2</v>
      </c>
      <c r="F87" s="269">
        <f t="shared" si="3"/>
        <v>0</v>
      </c>
      <c r="G87" s="263">
        <f t="shared" si="5"/>
        <v>1</v>
      </c>
      <c r="H87" s="259">
        <f>Round(G87*DPS_SpawnCritMult,0)</f>
        <v>2</v>
      </c>
      <c r="J87" s="263">
        <f t="shared" si="6"/>
        <v>1</v>
      </c>
      <c r="K87" s="259">
        <f>Round(J87*DPS_SpawnCritMult,0)</f>
        <v>2</v>
      </c>
    </row>
    <row r="88">
      <c r="A88" s="83">
        <v>53.0</v>
      </c>
      <c r="B88" s="263">
        <f t="shared" si="4"/>
        <v>1</v>
      </c>
      <c r="C88" s="259">
        <f t="shared" si="1"/>
        <v>2</v>
      </c>
      <c r="D88" s="263">
        <f>IF($A$31="远程",MAX(ROUNDDOWN((1-DPS_Piercing_Falloff)*D87,0),1),0)</f>
        <v>1</v>
      </c>
      <c r="E88" s="259">
        <f t="shared" si="2"/>
        <v>2</v>
      </c>
      <c r="F88" s="269">
        <f t="shared" si="3"/>
        <v>0</v>
      </c>
      <c r="G88" s="263">
        <f t="shared" si="5"/>
        <v>1</v>
      </c>
      <c r="H88" s="259">
        <f>Round(G88*DPS_SpawnCritMult,0)</f>
        <v>2</v>
      </c>
      <c r="J88" s="263">
        <f t="shared" si="6"/>
        <v>1</v>
      </c>
      <c r="K88" s="259">
        <f>Round(J88*DPS_SpawnCritMult,0)</f>
        <v>2</v>
      </c>
    </row>
    <row r="89">
      <c r="A89" s="83">
        <v>54.0</v>
      </c>
      <c r="B89" s="263">
        <f t="shared" si="4"/>
        <v>1</v>
      </c>
      <c r="C89" s="259">
        <f t="shared" si="1"/>
        <v>2</v>
      </c>
      <c r="D89" s="263">
        <f>IF($A$31="远程",MAX(ROUNDDOWN((1-DPS_Piercing_Falloff)*D88,0),1),0)</f>
        <v>1</v>
      </c>
      <c r="E89" s="259">
        <f t="shared" si="2"/>
        <v>2</v>
      </c>
      <c r="F89" s="269">
        <f t="shared" si="3"/>
        <v>0</v>
      </c>
      <c r="G89" s="263">
        <f t="shared" si="5"/>
        <v>1</v>
      </c>
      <c r="H89" s="259">
        <f>Round(G89*DPS_SpawnCritMult,0)</f>
        <v>2</v>
      </c>
      <c r="J89" s="263">
        <f t="shared" si="6"/>
        <v>1</v>
      </c>
      <c r="K89" s="259">
        <f>Round(J89*DPS_SpawnCritMult,0)</f>
        <v>2</v>
      </c>
    </row>
    <row r="90">
      <c r="A90" s="83">
        <v>55.0</v>
      </c>
      <c r="B90" s="263">
        <f t="shared" si="4"/>
        <v>1</v>
      </c>
      <c r="C90" s="259">
        <f t="shared" si="1"/>
        <v>2</v>
      </c>
      <c r="D90" s="263">
        <f>IF($A$31="远程",MAX(ROUNDDOWN((1-DPS_Piercing_Falloff)*D89,0),1),0)</f>
        <v>1</v>
      </c>
      <c r="E90" s="259">
        <f t="shared" si="2"/>
        <v>2</v>
      </c>
      <c r="F90" s="269">
        <f t="shared" si="3"/>
        <v>0</v>
      </c>
      <c r="G90" s="263">
        <f t="shared" si="5"/>
        <v>1</v>
      </c>
      <c r="H90" s="259">
        <f>Round(G90*DPS_SpawnCritMult,0)</f>
        <v>2</v>
      </c>
      <c r="J90" s="263">
        <f t="shared" si="6"/>
        <v>1</v>
      </c>
      <c r="K90" s="259">
        <f>Round(J90*DPS_SpawnCritMult,0)</f>
        <v>2</v>
      </c>
    </row>
    <row r="91">
      <c r="A91" s="83">
        <v>56.0</v>
      </c>
      <c r="B91" s="263">
        <f t="shared" si="4"/>
        <v>1</v>
      </c>
      <c r="C91" s="259">
        <f t="shared" si="1"/>
        <v>2</v>
      </c>
      <c r="D91" s="263">
        <f>IF($A$31="远程",MAX(ROUNDDOWN((1-DPS_Piercing_Falloff)*D90,0),1),0)</f>
        <v>1</v>
      </c>
      <c r="E91" s="259">
        <f t="shared" si="2"/>
        <v>2</v>
      </c>
      <c r="F91" s="269">
        <f t="shared" si="3"/>
        <v>0</v>
      </c>
      <c r="G91" s="263">
        <f t="shared" si="5"/>
        <v>1</v>
      </c>
      <c r="H91" s="259">
        <f>Round(G91*DPS_SpawnCritMult,0)</f>
        <v>2</v>
      </c>
      <c r="J91" s="263">
        <f t="shared" si="6"/>
        <v>1</v>
      </c>
      <c r="K91" s="259">
        <f>Round(J91*DPS_SpawnCritMult,0)</f>
        <v>2</v>
      </c>
    </row>
    <row r="92">
      <c r="A92" s="83">
        <v>57.0</v>
      </c>
      <c r="B92" s="263">
        <f t="shared" si="4"/>
        <v>1</v>
      </c>
      <c r="C92" s="259">
        <f t="shared" si="1"/>
        <v>2</v>
      </c>
      <c r="D92" s="263">
        <f>IF($A$31="远程",MAX(ROUNDDOWN((1-DPS_Piercing_Falloff)*D91,0),1),0)</f>
        <v>1</v>
      </c>
      <c r="E92" s="259">
        <f t="shared" si="2"/>
        <v>2</v>
      </c>
      <c r="F92" s="269">
        <f t="shared" si="3"/>
        <v>0</v>
      </c>
      <c r="G92" s="263">
        <f t="shared" si="5"/>
        <v>1</v>
      </c>
      <c r="H92" s="259">
        <f>Round(G92*DPS_SpawnCritMult,0)</f>
        <v>2</v>
      </c>
      <c r="J92" s="263">
        <f t="shared" si="6"/>
        <v>1</v>
      </c>
      <c r="K92" s="259">
        <f>Round(J92*DPS_SpawnCritMult,0)</f>
        <v>2</v>
      </c>
    </row>
    <row r="93">
      <c r="A93" s="83">
        <v>58.0</v>
      </c>
      <c r="B93" s="263">
        <f t="shared" si="4"/>
        <v>1</v>
      </c>
      <c r="C93" s="259">
        <f t="shared" si="1"/>
        <v>2</v>
      </c>
      <c r="D93" s="263">
        <f>IF($A$31="远程",MAX(ROUNDDOWN((1-DPS_Piercing_Falloff)*D92,0),1),0)</f>
        <v>1</v>
      </c>
      <c r="E93" s="259">
        <f t="shared" si="2"/>
        <v>2</v>
      </c>
      <c r="F93" s="269">
        <f t="shared" si="3"/>
        <v>0</v>
      </c>
      <c r="G93" s="263">
        <f t="shared" si="5"/>
        <v>1</v>
      </c>
      <c r="H93" s="259">
        <f>Round(G93*DPS_SpawnCritMult,0)</f>
        <v>2</v>
      </c>
      <c r="J93" s="263">
        <f t="shared" si="6"/>
        <v>1</v>
      </c>
      <c r="K93" s="259">
        <f>Round(J93*DPS_SpawnCritMult,0)</f>
        <v>2</v>
      </c>
    </row>
    <row r="94">
      <c r="A94" s="83">
        <v>59.0</v>
      </c>
      <c r="B94" s="263">
        <f t="shared" si="4"/>
        <v>1</v>
      </c>
      <c r="C94" s="259">
        <f t="shared" si="1"/>
        <v>2</v>
      </c>
      <c r="D94" s="263">
        <f>IF($A$31="远程",MAX(ROUNDDOWN((1-DPS_Piercing_Falloff)*D93,0),1),0)</f>
        <v>1</v>
      </c>
      <c r="E94" s="259">
        <f t="shared" si="2"/>
        <v>2</v>
      </c>
      <c r="F94" s="269">
        <f t="shared" si="3"/>
        <v>0</v>
      </c>
      <c r="G94" s="263">
        <f t="shared" si="5"/>
        <v>1</v>
      </c>
      <c r="H94" s="259">
        <f>Round(G94*DPS_SpawnCritMult,0)</f>
        <v>2</v>
      </c>
      <c r="J94" s="263">
        <f t="shared" si="6"/>
        <v>1</v>
      </c>
      <c r="K94" s="259">
        <f>Round(J94*DPS_SpawnCritMult,0)</f>
        <v>2</v>
      </c>
    </row>
    <row r="95">
      <c r="A95" s="83">
        <v>60.0</v>
      </c>
      <c r="B95" s="263">
        <f t="shared" si="4"/>
        <v>1</v>
      </c>
      <c r="C95" s="259">
        <f t="shared" si="1"/>
        <v>2</v>
      </c>
      <c r="D95" s="263">
        <f>IF($A$31="远程",MAX(ROUNDDOWN((1-DPS_Piercing_Falloff)*D94,0),1),0)</f>
        <v>1</v>
      </c>
      <c r="E95" s="259">
        <f t="shared" si="2"/>
        <v>2</v>
      </c>
      <c r="F95" s="269">
        <f t="shared" si="3"/>
        <v>0</v>
      </c>
      <c r="G95" s="263">
        <f t="shared" si="5"/>
        <v>1</v>
      </c>
      <c r="H95" s="259">
        <f>Round(G95*DPS_SpawnCritMult,0)</f>
        <v>2</v>
      </c>
      <c r="J95" s="263">
        <f t="shared" si="6"/>
        <v>1</v>
      </c>
      <c r="K95" s="259">
        <f>Round(J95*DPS_SpawnCritMult,0)</f>
        <v>2</v>
      </c>
    </row>
    <row r="96">
      <c r="A96" s="83">
        <v>61.0</v>
      </c>
      <c r="B96" s="263">
        <f t="shared" si="4"/>
        <v>1</v>
      </c>
      <c r="C96" s="259">
        <f t="shared" si="1"/>
        <v>2</v>
      </c>
      <c r="D96" s="263">
        <f>IF($A$31="远程",MAX(ROUNDDOWN((1-DPS_Piercing_Falloff)*D95,0),1),0)</f>
        <v>1</v>
      </c>
      <c r="E96" s="259">
        <f t="shared" si="2"/>
        <v>2</v>
      </c>
      <c r="F96" s="269">
        <f t="shared" si="3"/>
        <v>0</v>
      </c>
      <c r="G96" s="263">
        <f t="shared" si="5"/>
        <v>1</v>
      </c>
      <c r="H96" s="259">
        <f>Round(G96*DPS_SpawnCritMult,0)</f>
        <v>2</v>
      </c>
      <c r="J96" s="263">
        <f t="shared" si="6"/>
        <v>1</v>
      </c>
      <c r="K96" s="259">
        <f>Round(J96*DPS_SpawnCritMult,0)</f>
        <v>2</v>
      </c>
    </row>
    <row r="97">
      <c r="A97" s="83">
        <v>62.0</v>
      </c>
      <c r="B97" s="263">
        <f t="shared" si="4"/>
        <v>1</v>
      </c>
      <c r="C97" s="259">
        <f t="shared" si="1"/>
        <v>2</v>
      </c>
      <c r="D97" s="263">
        <f>IF($A$31="远程",MAX(ROUNDDOWN((1-DPS_Piercing_Falloff)*D96,0),1),0)</f>
        <v>1</v>
      </c>
      <c r="E97" s="259">
        <f t="shared" si="2"/>
        <v>2</v>
      </c>
      <c r="F97" s="269">
        <f t="shared" si="3"/>
        <v>0</v>
      </c>
      <c r="G97" s="263">
        <f t="shared" si="5"/>
        <v>1</v>
      </c>
      <c r="H97" s="259">
        <f>Round(G97*DPS_SpawnCritMult,0)</f>
        <v>2</v>
      </c>
      <c r="J97" s="263">
        <f t="shared" si="6"/>
        <v>1</v>
      </c>
      <c r="K97" s="259">
        <f>Round(J97*DPS_SpawnCritMult,0)</f>
        <v>2</v>
      </c>
    </row>
    <row r="98">
      <c r="A98" s="83">
        <v>63.0</v>
      </c>
      <c r="B98" s="263">
        <f t="shared" si="4"/>
        <v>1</v>
      </c>
      <c r="C98" s="259">
        <f t="shared" si="1"/>
        <v>2</v>
      </c>
      <c r="D98" s="263">
        <f>IF($A$31="远程",MAX(ROUNDDOWN((1-DPS_Piercing_Falloff)*D97,0),1),0)</f>
        <v>1</v>
      </c>
      <c r="E98" s="259">
        <f t="shared" si="2"/>
        <v>2</v>
      </c>
      <c r="F98" s="269">
        <f t="shared" si="3"/>
        <v>0</v>
      </c>
      <c r="G98" s="263">
        <f t="shared" si="5"/>
        <v>1</v>
      </c>
      <c r="H98" s="259">
        <f>Round(G98*DPS_SpawnCritMult,0)</f>
        <v>2</v>
      </c>
      <c r="J98" s="263">
        <f t="shared" si="6"/>
        <v>1</v>
      </c>
      <c r="K98" s="259">
        <f>Round(J98*DPS_SpawnCritMult,0)</f>
        <v>2</v>
      </c>
    </row>
    <row r="99">
      <c r="A99" s="83">
        <v>64.0</v>
      </c>
      <c r="B99" s="263">
        <f t="shared" si="4"/>
        <v>1</v>
      </c>
      <c r="C99" s="259">
        <f t="shared" si="1"/>
        <v>2</v>
      </c>
      <c r="D99" s="263">
        <f>IF($A$31="远程",MAX(ROUNDDOWN((1-DPS_Piercing_Falloff)*D98,0),1),0)</f>
        <v>1</v>
      </c>
      <c r="E99" s="259">
        <f t="shared" si="2"/>
        <v>2</v>
      </c>
      <c r="F99" s="269">
        <f t="shared" si="3"/>
        <v>0</v>
      </c>
      <c r="G99" s="263">
        <f t="shared" si="5"/>
        <v>1</v>
      </c>
      <c r="H99" s="259">
        <f>Round(G99*DPS_SpawnCritMult,0)</f>
        <v>2</v>
      </c>
      <c r="J99" s="263">
        <f t="shared" si="6"/>
        <v>1</v>
      </c>
      <c r="K99" s="259">
        <f>Round(J99*DPS_SpawnCritMult,0)</f>
        <v>2</v>
      </c>
    </row>
    <row r="100">
      <c r="A100" s="83">
        <v>65.0</v>
      </c>
      <c r="B100" s="263">
        <f t="shared" si="4"/>
        <v>1</v>
      </c>
      <c r="C100" s="259">
        <f t="shared" si="1"/>
        <v>2</v>
      </c>
      <c r="D100" s="263">
        <f>IF($A$31="远程",MAX(ROUNDDOWN((1-DPS_Piercing_Falloff)*D99,0),1),0)</f>
        <v>1</v>
      </c>
      <c r="E100" s="259">
        <f t="shared" si="2"/>
        <v>2</v>
      </c>
      <c r="F100" s="269">
        <f t="shared" si="3"/>
        <v>0</v>
      </c>
      <c r="G100" s="263">
        <f t="shared" si="5"/>
        <v>1</v>
      </c>
      <c r="H100" s="259">
        <f>Round(G100*DPS_SpawnCritMult,0)</f>
        <v>2</v>
      </c>
      <c r="J100" s="263">
        <f t="shared" si="6"/>
        <v>1</v>
      </c>
      <c r="K100" s="259">
        <f>Round(J100*DPS_SpawnCritMult,0)</f>
        <v>2</v>
      </c>
    </row>
    <row r="101">
      <c r="A101" s="83">
        <v>66.0</v>
      </c>
      <c r="B101" s="263">
        <f t="shared" si="4"/>
        <v>1</v>
      </c>
      <c r="C101" s="259">
        <f t="shared" si="1"/>
        <v>2</v>
      </c>
      <c r="D101" s="263">
        <f>IF($A$31="远程",MAX(ROUNDDOWN((1-DPS_Piercing_Falloff)*D100,0),1),0)</f>
        <v>1</v>
      </c>
      <c r="E101" s="259">
        <f t="shared" si="2"/>
        <v>2</v>
      </c>
      <c r="F101" s="269">
        <f t="shared" si="3"/>
        <v>0</v>
      </c>
      <c r="G101" s="263">
        <f t="shared" si="5"/>
        <v>1</v>
      </c>
      <c r="H101" s="259">
        <f>Round(G101*DPS_SpawnCritMult,0)</f>
        <v>2</v>
      </c>
      <c r="J101" s="263">
        <f t="shared" si="6"/>
        <v>1</v>
      </c>
      <c r="K101" s="259">
        <f>Round(J101*DPS_SpawnCritMult,0)</f>
        <v>2</v>
      </c>
    </row>
    <row r="102">
      <c r="A102" s="83">
        <v>67.0</v>
      </c>
      <c r="B102" s="263">
        <f t="shared" si="4"/>
        <v>1</v>
      </c>
      <c r="C102" s="259">
        <f t="shared" si="1"/>
        <v>2</v>
      </c>
      <c r="D102" s="263">
        <f>IF($A$31="远程",MAX(ROUNDDOWN((1-DPS_Piercing_Falloff)*D101,0),1),0)</f>
        <v>1</v>
      </c>
      <c r="E102" s="259">
        <f t="shared" si="2"/>
        <v>2</v>
      </c>
      <c r="F102" s="269">
        <f t="shared" si="3"/>
        <v>0</v>
      </c>
      <c r="G102" s="263">
        <f t="shared" si="5"/>
        <v>1</v>
      </c>
      <c r="H102" s="259">
        <f>Round(G102*DPS_SpawnCritMult,0)</f>
        <v>2</v>
      </c>
      <c r="J102" s="263">
        <f t="shared" si="6"/>
        <v>1</v>
      </c>
      <c r="K102" s="259">
        <f>Round(J102*DPS_SpawnCritMult,0)</f>
        <v>2</v>
      </c>
    </row>
    <row r="103">
      <c r="A103" s="83">
        <v>68.0</v>
      </c>
      <c r="B103" s="263">
        <f t="shared" si="4"/>
        <v>1</v>
      </c>
      <c r="C103" s="259">
        <f t="shared" si="1"/>
        <v>2</v>
      </c>
      <c r="D103" s="263">
        <f>IF($A$31="远程",MAX(ROUNDDOWN((1-DPS_Piercing_Falloff)*D102,0),1),0)</f>
        <v>1</v>
      </c>
      <c r="E103" s="259">
        <f t="shared" si="2"/>
        <v>2</v>
      </c>
      <c r="F103" s="269">
        <f t="shared" si="3"/>
        <v>0</v>
      </c>
      <c r="G103" s="263">
        <f t="shared" si="5"/>
        <v>1</v>
      </c>
      <c r="H103" s="259">
        <f>Round(G103*DPS_SpawnCritMult,0)</f>
        <v>2</v>
      </c>
      <c r="J103" s="263">
        <f t="shared" si="6"/>
        <v>1</v>
      </c>
      <c r="K103" s="259">
        <f>Round(J103*DPS_SpawnCritMult,0)</f>
        <v>2</v>
      </c>
    </row>
    <row r="104">
      <c r="A104" s="83">
        <v>69.0</v>
      </c>
      <c r="B104" s="263">
        <f t="shared" si="4"/>
        <v>1</v>
      </c>
      <c r="C104" s="259">
        <f t="shared" si="1"/>
        <v>2</v>
      </c>
      <c r="D104" s="263">
        <f>IF($A$31="远程",MAX(ROUNDDOWN((1-DPS_Piercing_Falloff)*D103,0),1),0)</f>
        <v>1</v>
      </c>
      <c r="E104" s="259">
        <f t="shared" si="2"/>
        <v>2</v>
      </c>
      <c r="F104" s="269">
        <f t="shared" si="3"/>
        <v>0</v>
      </c>
      <c r="G104" s="263">
        <f t="shared" si="5"/>
        <v>1</v>
      </c>
      <c r="H104" s="259">
        <f>Round(G104*DPS_SpawnCritMult,0)</f>
        <v>2</v>
      </c>
      <c r="J104" s="263">
        <f t="shared" si="6"/>
        <v>1</v>
      </c>
      <c r="K104" s="259">
        <f>Round(J104*DPS_SpawnCritMult,0)</f>
        <v>2</v>
      </c>
    </row>
    <row r="105">
      <c r="A105" s="83">
        <v>70.0</v>
      </c>
      <c r="B105" s="263">
        <f t="shared" si="4"/>
        <v>1</v>
      </c>
      <c r="C105" s="259">
        <f t="shared" si="1"/>
        <v>2</v>
      </c>
      <c r="D105" s="263">
        <f>IF($A$31="远程",MAX(ROUNDDOWN((1-DPS_Piercing_Falloff)*D104,0),1),0)</f>
        <v>1</v>
      </c>
      <c r="E105" s="259">
        <f t="shared" si="2"/>
        <v>2</v>
      </c>
      <c r="F105" s="269">
        <f t="shared" si="3"/>
        <v>0</v>
      </c>
      <c r="G105" s="263">
        <f t="shared" si="5"/>
        <v>1</v>
      </c>
      <c r="H105" s="259">
        <f>Round(G105*DPS_SpawnCritMult,0)</f>
        <v>2</v>
      </c>
      <c r="J105" s="263">
        <f t="shared" si="6"/>
        <v>1</v>
      </c>
      <c r="K105" s="259">
        <f>Round(J105*DPS_SpawnCritMult,0)</f>
        <v>2</v>
      </c>
    </row>
    <row r="106">
      <c r="A106" s="83">
        <v>71.0</v>
      </c>
      <c r="B106" s="263">
        <f t="shared" si="4"/>
        <v>1</v>
      </c>
      <c r="C106" s="259">
        <f t="shared" si="1"/>
        <v>2</v>
      </c>
      <c r="D106" s="263">
        <f>IF($A$31="远程",MAX(ROUNDDOWN((1-DPS_Piercing_Falloff)*D105,0),1),0)</f>
        <v>1</v>
      </c>
      <c r="E106" s="259">
        <f t="shared" si="2"/>
        <v>2</v>
      </c>
      <c r="F106" s="269">
        <f t="shared" si="3"/>
        <v>0</v>
      </c>
      <c r="G106" s="263">
        <f t="shared" si="5"/>
        <v>1</v>
      </c>
      <c r="H106" s="259">
        <f>Round(G106*DPS_SpawnCritMult,0)</f>
        <v>2</v>
      </c>
      <c r="J106" s="263">
        <f t="shared" si="6"/>
        <v>1</v>
      </c>
      <c r="K106" s="259">
        <f>Round(J106*DPS_SpawnCritMult,0)</f>
        <v>2</v>
      </c>
    </row>
    <row r="107">
      <c r="A107" s="83">
        <v>72.0</v>
      </c>
      <c r="B107" s="263">
        <f t="shared" si="4"/>
        <v>1</v>
      </c>
      <c r="C107" s="259">
        <f t="shared" si="1"/>
        <v>2</v>
      </c>
      <c r="D107" s="263">
        <f>IF($A$31="远程",MAX(ROUNDDOWN((1-DPS_Piercing_Falloff)*D106,0),1),0)</f>
        <v>1</v>
      </c>
      <c r="E107" s="259">
        <f t="shared" si="2"/>
        <v>2</v>
      </c>
      <c r="F107" s="269">
        <f t="shared" si="3"/>
        <v>0</v>
      </c>
      <c r="G107" s="263">
        <f t="shared" si="5"/>
        <v>1</v>
      </c>
      <c r="H107" s="259">
        <f>Round(G107*DPS_SpawnCritMult,0)</f>
        <v>2</v>
      </c>
      <c r="J107" s="263">
        <f t="shared" si="6"/>
        <v>1</v>
      </c>
      <c r="K107" s="259">
        <f>Round(J107*DPS_SpawnCritMult,0)</f>
        <v>2</v>
      </c>
    </row>
    <row r="108">
      <c r="A108" s="83">
        <v>73.0</v>
      </c>
      <c r="B108" s="263">
        <f t="shared" si="4"/>
        <v>1</v>
      </c>
      <c r="C108" s="259">
        <f t="shared" si="1"/>
        <v>2</v>
      </c>
      <c r="D108" s="263">
        <f>IF($A$31="远程",MAX(ROUNDDOWN((1-DPS_Piercing_Falloff)*D107,0),1),0)</f>
        <v>1</v>
      </c>
      <c r="E108" s="259">
        <f t="shared" si="2"/>
        <v>2</v>
      </c>
      <c r="F108" s="269">
        <f t="shared" si="3"/>
        <v>0</v>
      </c>
      <c r="G108" s="263">
        <f t="shared" si="5"/>
        <v>1</v>
      </c>
      <c r="H108" s="259">
        <f>Round(G108*DPS_SpawnCritMult,0)</f>
        <v>2</v>
      </c>
      <c r="J108" s="263">
        <f t="shared" si="6"/>
        <v>1</v>
      </c>
      <c r="K108" s="259">
        <f>Round(J108*DPS_SpawnCritMult,0)</f>
        <v>2</v>
      </c>
    </row>
    <row r="109">
      <c r="A109" s="83">
        <v>74.0</v>
      </c>
      <c r="B109" s="263">
        <f t="shared" si="4"/>
        <v>1</v>
      </c>
      <c r="C109" s="259">
        <f t="shared" si="1"/>
        <v>2</v>
      </c>
      <c r="D109" s="263">
        <f>IF($A$31="远程",MAX(ROUNDDOWN((1-DPS_Piercing_Falloff)*D108,0),1),0)</f>
        <v>1</v>
      </c>
      <c r="E109" s="259">
        <f t="shared" si="2"/>
        <v>2</v>
      </c>
      <c r="F109" s="269">
        <f t="shared" si="3"/>
        <v>0</v>
      </c>
      <c r="G109" s="263">
        <f t="shared" si="5"/>
        <v>1</v>
      </c>
      <c r="H109" s="259">
        <f>Round(G109*DPS_SpawnCritMult,0)</f>
        <v>2</v>
      </c>
      <c r="J109" s="263">
        <f t="shared" si="6"/>
        <v>1</v>
      </c>
      <c r="K109" s="259">
        <f>Round(J109*DPS_SpawnCritMult,0)</f>
        <v>2</v>
      </c>
    </row>
    <row r="110">
      <c r="A110" s="83">
        <v>75.0</v>
      </c>
      <c r="B110" s="263">
        <f t="shared" si="4"/>
        <v>1</v>
      </c>
      <c r="C110" s="259">
        <f t="shared" si="1"/>
        <v>2</v>
      </c>
      <c r="D110" s="263">
        <f>IF($A$31="远程",MAX(ROUNDDOWN((1-DPS_Piercing_Falloff)*D109,0),1),0)</f>
        <v>1</v>
      </c>
      <c r="E110" s="259">
        <f t="shared" si="2"/>
        <v>2</v>
      </c>
      <c r="F110" s="269">
        <f t="shared" si="3"/>
        <v>0</v>
      </c>
      <c r="G110" s="263">
        <f t="shared" si="5"/>
        <v>1</v>
      </c>
      <c r="H110" s="259">
        <f>Round(G110*DPS_SpawnCritMult,0)</f>
        <v>2</v>
      </c>
      <c r="J110" s="263">
        <f t="shared" si="6"/>
        <v>1</v>
      </c>
      <c r="K110" s="259">
        <f>Round(J110*DPS_SpawnCritMult,0)</f>
        <v>2</v>
      </c>
    </row>
    <row r="111">
      <c r="A111" s="83">
        <v>76.0</v>
      </c>
      <c r="B111" s="263">
        <f t="shared" si="4"/>
        <v>1</v>
      </c>
      <c r="C111" s="259">
        <f t="shared" si="1"/>
        <v>2</v>
      </c>
      <c r="D111" s="263">
        <f>IF($A$31="远程",MAX(ROUNDDOWN((1-DPS_Piercing_Falloff)*D110,0),1),0)</f>
        <v>1</v>
      </c>
      <c r="E111" s="259">
        <f t="shared" si="2"/>
        <v>2</v>
      </c>
      <c r="F111" s="269">
        <f t="shared" si="3"/>
        <v>0</v>
      </c>
      <c r="G111" s="263">
        <f t="shared" si="5"/>
        <v>1</v>
      </c>
      <c r="H111" s="259">
        <f>Round(G111*DPS_SpawnCritMult,0)</f>
        <v>2</v>
      </c>
      <c r="J111" s="263">
        <f t="shared" si="6"/>
        <v>1</v>
      </c>
      <c r="K111" s="259">
        <f>Round(J111*DPS_SpawnCritMult,0)</f>
        <v>2</v>
      </c>
    </row>
    <row r="112">
      <c r="A112" s="83">
        <v>77.0</v>
      </c>
      <c r="B112" s="263">
        <f t="shared" si="4"/>
        <v>1</v>
      </c>
      <c r="C112" s="259">
        <f t="shared" si="1"/>
        <v>2</v>
      </c>
      <c r="D112" s="263">
        <f>IF($A$31="远程",MAX(ROUNDDOWN((1-DPS_Piercing_Falloff)*D111,0),1),0)</f>
        <v>1</v>
      </c>
      <c r="E112" s="259">
        <f t="shared" si="2"/>
        <v>2</v>
      </c>
      <c r="F112" s="269">
        <f t="shared" si="3"/>
        <v>0</v>
      </c>
      <c r="G112" s="263">
        <f t="shared" si="5"/>
        <v>1</v>
      </c>
      <c r="H112" s="259">
        <f>Round(G112*DPS_SpawnCritMult,0)</f>
        <v>2</v>
      </c>
      <c r="J112" s="263">
        <f t="shared" si="6"/>
        <v>1</v>
      </c>
      <c r="K112" s="259">
        <f>Round(J112*DPS_SpawnCritMult,0)</f>
        <v>2</v>
      </c>
    </row>
    <row r="113">
      <c r="A113" s="83">
        <v>78.0</v>
      </c>
      <c r="B113" s="263">
        <f t="shared" si="4"/>
        <v>1</v>
      </c>
      <c r="C113" s="259">
        <f t="shared" si="1"/>
        <v>2</v>
      </c>
      <c r="D113" s="263">
        <f>IF($A$31="远程",MAX(ROUNDDOWN((1-DPS_Piercing_Falloff)*D112,0),1),0)</f>
        <v>1</v>
      </c>
      <c r="E113" s="259">
        <f t="shared" si="2"/>
        <v>2</v>
      </c>
      <c r="F113" s="269">
        <f t="shared" si="3"/>
        <v>0</v>
      </c>
      <c r="G113" s="263">
        <f t="shared" si="5"/>
        <v>1</v>
      </c>
      <c r="H113" s="259">
        <f>Round(G113*DPS_SpawnCritMult,0)</f>
        <v>2</v>
      </c>
      <c r="J113" s="263">
        <f t="shared" si="6"/>
        <v>1</v>
      </c>
      <c r="K113" s="259">
        <f>Round(J113*DPS_SpawnCritMult,0)</f>
        <v>2</v>
      </c>
    </row>
    <row r="114">
      <c r="A114" s="83">
        <v>79.0</v>
      </c>
      <c r="B114" s="263">
        <f t="shared" si="4"/>
        <v>1</v>
      </c>
      <c r="C114" s="259">
        <f t="shared" si="1"/>
        <v>2</v>
      </c>
      <c r="D114" s="263">
        <f>IF($A$31="远程",MAX(ROUNDDOWN((1-DPS_Piercing_Falloff)*D113,0),1),0)</f>
        <v>1</v>
      </c>
      <c r="E114" s="259">
        <f t="shared" si="2"/>
        <v>2</v>
      </c>
      <c r="F114" s="269">
        <f t="shared" si="3"/>
        <v>0</v>
      </c>
      <c r="G114" s="263">
        <f t="shared" si="5"/>
        <v>1</v>
      </c>
      <c r="H114" s="259">
        <f>Round(G114*DPS_SpawnCritMult,0)</f>
        <v>2</v>
      </c>
      <c r="J114" s="263">
        <f t="shared" si="6"/>
        <v>1</v>
      </c>
      <c r="K114" s="259">
        <f>Round(J114*DPS_SpawnCritMult,0)</f>
        <v>2</v>
      </c>
    </row>
    <row r="115">
      <c r="A115" s="83">
        <v>80.0</v>
      </c>
      <c r="B115" s="263">
        <f t="shared" si="4"/>
        <v>1</v>
      </c>
      <c r="C115" s="259">
        <f t="shared" si="1"/>
        <v>2</v>
      </c>
      <c r="D115" s="263">
        <f>IF($A$31="远程",MAX(ROUNDDOWN((1-DPS_Piercing_Falloff)*D114,0),1),0)</f>
        <v>1</v>
      </c>
      <c r="E115" s="259">
        <f t="shared" si="2"/>
        <v>2</v>
      </c>
      <c r="F115" s="269">
        <f t="shared" si="3"/>
        <v>0</v>
      </c>
      <c r="G115" s="263">
        <f t="shared" si="5"/>
        <v>1</v>
      </c>
      <c r="H115" s="259">
        <f>Round(G115*DPS_SpawnCritMult,0)</f>
        <v>2</v>
      </c>
      <c r="J115" s="263">
        <f t="shared" si="6"/>
        <v>1</v>
      </c>
      <c r="K115" s="259">
        <f>Round(J115*DPS_SpawnCritMult,0)</f>
        <v>2</v>
      </c>
    </row>
    <row r="116">
      <c r="A116" s="83">
        <v>81.0</v>
      </c>
      <c r="B116" s="263">
        <f t="shared" si="4"/>
        <v>1</v>
      </c>
      <c r="C116" s="259">
        <f t="shared" si="1"/>
        <v>2</v>
      </c>
      <c r="D116" s="263">
        <f>IF($A$31="远程",MAX(ROUNDDOWN((1-DPS_Piercing_Falloff)*D115,0),1),0)</f>
        <v>1</v>
      </c>
      <c r="E116" s="259">
        <f t="shared" si="2"/>
        <v>2</v>
      </c>
      <c r="F116" s="269">
        <f t="shared" si="3"/>
        <v>0</v>
      </c>
      <c r="G116" s="263">
        <f t="shared" si="5"/>
        <v>1</v>
      </c>
      <c r="H116" s="259">
        <f>Round(G116*DPS_SpawnCritMult,0)</f>
        <v>2</v>
      </c>
      <c r="J116" s="263">
        <f t="shared" si="6"/>
        <v>1</v>
      </c>
      <c r="K116" s="259">
        <f>Round(J116*DPS_SpawnCritMult,0)</f>
        <v>2</v>
      </c>
    </row>
    <row r="117">
      <c r="A117" s="83">
        <v>82.0</v>
      </c>
      <c r="B117" s="263">
        <f t="shared" si="4"/>
        <v>1</v>
      </c>
      <c r="C117" s="259">
        <f t="shared" si="1"/>
        <v>2</v>
      </c>
      <c r="D117" s="263">
        <f>IF($A$31="远程",MAX(ROUNDDOWN((1-DPS_Piercing_Falloff)*D116,0),1),0)</f>
        <v>1</v>
      </c>
      <c r="E117" s="259">
        <f t="shared" si="2"/>
        <v>2</v>
      </c>
      <c r="F117" s="269">
        <f t="shared" si="3"/>
        <v>0</v>
      </c>
      <c r="G117" s="263">
        <f t="shared" si="5"/>
        <v>1</v>
      </c>
      <c r="H117" s="259">
        <f>Round(G117*DPS_SpawnCritMult,0)</f>
        <v>2</v>
      </c>
      <c r="J117" s="263">
        <f t="shared" si="6"/>
        <v>1</v>
      </c>
      <c r="K117" s="259">
        <f>Round(J117*DPS_SpawnCritMult,0)</f>
        <v>2</v>
      </c>
    </row>
    <row r="118">
      <c r="A118" s="83">
        <v>83.0</v>
      </c>
      <c r="B118" s="263">
        <f t="shared" si="4"/>
        <v>1</v>
      </c>
      <c r="C118" s="259">
        <f t="shared" si="1"/>
        <v>2</v>
      </c>
      <c r="D118" s="263">
        <f>IF($A$31="远程",MAX(ROUNDDOWN((1-DPS_Piercing_Falloff)*D117,0),1),0)</f>
        <v>1</v>
      </c>
      <c r="E118" s="259">
        <f t="shared" si="2"/>
        <v>2</v>
      </c>
      <c r="F118" s="269">
        <f t="shared" si="3"/>
        <v>0</v>
      </c>
      <c r="G118" s="263">
        <f t="shared" si="5"/>
        <v>1</v>
      </c>
      <c r="H118" s="259">
        <f>Round(G118*DPS_SpawnCritMult,0)</f>
        <v>2</v>
      </c>
      <c r="J118" s="263">
        <f t="shared" si="6"/>
        <v>1</v>
      </c>
      <c r="K118" s="259">
        <f>Round(J118*DPS_SpawnCritMult,0)</f>
        <v>2</v>
      </c>
    </row>
    <row r="119">
      <c r="A119" s="83">
        <v>84.0</v>
      </c>
      <c r="B119" s="263">
        <f t="shared" si="4"/>
        <v>1</v>
      </c>
      <c r="C119" s="259">
        <f t="shared" si="1"/>
        <v>2</v>
      </c>
      <c r="D119" s="263">
        <f>IF($A$31="远程",MAX(ROUNDDOWN((1-DPS_Piercing_Falloff)*D118,0),1),0)</f>
        <v>1</v>
      </c>
      <c r="E119" s="259">
        <f t="shared" si="2"/>
        <v>2</v>
      </c>
      <c r="F119" s="269">
        <f t="shared" si="3"/>
        <v>0</v>
      </c>
      <c r="G119" s="263">
        <f t="shared" si="5"/>
        <v>1</v>
      </c>
      <c r="H119" s="259">
        <f>Round(G119*DPS_SpawnCritMult,0)</f>
        <v>2</v>
      </c>
      <c r="J119" s="263">
        <f t="shared" si="6"/>
        <v>1</v>
      </c>
      <c r="K119" s="259">
        <f>Round(J119*DPS_SpawnCritMult,0)</f>
        <v>2</v>
      </c>
    </row>
    <row r="120">
      <c r="A120" s="83">
        <v>85.0</v>
      </c>
      <c r="B120" s="263">
        <f t="shared" si="4"/>
        <v>1</v>
      </c>
      <c r="C120" s="259">
        <f t="shared" si="1"/>
        <v>2</v>
      </c>
      <c r="D120" s="263">
        <f>IF($A$31="远程",MAX(ROUNDDOWN((1-DPS_Piercing_Falloff)*D119,0),1),0)</f>
        <v>1</v>
      </c>
      <c r="E120" s="259">
        <f t="shared" si="2"/>
        <v>2</v>
      </c>
      <c r="F120" s="269">
        <f t="shared" si="3"/>
        <v>0</v>
      </c>
      <c r="G120" s="263">
        <f t="shared" si="5"/>
        <v>1</v>
      </c>
      <c r="H120" s="259">
        <f>Round(G120*DPS_SpawnCritMult,0)</f>
        <v>2</v>
      </c>
      <c r="J120" s="263">
        <f t="shared" si="6"/>
        <v>1</v>
      </c>
      <c r="K120" s="259">
        <f>Round(J120*DPS_SpawnCritMult,0)</f>
        <v>2</v>
      </c>
    </row>
    <row r="121">
      <c r="A121" s="83">
        <v>86.0</v>
      </c>
      <c r="B121" s="263">
        <f t="shared" si="4"/>
        <v>1</v>
      </c>
      <c r="C121" s="259">
        <f t="shared" si="1"/>
        <v>2</v>
      </c>
      <c r="D121" s="263">
        <f>IF($A$31="远程",MAX(ROUNDDOWN((1-DPS_Piercing_Falloff)*D120,0),1),0)</f>
        <v>1</v>
      </c>
      <c r="E121" s="259">
        <f t="shared" si="2"/>
        <v>2</v>
      </c>
      <c r="F121" s="269">
        <f t="shared" si="3"/>
        <v>0</v>
      </c>
      <c r="G121" s="263">
        <f t="shared" si="5"/>
        <v>1</v>
      </c>
      <c r="H121" s="259">
        <f>Round(G121*DPS_SpawnCritMult,0)</f>
        <v>2</v>
      </c>
      <c r="J121" s="263">
        <f t="shared" si="6"/>
        <v>1</v>
      </c>
      <c r="K121" s="259">
        <f>Round(J121*DPS_SpawnCritMult,0)</f>
        <v>2</v>
      </c>
    </row>
    <row r="122">
      <c r="A122" s="83">
        <v>87.0</v>
      </c>
      <c r="B122" s="263">
        <f t="shared" si="4"/>
        <v>1</v>
      </c>
      <c r="C122" s="259">
        <f t="shared" si="1"/>
        <v>2</v>
      </c>
      <c r="D122" s="263">
        <f>IF($A$31="远程",MAX(ROUNDDOWN((1-DPS_Piercing_Falloff)*D121,0),1),0)</f>
        <v>1</v>
      </c>
      <c r="E122" s="259">
        <f t="shared" si="2"/>
        <v>2</v>
      </c>
      <c r="F122" s="269">
        <f t="shared" si="3"/>
        <v>0</v>
      </c>
      <c r="G122" s="263">
        <f t="shared" si="5"/>
        <v>1</v>
      </c>
      <c r="H122" s="259">
        <f>Round(G122*DPS_SpawnCritMult,0)</f>
        <v>2</v>
      </c>
      <c r="J122" s="263">
        <f t="shared" si="6"/>
        <v>1</v>
      </c>
      <c r="K122" s="259">
        <f>Round(J122*DPS_SpawnCritMult,0)</f>
        <v>2</v>
      </c>
    </row>
    <row r="123">
      <c r="A123" s="83">
        <v>88.0</v>
      </c>
      <c r="B123" s="263">
        <f t="shared" si="4"/>
        <v>1</v>
      </c>
      <c r="C123" s="259">
        <f t="shared" si="1"/>
        <v>2</v>
      </c>
      <c r="D123" s="263">
        <f>IF($A$31="远程",MAX(ROUNDDOWN((1-DPS_Piercing_Falloff)*D122,0),1),0)</f>
        <v>1</v>
      </c>
      <c r="E123" s="259">
        <f t="shared" si="2"/>
        <v>2</v>
      </c>
      <c r="F123" s="269">
        <f t="shared" si="3"/>
        <v>0</v>
      </c>
      <c r="G123" s="263">
        <f t="shared" si="5"/>
        <v>1</v>
      </c>
      <c r="H123" s="259">
        <f>Round(G123*DPS_SpawnCritMult,0)</f>
        <v>2</v>
      </c>
      <c r="J123" s="263">
        <f t="shared" si="6"/>
        <v>1</v>
      </c>
      <c r="K123" s="259">
        <f>Round(J123*DPS_SpawnCritMult,0)</f>
        <v>2</v>
      </c>
    </row>
    <row r="124">
      <c r="A124" s="83">
        <v>89.0</v>
      </c>
      <c r="B124" s="263">
        <f t="shared" si="4"/>
        <v>1</v>
      </c>
      <c r="C124" s="259">
        <f t="shared" si="1"/>
        <v>2</v>
      </c>
      <c r="D124" s="263">
        <f>IF($A$31="远程",MAX(ROUNDDOWN((1-DPS_Piercing_Falloff)*D123,0),1),0)</f>
        <v>1</v>
      </c>
      <c r="E124" s="259">
        <f t="shared" si="2"/>
        <v>2</v>
      </c>
      <c r="F124" s="269">
        <f t="shared" si="3"/>
        <v>0</v>
      </c>
      <c r="G124" s="263">
        <f t="shared" si="5"/>
        <v>1</v>
      </c>
      <c r="H124" s="259">
        <f>Round(G124*DPS_SpawnCritMult,0)</f>
        <v>2</v>
      </c>
      <c r="J124" s="263">
        <f t="shared" si="6"/>
        <v>1</v>
      </c>
      <c r="K124" s="259">
        <f>Round(J124*DPS_SpawnCritMult,0)</f>
        <v>2</v>
      </c>
    </row>
    <row r="125">
      <c r="A125" s="83">
        <v>90.0</v>
      </c>
      <c r="B125" s="263">
        <f t="shared" si="4"/>
        <v>1</v>
      </c>
      <c r="C125" s="259">
        <f t="shared" si="1"/>
        <v>2</v>
      </c>
      <c r="D125" s="263">
        <f>IF($A$31="远程",MAX(ROUNDDOWN((1-DPS_Piercing_Falloff)*D124,0),1),0)</f>
        <v>1</v>
      </c>
      <c r="E125" s="259">
        <f t="shared" si="2"/>
        <v>2</v>
      </c>
      <c r="F125" s="269">
        <f t="shared" si="3"/>
        <v>0</v>
      </c>
      <c r="G125" s="263">
        <f t="shared" si="5"/>
        <v>1</v>
      </c>
      <c r="H125" s="259">
        <f>Round(G125*DPS_SpawnCritMult,0)</f>
        <v>2</v>
      </c>
      <c r="J125" s="263">
        <f t="shared" si="6"/>
        <v>1</v>
      </c>
      <c r="K125" s="259">
        <f>Round(J125*DPS_SpawnCritMult,0)</f>
        <v>2</v>
      </c>
    </row>
    <row r="126">
      <c r="A126" s="83">
        <v>91.0</v>
      </c>
      <c r="B126" s="263">
        <f t="shared" si="4"/>
        <v>1</v>
      </c>
      <c r="C126" s="259">
        <f t="shared" si="1"/>
        <v>2</v>
      </c>
      <c r="D126" s="263">
        <f>IF($A$31="远程",MAX(ROUNDDOWN((1-DPS_Piercing_Falloff)*D125,0),1),0)</f>
        <v>1</v>
      </c>
      <c r="E126" s="259">
        <f t="shared" si="2"/>
        <v>2</v>
      </c>
      <c r="F126" s="269">
        <f t="shared" si="3"/>
        <v>0</v>
      </c>
      <c r="G126" s="263">
        <f t="shared" si="5"/>
        <v>1</v>
      </c>
      <c r="H126" s="259">
        <f>Round(G126*DPS_SpawnCritMult,0)</f>
        <v>2</v>
      </c>
      <c r="J126" s="263">
        <f t="shared" si="6"/>
        <v>1</v>
      </c>
      <c r="K126" s="259">
        <f>Round(J126*DPS_SpawnCritMult,0)</f>
        <v>2</v>
      </c>
    </row>
    <row r="127">
      <c r="A127" s="83">
        <v>92.0</v>
      </c>
      <c r="B127" s="263">
        <f t="shared" si="4"/>
        <v>1</v>
      </c>
      <c r="C127" s="259">
        <f t="shared" si="1"/>
        <v>2</v>
      </c>
      <c r="D127" s="263">
        <f>IF($A$31="远程",MAX(ROUNDDOWN((1-DPS_Piercing_Falloff)*D126,0),1),0)</f>
        <v>1</v>
      </c>
      <c r="E127" s="259">
        <f t="shared" si="2"/>
        <v>2</v>
      </c>
      <c r="F127" s="269">
        <f t="shared" si="3"/>
        <v>0</v>
      </c>
      <c r="G127" s="263">
        <f t="shared" si="5"/>
        <v>1</v>
      </c>
      <c r="H127" s="259">
        <f>Round(G127*DPS_SpawnCritMult,0)</f>
        <v>2</v>
      </c>
      <c r="J127" s="263">
        <f t="shared" si="6"/>
        <v>1</v>
      </c>
      <c r="K127" s="259">
        <f>Round(J127*DPS_SpawnCritMult,0)</f>
        <v>2</v>
      </c>
    </row>
    <row r="128">
      <c r="A128" s="83">
        <v>93.0</v>
      </c>
      <c r="B128" s="263">
        <f t="shared" si="4"/>
        <v>1</v>
      </c>
      <c r="C128" s="259">
        <f t="shared" si="1"/>
        <v>2</v>
      </c>
      <c r="D128" s="263">
        <f>IF($A$31="远程",MAX(ROUNDDOWN((1-DPS_Piercing_Falloff)*D127,0),1),0)</f>
        <v>1</v>
      </c>
      <c r="E128" s="259">
        <f t="shared" si="2"/>
        <v>2</v>
      </c>
      <c r="F128" s="269">
        <f t="shared" si="3"/>
        <v>0</v>
      </c>
      <c r="G128" s="263">
        <f t="shared" si="5"/>
        <v>1</v>
      </c>
      <c r="H128" s="259">
        <f>Round(G128*DPS_SpawnCritMult,0)</f>
        <v>2</v>
      </c>
      <c r="J128" s="263">
        <f t="shared" si="6"/>
        <v>1</v>
      </c>
      <c r="K128" s="259">
        <f>Round(J128*DPS_SpawnCritMult,0)</f>
        <v>2</v>
      </c>
    </row>
    <row r="129">
      <c r="A129" s="83">
        <v>94.0</v>
      </c>
      <c r="B129" s="263">
        <f t="shared" si="4"/>
        <v>1</v>
      </c>
      <c r="C129" s="259">
        <f t="shared" si="1"/>
        <v>2</v>
      </c>
      <c r="D129" s="263">
        <f>IF($A$31="远程",MAX(ROUNDDOWN((1-DPS_Piercing_Falloff)*D128,0),1),0)</f>
        <v>1</v>
      </c>
      <c r="E129" s="259">
        <f t="shared" si="2"/>
        <v>2</v>
      </c>
      <c r="F129" s="269">
        <f t="shared" si="3"/>
        <v>0</v>
      </c>
      <c r="G129" s="263">
        <f t="shared" si="5"/>
        <v>1</v>
      </c>
      <c r="H129" s="259">
        <f>Round(G129*DPS_SpawnCritMult,0)</f>
        <v>2</v>
      </c>
      <c r="J129" s="263">
        <f t="shared" si="6"/>
        <v>1</v>
      </c>
      <c r="K129" s="259">
        <f>Round(J129*DPS_SpawnCritMult,0)</f>
        <v>2</v>
      </c>
    </row>
    <row r="130">
      <c r="A130" s="83">
        <v>95.0</v>
      </c>
      <c r="B130" s="263">
        <f t="shared" si="4"/>
        <v>1</v>
      </c>
      <c r="C130" s="259">
        <f t="shared" si="1"/>
        <v>2</v>
      </c>
      <c r="D130" s="263">
        <f>IF($A$31="远程",MAX(ROUNDDOWN((1-DPS_Piercing_Falloff)*D129,0),1),0)</f>
        <v>1</v>
      </c>
      <c r="E130" s="259">
        <f t="shared" si="2"/>
        <v>2</v>
      </c>
      <c r="F130" s="269">
        <f t="shared" si="3"/>
        <v>0</v>
      </c>
      <c r="G130" s="263">
        <f t="shared" si="5"/>
        <v>1</v>
      </c>
      <c r="H130" s="259">
        <f>Round(G130*DPS_SpawnCritMult,0)</f>
        <v>2</v>
      </c>
      <c r="J130" s="263">
        <f t="shared" si="6"/>
        <v>1</v>
      </c>
      <c r="K130" s="259">
        <f>Round(J130*DPS_SpawnCritMult,0)</f>
        <v>2</v>
      </c>
    </row>
    <row r="131">
      <c r="A131" s="83">
        <v>96.0</v>
      </c>
      <c r="B131" s="263">
        <f t="shared" si="4"/>
        <v>1</v>
      </c>
      <c r="C131" s="259">
        <f t="shared" si="1"/>
        <v>2</v>
      </c>
      <c r="D131" s="263">
        <f>IF($A$31="远程",MAX(ROUNDDOWN((1-DPS_Piercing_Falloff)*D130,0),1),0)</f>
        <v>1</v>
      </c>
      <c r="E131" s="259">
        <f t="shared" si="2"/>
        <v>2</v>
      </c>
      <c r="F131" s="269">
        <f t="shared" si="3"/>
        <v>0</v>
      </c>
      <c r="G131" s="263">
        <f t="shared" si="5"/>
        <v>1</v>
      </c>
      <c r="H131" s="259">
        <f>Round(G131*DPS_SpawnCritMult,0)</f>
        <v>2</v>
      </c>
      <c r="J131" s="263">
        <f t="shared" si="6"/>
        <v>1</v>
      </c>
      <c r="K131" s="259">
        <f>Round(J131*DPS_SpawnCritMult,0)</f>
        <v>2</v>
      </c>
    </row>
    <row r="132">
      <c r="A132" s="83">
        <v>97.0</v>
      </c>
      <c r="B132" s="263">
        <f t="shared" si="4"/>
        <v>1</v>
      </c>
      <c r="C132" s="259">
        <f t="shared" si="1"/>
        <v>2</v>
      </c>
      <c r="D132" s="263">
        <f>IF($A$31="远程",MAX(ROUNDDOWN((1-DPS_Piercing_Falloff)*D131,0),1),0)</f>
        <v>1</v>
      </c>
      <c r="E132" s="259">
        <f t="shared" si="2"/>
        <v>2</v>
      </c>
      <c r="F132" s="269">
        <f t="shared" si="3"/>
        <v>0</v>
      </c>
      <c r="G132" s="263">
        <f t="shared" si="5"/>
        <v>1</v>
      </c>
      <c r="H132" s="259">
        <f>Round(G132*DPS_SpawnCritMult,0)</f>
        <v>2</v>
      </c>
      <c r="J132" s="263">
        <f t="shared" si="6"/>
        <v>1</v>
      </c>
      <c r="K132" s="259">
        <f>Round(J132*DPS_SpawnCritMult,0)</f>
        <v>2</v>
      </c>
    </row>
    <row r="133">
      <c r="A133" s="83">
        <v>98.0</v>
      </c>
      <c r="B133" s="263">
        <f t="shared" si="4"/>
        <v>1</v>
      </c>
      <c r="C133" s="259">
        <f t="shared" si="1"/>
        <v>2</v>
      </c>
      <c r="D133" s="263">
        <f>IF($A$31="远程",MAX(ROUNDDOWN((1-DPS_Piercing_Falloff)*D132,0),1),0)</f>
        <v>1</v>
      </c>
      <c r="E133" s="259">
        <f t="shared" si="2"/>
        <v>2</v>
      </c>
      <c r="F133" s="269">
        <f t="shared" si="3"/>
        <v>0</v>
      </c>
      <c r="G133" s="263">
        <f t="shared" si="5"/>
        <v>1</v>
      </c>
      <c r="H133" s="259">
        <f>Round(G133*DPS_SpawnCritMult,0)</f>
        <v>2</v>
      </c>
      <c r="J133" s="263">
        <f t="shared" si="6"/>
        <v>1</v>
      </c>
      <c r="K133" s="259">
        <f>Round(J133*DPS_SpawnCritMult,0)</f>
        <v>2</v>
      </c>
    </row>
    <row r="134">
      <c r="A134" s="83">
        <v>99.0</v>
      </c>
      <c r="B134" s="263">
        <f t="shared" si="4"/>
        <v>1</v>
      </c>
      <c r="C134" s="259">
        <f t="shared" si="1"/>
        <v>2</v>
      </c>
      <c r="D134" s="263">
        <f>IF($A$31="远程",MAX(ROUNDDOWN((1-DPS_Piercing_Falloff)*D133,0),1),0)</f>
        <v>1</v>
      </c>
      <c r="E134" s="259">
        <f t="shared" si="2"/>
        <v>2</v>
      </c>
      <c r="F134" s="269">
        <f t="shared" si="3"/>
        <v>0</v>
      </c>
      <c r="G134" s="263">
        <f t="shared" si="5"/>
        <v>1</v>
      </c>
      <c r="H134" s="259">
        <f>Round(G134*DPS_SpawnCritMult,0)</f>
        <v>2</v>
      </c>
      <c r="J134" s="263">
        <f t="shared" si="6"/>
        <v>1</v>
      </c>
      <c r="K134" s="259">
        <f>Round(J134*DPS_SpawnCritMult,0)</f>
        <v>2</v>
      </c>
    </row>
    <row r="135">
      <c r="A135" s="83">
        <v>100.0</v>
      </c>
      <c r="B135" s="263">
        <f t="shared" si="4"/>
        <v>1</v>
      </c>
      <c r="C135" s="259">
        <f t="shared" si="1"/>
        <v>2</v>
      </c>
      <c r="D135" s="263">
        <f>IF($A$31="远程",MAX(ROUNDDOWN((1-DPS_Piercing_Falloff)*D134,0),1),0)</f>
        <v>1</v>
      </c>
      <c r="E135" s="259">
        <f t="shared" si="2"/>
        <v>2</v>
      </c>
      <c r="F135" s="269">
        <f t="shared" si="3"/>
        <v>0</v>
      </c>
      <c r="G135" s="263">
        <f t="shared" si="5"/>
        <v>1</v>
      </c>
      <c r="H135" s="259">
        <f>Round(G135*DPS_SpawnCritMult,0)</f>
        <v>2</v>
      </c>
      <c r="J135" s="263">
        <f t="shared" si="6"/>
        <v>1</v>
      </c>
      <c r="K135" s="259">
        <f>Round(J135*DPS_SpawnCritMult,0)</f>
        <v>2</v>
      </c>
    </row>
    <row r="136">
      <c r="A136" s="83">
        <v>101.0</v>
      </c>
      <c r="B136" s="263">
        <f t="shared" si="4"/>
        <v>1</v>
      </c>
      <c r="C136" s="259">
        <f t="shared" si="1"/>
        <v>2</v>
      </c>
      <c r="D136" s="263">
        <f>IF($A$31="远程",MAX(ROUNDDOWN((1-DPS_Piercing_Falloff)*D135,0),1),0)</f>
        <v>1</v>
      </c>
      <c r="E136" s="259">
        <f t="shared" si="2"/>
        <v>2</v>
      </c>
      <c r="F136" s="269">
        <f t="shared" si="3"/>
        <v>0</v>
      </c>
      <c r="G136" s="263">
        <f t="shared" si="5"/>
        <v>1</v>
      </c>
      <c r="H136" s="259">
        <f>Round(G136*DPS_SpawnCritMult,0)</f>
        <v>2</v>
      </c>
      <c r="J136" s="263">
        <f t="shared" si="6"/>
        <v>1</v>
      </c>
      <c r="K136" s="259">
        <f>Round(J136*DPS_SpawnCritMult,0)</f>
        <v>2</v>
      </c>
    </row>
    <row r="137">
      <c r="A137" s="83">
        <v>102.0</v>
      </c>
      <c r="B137" s="263">
        <f t="shared" si="4"/>
        <v>1</v>
      </c>
      <c r="C137" s="259">
        <f t="shared" si="1"/>
        <v>2</v>
      </c>
      <c r="D137" s="263">
        <f>IF($A$31="远程",MAX(ROUNDDOWN((1-DPS_Piercing_Falloff)*D136,0),1),0)</f>
        <v>1</v>
      </c>
      <c r="E137" s="259">
        <f t="shared" si="2"/>
        <v>2</v>
      </c>
      <c r="F137" s="269">
        <f t="shared" si="3"/>
        <v>0</v>
      </c>
      <c r="G137" s="263">
        <f t="shared" si="5"/>
        <v>1</v>
      </c>
      <c r="H137" s="259">
        <f>Round(G137*DPS_SpawnCritMult,0)</f>
        <v>2</v>
      </c>
      <c r="J137" s="263">
        <f t="shared" si="6"/>
        <v>1</v>
      </c>
      <c r="K137" s="259">
        <f>Round(J137*DPS_SpawnCritMult,0)</f>
        <v>2</v>
      </c>
    </row>
    <row r="138">
      <c r="A138" s="83">
        <v>103.0</v>
      </c>
      <c r="B138" s="263">
        <f t="shared" si="4"/>
        <v>1</v>
      </c>
      <c r="C138" s="259">
        <f t="shared" si="1"/>
        <v>2</v>
      </c>
      <c r="D138" s="263">
        <f>IF($A$31="远程",MAX(ROUNDDOWN((1-DPS_Piercing_Falloff)*D137,0),1),0)</f>
        <v>1</v>
      </c>
      <c r="E138" s="259">
        <f t="shared" si="2"/>
        <v>2</v>
      </c>
      <c r="F138" s="269">
        <f t="shared" si="3"/>
        <v>0</v>
      </c>
      <c r="G138" s="263">
        <f t="shared" si="5"/>
        <v>1</v>
      </c>
      <c r="H138" s="259">
        <f>Round(G138*DPS_SpawnCritMult,0)</f>
        <v>2</v>
      </c>
      <c r="J138" s="263">
        <f t="shared" si="6"/>
        <v>1</v>
      </c>
      <c r="K138" s="259">
        <f>Round(J138*DPS_SpawnCritMult,0)</f>
        <v>2</v>
      </c>
    </row>
    <row r="139">
      <c r="A139" s="83">
        <v>104.0</v>
      </c>
      <c r="B139" s="263">
        <f t="shared" si="4"/>
        <v>1</v>
      </c>
      <c r="C139" s="259">
        <f t="shared" si="1"/>
        <v>2</v>
      </c>
      <c r="D139" s="263">
        <f>IF($A$31="远程",MAX(ROUNDDOWN((1-DPS_Piercing_Falloff)*D138,0),1),0)</f>
        <v>1</v>
      </c>
      <c r="E139" s="259">
        <f t="shared" si="2"/>
        <v>2</v>
      </c>
      <c r="F139" s="269">
        <f t="shared" si="3"/>
        <v>0</v>
      </c>
      <c r="G139" s="263">
        <f t="shared" si="5"/>
        <v>1</v>
      </c>
      <c r="H139" s="259">
        <f>Round(G139*DPS_SpawnCritMult,0)</f>
        <v>2</v>
      </c>
      <c r="J139" s="263">
        <f t="shared" si="6"/>
        <v>1</v>
      </c>
      <c r="K139" s="259">
        <f>Round(J139*DPS_SpawnCritMult,0)</f>
        <v>2</v>
      </c>
    </row>
    <row r="140">
      <c r="A140" s="83">
        <v>105.0</v>
      </c>
      <c r="B140" s="263">
        <f t="shared" si="4"/>
        <v>1</v>
      </c>
      <c r="C140" s="259">
        <f t="shared" si="1"/>
        <v>2</v>
      </c>
      <c r="D140" s="263">
        <f>IF($A$31="远程",MAX(ROUNDDOWN((1-DPS_Piercing_Falloff)*D139,0),1),0)</f>
        <v>1</v>
      </c>
      <c r="E140" s="259">
        <f t="shared" si="2"/>
        <v>2</v>
      </c>
      <c r="F140" s="269">
        <f t="shared" si="3"/>
        <v>0</v>
      </c>
      <c r="G140" s="263">
        <f t="shared" si="5"/>
        <v>1</v>
      </c>
      <c r="H140" s="259">
        <f>Round(G140*DPS_SpawnCritMult,0)</f>
        <v>2</v>
      </c>
      <c r="J140" s="263">
        <f t="shared" si="6"/>
        <v>1</v>
      </c>
      <c r="K140" s="259">
        <f>Round(J140*DPS_SpawnCritMult,0)</f>
        <v>2</v>
      </c>
    </row>
    <row r="142">
      <c r="A142" s="373" t="s">
        <v>143</v>
      </c>
      <c r="B142" s="373" t="s">
        <v>747</v>
      </c>
      <c r="D142" s="374"/>
      <c r="E142" s="163" t="s">
        <v>357</v>
      </c>
      <c r="F142" s="163" t="s">
        <v>358</v>
      </c>
      <c r="G142" s="375" t="s">
        <v>382</v>
      </c>
      <c r="H142" s="375" t="s">
        <v>383</v>
      </c>
      <c r="I142" s="376"/>
      <c r="J142" s="375" t="s">
        <v>384</v>
      </c>
      <c r="K142" s="66" t="s">
        <v>750</v>
      </c>
      <c r="M142" s="66" t="s">
        <v>310</v>
      </c>
      <c r="R142" s="252"/>
    </row>
    <row r="143">
      <c r="A143" s="370">
        <v>-1.0</v>
      </c>
      <c r="B143" s="213">
        <f>If(DPS_Weapon_Type="远程",($E143+1)/60+(ROUNDDOWN($F143*60+1,0)/60)*2,(ROUNDDOWN(($E143+1)+ROUNDDOWN($F143*60+1,0)+ROUNDDOWN($G143/2*60+1,0)+ROUNDDOWN($H143*60+1,0)+1,0))/60+If(DPS_ATK_TYPE="挥砍",1/60)+If(DPS_ATK_TYPE="挥砍/刺击",1/120))+DPS_Weapon_Randomization/60</f>
        <v>0.305</v>
      </c>
      <c r="C143" s="104">
        <f>IF(DPS_Graph_True_Speed=TRUE,IF($A143&lt;=DPS_Graph_Max,IF($A143&gt;=DPS_Graph_Speed_Min,1/B143,),),)</f>
        <v>3.278688525</v>
      </c>
      <c r="D143" s="115" t="str">
        <f>IF(DPS_Graph_True_Speed=TRUE,IF($E$8=$A143,DPS_Attacks_P_Sec,),)</f>
        <v/>
      </c>
      <c r="E143" s="222">
        <f>ROUNDDOWN(MAX(2,IF(A143&gt;=0, DPS_Base_Wpn_Spd/(1+A143),DPS_Base_Wpn_Spd*(1+ABS(A143)))),0)</f>
        <v>8</v>
      </c>
      <c r="F143" s="232">
        <f>IF(A143&gt;=0, DPS_Base_Recoil/(1+A143),DPS_Base_Recoil)</f>
        <v>0.05</v>
      </c>
      <c r="G143" s="377">
        <f t="shared" ref="G143:G1243" si="7">MAX(0.01, 0.2 - ($A143 / 10)) + (J143 * 0.15)</f>
        <v>1.157142857</v>
      </c>
      <c r="H143" s="377">
        <f t="shared" ref="H143:H1243" si="8">(0.2 / (1 + (Max(0,$A143) * 3)))</f>
        <v>0.2</v>
      </c>
      <c r="I143" s="104"/>
      <c r="J143" s="377">
        <f>MAX(0, Max(25,(DPS_Base_Range + ((DPS_Range_Stat) / 2))) / MIN(MAX(70, (70 * (1 + ($A143 / 3)))), 120))</f>
        <v>5.714285714</v>
      </c>
      <c r="K143" s="269">
        <f>IF(A143&lt;=DPS_Graph_Max,IF(A143&gt;=DPS_Graph_Speed_Min,A143,),)</f>
        <v>-1</v>
      </c>
      <c r="M143" s="213">
        <f>If(DPS_Weapon_Type="远程",$E143/60+$F143*2,$E143/60+$F143+$G143/2+$H143)</f>
        <v>0.2333333333</v>
      </c>
      <c r="N143" s="104">
        <f>IF(DPS_Graph_Tooltip_Speed=TRUE,IF($A143&lt;=DPS_Graph_Max,IF($A143&gt;=DPS_Graph_Speed_Min,1/M143,),),)</f>
        <v>4.285714286</v>
      </c>
      <c r="R143" s="104" t="str">
        <f>IF(DPS_Graph_Tooltip_Speed=TRUE,IF($E$8=$A143,1/$N$6,),)</f>
        <v/>
      </c>
    </row>
    <row r="144">
      <c r="A144" s="370">
        <v>-0.99</v>
      </c>
      <c r="B144" s="213">
        <f>If(DPS_Weapon_Type="远程",($E144+1)/60+(ROUNDDOWN($F144*60+1,0)/60)*2,(ROUNDDOWN(($E144+1)+ROUNDDOWN($F144*60+1,0)+ROUNDDOWN($G144/2*60+1,0)+ROUNDDOWN($H144*60+1,0)+1,0))/60+If(DPS_ATK_TYPE="挥砍",1/60)+If(DPS_ATK_TYPE="挥砍/刺击",1/120))+DPS_Weapon_Randomization/60</f>
        <v>0.2883333333</v>
      </c>
      <c r="C144" s="104">
        <f>IF(DPS_Graph_True_Speed=TRUE,IF($A144&lt;=DPS_Graph_Max,IF($A144&gt;=DPS_Graph_Speed_Min,1/B144,),),)</f>
        <v>3.468208092</v>
      </c>
      <c r="D144" s="115" t="str">
        <f>IF(DPS_Graph_True_Speed=TRUE,IF($E$8=$A144,DPS_Attacks_P_Sec,),)</f>
        <v/>
      </c>
      <c r="E144" s="222">
        <f>ROUNDDOWN(MAX(2,IF(A144&gt;=0, DPS_Base_Wpn_Spd/(1+A144),DPS_Base_Wpn_Spd*(1+ABS(A144)))),0)</f>
        <v>7</v>
      </c>
      <c r="F144" s="232">
        <f>IF(A144&gt;=0, DPS_Base_Recoil/(1+A144),DPS_Base_Recoil)</f>
        <v>0.05</v>
      </c>
      <c r="G144" s="377">
        <f t="shared" si="7"/>
        <v>1.156142857</v>
      </c>
      <c r="H144" s="377">
        <f t="shared" si="8"/>
        <v>0.2</v>
      </c>
      <c r="I144" s="104"/>
      <c r="J144" s="377">
        <f>MAX(0, Max(25,(DPS_Base_Range + ((DPS_Range_Stat) / 2))) / MIN(MAX(70, (70 * (1 + ($A144 / 3)))), 120))</f>
        <v>5.714285714</v>
      </c>
      <c r="K144" s="269">
        <f>IF(A144&lt;=DPS_Graph_Max,IF(A144&gt;=DPS_Graph_Speed_Min,A144,),)</f>
        <v>-0.99</v>
      </c>
      <c r="M144" s="213">
        <f>If(DPS_Weapon_Type="远程",$E144/60+$F144*2,$E144/60+$F144+$G144/2+$H144)</f>
        <v>0.2166666667</v>
      </c>
      <c r="N144" s="104">
        <f>IF(DPS_Graph_Tooltip_Speed=TRUE,IF($A144&lt;=DPS_Graph_Max,IF($A144&gt;=DPS_Graph_Speed_Min,1/M144,),),)</f>
        <v>4.615384615</v>
      </c>
      <c r="R144" s="104" t="str">
        <f>IF(DPS_Graph_Tooltip_Speed=TRUE,IF($E$8=$A144,1/$N$6,),)</f>
        <v/>
      </c>
    </row>
    <row r="145">
      <c r="A145" s="370">
        <v>-0.98</v>
      </c>
      <c r="B145" s="213">
        <f>If(DPS_Weapon_Type="远程",($E145+1)/60+(ROUNDDOWN($F145*60+1,0)/60)*2,(ROUNDDOWN(($E145+1)+ROUNDDOWN($F145*60+1,0)+ROUNDDOWN($G145/2*60+1,0)+ROUNDDOWN($H145*60+1,0)+1,0))/60+If(DPS_ATK_TYPE="挥砍",1/60)+If(DPS_ATK_TYPE="挥砍/刺击",1/120))+DPS_Weapon_Randomization/60</f>
        <v>0.2883333333</v>
      </c>
      <c r="C145" s="104">
        <f>IF(DPS_Graph_True_Speed=TRUE,IF($A145&lt;=DPS_Graph_Max,IF($A145&gt;=DPS_Graph_Speed_Min,1/B145,),),)</f>
        <v>3.468208092</v>
      </c>
      <c r="D145" s="115" t="str">
        <f>IF(DPS_Graph_True_Speed=TRUE,IF($E$8=$A145,DPS_Attacks_P_Sec,),)</f>
        <v/>
      </c>
      <c r="E145" s="222">
        <f>ROUNDDOWN(MAX(2,IF(A145&gt;=0, DPS_Base_Wpn_Spd/(1+A145),DPS_Base_Wpn_Spd*(1+ABS(A145)))),0)</f>
        <v>7</v>
      </c>
      <c r="F145" s="232">
        <f>IF(A145&gt;=0, DPS_Base_Recoil/(1+A145),DPS_Base_Recoil)</f>
        <v>0.05</v>
      </c>
      <c r="G145" s="377">
        <f t="shared" si="7"/>
        <v>1.155142857</v>
      </c>
      <c r="H145" s="377">
        <f t="shared" si="8"/>
        <v>0.2</v>
      </c>
      <c r="I145" s="104"/>
      <c r="J145" s="377">
        <f>MAX(0, Max(25,(DPS_Base_Range + ((DPS_Range_Stat) / 2))) / MIN(MAX(70, (70 * (1 + ($A145 / 3)))), 120))</f>
        <v>5.714285714</v>
      </c>
      <c r="K145" s="269">
        <f>IF(A145&lt;=DPS_Graph_Max,IF(A145&gt;=DPS_Graph_Speed_Min,A145,),)</f>
        <v>-0.98</v>
      </c>
      <c r="M145" s="213">
        <f>If(DPS_Weapon_Type="远程",$E145/60+$F145*2,$E145/60+$F145+$G145/2+$H145)</f>
        <v>0.2166666667</v>
      </c>
      <c r="N145" s="104">
        <f>IF(DPS_Graph_Tooltip_Speed=TRUE,IF($A145&lt;=DPS_Graph_Max,IF($A145&gt;=DPS_Graph_Speed_Min,1/M145,),),)</f>
        <v>4.615384615</v>
      </c>
      <c r="R145" s="104" t="str">
        <f>IF(DPS_Graph_Tooltip_Speed=TRUE,IF($E$8=$A145,1/$N$6,),)</f>
        <v/>
      </c>
    </row>
    <row r="146">
      <c r="A146" s="370">
        <v>-0.97</v>
      </c>
      <c r="B146" s="213">
        <f>If(DPS_Weapon_Type="远程",($E146+1)/60+(ROUNDDOWN($F146*60+1,0)/60)*2,(ROUNDDOWN(($E146+1)+ROUNDDOWN($F146*60+1,0)+ROUNDDOWN($G146/2*60+1,0)+ROUNDDOWN($H146*60+1,0)+1,0))/60+If(DPS_ATK_TYPE="挥砍",1/60)+If(DPS_ATK_TYPE="挥砍/刺击",1/120))+DPS_Weapon_Randomization/60</f>
        <v>0.2883333333</v>
      </c>
      <c r="C146" s="104">
        <f>IF(DPS_Graph_True_Speed=TRUE,IF($A146&lt;=DPS_Graph_Max,IF($A146&gt;=DPS_Graph_Speed_Min,1/B146,),),)</f>
        <v>3.468208092</v>
      </c>
      <c r="D146" s="115" t="str">
        <f>IF(DPS_Graph_True_Speed=TRUE,IF($E$8=$A146,DPS_Attacks_P_Sec,),)</f>
        <v/>
      </c>
      <c r="E146" s="222">
        <f>ROUNDDOWN(MAX(2,IF(A146&gt;=0, DPS_Base_Wpn_Spd/(1+A146),DPS_Base_Wpn_Spd*(1+ABS(A146)))),0)</f>
        <v>7</v>
      </c>
      <c r="F146" s="232">
        <f>IF(A146&gt;=0, DPS_Base_Recoil/(1+A146),DPS_Base_Recoil)</f>
        <v>0.05</v>
      </c>
      <c r="G146" s="377">
        <f t="shared" si="7"/>
        <v>1.154142857</v>
      </c>
      <c r="H146" s="377">
        <f t="shared" si="8"/>
        <v>0.2</v>
      </c>
      <c r="I146" s="104"/>
      <c r="J146" s="377">
        <f>MAX(0, Max(25,(DPS_Base_Range + ((DPS_Range_Stat) / 2))) / MIN(MAX(70, (70 * (1 + ($A146 / 3)))), 120))</f>
        <v>5.714285714</v>
      </c>
      <c r="K146" s="269">
        <f>IF(A146&lt;=DPS_Graph_Max,IF(A146&gt;=DPS_Graph_Speed_Min,A146,),)</f>
        <v>-0.97</v>
      </c>
      <c r="M146" s="213">
        <f>If(DPS_Weapon_Type="远程",$E146/60+$F146*2,$E146/60+$F146+$G146/2+$H146)</f>
        <v>0.2166666667</v>
      </c>
      <c r="N146" s="104">
        <f>IF(DPS_Graph_Tooltip_Speed=TRUE,IF($A146&lt;=DPS_Graph_Max,IF($A146&gt;=DPS_Graph_Speed_Min,1/M146,),),)</f>
        <v>4.615384615</v>
      </c>
      <c r="R146" s="104" t="str">
        <f>IF(DPS_Graph_Tooltip_Speed=TRUE,IF($E$8=$A146,1/$N$6,),)</f>
        <v/>
      </c>
    </row>
    <row r="147">
      <c r="A147" s="370">
        <v>-0.96</v>
      </c>
      <c r="B147" s="213">
        <f>If(DPS_Weapon_Type="远程",($E147+1)/60+(ROUNDDOWN($F147*60+1,0)/60)*2,(ROUNDDOWN(($E147+1)+ROUNDDOWN($F147*60+1,0)+ROUNDDOWN($G147/2*60+1,0)+ROUNDDOWN($H147*60+1,0)+1,0))/60+If(DPS_ATK_TYPE="挥砍",1/60)+If(DPS_ATK_TYPE="挥砍/刺击",1/120))+DPS_Weapon_Randomization/60</f>
        <v>0.2883333333</v>
      </c>
      <c r="C147" s="104">
        <f>IF(DPS_Graph_True_Speed=TRUE,IF($A147&lt;=DPS_Graph_Max,IF($A147&gt;=DPS_Graph_Speed_Min,1/B147,),),)</f>
        <v>3.468208092</v>
      </c>
      <c r="D147" s="115" t="str">
        <f>IF(DPS_Graph_True_Speed=TRUE,IF($E$8=$A147,DPS_Attacks_P_Sec,),)</f>
        <v/>
      </c>
      <c r="E147" s="222">
        <f>ROUNDDOWN(MAX(2,IF(A147&gt;=0, DPS_Base_Wpn_Spd/(1+A147),DPS_Base_Wpn_Spd*(1+ABS(A147)))),0)</f>
        <v>7</v>
      </c>
      <c r="F147" s="232">
        <f>IF(A147&gt;=0, DPS_Base_Recoil/(1+A147),DPS_Base_Recoil)</f>
        <v>0.05</v>
      </c>
      <c r="G147" s="377">
        <f t="shared" si="7"/>
        <v>1.153142857</v>
      </c>
      <c r="H147" s="377">
        <f t="shared" si="8"/>
        <v>0.2</v>
      </c>
      <c r="I147" s="104"/>
      <c r="J147" s="377">
        <f>MAX(0, Max(25,(DPS_Base_Range + ((DPS_Range_Stat) / 2))) / MIN(MAX(70, (70 * (1 + ($A147 / 3)))), 120))</f>
        <v>5.714285714</v>
      </c>
      <c r="K147" s="269">
        <f>IF(A147&lt;=DPS_Graph_Max,IF(A147&gt;=DPS_Graph_Speed_Min,A147,),)</f>
        <v>-0.96</v>
      </c>
      <c r="M147" s="213">
        <f>If(DPS_Weapon_Type="远程",$E147/60+$F147*2,$E147/60+$F147+$G147/2+$H147)</f>
        <v>0.2166666667</v>
      </c>
      <c r="N147" s="104">
        <f>IF(DPS_Graph_Tooltip_Speed=TRUE,IF($A147&lt;=DPS_Graph_Max,IF($A147&gt;=DPS_Graph_Speed_Min,1/M147,),),)</f>
        <v>4.615384615</v>
      </c>
      <c r="R147" s="104" t="str">
        <f>IF(DPS_Graph_Tooltip_Speed=TRUE,IF($E$8=$A147,1/$N$6,),)</f>
        <v/>
      </c>
    </row>
    <row r="148">
      <c r="A148" s="370">
        <v>-0.95</v>
      </c>
      <c r="B148" s="213">
        <f>If(DPS_Weapon_Type="远程",($E148+1)/60+(ROUNDDOWN($F148*60+1,0)/60)*2,(ROUNDDOWN(($E148+1)+ROUNDDOWN($F148*60+1,0)+ROUNDDOWN($G148/2*60+1,0)+ROUNDDOWN($H148*60+1,0)+1,0))/60+If(DPS_ATK_TYPE="挥砍",1/60)+If(DPS_ATK_TYPE="挥砍/刺击",1/120))+DPS_Weapon_Randomization/60</f>
        <v>0.2883333333</v>
      </c>
      <c r="C148" s="104">
        <f>IF(DPS_Graph_True_Speed=TRUE,IF($A148&lt;=DPS_Graph_Max,IF($A148&gt;=DPS_Graph_Speed_Min,1/B148,),),)</f>
        <v>3.468208092</v>
      </c>
      <c r="D148" s="115" t="str">
        <f>IF(DPS_Graph_True_Speed=TRUE,IF($E$8=$A148,DPS_Attacks_P_Sec,),)</f>
        <v/>
      </c>
      <c r="E148" s="222">
        <f>ROUNDDOWN(MAX(2,IF(A148&gt;=0, DPS_Base_Wpn_Spd/(1+A148),DPS_Base_Wpn_Spd*(1+ABS(A148)))),0)</f>
        <v>7</v>
      </c>
      <c r="F148" s="232">
        <f>IF(A148&gt;=0, DPS_Base_Recoil/(1+A148),DPS_Base_Recoil)</f>
        <v>0.05</v>
      </c>
      <c r="G148" s="377">
        <f t="shared" si="7"/>
        <v>1.152142857</v>
      </c>
      <c r="H148" s="377">
        <f t="shared" si="8"/>
        <v>0.2</v>
      </c>
      <c r="I148" s="104"/>
      <c r="J148" s="377">
        <f>MAX(0, Max(25,(DPS_Base_Range + ((DPS_Range_Stat) / 2))) / MIN(MAX(70, (70 * (1 + ($A148 / 3)))), 120))</f>
        <v>5.714285714</v>
      </c>
      <c r="K148" s="269">
        <f>IF(A148&lt;=DPS_Graph_Max,IF(A148&gt;=DPS_Graph_Speed_Min,A148,),)</f>
        <v>-0.95</v>
      </c>
      <c r="M148" s="213">
        <f>If(DPS_Weapon_Type="远程",$E148/60+$F148*2,$E148/60+$F148+$G148/2+$H148)</f>
        <v>0.2166666667</v>
      </c>
      <c r="N148" s="104">
        <f>IF(DPS_Graph_Tooltip_Speed=TRUE,IF($A148&lt;=DPS_Graph_Max,IF($A148&gt;=DPS_Graph_Speed_Min,1/M148,),),)</f>
        <v>4.615384615</v>
      </c>
      <c r="R148" s="104" t="str">
        <f>IF(DPS_Graph_Tooltip_Speed=TRUE,IF($E$8=$A148,1/$N$6,),)</f>
        <v/>
      </c>
    </row>
    <row r="149">
      <c r="A149" s="370">
        <v>-0.94</v>
      </c>
      <c r="B149" s="213">
        <f>If(DPS_Weapon_Type="远程",($E149+1)/60+(ROUNDDOWN($F149*60+1,0)/60)*2,(ROUNDDOWN(($E149+1)+ROUNDDOWN($F149*60+1,0)+ROUNDDOWN($G149/2*60+1,0)+ROUNDDOWN($H149*60+1,0)+1,0))/60+If(DPS_ATK_TYPE="挥砍",1/60)+If(DPS_ATK_TYPE="挥砍/刺击",1/120))+DPS_Weapon_Randomization/60</f>
        <v>0.2883333333</v>
      </c>
      <c r="C149" s="104">
        <f>IF(DPS_Graph_True_Speed=TRUE,IF($A149&lt;=DPS_Graph_Max,IF($A149&gt;=DPS_Graph_Speed_Min,1/B149,),),)</f>
        <v>3.468208092</v>
      </c>
      <c r="D149" s="115" t="str">
        <f>IF(DPS_Graph_True_Speed=TRUE,IF($E$8=$A149,DPS_Attacks_P_Sec,),)</f>
        <v/>
      </c>
      <c r="E149" s="222">
        <f>ROUNDDOWN(MAX(2,IF(A149&gt;=0, DPS_Base_Wpn_Spd/(1+A149),DPS_Base_Wpn_Spd*(1+ABS(A149)))),0)</f>
        <v>7</v>
      </c>
      <c r="F149" s="232">
        <f>IF(A149&gt;=0, DPS_Base_Recoil/(1+A149),DPS_Base_Recoil)</f>
        <v>0.05</v>
      </c>
      <c r="G149" s="377">
        <f t="shared" si="7"/>
        <v>1.151142857</v>
      </c>
      <c r="H149" s="377">
        <f t="shared" si="8"/>
        <v>0.2</v>
      </c>
      <c r="I149" s="104"/>
      <c r="J149" s="377">
        <f>MAX(0, Max(25,(DPS_Base_Range + ((DPS_Range_Stat) / 2))) / MIN(MAX(70, (70 * (1 + ($A149 / 3)))), 120))</f>
        <v>5.714285714</v>
      </c>
      <c r="K149" s="269">
        <f>IF(A149&lt;=DPS_Graph_Max,IF(A149&gt;=DPS_Graph_Speed_Min,A149,),)</f>
        <v>-0.94</v>
      </c>
      <c r="M149" s="213">
        <f>If(DPS_Weapon_Type="远程",$E149/60+$F149*2,$E149/60+$F149+$G149/2+$H149)</f>
        <v>0.2166666667</v>
      </c>
      <c r="N149" s="104">
        <f>IF(DPS_Graph_Tooltip_Speed=TRUE,IF($A149&lt;=DPS_Graph_Max,IF($A149&gt;=DPS_Graph_Speed_Min,1/M149,),),)</f>
        <v>4.615384615</v>
      </c>
      <c r="R149" s="104" t="str">
        <f>IF(DPS_Graph_Tooltip_Speed=TRUE,IF($E$8=$A149,1/$N$6,),)</f>
        <v/>
      </c>
    </row>
    <row r="150">
      <c r="A150" s="370">
        <v>-0.93</v>
      </c>
      <c r="B150" s="213">
        <f>If(DPS_Weapon_Type="远程",($E150+1)/60+(ROUNDDOWN($F150*60+1,0)/60)*2,(ROUNDDOWN(($E150+1)+ROUNDDOWN($F150*60+1,0)+ROUNDDOWN($G150/2*60+1,0)+ROUNDDOWN($H150*60+1,0)+1,0))/60+If(DPS_ATK_TYPE="挥砍",1/60)+If(DPS_ATK_TYPE="挥砍/刺击",1/120))+DPS_Weapon_Randomization/60</f>
        <v>0.2883333333</v>
      </c>
      <c r="C150" s="104">
        <f>IF(DPS_Graph_True_Speed=TRUE,IF($A150&lt;=DPS_Graph_Max,IF($A150&gt;=DPS_Graph_Speed_Min,1/B150,),),)</f>
        <v>3.468208092</v>
      </c>
      <c r="D150" s="115" t="str">
        <f>IF(DPS_Graph_True_Speed=TRUE,IF($E$8=$A150,DPS_Attacks_P_Sec,),)</f>
        <v/>
      </c>
      <c r="E150" s="222">
        <f>ROUNDDOWN(MAX(2,IF(A150&gt;=0, DPS_Base_Wpn_Spd/(1+A150),DPS_Base_Wpn_Spd*(1+ABS(A150)))),0)</f>
        <v>7</v>
      </c>
      <c r="F150" s="232">
        <f>IF(A150&gt;=0, DPS_Base_Recoil/(1+A150),DPS_Base_Recoil)</f>
        <v>0.05</v>
      </c>
      <c r="G150" s="377">
        <f t="shared" si="7"/>
        <v>1.150142857</v>
      </c>
      <c r="H150" s="377">
        <f t="shared" si="8"/>
        <v>0.2</v>
      </c>
      <c r="I150" s="104"/>
      <c r="J150" s="377">
        <f>MAX(0, Max(25,(DPS_Base_Range + ((DPS_Range_Stat) / 2))) / MIN(MAX(70, (70 * (1 + ($A150 / 3)))), 120))</f>
        <v>5.714285714</v>
      </c>
      <c r="K150" s="269">
        <f>IF(A150&lt;=DPS_Graph_Max,IF(A150&gt;=DPS_Graph_Speed_Min,A150,),)</f>
        <v>-0.93</v>
      </c>
      <c r="M150" s="213">
        <f>If(DPS_Weapon_Type="远程",$E150/60+$F150*2,$E150/60+$F150+$G150/2+$H150)</f>
        <v>0.2166666667</v>
      </c>
      <c r="N150" s="104">
        <f>IF(DPS_Graph_Tooltip_Speed=TRUE,IF($A150&lt;=DPS_Graph_Max,IF($A150&gt;=DPS_Graph_Speed_Min,1/M150,),),)</f>
        <v>4.615384615</v>
      </c>
      <c r="R150" s="104" t="str">
        <f>IF(DPS_Graph_Tooltip_Speed=TRUE,IF($E$8=$A150,1/$N$6,),)</f>
        <v/>
      </c>
    </row>
    <row r="151">
      <c r="A151" s="370">
        <v>-0.92</v>
      </c>
      <c r="B151" s="213">
        <f>If(DPS_Weapon_Type="远程",($E151+1)/60+(ROUNDDOWN($F151*60+1,0)/60)*2,(ROUNDDOWN(($E151+1)+ROUNDDOWN($F151*60+1,0)+ROUNDDOWN($G151/2*60+1,0)+ROUNDDOWN($H151*60+1,0)+1,0))/60+If(DPS_ATK_TYPE="挥砍",1/60)+If(DPS_ATK_TYPE="挥砍/刺击",1/120))+DPS_Weapon_Randomization/60</f>
        <v>0.2883333333</v>
      </c>
      <c r="C151" s="104">
        <f>IF(DPS_Graph_True_Speed=TRUE,IF($A151&lt;=DPS_Graph_Max,IF($A151&gt;=DPS_Graph_Speed_Min,1/B151,),),)</f>
        <v>3.468208092</v>
      </c>
      <c r="D151" s="115" t="str">
        <f>IF(DPS_Graph_True_Speed=TRUE,IF($E$8=$A151,DPS_Attacks_P_Sec,),)</f>
        <v/>
      </c>
      <c r="E151" s="222">
        <f>ROUNDDOWN(MAX(2,IF(A151&gt;=0, DPS_Base_Wpn_Spd/(1+A151),DPS_Base_Wpn_Spd*(1+ABS(A151)))),0)</f>
        <v>7</v>
      </c>
      <c r="F151" s="232">
        <f>IF(A151&gt;=0, DPS_Base_Recoil/(1+A151),DPS_Base_Recoil)</f>
        <v>0.05</v>
      </c>
      <c r="G151" s="377">
        <f t="shared" si="7"/>
        <v>1.149142857</v>
      </c>
      <c r="H151" s="377">
        <f t="shared" si="8"/>
        <v>0.2</v>
      </c>
      <c r="I151" s="104"/>
      <c r="J151" s="377">
        <f>MAX(0, Max(25,(DPS_Base_Range + ((DPS_Range_Stat) / 2))) / MIN(MAX(70, (70 * (1 + ($A151 / 3)))), 120))</f>
        <v>5.714285714</v>
      </c>
      <c r="K151" s="269">
        <f>IF(A151&lt;=DPS_Graph_Max,IF(A151&gt;=DPS_Graph_Speed_Min,A151,),)</f>
        <v>-0.92</v>
      </c>
      <c r="M151" s="213">
        <f>If(DPS_Weapon_Type="远程",$E151/60+$F151*2,$E151/60+$F151+$G151/2+$H151)</f>
        <v>0.2166666667</v>
      </c>
      <c r="N151" s="104">
        <f>IF(DPS_Graph_Tooltip_Speed=TRUE,IF($A151&lt;=DPS_Graph_Max,IF($A151&gt;=DPS_Graph_Speed_Min,1/M151,),),)</f>
        <v>4.615384615</v>
      </c>
      <c r="R151" s="104" t="str">
        <f>IF(DPS_Graph_Tooltip_Speed=TRUE,IF($E$8=$A151,1/$N$6,),)</f>
        <v/>
      </c>
    </row>
    <row r="152">
      <c r="A152" s="370">
        <v>-0.91</v>
      </c>
      <c r="B152" s="213">
        <f>If(DPS_Weapon_Type="远程",($E152+1)/60+(ROUNDDOWN($F152*60+1,0)/60)*2,(ROUNDDOWN(($E152+1)+ROUNDDOWN($F152*60+1,0)+ROUNDDOWN($G152/2*60+1,0)+ROUNDDOWN($H152*60+1,0)+1,0))/60+If(DPS_ATK_TYPE="挥砍",1/60)+If(DPS_ATK_TYPE="挥砍/刺击",1/120))+DPS_Weapon_Randomization/60</f>
        <v>0.2883333333</v>
      </c>
      <c r="C152" s="104">
        <f>IF(DPS_Graph_True_Speed=TRUE,IF($A152&lt;=DPS_Graph_Max,IF($A152&gt;=DPS_Graph_Speed_Min,1/B152,),),)</f>
        <v>3.468208092</v>
      </c>
      <c r="D152" s="115" t="str">
        <f>IF(DPS_Graph_True_Speed=TRUE,IF($E$8=$A152,DPS_Attacks_P_Sec,),)</f>
        <v/>
      </c>
      <c r="E152" s="222">
        <f>ROUNDDOWN(MAX(2,IF(A152&gt;=0, DPS_Base_Wpn_Spd/(1+A152),DPS_Base_Wpn_Spd*(1+ABS(A152)))),0)</f>
        <v>7</v>
      </c>
      <c r="F152" s="232">
        <f>IF(A152&gt;=0, DPS_Base_Recoil/(1+A152),DPS_Base_Recoil)</f>
        <v>0.05</v>
      </c>
      <c r="G152" s="377">
        <f t="shared" si="7"/>
        <v>1.148142857</v>
      </c>
      <c r="H152" s="377">
        <f t="shared" si="8"/>
        <v>0.2</v>
      </c>
      <c r="I152" s="104"/>
      <c r="J152" s="377">
        <f>MAX(0, Max(25,(DPS_Base_Range + ((DPS_Range_Stat) / 2))) / MIN(MAX(70, (70 * (1 + ($A152 / 3)))), 120))</f>
        <v>5.714285714</v>
      </c>
      <c r="K152" s="269">
        <f>IF(A152&lt;=DPS_Graph_Max,IF(A152&gt;=DPS_Graph_Speed_Min,A152,),)</f>
        <v>-0.91</v>
      </c>
      <c r="M152" s="213">
        <f>If(DPS_Weapon_Type="远程",$E152/60+$F152*2,$E152/60+$F152+$G152/2+$H152)</f>
        <v>0.2166666667</v>
      </c>
      <c r="N152" s="104">
        <f>IF(DPS_Graph_Tooltip_Speed=TRUE,IF($A152&lt;=DPS_Graph_Max,IF($A152&gt;=DPS_Graph_Speed_Min,1/M152,),),)</f>
        <v>4.615384615</v>
      </c>
      <c r="R152" s="104" t="str">
        <f>IF(DPS_Graph_Tooltip_Speed=TRUE,IF($E$8=$A152,1/$N$6,),)</f>
        <v/>
      </c>
    </row>
    <row r="153">
      <c r="A153" s="370">
        <v>-0.9</v>
      </c>
      <c r="B153" s="213">
        <f>If(DPS_Weapon_Type="远程",($E153+1)/60+(ROUNDDOWN($F153*60+1,0)/60)*2,(ROUNDDOWN(($E153+1)+ROUNDDOWN($F153*60+1,0)+ROUNDDOWN($G153/2*60+1,0)+ROUNDDOWN($H153*60+1,0)+1,0))/60+If(DPS_ATK_TYPE="挥砍",1/60)+If(DPS_ATK_TYPE="挥砍/刺击",1/120))+DPS_Weapon_Randomization/60</f>
        <v>0.2883333333</v>
      </c>
      <c r="C153" s="104">
        <f>IF(DPS_Graph_True_Speed=TRUE,IF($A153&lt;=DPS_Graph_Max,IF($A153&gt;=DPS_Graph_Speed_Min,1/B153,),),)</f>
        <v>3.468208092</v>
      </c>
      <c r="D153" s="115" t="str">
        <f>IF(DPS_Graph_True_Speed=TRUE,IF($E$8=$A153,DPS_Attacks_P_Sec,),)</f>
        <v/>
      </c>
      <c r="E153" s="222">
        <f>ROUNDDOWN(MAX(2,IF(A153&gt;=0, DPS_Base_Wpn_Spd/(1+A153),DPS_Base_Wpn_Spd*(1+ABS(A153)))),0)</f>
        <v>7</v>
      </c>
      <c r="F153" s="232">
        <f>IF(A153&gt;=0, DPS_Base_Recoil/(1+A153),DPS_Base_Recoil)</f>
        <v>0.05</v>
      </c>
      <c r="G153" s="377">
        <f t="shared" si="7"/>
        <v>1.147142857</v>
      </c>
      <c r="H153" s="377">
        <f t="shared" si="8"/>
        <v>0.2</v>
      </c>
      <c r="I153" s="104"/>
      <c r="J153" s="377">
        <f>MAX(0, Max(25,(DPS_Base_Range + ((DPS_Range_Stat) / 2))) / MIN(MAX(70, (70 * (1 + ($A153 / 3)))), 120))</f>
        <v>5.714285714</v>
      </c>
      <c r="K153" s="269">
        <f>IF(A153&lt;=DPS_Graph_Max,IF(A153&gt;=DPS_Graph_Speed_Min,A153,),)</f>
        <v>-0.9</v>
      </c>
      <c r="M153" s="213">
        <f>If(DPS_Weapon_Type="远程",$E153/60+$F153*2,$E153/60+$F153+$G153/2+$H153)</f>
        <v>0.2166666667</v>
      </c>
      <c r="N153" s="104">
        <f>IF(DPS_Graph_Tooltip_Speed=TRUE,IF($A153&lt;=DPS_Graph_Max,IF($A153&gt;=DPS_Graph_Speed_Min,1/M153,),),)</f>
        <v>4.615384615</v>
      </c>
      <c r="R153" s="104" t="str">
        <f>IF(DPS_Graph_Tooltip_Speed=TRUE,IF($E$8=$A153,1/$N$6,),)</f>
        <v/>
      </c>
    </row>
    <row r="154">
      <c r="A154" s="370">
        <v>-0.89</v>
      </c>
      <c r="B154" s="213">
        <f>If(DPS_Weapon_Type="远程",($E154+1)/60+(ROUNDDOWN($F154*60+1,0)/60)*2,(ROUNDDOWN(($E154+1)+ROUNDDOWN($F154*60+1,0)+ROUNDDOWN($G154/2*60+1,0)+ROUNDDOWN($H154*60+1,0)+1,0))/60+If(DPS_ATK_TYPE="挥砍",1/60)+If(DPS_ATK_TYPE="挥砍/刺击",1/120))+DPS_Weapon_Randomization/60</f>
        <v>0.2883333333</v>
      </c>
      <c r="C154" s="104">
        <f>IF(DPS_Graph_True_Speed=TRUE,IF($A154&lt;=DPS_Graph_Max,IF($A154&gt;=DPS_Graph_Speed_Min,1/B154,),),)</f>
        <v>3.468208092</v>
      </c>
      <c r="D154" s="115" t="str">
        <f>IF(DPS_Graph_True_Speed=TRUE,IF($E$8=$A154,DPS_Attacks_P_Sec,),)</f>
        <v/>
      </c>
      <c r="E154" s="222">
        <f>ROUNDDOWN(MAX(2,IF(A154&gt;=0, DPS_Base_Wpn_Spd/(1+A154),DPS_Base_Wpn_Spd*(1+ABS(A154)))),0)</f>
        <v>7</v>
      </c>
      <c r="F154" s="232">
        <f>IF(A154&gt;=0, DPS_Base_Recoil/(1+A154),DPS_Base_Recoil)</f>
        <v>0.05</v>
      </c>
      <c r="G154" s="377">
        <f t="shared" si="7"/>
        <v>1.146142857</v>
      </c>
      <c r="H154" s="377">
        <f t="shared" si="8"/>
        <v>0.2</v>
      </c>
      <c r="I154" s="104"/>
      <c r="J154" s="377">
        <f>MAX(0, Max(25,(DPS_Base_Range + ((DPS_Range_Stat) / 2))) / MIN(MAX(70, (70 * (1 + ($A154 / 3)))), 120))</f>
        <v>5.714285714</v>
      </c>
      <c r="K154" s="269">
        <f>IF(A154&lt;=DPS_Graph_Max,IF(A154&gt;=DPS_Graph_Speed_Min,A154,),)</f>
        <v>-0.89</v>
      </c>
      <c r="M154" s="213">
        <f>If(DPS_Weapon_Type="远程",$E154/60+$F154*2,$E154/60+$F154+$G154/2+$H154)</f>
        <v>0.2166666667</v>
      </c>
      <c r="N154" s="104">
        <f>IF(DPS_Graph_Tooltip_Speed=TRUE,IF($A154&lt;=DPS_Graph_Max,IF($A154&gt;=DPS_Graph_Speed_Min,1/M154,),),)</f>
        <v>4.615384615</v>
      </c>
      <c r="R154" s="104" t="str">
        <f>IF(DPS_Graph_Tooltip_Speed=TRUE,IF($E$8=$A154,1/$N$6,),)</f>
        <v/>
      </c>
    </row>
    <row r="155">
      <c r="A155" s="370">
        <v>-0.88</v>
      </c>
      <c r="B155" s="213">
        <f>If(DPS_Weapon_Type="远程",($E155+1)/60+(ROUNDDOWN($F155*60+1,0)/60)*2,(ROUNDDOWN(($E155+1)+ROUNDDOWN($F155*60+1,0)+ROUNDDOWN($G155/2*60+1,0)+ROUNDDOWN($H155*60+1,0)+1,0))/60+If(DPS_ATK_TYPE="挥砍",1/60)+If(DPS_ATK_TYPE="挥砍/刺击",1/120))+DPS_Weapon_Randomization/60</f>
        <v>0.2883333333</v>
      </c>
      <c r="C155" s="104">
        <f>IF(DPS_Graph_True_Speed=TRUE,IF($A155&lt;=DPS_Graph_Max,IF($A155&gt;=DPS_Graph_Speed_Min,1/B155,),),)</f>
        <v>3.468208092</v>
      </c>
      <c r="D155" s="115" t="str">
        <f>IF(DPS_Graph_True_Speed=TRUE,IF($E$8=$A155,DPS_Attacks_P_Sec,),)</f>
        <v/>
      </c>
      <c r="E155" s="222">
        <f>ROUNDDOWN(MAX(2,IF(A155&gt;=0, DPS_Base_Wpn_Spd/(1+A155),DPS_Base_Wpn_Spd*(1+ABS(A155)))),0)</f>
        <v>7</v>
      </c>
      <c r="F155" s="232">
        <f>IF(A155&gt;=0, DPS_Base_Recoil/(1+A155),DPS_Base_Recoil)</f>
        <v>0.05</v>
      </c>
      <c r="G155" s="377">
        <f t="shared" si="7"/>
        <v>1.145142857</v>
      </c>
      <c r="H155" s="377">
        <f t="shared" si="8"/>
        <v>0.2</v>
      </c>
      <c r="I155" s="104"/>
      <c r="J155" s="377">
        <f>MAX(0, Max(25,(DPS_Base_Range + ((DPS_Range_Stat) / 2))) / MIN(MAX(70, (70 * (1 + ($A155 / 3)))), 120))</f>
        <v>5.714285714</v>
      </c>
      <c r="K155" s="269">
        <f>IF(A155&lt;=DPS_Graph_Max,IF(A155&gt;=DPS_Graph_Speed_Min,A155,),)</f>
        <v>-0.88</v>
      </c>
      <c r="M155" s="213">
        <f>If(DPS_Weapon_Type="远程",$E155/60+$F155*2,$E155/60+$F155+$G155/2+$H155)</f>
        <v>0.2166666667</v>
      </c>
      <c r="N155" s="104">
        <f>IF(DPS_Graph_Tooltip_Speed=TRUE,IF($A155&lt;=DPS_Graph_Max,IF($A155&gt;=DPS_Graph_Speed_Min,1/M155,),),)</f>
        <v>4.615384615</v>
      </c>
      <c r="R155" s="104" t="str">
        <f>IF(DPS_Graph_Tooltip_Speed=TRUE,IF($E$8=$A155,1/$N$6,),)</f>
        <v/>
      </c>
    </row>
    <row r="156">
      <c r="A156" s="370">
        <v>-0.87</v>
      </c>
      <c r="B156" s="213">
        <f>If(DPS_Weapon_Type="远程",($E156+1)/60+(ROUNDDOWN($F156*60+1,0)/60)*2,(ROUNDDOWN(($E156+1)+ROUNDDOWN($F156*60+1,0)+ROUNDDOWN($G156/2*60+1,0)+ROUNDDOWN($H156*60+1,0)+1,0))/60+If(DPS_ATK_TYPE="挥砍",1/60)+If(DPS_ATK_TYPE="挥砍/刺击",1/120))+DPS_Weapon_Randomization/60</f>
        <v>0.2883333333</v>
      </c>
      <c r="C156" s="104">
        <f>IF(DPS_Graph_True_Speed=TRUE,IF($A156&lt;=DPS_Graph_Max,IF($A156&gt;=DPS_Graph_Speed_Min,1/B156,),),)</f>
        <v>3.468208092</v>
      </c>
      <c r="D156" s="115" t="str">
        <f>IF(DPS_Graph_True_Speed=TRUE,IF($E$8=$A156,DPS_Attacks_P_Sec,),)</f>
        <v/>
      </c>
      <c r="E156" s="222">
        <f>ROUNDDOWN(MAX(2,IF(A156&gt;=0, DPS_Base_Wpn_Spd/(1+A156),DPS_Base_Wpn_Spd*(1+ABS(A156)))),0)</f>
        <v>7</v>
      </c>
      <c r="F156" s="232">
        <f>IF(A156&gt;=0, DPS_Base_Recoil/(1+A156),DPS_Base_Recoil)</f>
        <v>0.05</v>
      </c>
      <c r="G156" s="377">
        <f t="shared" si="7"/>
        <v>1.144142857</v>
      </c>
      <c r="H156" s="377">
        <f t="shared" si="8"/>
        <v>0.2</v>
      </c>
      <c r="I156" s="104"/>
      <c r="J156" s="377">
        <f>MAX(0, Max(25,(DPS_Base_Range + ((DPS_Range_Stat) / 2))) / MIN(MAX(70, (70 * (1 + ($A156 / 3)))), 120))</f>
        <v>5.714285714</v>
      </c>
      <c r="K156" s="269">
        <f>IF(A156&lt;=DPS_Graph_Max,IF(A156&gt;=DPS_Graph_Speed_Min,A156,),)</f>
        <v>-0.87</v>
      </c>
      <c r="M156" s="213">
        <f>If(DPS_Weapon_Type="远程",$E156/60+$F156*2,$E156/60+$F156+$G156/2+$H156)</f>
        <v>0.2166666667</v>
      </c>
      <c r="N156" s="104">
        <f>IF(DPS_Graph_Tooltip_Speed=TRUE,IF($A156&lt;=DPS_Graph_Max,IF($A156&gt;=DPS_Graph_Speed_Min,1/M156,),),)</f>
        <v>4.615384615</v>
      </c>
      <c r="R156" s="104" t="str">
        <f>IF(DPS_Graph_Tooltip_Speed=TRUE,IF($E$8=$A156,1/$N$6,),)</f>
        <v/>
      </c>
    </row>
    <row r="157">
      <c r="A157" s="370">
        <v>-0.86</v>
      </c>
      <c r="B157" s="213">
        <f>If(DPS_Weapon_Type="远程",($E157+1)/60+(ROUNDDOWN($F157*60+1,0)/60)*2,(ROUNDDOWN(($E157+1)+ROUNDDOWN($F157*60+1,0)+ROUNDDOWN($G157/2*60+1,0)+ROUNDDOWN($H157*60+1,0)+1,0))/60+If(DPS_ATK_TYPE="挥砍",1/60)+If(DPS_ATK_TYPE="挥砍/刺击",1/120))+DPS_Weapon_Randomization/60</f>
        <v>0.2883333333</v>
      </c>
      <c r="C157" s="104">
        <f>IF(DPS_Graph_True_Speed=TRUE,IF($A157&lt;=DPS_Graph_Max,IF($A157&gt;=DPS_Graph_Speed_Min,1/B157,),),)</f>
        <v>3.468208092</v>
      </c>
      <c r="D157" s="115" t="str">
        <f>IF(DPS_Graph_True_Speed=TRUE,IF($E$8=$A157,DPS_Attacks_P_Sec,),)</f>
        <v/>
      </c>
      <c r="E157" s="222">
        <f>ROUNDDOWN(MAX(2,IF(A157&gt;=0, DPS_Base_Wpn_Spd/(1+A157),DPS_Base_Wpn_Spd*(1+ABS(A157)))),0)</f>
        <v>7</v>
      </c>
      <c r="F157" s="232">
        <f>IF(A157&gt;=0, DPS_Base_Recoil/(1+A157),DPS_Base_Recoil)</f>
        <v>0.05</v>
      </c>
      <c r="G157" s="377">
        <f t="shared" si="7"/>
        <v>1.143142857</v>
      </c>
      <c r="H157" s="377">
        <f t="shared" si="8"/>
        <v>0.2</v>
      </c>
      <c r="I157" s="104"/>
      <c r="J157" s="377">
        <f>MAX(0, Max(25,(DPS_Base_Range + ((DPS_Range_Stat) / 2))) / MIN(MAX(70, (70 * (1 + ($A157 / 3)))), 120))</f>
        <v>5.714285714</v>
      </c>
      <c r="K157" s="269">
        <f>IF(A157&lt;=DPS_Graph_Max,IF(A157&gt;=DPS_Graph_Speed_Min,A157,),)</f>
        <v>-0.86</v>
      </c>
      <c r="M157" s="213">
        <f>If(DPS_Weapon_Type="远程",$E157/60+$F157*2,$E157/60+$F157+$G157/2+$H157)</f>
        <v>0.2166666667</v>
      </c>
      <c r="N157" s="104">
        <f>IF(DPS_Graph_Tooltip_Speed=TRUE,IF($A157&lt;=DPS_Graph_Max,IF($A157&gt;=DPS_Graph_Speed_Min,1/M157,),),)</f>
        <v>4.615384615</v>
      </c>
      <c r="R157" s="104" t="str">
        <f>IF(DPS_Graph_Tooltip_Speed=TRUE,IF($E$8=$A157,1/$N$6,),)</f>
        <v/>
      </c>
    </row>
    <row r="158">
      <c r="A158" s="370">
        <v>-0.85</v>
      </c>
      <c r="B158" s="213">
        <f>If(DPS_Weapon_Type="远程",($E158+1)/60+(ROUNDDOWN($F158*60+1,0)/60)*2,(ROUNDDOWN(($E158+1)+ROUNDDOWN($F158*60+1,0)+ROUNDDOWN($G158/2*60+1,0)+ROUNDDOWN($H158*60+1,0)+1,0))/60+If(DPS_ATK_TYPE="挥砍",1/60)+If(DPS_ATK_TYPE="挥砍/刺击",1/120))+DPS_Weapon_Randomization/60</f>
        <v>0.2883333333</v>
      </c>
      <c r="C158" s="104">
        <f>IF(DPS_Graph_True_Speed=TRUE,IF($A158&lt;=DPS_Graph_Max,IF($A158&gt;=DPS_Graph_Speed_Min,1/B158,),),)</f>
        <v>3.468208092</v>
      </c>
      <c r="D158" s="115" t="str">
        <f>IF(DPS_Graph_True_Speed=TRUE,IF($E$8=$A158,DPS_Attacks_P_Sec,),)</f>
        <v/>
      </c>
      <c r="E158" s="222">
        <f>ROUNDDOWN(MAX(2,IF(A158&gt;=0, DPS_Base_Wpn_Spd/(1+A158),DPS_Base_Wpn_Spd*(1+ABS(A158)))),0)</f>
        <v>7</v>
      </c>
      <c r="F158" s="232">
        <f>IF(A158&gt;=0, DPS_Base_Recoil/(1+A158),DPS_Base_Recoil)</f>
        <v>0.05</v>
      </c>
      <c r="G158" s="377">
        <f t="shared" si="7"/>
        <v>1.142142857</v>
      </c>
      <c r="H158" s="377">
        <f t="shared" si="8"/>
        <v>0.2</v>
      </c>
      <c r="I158" s="104"/>
      <c r="J158" s="377">
        <f>MAX(0, Max(25,(DPS_Base_Range + ((DPS_Range_Stat) / 2))) / MIN(MAX(70, (70 * (1 + ($A158 / 3)))), 120))</f>
        <v>5.714285714</v>
      </c>
      <c r="K158" s="269">
        <f>IF(A158&lt;=DPS_Graph_Max,IF(A158&gt;=DPS_Graph_Speed_Min,A158,),)</f>
        <v>-0.85</v>
      </c>
      <c r="M158" s="213">
        <f>If(DPS_Weapon_Type="远程",$E158/60+$F158*2,$E158/60+$F158+$G158/2+$H158)</f>
        <v>0.2166666667</v>
      </c>
      <c r="N158" s="104">
        <f>IF(DPS_Graph_Tooltip_Speed=TRUE,IF($A158&lt;=DPS_Graph_Max,IF($A158&gt;=DPS_Graph_Speed_Min,1/M158,),),)</f>
        <v>4.615384615</v>
      </c>
      <c r="R158" s="104" t="str">
        <f>IF(DPS_Graph_Tooltip_Speed=TRUE,IF($E$8=$A158,1/$N$6,),)</f>
        <v/>
      </c>
    </row>
    <row r="159">
      <c r="A159" s="370">
        <v>-0.84</v>
      </c>
      <c r="B159" s="213">
        <f>If(DPS_Weapon_Type="远程",($E159+1)/60+(ROUNDDOWN($F159*60+1,0)/60)*2,(ROUNDDOWN(($E159+1)+ROUNDDOWN($F159*60+1,0)+ROUNDDOWN($G159/2*60+1,0)+ROUNDDOWN($H159*60+1,0)+1,0))/60+If(DPS_ATK_TYPE="挥砍",1/60)+If(DPS_ATK_TYPE="挥砍/刺击",1/120))+DPS_Weapon_Randomization/60</f>
        <v>0.2883333333</v>
      </c>
      <c r="C159" s="104">
        <f>IF(DPS_Graph_True_Speed=TRUE,IF($A159&lt;=DPS_Graph_Max,IF($A159&gt;=DPS_Graph_Speed_Min,1/B159,),),)</f>
        <v>3.468208092</v>
      </c>
      <c r="D159" s="115" t="str">
        <f>IF(DPS_Graph_True_Speed=TRUE,IF($E$8=$A159,DPS_Attacks_P_Sec,),)</f>
        <v/>
      </c>
      <c r="E159" s="222">
        <f>ROUNDDOWN(MAX(2,IF(A159&gt;=0, DPS_Base_Wpn_Spd/(1+A159),DPS_Base_Wpn_Spd*(1+ABS(A159)))),0)</f>
        <v>7</v>
      </c>
      <c r="F159" s="232">
        <f>IF(A159&gt;=0, DPS_Base_Recoil/(1+A159),DPS_Base_Recoil)</f>
        <v>0.05</v>
      </c>
      <c r="G159" s="377">
        <f t="shared" si="7"/>
        <v>1.141142857</v>
      </c>
      <c r="H159" s="377">
        <f t="shared" si="8"/>
        <v>0.2</v>
      </c>
      <c r="I159" s="104"/>
      <c r="J159" s="377">
        <f>MAX(0, Max(25,(DPS_Base_Range + ((DPS_Range_Stat) / 2))) / MIN(MAX(70, (70 * (1 + ($A159 / 3)))), 120))</f>
        <v>5.714285714</v>
      </c>
      <c r="K159" s="269">
        <f>IF(A159&lt;=DPS_Graph_Max,IF(A159&gt;=DPS_Graph_Speed_Min,A159,),)</f>
        <v>-0.84</v>
      </c>
      <c r="M159" s="213">
        <f>If(DPS_Weapon_Type="远程",$E159/60+$F159*2,$E159/60+$F159+$G159/2+$H159)</f>
        <v>0.2166666667</v>
      </c>
      <c r="N159" s="104">
        <f>IF(DPS_Graph_Tooltip_Speed=TRUE,IF($A159&lt;=DPS_Graph_Max,IF($A159&gt;=DPS_Graph_Speed_Min,1/M159,),),)</f>
        <v>4.615384615</v>
      </c>
      <c r="R159" s="104" t="str">
        <f>IF(DPS_Graph_Tooltip_Speed=TRUE,IF($E$8=$A159,1/$N$6,),)</f>
        <v/>
      </c>
    </row>
    <row r="160">
      <c r="A160" s="370">
        <v>-0.83</v>
      </c>
      <c r="B160" s="213">
        <f>If(DPS_Weapon_Type="远程",($E160+1)/60+(ROUNDDOWN($F160*60+1,0)/60)*2,(ROUNDDOWN(($E160+1)+ROUNDDOWN($F160*60+1,0)+ROUNDDOWN($G160/2*60+1,0)+ROUNDDOWN($H160*60+1,0)+1,0))/60+If(DPS_ATK_TYPE="挥砍",1/60)+If(DPS_ATK_TYPE="挥砍/刺击",1/120))+DPS_Weapon_Randomization/60</f>
        <v>0.2883333333</v>
      </c>
      <c r="C160" s="104">
        <f>IF(DPS_Graph_True_Speed=TRUE,IF($A160&lt;=DPS_Graph_Max,IF($A160&gt;=DPS_Graph_Speed_Min,1/B160,),),)</f>
        <v>3.468208092</v>
      </c>
      <c r="D160" s="115" t="str">
        <f>IF(DPS_Graph_True_Speed=TRUE,IF($E$8=$A160,DPS_Attacks_P_Sec,),)</f>
        <v/>
      </c>
      <c r="E160" s="222">
        <f>ROUNDDOWN(MAX(2,IF(A160&gt;=0, DPS_Base_Wpn_Spd/(1+A160),DPS_Base_Wpn_Spd*(1+ABS(A160)))),0)</f>
        <v>7</v>
      </c>
      <c r="F160" s="232">
        <f>IF(A160&gt;=0, DPS_Base_Recoil/(1+A160),DPS_Base_Recoil)</f>
        <v>0.05</v>
      </c>
      <c r="G160" s="377">
        <f t="shared" si="7"/>
        <v>1.140142857</v>
      </c>
      <c r="H160" s="377">
        <f t="shared" si="8"/>
        <v>0.2</v>
      </c>
      <c r="I160" s="104"/>
      <c r="J160" s="377">
        <f>MAX(0, Max(25,(DPS_Base_Range + ((DPS_Range_Stat) / 2))) / MIN(MAX(70, (70 * (1 + ($A160 / 3)))), 120))</f>
        <v>5.714285714</v>
      </c>
      <c r="K160" s="269">
        <f>IF(A160&lt;=DPS_Graph_Max,IF(A160&gt;=DPS_Graph_Speed_Min,A160,),)</f>
        <v>-0.83</v>
      </c>
      <c r="M160" s="213">
        <f>If(DPS_Weapon_Type="远程",$E160/60+$F160*2,$E160/60+$F160+$G160/2+$H160)</f>
        <v>0.2166666667</v>
      </c>
      <c r="N160" s="104">
        <f>IF(DPS_Graph_Tooltip_Speed=TRUE,IF($A160&lt;=DPS_Graph_Max,IF($A160&gt;=DPS_Graph_Speed_Min,1/M160,),),)</f>
        <v>4.615384615</v>
      </c>
      <c r="R160" s="104" t="str">
        <f>IF(DPS_Graph_Tooltip_Speed=TRUE,IF($E$8=$A160,1/$N$6,),)</f>
        <v/>
      </c>
    </row>
    <row r="161">
      <c r="A161" s="370">
        <v>-0.82</v>
      </c>
      <c r="B161" s="213">
        <f>If(DPS_Weapon_Type="远程",($E161+1)/60+(ROUNDDOWN($F161*60+1,0)/60)*2,(ROUNDDOWN(($E161+1)+ROUNDDOWN($F161*60+1,0)+ROUNDDOWN($G161/2*60+1,0)+ROUNDDOWN($H161*60+1,0)+1,0))/60+If(DPS_ATK_TYPE="挥砍",1/60)+If(DPS_ATK_TYPE="挥砍/刺击",1/120))+DPS_Weapon_Randomization/60</f>
        <v>0.2883333333</v>
      </c>
      <c r="C161" s="104">
        <f>IF(DPS_Graph_True_Speed=TRUE,IF($A161&lt;=DPS_Graph_Max,IF($A161&gt;=DPS_Graph_Speed_Min,1/B161,),),)</f>
        <v>3.468208092</v>
      </c>
      <c r="D161" s="115" t="str">
        <f>IF(DPS_Graph_True_Speed=TRUE,IF($E$8=$A161,DPS_Attacks_P_Sec,),)</f>
        <v/>
      </c>
      <c r="E161" s="222">
        <f>ROUNDDOWN(MAX(2,IF(A161&gt;=0, DPS_Base_Wpn_Spd/(1+A161),DPS_Base_Wpn_Spd*(1+ABS(A161)))),0)</f>
        <v>7</v>
      </c>
      <c r="F161" s="232">
        <f>IF(A161&gt;=0, DPS_Base_Recoil/(1+A161),DPS_Base_Recoil)</f>
        <v>0.05</v>
      </c>
      <c r="G161" s="377">
        <f t="shared" si="7"/>
        <v>1.139142857</v>
      </c>
      <c r="H161" s="377">
        <f t="shared" si="8"/>
        <v>0.2</v>
      </c>
      <c r="I161" s="104"/>
      <c r="J161" s="377">
        <f>MAX(0, Max(25,(DPS_Base_Range + ((DPS_Range_Stat) / 2))) / MIN(MAX(70, (70 * (1 + ($A161 / 3)))), 120))</f>
        <v>5.714285714</v>
      </c>
      <c r="K161" s="269">
        <f>IF(A161&lt;=DPS_Graph_Max,IF(A161&gt;=DPS_Graph_Speed_Min,A161,),)</f>
        <v>-0.82</v>
      </c>
      <c r="M161" s="213">
        <f>If(DPS_Weapon_Type="远程",$E161/60+$F161*2,$E161/60+$F161+$G161/2+$H161)</f>
        <v>0.2166666667</v>
      </c>
      <c r="N161" s="104">
        <f>IF(DPS_Graph_Tooltip_Speed=TRUE,IF($A161&lt;=DPS_Graph_Max,IF($A161&gt;=DPS_Graph_Speed_Min,1/M161,),),)</f>
        <v>4.615384615</v>
      </c>
      <c r="R161" s="104" t="str">
        <f>IF(DPS_Graph_Tooltip_Speed=TRUE,IF($E$8=$A161,1/$N$6,),)</f>
        <v/>
      </c>
    </row>
    <row r="162">
      <c r="A162" s="370">
        <v>-0.81</v>
      </c>
      <c r="B162" s="213">
        <f>If(DPS_Weapon_Type="远程",($E162+1)/60+(ROUNDDOWN($F162*60+1,0)/60)*2,(ROUNDDOWN(($E162+1)+ROUNDDOWN($F162*60+1,0)+ROUNDDOWN($G162/2*60+1,0)+ROUNDDOWN($H162*60+1,0)+1,0))/60+If(DPS_ATK_TYPE="挥砍",1/60)+If(DPS_ATK_TYPE="挥砍/刺击",1/120))+DPS_Weapon_Randomization/60</f>
        <v>0.2883333333</v>
      </c>
      <c r="C162" s="104">
        <f>IF(DPS_Graph_True_Speed=TRUE,IF($A162&lt;=DPS_Graph_Max,IF($A162&gt;=DPS_Graph_Speed_Min,1/B162,),),)</f>
        <v>3.468208092</v>
      </c>
      <c r="D162" s="115" t="str">
        <f>IF(DPS_Graph_True_Speed=TRUE,IF($E$8=$A162,DPS_Attacks_P_Sec,),)</f>
        <v/>
      </c>
      <c r="E162" s="222">
        <f>ROUNDDOWN(MAX(2,IF(A162&gt;=0, DPS_Base_Wpn_Spd/(1+A162),DPS_Base_Wpn_Spd*(1+ABS(A162)))),0)</f>
        <v>7</v>
      </c>
      <c r="F162" s="232">
        <f>IF(A162&gt;=0, DPS_Base_Recoil/(1+A162),DPS_Base_Recoil)</f>
        <v>0.05</v>
      </c>
      <c r="G162" s="377">
        <f t="shared" si="7"/>
        <v>1.138142857</v>
      </c>
      <c r="H162" s="377">
        <f t="shared" si="8"/>
        <v>0.2</v>
      </c>
      <c r="I162" s="104"/>
      <c r="J162" s="377">
        <f>MAX(0, Max(25,(DPS_Base_Range + ((DPS_Range_Stat) / 2))) / MIN(MAX(70, (70 * (1 + ($A162 / 3)))), 120))</f>
        <v>5.714285714</v>
      </c>
      <c r="K162" s="269">
        <f>IF(A162&lt;=DPS_Graph_Max,IF(A162&gt;=DPS_Graph_Speed_Min,A162,),)</f>
        <v>-0.81</v>
      </c>
      <c r="M162" s="213">
        <f>If(DPS_Weapon_Type="远程",$E162/60+$F162*2,$E162/60+$F162+$G162/2+$H162)</f>
        <v>0.2166666667</v>
      </c>
      <c r="N162" s="104">
        <f>IF(DPS_Graph_Tooltip_Speed=TRUE,IF($A162&lt;=DPS_Graph_Max,IF($A162&gt;=DPS_Graph_Speed_Min,1/M162,),),)</f>
        <v>4.615384615</v>
      </c>
      <c r="R162" s="104" t="str">
        <f>IF(DPS_Graph_Tooltip_Speed=TRUE,IF($E$8=$A162,1/$N$6,),)</f>
        <v/>
      </c>
    </row>
    <row r="163">
      <c r="A163" s="370">
        <v>-0.8</v>
      </c>
      <c r="B163" s="213">
        <f>If(DPS_Weapon_Type="远程",($E163+1)/60+(ROUNDDOWN($F163*60+1,0)/60)*2,(ROUNDDOWN(($E163+1)+ROUNDDOWN($F163*60+1,0)+ROUNDDOWN($G163/2*60+1,0)+ROUNDDOWN($H163*60+1,0)+1,0))/60+If(DPS_ATK_TYPE="挥砍",1/60)+If(DPS_ATK_TYPE="挥砍/刺击",1/120))+DPS_Weapon_Randomization/60</f>
        <v>0.2883333333</v>
      </c>
      <c r="C163" s="104">
        <f>IF(DPS_Graph_True_Speed=TRUE,IF($A163&lt;=DPS_Graph_Max,IF($A163&gt;=DPS_Graph_Speed_Min,1/B163,),),)</f>
        <v>3.468208092</v>
      </c>
      <c r="D163" s="115" t="str">
        <f>IF(DPS_Graph_True_Speed=TRUE,IF($E$8=$A163,DPS_Attacks_P_Sec,),)</f>
        <v/>
      </c>
      <c r="E163" s="222">
        <f>ROUNDDOWN(MAX(2,IF(A163&gt;=0, DPS_Base_Wpn_Spd/(1+A163),DPS_Base_Wpn_Spd*(1+ABS(A163)))),0)</f>
        <v>7</v>
      </c>
      <c r="F163" s="232">
        <f>IF(A163&gt;=0, DPS_Base_Recoil/(1+A163),DPS_Base_Recoil)</f>
        <v>0.05</v>
      </c>
      <c r="G163" s="377">
        <f t="shared" si="7"/>
        <v>1.137142857</v>
      </c>
      <c r="H163" s="377">
        <f t="shared" si="8"/>
        <v>0.2</v>
      </c>
      <c r="I163" s="104"/>
      <c r="J163" s="377">
        <f>MAX(0, Max(25,(DPS_Base_Range + ((DPS_Range_Stat) / 2))) / MIN(MAX(70, (70 * (1 + ($A163 / 3)))), 120))</f>
        <v>5.714285714</v>
      </c>
      <c r="K163" s="269">
        <f>IF(A163&lt;=DPS_Graph_Max,IF(A163&gt;=DPS_Graph_Speed_Min,A163,),)</f>
        <v>-0.8</v>
      </c>
      <c r="M163" s="213">
        <f>If(DPS_Weapon_Type="远程",$E163/60+$F163*2,$E163/60+$F163+$G163/2+$H163)</f>
        <v>0.2166666667</v>
      </c>
      <c r="N163" s="104">
        <f>IF(DPS_Graph_Tooltip_Speed=TRUE,IF($A163&lt;=DPS_Graph_Max,IF($A163&gt;=DPS_Graph_Speed_Min,1/M163,),),)</f>
        <v>4.615384615</v>
      </c>
      <c r="R163" s="104" t="str">
        <f>IF(DPS_Graph_Tooltip_Speed=TRUE,IF($E$8=$A163,1/$N$6,),)</f>
        <v/>
      </c>
    </row>
    <row r="164">
      <c r="A164" s="370">
        <v>-0.79</v>
      </c>
      <c r="B164" s="213">
        <f>If(DPS_Weapon_Type="远程",($E164+1)/60+(ROUNDDOWN($F164*60+1,0)/60)*2,(ROUNDDOWN(($E164+1)+ROUNDDOWN($F164*60+1,0)+ROUNDDOWN($G164/2*60+1,0)+ROUNDDOWN($H164*60+1,0)+1,0))/60+If(DPS_ATK_TYPE="挥砍",1/60)+If(DPS_ATK_TYPE="挥砍/刺击",1/120))+DPS_Weapon_Randomization/60</f>
        <v>0.2883333333</v>
      </c>
      <c r="C164" s="104">
        <f>IF(DPS_Graph_True_Speed=TRUE,IF($A164&lt;=DPS_Graph_Max,IF($A164&gt;=DPS_Graph_Speed_Min,1/B164,),),)</f>
        <v>3.468208092</v>
      </c>
      <c r="D164" s="115" t="str">
        <f>IF(DPS_Graph_True_Speed=TRUE,IF($E$8=$A164,DPS_Attacks_P_Sec,),)</f>
        <v/>
      </c>
      <c r="E164" s="222">
        <f>ROUNDDOWN(MAX(2,IF(A164&gt;=0, DPS_Base_Wpn_Spd/(1+A164),DPS_Base_Wpn_Spd*(1+ABS(A164)))),0)</f>
        <v>7</v>
      </c>
      <c r="F164" s="232">
        <f>IF(A164&gt;=0, DPS_Base_Recoil/(1+A164),DPS_Base_Recoil)</f>
        <v>0.05</v>
      </c>
      <c r="G164" s="377">
        <f t="shared" si="7"/>
        <v>1.136142857</v>
      </c>
      <c r="H164" s="377">
        <f t="shared" si="8"/>
        <v>0.2</v>
      </c>
      <c r="I164" s="104"/>
      <c r="J164" s="377">
        <f>MAX(0, Max(25,(DPS_Base_Range + ((DPS_Range_Stat) / 2))) / MIN(MAX(70, (70 * (1 + ($A164 / 3)))), 120))</f>
        <v>5.714285714</v>
      </c>
      <c r="K164" s="269">
        <f>IF(A164&lt;=DPS_Graph_Max,IF(A164&gt;=DPS_Graph_Speed_Min,A164,),)</f>
        <v>-0.79</v>
      </c>
      <c r="M164" s="213">
        <f>If(DPS_Weapon_Type="远程",$E164/60+$F164*2,$E164/60+$F164+$G164/2+$H164)</f>
        <v>0.2166666667</v>
      </c>
      <c r="N164" s="104">
        <f>IF(DPS_Graph_Tooltip_Speed=TRUE,IF($A164&lt;=DPS_Graph_Max,IF($A164&gt;=DPS_Graph_Speed_Min,1/M164,),),)</f>
        <v>4.615384615</v>
      </c>
      <c r="R164" s="104" t="str">
        <f>IF(DPS_Graph_Tooltip_Speed=TRUE,IF($E$8=$A164,1/$N$6,),)</f>
        <v/>
      </c>
    </row>
    <row r="165">
      <c r="A165" s="370">
        <v>-0.78</v>
      </c>
      <c r="B165" s="213">
        <f>If(DPS_Weapon_Type="远程",($E165+1)/60+(ROUNDDOWN($F165*60+1,0)/60)*2,(ROUNDDOWN(($E165+1)+ROUNDDOWN($F165*60+1,0)+ROUNDDOWN($G165/2*60+1,0)+ROUNDDOWN($H165*60+1,0)+1,0))/60+If(DPS_ATK_TYPE="挥砍",1/60)+If(DPS_ATK_TYPE="挥砍/刺击",1/120))+DPS_Weapon_Randomization/60</f>
        <v>0.2883333333</v>
      </c>
      <c r="C165" s="104">
        <f>IF(DPS_Graph_True_Speed=TRUE,IF($A165&lt;=DPS_Graph_Max,IF($A165&gt;=DPS_Graph_Speed_Min,1/B165,),),)</f>
        <v>3.468208092</v>
      </c>
      <c r="D165" s="115" t="str">
        <f>IF(DPS_Graph_True_Speed=TRUE,IF($E$8=$A165,DPS_Attacks_P_Sec,),)</f>
        <v/>
      </c>
      <c r="E165" s="222">
        <f>ROUNDDOWN(MAX(2,IF(A165&gt;=0, DPS_Base_Wpn_Spd/(1+A165),DPS_Base_Wpn_Spd*(1+ABS(A165)))),0)</f>
        <v>7</v>
      </c>
      <c r="F165" s="232">
        <f>IF(A165&gt;=0, DPS_Base_Recoil/(1+A165),DPS_Base_Recoil)</f>
        <v>0.05</v>
      </c>
      <c r="G165" s="377">
        <f t="shared" si="7"/>
        <v>1.135142857</v>
      </c>
      <c r="H165" s="377">
        <f t="shared" si="8"/>
        <v>0.2</v>
      </c>
      <c r="I165" s="104"/>
      <c r="J165" s="377">
        <f>MAX(0, Max(25,(DPS_Base_Range + ((DPS_Range_Stat) / 2))) / MIN(MAX(70, (70 * (1 + ($A165 / 3)))), 120))</f>
        <v>5.714285714</v>
      </c>
      <c r="K165" s="269">
        <f>IF(A165&lt;=DPS_Graph_Max,IF(A165&gt;=DPS_Graph_Speed_Min,A165,),)</f>
        <v>-0.78</v>
      </c>
      <c r="M165" s="213">
        <f>If(DPS_Weapon_Type="远程",$E165/60+$F165*2,$E165/60+$F165+$G165/2+$H165)</f>
        <v>0.2166666667</v>
      </c>
      <c r="N165" s="104">
        <f>IF(DPS_Graph_Tooltip_Speed=TRUE,IF($A165&lt;=DPS_Graph_Max,IF($A165&gt;=DPS_Graph_Speed_Min,1/M165,),),)</f>
        <v>4.615384615</v>
      </c>
      <c r="R165" s="104" t="str">
        <f>IF(DPS_Graph_Tooltip_Speed=TRUE,IF($E$8=$A165,1/$N$6,),)</f>
        <v/>
      </c>
    </row>
    <row r="166">
      <c r="A166" s="370">
        <v>-0.77</v>
      </c>
      <c r="B166" s="213">
        <f>If(DPS_Weapon_Type="远程",($E166+1)/60+(ROUNDDOWN($F166*60+1,0)/60)*2,(ROUNDDOWN(($E166+1)+ROUNDDOWN($F166*60+1,0)+ROUNDDOWN($G166/2*60+1,0)+ROUNDDOWN($H166*60+1,0)+1,0))/60+If(DPS_ATK_TYPE="挥砍",1/60)+If(DPS_ATK_TYPE="挥砍/刺击",1/120))+DPS_Weapon_Randomization/60</f>
        <v>0.2883333333</v>
      </c>
      <c r="C166" s="104">
        <f>IF(DPS_Graph_True_Speed=TRUE,IF($A166&lt;=DPS_Graph_Max,IF($A166&gt;=DPS_Graph_Speed_Min,1/B166,),),)</f>
        <v>3.468208092</v>
      </c>
      <c r="D166" s="115" t="str">
        <f>IF(DPS_Graph_True_Speed=TRUE,IF($E$8=$A166,DPS_Attacks_P_Sec,),)</f>
        <v/>
      </c>
      <c r="E166" s="222">
        <f>ROUNDDOWN(MAX(2,IF(A166&gt;=0, DPS_Base_Wpn_Spd/(1+A166),DPS_Base_Wpn_Spd*(1+ABS(A166)))),0)</f>
        <v>7</v>
      </c>
      <c r="F166" s="232">
        <f>IF(A166&gt;=0, DPS_Base_Recoil/(1+A166),DPS_Base_Recoil)</f>
        <v>0.05</v>
      </c>
      <c r="G166" s="377">
        <f t="shared" si="7"/>
        <v>1.134142857</v>
      </c>
      <c r="H166" s="377">
        <f t="shared" si="8"/>
        <v>0.2</v>
      </c>
      <c r="I166" s="104"/>
      <c r="J166" s="377">
        <f>MAX(0, Max(25,(DPS_Base_Range + ((DPS_Range_Stat) / 2))) / MIN(MAX(70, (70 * (1 + ($A166 / 3)))), 120))</f>
        <v>5.714285714</v>
      </c>
      <c r="K166" s="269">
        <f>IF(A166&lt;=DPS_Graph_Max,IF(A166&gt;=DPS_Graph_Speed_Min,A166,),)</f>
        <v>-0.77</v>
      </c>
      <c r="M166" s="213">
        <f>If(DPS_Weapon_Type="远程",$E166/60+$F166*2,$E166/60+$F166+$G166/2+$H166)</f>
        <v>0.2166666667</v>
      </c>
      <c r="N166" s="104">
        <f>IF(DPS_Graph_Tooltip_Speed=TRUE,IF($A166&lt;=DPS_Graph_Max,IF($A166&gt;=DPS_Graph_Speed_Min,1/M166,),),)</f>
        <v>4.615384615</v>
      </c>
      <c r="R166" s="104" t="str">
        <f>IF(DPS_Graph_Tooltip_Speed=TRUE,IF($E$8=$A166,1/$N$6,),)</f>
        <v/>
      </c>
    </row>
    <row r="167">
      <c r="A167" s="370">
        <v>-0.76</v>
      </c>
      <c r="B167" s="213">
        <f>If(DPS_Weapon_Type="远程",($E167+1)/60+(ROUNDDOWN($F167*60+1,0)/60)*2,(ROUNDDOWN(($E167+1)+ROUNDDOWN($F167*60+1,0)+ROUNDDOWN($G167/2*60+1,0)+ROUNDDOWN($H167*60+1,0)+1,0))/60+If(DPS_ATK_TYPE="挥砍",1/60)+If(DPS_ATK_TYPE="挥砍/刺击",1/120))+DPS_Weapon_Randomization/60</f>
        <v>0.2883333333</v>
      </c>
      <c r="C167" s="104">
        <f>IF(DPS_Graph_True_Speed=TRUE,IF($A167&lt;=DPS_Graph_Max,IF($A167&gt;=DPS_Graph_Speed_Min,1/B167,),),)</f>
        <v>3.468208092</v>
      </c>
      <c r="D167" s="115" t="str">
        <f>IF(DPS_Graph_True_Speed=TRUE,IF($E$8=$A167,DPS_Attacks_P_Sec,),)</f>
        <v/>
      </c>
      <c r="E167" s="222">
        <f>ROUNDDOWN(MAX(2,IF(A167&gt;=0, DPS_Base_Wpn_Spd/(1+A167),DPS_Base_Wpn_Spd*(1+ABS(A167)))),0)</f>
        <v>7</v>
      </c>
      <c r="F167" s="232">
        <f>IF(A167&gt;=0, DPS_Base_Recoil/(1+A167),DPS_Base_Recoil)</f>
        <v>0.05</v>
      </c>
      <c r="G167" s="377">
        <f t="shared" si="7"/>
        <v>1.133142857</v>
      </c>
      <c r="H167" s="377">
        <f t="shared" si="8"/>
        <v>0.2</v>
      </c>
      <c r="I167" s="104"/>
      <c r="J167" s="377">
        <f>MAX(0, Max(25,(DPS_Base_Range + ((DPS_Range_Stat) / 2))) / MIN(MAX(70, (70 * (1 + ($A167 / 3)))), 120))</f>
        <v>5.714285714</v>
      </c>
      <c r="K167" s="269">
        <f>IF(A167&lt;=DPS_Graph_Max,IF(A167&gt;=DPS_Graph_Speed_Min,A167,),)</f>
        <v>-0.76</v>
      </c>
      <c r="M167" s="213">
        <f>If(DPS_Weapon_Type="远程",$E167/60+$F167*2,$E167/60+$F167+$G167/2+$H167)</f>
        <v>0.2166666667</v>
      </c>
      <c r="N167" s="104">
        <f>IF(DPS_Graph_Tooltip_Speed=TRUE,IF($A167&lt;=DPS_Graph_Max,IF($A167&gt;=DPS_Graph_Speed_Min,1/M167,),),)</f>
        <v>4.615384615</v>
      </c>
      <c r="R167" s="104" t="str">
        <f>IF(DPS_Graph_Tooltip_Speed=TRUE,IF($E$8=$A167,1/$N$6,),)</f>
        <v/>
      </c>
    </row>
    <row r="168">
      <c r="A168" s="370">
        <v>-0.75</v>
      </c>
      <c r="B168" s="213">
        <f>If(DPS_Weapon_Type="远程",($E168+1)/60+(ROUNDDOWN($F168*60+1,0)/60)*2,(ROUNDDOWN(($E168+1)+ROUNDDOWN($F168*60+1,0)+ROUNDDOWN($G168/2*60+1,0)+ROUNDDOWN($H168*60+1,0)+1,0))/60+If(DPS_ATK_TYPE="挥砍",1/60)+If(DPS_ATK_TYPE="挥砍/刺击",1/120))+DPS_Weapon_Randomization/60</f>
        <v>0.2883333333</v>
      </c>
      <c r="C168" s="104">
        <f>IF(DPS_Graph_True_Speed=TRUE,IF($A168&lt;=DPS_Graph_Max,IF($A168&gt;=DPS_Graph_Speed_Min,1/B168,),),)</f>
        <v>3.468208092</v>
      </c>
      <c r="D168" s="115" t="str">
        <f>IF(DPS_Graph_True_Speed=TRUE,IF($E$8=$A168,DPS_Attacks_P_Sec,),)</f>
        <v/>
      </c>
      <c r="E168" s="222">
        <f>ROUNDDOWN(MAX(2,IF(A168&gt;=0, DPS_Base_Wpn_Spd/(1+A168),DPS_Base_Wpn_Spd*(1+ABS(A168)))),0)</f>
        <v>7</v>
      </c>
      <c r="F168" s="232">
        <f>IF(A168&gt;=0, DPS_Base_Recoil/(1+A168),DPS_Base_Recoil)</f>
        <v>0.05</v>
      </c>
      <c r="G168" s="377">
        <f t="shared" si="7"/>
        <v>1.132142857</v>
      </c>
      <c r="H168" s="377">
        <f t="shared" si="8"/>
        <v>0.2</v>
      </c>
      <c r="I168" s="104"/>
      <c r="J168" s="377">
        <f>MAX(0, Max(25,(DPS_Base_Range + ((DPS_Range_Stat) / 2))) / MIN(MAX(70, (70 * (1 + ($A168 / 3)))), 120))</f>
        <v>5.714285714</v>
      </c>
      <c r="K168" s="269">
        <f>IF(A168&lt;=DPS_Graph_Max,IF(A168&gt;=DPS_Graph_Speed_Min,A168,),)</f>
        <v>-0.75</v>
      </c>
      <c r="M168" s="213">
        <f>If(DPS_Weapon_Type="远程",$E168/60+$F168*2,$E168/60+$F168+$G168/2+$H168)</f>
        <v>0.2166666667</v>
      </c>
      <c r="N168" s="104">
        <f>IF(DPS_Graph_Tooltip_Speed=TRUE,IF($A168&lt;=DPS_Graph_Max,IF($A168&gt;=DPS_Graph_Speed_Min,1/M168,),),)</f>
        <v>4.615384615</v>
      </c>
      <c r="R168" s="104" t="str">
        <f>IF(DPS_Graph_Tooltip_Speed=TRUE,IF($E$8=$A168,1/$N$6,),)</f>
        <v/>
      </c>
    </row>
    <row r="169">
      <c r="A169" s="370">
        <v>-0.74</v>
      </c>
      <c r="B169" s="213">
        <f>If(DPS_Weapon_Type="远程",($E169+1)/60+(ROUNDDOWN($F169*60+1,0)/60)*2,(ROUNDDOWN(($E169+1)+ROUNDDOWN($F169*60+1,0)+ROUNDDOWN($G169/2*60+1,0)+ROUNDDOWN($H169*60+1,0)+1,0))/60+If(DPS_ATK_TYPE="挥砍",1/60)+If(DPS_ATK_TYPE="挥砍/刺击",1/120))+DPS_Weapon_Randomization/60</f>
        <v>0.2716666667</v>
      </c>
      <c r="C169" s="104">
        <f>IF(DPS_Graph_True_Speed=TRUE,IF($A169&lt;=DPS_Graph_Max,IF($A169&gt;=DPS_Graph_Speed_Min,1/B169,),),)</f>
        <v>3.680981595</v>
      </c>
      <c r="D169" s="115" t="str">
        <f>IF(DPS_Graph_True_Speed=TRUE,IF($E$8=$A169,DPS_Attacks_P_Sec,),)</f>
        <v/>
      </c>
      <c r="E169" s="222">
        <f>ROUNDDOWN(MAX(2,IF(A169&gt;=0, DPS_Base_Wpn_Spd/(1+A169),DPS_Base_Wpn_Spd*(1+ABS(A169)))),0)</f>
        <v>6</v>
      </c>
      <c r="F169" s="232">
        <f>IF(A169&gt;=0, DPS_Base_Recoil/(1+A169),DPS_Base_Recoil)</f>
        <v>0.05</v>
      </c>
      <c r="G169" s="377">
        <f t="shared" si="7"/>
        <v>1.131142857</v>
      </c>
      <c r="H169" s="377">
        <f t="shared" si="8"/>
        <v>0.2</v>
      </c>
      <c r="I169" s="104"/>
      <c r="J169" s="377">
        <f>MAX(0, Max(25,(DPS_Base_Range + ((DPS_Range_Stat) / 2))) / MIN(MAX(70, (70 * (1 + ($A169 / 3)))), 120))</f>
        <v>5.714285714</v>
      </c>
      <c r="K169" s="269">
        <f>IF(A169&lt;=DPS_Graph_Max,IF(A169&gt;=DPS_Graph_Speed_Min,A169,),)</f>
        <v>-0.74</v>
      </c>
      <c r="M169" s="213">
        <f>If(DPS_Weapon_Type="远程",$E169/60+$F169*2,$E169/60+$F169+$G169/2+$H169)</f>
        <v>0.2</v>
      </c>
      <c r="N169" s="104">
        <f>IF(DPS_Graph_Tooltip_Speed=TRUE,IF($A169&lt;=DPS_Graph_Max,IF($A169&gt;=DPS_Graph_Speed_Min,1/M169,),),)</f>
        <v>5</v>
      </c>
      <c r="R169" s="104" t="str">
        <f>IF(DPS_Graph_Tooltip_Speed=TRUE,IF($E$8=$A169,1/$N$6,),)</f>
        <v/>
      </c>
    </row>
    <row r="170">
      <c r="A170" s="370">
        <v>-0.73</v>
      </c>
      <c r="B170" s="213">
        <f>If(DPS_Weapon_Type="远程",($E170+1)/60+(ROUNDDOWN($F170*60+1,0)/60)*2,(ROUNDDOWN(($E170+1)+ROUNDDOWN($F170*60+1,0)+ROUNDDOWN($G170/2*60+1,0)+ROUNDDOWN($H170*60+1,0)+1,0))/60+If(DPS_ATK_TYPE="挥砍",1/60)+If(DPS_ATK_TYPE="挥砍/刺击",1/120))+DPS_Weapon_Randomization/60</f>
        <v>0.2716666667</v>
      </c>
      <c r="C170" s="104">
        <f>IF(DPS_Graph_True_Speed=TRUE,IF($A170&lt;=DPS_Graph_Max,IF($A170&gt;=DPS_Graph_Speed_Min,1/B170,),),)</f>
        <v>3.680981595</v>
      </c>
      <c r="D170" s="115" t="str">
        <f>IF(DPS_Graph_True_Speed=TRUE,IF($E$8=$A170,DPS_Attacks_P_Sec,),)</f>
        <v/>
      </c>
      <c r="E170" s="222">
        <f>ROUNDDOWN(MAX(2,IF(A170&gt;=0, DPS_Base_Wpn_Spd/(1+A170),DPS_Base_Wpn_Spd*(1+ABS(A170)))),0)</f>
        <v>6</v>
      </c>
      <c r="F170" s="232">
        <f>IF(A170&gt;=0, DPS_Base_Recoil/(1+A170),DPS_Base_Recoil)</f>
        <v>0.05</v>
      </c>
      <c r="G170" s="377">
        <f t="shared" si="7"/>
        <v>1.130142857</v>
      </c>
      <c r="H170" s="377">
        <f t="shared" si="8"/>
        <v>0.2</v>
      </c>
      <c r="I170" s="104"/>
      <c r="J170" s="377">
        <f>MAX(0, Max(25,(DPS_Base_Range + ((DPS_Range_Stat) / 2))) / MIN(MAX(70, (70 * (1 + ($A170 / 3)))), 120))</f>
        <v>5.714285714</v>
      </c>
      <c r="K170" s="269">
        <f>IF(A170&lt;=DPS_Graph_Max,IF(A170&gt;=DPS_Graph_Speed_Min,A170,),)</f>
        <v>-0.73</v>
      </c>
      <c r="M170" s="213">
        <f>If(DPS_Weapon_Type="远程",$E170/60+$F170*2,$E170/60+$F170+$G170/2+$H170)</f>
        <v>0.2</v>
      </c>
      <c r="N170" s="104">
        <f>IF(DPS_Graph_Tooltip_Speed=TRUE,IF($A170&lt;=DPS_Graph_Max,IF($A170&gt;=DPS_Graph_Speed_Min,1/M170,),),)</f>
        <v>5</v>
      </c>
      <c r="R170" s="104" t="str">
        <f>IF(DPS_Graph_Tooltip_Speed=TRUE,IF($E$8=$A170,1/$N$6,),)</f>
        <v/>
      </c>
    </row>
    <row r="171">
      <c r="A171" s="370">
        <v>-0.72</v>
      </c>
      <c r="B171" s="213">
        <f>If(DPS_Weapon_Type="远程",($E171+1)/60+(ROUNDDOWN($F171*60+1,0)/60)*2,(ROUNDDOWN(($E171+1)+ROUNDDOWN($F171*60+1,0)+ROUNDDOWN($G171/2*60+1,0)+ROUNDDOWN($H171*60+1,0)+1,0))/60+If(DPS_ATK_TYPE="挥砍",1/60)+If(DPS_ATK_TYPE="挥砍/刺击",1/120))+DPS_Weapon_Randomization/60</f>
        <v>0.2716666667</v>
      </c>
      <c r="C171" s="104">
        <f>IF(DPS_Graph_True_Speed=TRUE,IF($A171&lt;=DPS_Graph_Max,IF($A171&gt;=DPS_Graph_Speed_Min,1/B171,),),)</f>
        <v>3.680981595</v>
      </c>
      <c r="D171" s="115" t="str">
        <f>IF(DPS_Graph_True_Speed=TRUE,IF($E$8=$A171,DPS_Attacks_P_Sec,),)</f>
        <v/>
      </c>
      <c r="E171" s="222">
        <f>ROUNDDOWN(MAX(2,IF(A171&gt;=0, DPS_Base_Wpn_Spd/(1+A171),DPS_Base_Wpn_Spd*(1+ABS(A171)))),0)</f>
        <v>6</v>
      </c>
      <c r="F171" s="232">
        <f>IF(A171&gt;=0, DPS_Base_Recoil/(1+A171),DPS_Base_Recoil)</f>
        <v>0.05</v>
      </c>
      <c r="G171" s="377">
        <f t="shared" si="7"/>
        <v>1.129142857</v>
      </c>
      <c r="H171" s="377">
        <f t="shared" si="8"/>
        <v>0.2</v>
      </c>
      <c r="I171" s="104"/>
      <c r="J171" s="377">
        <f>MAX(0, Max(25,(DPS_Base_Range + ((DPS_Range_Stat) / 2))) / MIN(MAX(70, (70 * (1 + ($A171 / 3)))), 120))</f>
        <v>5.714285714</v>
      </c>
      <c r="K171" s="269">
        <f>IF(A171&lt;=DPS_Graph_Max,IF(A171&gt;=DPS_Graph_Speed_Min,A171,),)</f>
        <v>-0.72</v>
      </c>
      <c r="M171" s="213">
        <f>If(DPS_Weapon_Type="远程",$E171/60+$F171*2,$E171/60+$F171+$G171/2+$H171)</f>
        <v>0.2</v>
      </c>
      <c r="N171" s="104">
        <f>IF(DPS_Graph_Tooltip_Speed=TRUE,IF($A171&lt;=DPS_Graph_Max,IF($A171&gt;=DPS_Graph_Speed_Min,1/M171,),),)</f>
        <v>5</v>
      </c>
      <c r="R171" s="104" t="str">
        <f>IF(DPS_Graph_Tooltip_Speed=TRUE,IF($E$8=$A171,1/$N$6,),)</f>
        <v/>
      </c>
    </row>
    <row r="172">
      <c r="A172" s="370">
        <v>-0.71</v>
      </c>
      <c r="B172" s="213">
        <f>If(DPS_Weapon_Type="远程",($E172+1)/60+(ROUNDDOWN($F172*60+1,0)/60)*2,(ROUNDDOWN(($E172+1)+ROUNDDOWN($F172*60+1,0)+ROUNDDOWN($G172/2*60+1,0)+ROUNDDOWN($H172*60+1,0)+1,0))/60+If(DPS_ATK_TYPE="挥砍",1/60)+If(DPS_ATK_TYPE="挥砍/刺击",1/120))+DPS_Weapon_Randomization/60</f>
        <v>0.2716666667</v>
      </c>
      <c r="C172" s="104">
        <f>IF(DPS_Graph_True_Speed=TRUE,IF($A172&lt;=DPS_Graph_Max,IF($A172&gt;=DPS_Graph_Speed_Min,1/B172,),),)</f>
        <v>3.680981595</v>
      </c>
      <c r="D172" s="115" t="str">
        <f>IF(DPS_Graph_True_Speed=TRUE,IF($E$8=$A172,DPS_Attacks_P_Sec,),)</f>
        <v/>
      </c>
      <c r="E172" s="222">
        <f>ROUNDDOWN(MAX(2,IF(A172&gt;=0, DPS_Base_Wpn_Spd/(1+A172),DPS_Base_Wpn_Spd*(1+ABS(A172)))),0)</f>
        <v>6</v>
      </c>
      <c r="F172" s="232">
        <f>IF(A172&gt;=0, DPS_Base_Recoil/(1+A172),DPS_Base_Recoil)</f>
        <v>0.05</v>
      </c>
      <c r="G172" s="377">
        <f t="shared" si="7"/>
        <v>1.128142857</v>
      </c>
      <c r="H172" s="377">
        <f t="shared" si="8"/>
        <v>0.2</v>
      </c>
      <c r="I172" s="104"/>
      <c r="J172" s="377">
        <f>MAX(0, Max(25,(DPS_Base_Range + ((DPS_Range_Stat) / 2))) / MIN(MAX(70, (70 * (1 + ($A172 / 3)))), 120))</f>
        <v>5.714285714</v>
      </c>
      <c r="K172" s="269">
        <f>IF(A172&lt;=DPS_Graph_Max,IF(A172&gt;=DPS_Graph_Speed_Min,A172,),)</f>
        <v>-0.71</v>
      </c>
      <c r="M172" s="213">
        <f>If(DPS_Weapon_Type="远程",$E172/60+$F172*2,$E172/60+$F172+$G172/2+$H172)</f>
        <v>0.2</v>
      </c>
      <c r="N172" s="104">
        <f>IF(DPS_Graph_Tooltip_Speed=TRUE,IF($A172&lt;=DPS_Graph_Max,IF($A172&gt;=DPS_Graph_Speed_Min,1/M172,),),)</f>
        <v>5</v>
      </c>
      <c r="R172" s="104" t="str">
        <f>IF(DPS_Graph_Tooltip_Speed=TRUE,IF($E$8=$A172,1/$N$6,),)</f>
        <v/>
      </c>
    </row>
    <row r="173">
      <c r="A173" s="370">
        <v>-0.7</v>
      </c>
      <c r="B173" s="213">
        <f>If(DPS_Weapon_Type="远程",($E173+1)/60+(ROUNDDOWN($F173*60+1,0)/60)*2,(ROUNDDOWN(($E173+1)+ROUNDDOWN($F173*60+1,0)+ROUNDDOWN($G173/2*60+1,0)+ROUNDDOWN($H173*60+1,0)+1,0))/60+If(DPS_ATK_TYPE="挥砍",1/60)+If(DPS_ATK_TYPE="挥砍/刺击",1/120))+DPS_Weapon_Randomization/60</f>
        <v>0.2716666667</v>
      </c>
      <c r="C173" s="104">
        <f>IF(DPS_Graph_True_Speed=TRUE,IF($A173&lt;=DPS_Graph_Max,IF($A173&gt;=DPS_Graph_Speed_Min,1/B173,),),)</f>
        <v>3.680981595</v>
      </c>
      <c r="D173" s="115" t="str">
        <f>IF(DPS_Graph_True_Speed=TRUE,IF($E$8=$A173,DPS_Attacks_P_Sec,),)</f>
        <v/>
      </c>
      <c r="E173" s="222">
        <f>ROUNDDOWN(MAX(2,IF(A173&gt;=0, DPS_Base_Wpn_Spd/(1+A173),DPS_Base_Wpn_Spd*(1+ABS(A173)))),0)</f>
        <v>6</v>
      </c>
      <c r="F173" s="232">
        <f>IF(A173&gt;=0, DPS_Base_Recoil/(1+A173),DPS_Base_Recoil)</f>
        <v>0.05</v>
      </c>
      <c r="G173" s="377">
        <f t="shared" si="7"/>
        <v>1.127142857</v>
      </c>
      <c r="H173" s="377">
        <f t="shared" si="8"/>
        <v>0.2</v>
      </c>
      <c r="I173" s="104"/>
      <c r="J173" s="377">
        <f>MAX(0, Max(25,(DPS_Base_Range + ((DPS_Range_Stat) / 2))) / MIN(MAX(70, (70 * (1 + ($A173 / 3)))), 120))</f>
        <v>5.714285714</v>
      </c>
      <c r="K173" s="269">
        <f>IF(A173&lt;=DPS_Graph_Max,IF(A173&gt;=DPS_Graph_Speed_Min,A173,),)</f>
        <v>-0.7</v>
      </c>
      <c r="M173" s="213">
        <f>If(DPS_Weapon_Type="远程",$E173/60+$F173*2,$E173/60+$F173+$G173/2+$H173)</f>
        <v>0.2</v>
      </c>
      <c r="N173" s="104">
        <f>IF(DPS_Graph_Tooltip_Speed=TRUE,IF($A173&lt;=DPS_Graph_Max,IF($A173&gt;=DPS_Graph_Speed_Min,1/M173,),),)</f>
        <v>5</v>
      </c>
      <c r="R173" s="104" t="str">
        <f>IF(DPS_Graph_Tooltip_Speed=TRUE,IF($E$8=$A173,1/$N$6,),)</f>
        <v/>
      </c>
    </row>
    <row r="174">
      <c r="A174" s="370">
        <v>-0.69</v>
      </c>
      <c r="B174" s="213">
        <f>If(DPS_Weapon_Type="远程",($E174+1)/60+(ROUNDDOWN($F174*60+1,0)/60)*2,(ROUNDDOWN(($E174+1)+ROUNDDOWN($F174*60+1,0)+ROUNDDOWN($G174/2*60+1,0)+ROUNDDOWN($H174*60+1,0)+1,0))/60+If(DPS_ATK_TYPE="挥砍",1/60)+If(DPS_ATK_TYPE="挥砍/刺击",1/120))+DPS_Weapon_Randomization/60</f>
        <v>0.2716666667</v>
      </c>
      <c r="C174" s="104">
        <f>IF(DPS_Graph_True_Speed=TRUE,IF($A174&lt;=DPS_Graph_Max,IF($A174&gt;=DPS_Graph_Speed_Min,1/B174,),),)</f>
        <v>3.680981595</v>
      </c>
      <c r="D174" s="115" t="str">
        <f>IF(DPS_Graph_True_Speed=TRUE,IF($E$8=$A174,DPS_Attacks_P_Sec,),)</f>
        <v/>
      </c>
      <c r="E174" s="222">
        <f>ROUNDDOWN(MAX(2,IF(A174&gt;=0, DPS_Base_Wpn_Spd/(1+A174),DPS_Base_Wpn_Spd*(1+ABS(A174)))),0)</f>
        <v>6</v>
      </c>
      <c r="F174" s="232">
        <f>IF(A174&gt;=0, DPS_Base_Recoil/(1+A174),DPS_Base_Recoil)</f>
        <v>0.05</v>
      </c>
      <c r="G174" s="377">
        <f t="shared" si="7"/>
        <v>1.126142857</v>
      </c>
      <c r="H174" s="377">
        <f t="shared" si="8"/>
        <v>0.2</v>
      </c>
      <c r="I174" s="104"/>
      <c r="J174" s="377">
        <f>MAX(0, Max(25,(DPS_Base_Range + ((DPS_Range_Stat) / 2))) / MIN(MAX(70, (70 * (1 + ($A174 / 3)))), 120))</f>
        <v>5.714285714</v>
      </c>
      <c r="K174" s="269">
        <f>IF(A174&lt;=DPS_Graph_Max,IF(A174&gt;=DPS_Graph_Speed_Min,A174,),)</f>
        <v>-0.69</v>
      </c>
      <c r="M174" s="213">
        <f>If(DPS_Weapon_Type="远程",$E174/60+$F174*2,$E174/60+$F174+$G174/2+$H174)</f>
        <v>0.2</v>
      </c>
      <c r="N174" s="104">
        <f>IF(DPS_Graph_Tooltip_Speed=TRUE,IF($A174&lt;=DPS_Graph_Max,IF($A174&gt;=DPS_Graph_Speed_Min,1/M174,),),)</f>
        <v>5</v>
      </c>
      <c r="R174" s="104" t="str">
        <f>IF(DPS_Graph_Tooltip_Speed=TRUE,IF($E$8=$A174,1/$N$6,),)</f>
        <v/>
      </c>
    </row>
    <row r="175">
      <c r="A175" s="370">
        <v>-0.68</v>
      </c>
      <c r="B175" s="213">
        <f>If(DPS_Weapon_Type="远程",($E175+1)/60+(ROUNDDOWN($F175*60+1,0)/60)*2,(ROUNDDOWN(($E175+1)+ROUNDDOWN($F175*60+1,0)+ROUNDDOWN($G175/2*60+1,0)+ROUNDDOWN($H175*60+1,0)+1,0))/60+If(DPS_ATK_TYPE="挥砍",1/60)+If(DPS_ATK_TYPE="挥砍/刺击",1/120))+DPS_Weapon_Randomization/60</f>
        <v>0.2716666667</v>
      </c>
      <c r="C175" s="104">
        <f>IF(DPS_Graph_True_Speed=TRUE,IF($A175&lt;=DPS_Graph_Max,IF($A175&gt;=DPS_Graph_Speed_Min,1/B175,),),)</f>
        <v>3.680981595</v>
      </c>
      <c r="D175" s="115" t="str">
        <f>IF(DPS_Graph_True_Speed=TRUE,IF($E$8=$A175,DPS_Attacks_P_Sec,),)</f>
        <v/>
      </c>
      <c r="E175" s="222">
        <f>ROUNDDOWN(MAX(2,IF(A175&gt;=0, DPS_Base_Wpn_Spd/(1+A175),DPS_Base_Wpn_Spd*(1+ABS(A175)))),0)</f>
        <v>6</v>
      </c>
      <c r="F175" s="232">
        <f>IF(A175&gt;=0, DPS_Base_Recoil/(1+A175),DPS_Base_Recoil)</f>
        <v>0.05</v>
      </c>
      <c r="G175" s="377">
        <f t="shared" si="7"/>
        <v>1.125142857</v>
      </c>
      <c r="H175" s="377">
        <f t="shared" si="8"/>
        <v>0.2</v>
      </c>
      <c r="I175" s="104"/>
      <c r="J175" s="377">
        <f>MAX(0, Max(25,(DPS_Base_Range + ((DPS_Range_Stat) / 2))) / MIN(MAX(70, (70 * (1 + ($A175 / 3)))), 120))</f>
        <v>5.714285714</v>
      </c>
      <c r="K175" s="269">
        <f>IF(A175&lt;=DPS_Graph_Max,IF(A175&gt;=DPS_Graph_Speed_Min,A175,),)</f>
        <v>-0.68</v>
      </c>
      <c r="M175" s="213">
        <f>If(DPS_Weapon_Type="远程",$E175/60+$F175*2,$E175/60+$F175+$G175/2+$H175)</f>
        <v>0.2</v>
      </c>
      <c r="N175" s="104">
        <f>IF(DPS_Graph_Tooltip_Speed=TRUE,IF($A175&lt;=DPS_Graph_Max,IF($A175&gt;=DPS_Graph_Speed_Min,1/M175,),),)</f>
        <v>5</v>
      </c>
      <c r="R175" s="104" t="str">
        <f>IF(DPS_Graph_Tooltip_Speed=TRUE,IF($E$8=$A175,1/$N$6,),)</f>
        <v/>
      </c>
    </row>
    <row r="176">
      <c r="A176" s="370">
        <v>-0.67</v>
      </c>
      <c r="B176" s="213">
        <f>If(DPS_Weapon_Type="远程",($E176+1)/60+(ROUNDDOWN($F176*60+1,0)/60)*2,(ROUNDDOWN(($E176+1)+ROUNDDOWN($F176*60+1,0)+ROUNDDOWN($G176/2*60+1,0)+ROUNDDOWN($H176*60+1,0)+1,0))/60+If(DPS_ATK_TYPE="挥砍",1/60)+If(DPS_ATK_TYPE="挥砍/刺击",1/120))+DPS_Weapon_Randomization/60</f>
        <v>0.2716666667</v>
      </c>
      <c r="C176" s="104">
        <f>IF(DPS_Graph_True_Speed=TRUE,IF($A176&lt;=DPS_Graph_Max,IF($A176&gt;=DPS_Graph_Speed_Min,1/B176,),),)</f>
        <v>3.680981595</v>
      </c>
      <c r="D176" s="115" t="str">
        <f>IF(DPS_Graph_True_Speed=TRUE,IF($E$8=$A176,DPS_Attacks_P_Sec,),)</f>
        <v/>
      </c>
      <c r="E176" s="222">
        <f>ROUNDDOWN(MAX(2,IF(A176&gt;=0, DPS_Base_Wpn_Spd/(1+A176),DPS_Base_Wpn_Spd*(1+ABS(A176)))),0)</f>
        <v>6</v>
      </c>
      <c r="F176" s="232">
        <f>IF(A176&gt;=0, DPS_Base_Recoil/(1+A176),DPS_Base_Recoil)</f>
        <v>0.05</v>
      </c>
      <c r="G176" s="377">
        <f t="shared" si="7"/>
        <v>1.124142857</v>
      </c>
      <c r="H176" s="377">
        <f t="shared" si="8"/>
        <v>0.2</v>
      </c>
      <c r="I176" s="104"/>
      <c r="J176" s="377">
        <f>MAX(0, Max(25,(DPS_Base_Range + ((DPS_Range_Stat) / 2))) / MIN(MAX(70, (70 * (1 + ($A176 / 3)))), 120))</f>
        <v>5.714285714</v>
      </c>
      <c r="K176" s="269">
        <f>IF(A176&lt;=DPS_Graph_Max,IF(A176&gt;=DPS_Graph_Speed_Min,A176,),)</f>
        <v>-0.67</v>
      </c>
      <c r="M176" s="213">
        <f>If(DPS_Weapon_Type="远程",$E176/60+$F176*2,$E176/60+$F176+$G176/2+$H176)</f>
        <v>0.2</v>
      </c>
      <c r="N176" s="104">
        <f>IF(DPS_Graph_Tooltip_Speed=TRUE,IF($A176&lt;=DPS_Graph_Max,IF($A176&gt;=DPS_Graph_Speed_Min,1/M176,),),)</f>
        <v>5</v>
      </c>
      <c r="R176" s="104" t="str">
        <f>IF(DPS_Graph_Tooltip_Speed=TRUE,IF($E$8=$A176,1/$N$6,),)</f>
        <v/>
      </c>
    </row>
    <row r="177">
      <c r="A177" s="370">
        <v>-0.66</v>
      </c>
      <c r="B177" s="213">
        <f>If(DPS_Weapon_Type="远程",($E177+1)/60+(ROUNDDOWN($F177*60+1,0)/60)*2,(ROUNDDOWN(($E177+1)+ROUNDDOWN($F177*60+1,0)+ROUNDDOWN($G177/2*60+1,0)+ROUNDDOWN($H177*60+1,0)+1,0))/60+If(DPS_ATK_TYPE="挥砍",1/60)+If(DPS_ATK_TYPE="挥砍/刺击",1/120))+DPS_Weapon_Randomization/60</f>
        <v>0.2716666667</v>
      </c>
      <c r="C177" s="104">
        <f>IF(DPS_Graph_True_Speed=TRUE,IF($A177&lt;=DPS_Graph_Max,IF($A177&gt;=DPS_Graph_Speed_Min,1/B177,),),)</f>
        <v>3.680981595</v>
      </c>
      <c r="D177" s="115" t="str">
        <f>IF(DPS_Graph_True_Speed=TRUE,IF($E$8=$A177,DPS_Attacks_P_Sec,),)</f>
        <v/>
      </c>
      <c r="E177" s="222">
        <f>ROUNDDOWN(MAX(2,IF(A177&gt;=0, DPS_Base_Wpn_Spd/(1+A177),DPS_Base_Wpn_Spd*(1+ABS(A177)))),0)</f>
        <v>6</v>
      </c>
      <c r="F177" s="232">
        <f>IF(A177&gt;=0, DPS_Base_Recoil/(1+A177),DPS_Base_Recoil)</f>
        <v>0.05</v>
      </c>
      <c r="G177" s="377">
        <f t="shared" si="7"/>
        <v>1.123142857</v>
      </c>
      <c r="H177" s="377">
        <f t="shared" si="8"/>
        <v>0.2</v>
      </c>
      <c r="I177" s="104"/>
      <c r="J177" s="377">
        <f>MAX(0, Max(25,(DPS_Base_Range + ((DPS_Range_Stat) / 2))) / MIN(MAX(70, (70 * (1 + ($A177 / 3)))), 120))</f>
        <v>5.714285714</v>
      </c>
      <c r="K177" s="269">
        <f>IF(A177&lt;=DPS_Graph_Max,IF(A177&gt;=DPS_Graph_Speed_Min,A177,),)</f>
        <v>-0.66</v>
      </c>
      <c r="M177" s="213">
        <f>If(DPS_Weapon_Type="远程",$E177/60+$F177*2,$E177/60+$F177+$G177/2+$H177)</f>
        <v>0.2</v>
      </c>
      <c r="N177" s="104">
        <f>IF(DPS_Graph_Tooltip_Speed=TRUE,IF($A177&lt;=DPS_Graph_Max,IF($A177&gt;=DPS_Graph_Speed_Min,1/M177,),),)</f>
        <v>5</v>
      </c>
      <c r="R177" s="104" t="str">
        <f>IF(DPS_Graph_Tooltip_Speed=TRUE,IF($E$8=$A177,1/$N$6,),)</f>
        <v/>
      </c>
    </row>
    <row r="178">
      <c r="A178" s="370">
        <v>-0.65</v>
      </c>
      <c r="B178" s="213">
        <f>If(DPS_Weapon_Type="远程",($E178+1)/60+(ROUNDDOWN($F178*60+1,0)/60)*2,(ROUNDDOWN(($E178+1)+ROUNDDOWN($F178*60+1,0)+ROUNDDOWN($G178/2*60+1,0)+ROUNDDOWN($H178*60+1,0)+1,0))/60+If(DPS_ATK_TYPE="挥砍",1/60)+If(DPS_ATK_TYPE="挥砍/刺击",1/120))+DPS_Weapon_Randomization/60</f>
        <v>0.2716666667</v>
      </c>
      <c r="C178" s="104">
        <f>IF(DPS_Graph_True_Speed=TRUE,IF($A178&lt;=DPS_Graph_Max,IF($A178&gt;=DPS_Graph_Speed_Min,1/B178,),),)</f>
        <v>3.680981595</v>
      </c>
      <c r="D178" s="115" t="str">
        <f>IF(DPS_Graph_True_Speed=TRUE,IF($E$8=$A178,DPS_Attacks_P_Sec,),)</f>
        <v/>
      </c>
      <c r="E178" s="222">
        <f>ROUNDDOWN(MAX(2,IF(A178&gt;=0, DPS_Base_Wpn_Spd/(1+A178),DPS_Base_Wpn_Spd*(1+ABS(A178)))),0)</f>
        <v>6</v>
      </c>
      <c r="F178" s="232">
        <f>IF(A178&gt;=0, DPS_Base_Recoil/(1+A178),DPS_Base_Recoil)</f>
        <v>0.05</v>
      </c>
      <c r="G178" s="377">
        <f t="shared" si="7"/>
        <v>1.122142857</v>
      </c>
      <c r="H178" s="377">
        <f t="shared" si="8"/>
        <v>0.2</v>
      </c>
      <c r="I178" s="104"/>
      <c r="J178" s="377">
        <f>MAX(0, Max(25,(DPS_Base_Range + ((DPS_Range_Stat) / 2))) / MIN(MAX(70, (70 * (1 + ($A178 / 3)))), 120))</f>
        <v>5.714285714</v>
      </c>
      <c r="K178" s="269">
        <f>IF(A178&lt;=DPS_Graph_Max,IF(A178&gt;=DPS_Graph_Speed_Min,A178,),)</f>
        <v>-0.65</v>
      </c>
      <c r="M178" s="213">
        <f>If(DPS_Weapon_Type="远程",$E178/60+$F178*2,$E178/60+$F178+$G178/2+$H178)</f>
        <v>0.2</v>
      </c>
      <c r="N178" s="104">
        <f>IF(DPS_Graph_Tooltip_Speed=TRUE,IF($A178&lt;=DPS_Graph_Max,IF($A178&gt;=DPS_Graph_Speed_Min,1/M178,),),)</f>
        <v>5</v>
      </c>
      <c r="R178" s="104" t="str">
        <f>IF(DPS_Graph_Tooltip_Speed=TRUE,IF($E$8=$A178,1/$N$6,),)</f>
        <v/>
      </c>
    </row>
    <row r="179">
      <c r="A179" s="370">
        <v>-0.64</v>
      </c>
      <c r="B179" s="213">
        <f>If(DPS_Weapon_Type="远程",($E179+1)/60+(ROUNDDOWN($F179*60+1,0)/60)*2,(ROUNDDOWN(($E179+1)+ROUNDDOWN($F179*60+1,0)+ROUNDDOWN($G179/2*60+1,0)+ROUNDDOWN($H179*60+1,0)+1,0))/60+If(DPS_ATK_TYPE="挥砍",1/60)+If(DPS_ATK_TYPE="挥砍/刺击",1/120))+DPS_Weapon_Randomization/60</f>
        <v>0.2716666667</v>
      </c>
      <c r="C179" s="104">
        <f>IF(DPS_Graph_True_Speed=TRUE,IF($A179&lt;=DPS_Graph_Max,IF($A179&gt;=DPS_Graph_Speed_Min,1/B179,),),)</f>
        <v>3.680981595</v>
      </c>
      <c r="D179" s="115" t="str">
        <f>IF(DPS_Graph_True_Speed=TRUE,IF($E$8=$A179,DPS_Attacks_P_Sec,),)</f>
        <v/>
      </c>
      <c r="E179" s="222">
        <f>ROUNDDOWN(MAX(2,IF(A179&gt;=0, DPS_Base_Wpn_Spd/(1+A179),DPS_Base_Wpn_Spd*(1+ABS(A179)))),0)</f>
        <v>6</v>
      </c>
      <c r="F179" s="232">
        <f>IF(A179&gt;=0, DPS_Base_Recoil/(1+A179),DPS_Base_Recoil)</f>
        <v>0.05</v>
      </c>
      <c r="G179" s="377">
        <f t="shared" si="7"/>
        <v>1.121142857</v>
      </c>
      <c r="H179" s="377">
        <f t="shared" si="8"/>
        <v>0.2</v>
      </c>
      <c r="I179" s="104"/>
      <c r="J179" s="377">
        <f>MAX(0, Max(25,(DPS_Base_Range + ((DPS_Range_Stat) / 2))) / MIN(MAX(70, (70 * (1 + ($A179 / 3)))), 120))</f>
        <v>5.714285714</v>
      </c>
      <c r="K179" s="269">
        <f>IF(A179&lt;=DPS_Graph_Max,IF(A179&gt;=DPS_Graph_Speed_Min,A179,),)</f>
        <v>-0.64</v>
      </c>
      <c r="M179" s="213">
        <f>If(DPS_Weapon_Type="远程",$E179/60+$F179*2,$E179/60+$F179+$G179/2+$H179)</f>
        <v>0.2</v>
      </c>
      <c r="N179" s="104">
        <f>IF(DPS_Graph_Tooltip_Speed=TRUE,IF($A179&lt;=DPS_Graph_Max,IF($A179&gt;=DPS_Graph_Speed_Min,1/M179,),),)</f>
        <v>5</v>
      </c>
      <c r="R179" s="104" t="str">
        <f>IF(DPS_Graph_Tooltip_Speed=TRUE,IF($E$8=$A179,1/$N$6,),)</f>
        <v/>
      </c>
    </row>
    <row r="180">
      <c r="A180" s="370">
        <v>-0.63</v>
      </c>
      <c r="B180" s="213">
        <f>If(DPS_Weapon_Type="远程",($E180+1)/60+(ROUNDDOWN($F180*60+1,0)/60)*2,(ROUNDDOWN(($E180+1)+ROUNDDOWN($F180*60+1,0)+ROUNDDOWN($G180/2*60+1,0)+ROUNDDOWN($H180*60+1,0)+1,0))/60+If(DPS_ATK_TYPE="挥砍",1/60)+If(DPS_ATK_TYPE="挥砍/刺击",1/120))+DPS_Weapon_Randomization/60</f>
        <v>0.2716666667</v>
      </c>
      <c r="C180" s="104">
        <f>IF(DPS_Graph_True_Speed=TRUE,IF($A180&lt;=DPS_Graph_Max,IF($A180&gt;=DPS_Graph_Speed_Min,1/B180,),),)</f>
        <v>3.680981595</v>
      </c>
      <c r="D180" s="115" t="str">
        <f>IF(DPS_Graph_True_Speed=TRUE,IF($E$8=$A180,DPS_Attacks_P_Sec,),)</f>
        <v/>
      </c>
      <c r="E180" s="222">
        <f>ROUNDDOWN(MAX(2,IF(A180&gt;=0, DPS_Base_Wpn_Spd/(1+A180),DPS_Base_Wpn_Spd*(1+ABS(A180)))),0)</f>
        <v>6</v>
      </c>
      <c r="F180" s="232">
        <f>IF(A180&gt;=0, DPS_Base_Recoil/(1+A180),DPS_Base_Recoil)</f>
        <v>0.05</v>
      </c>
      <c r="G180" s="377">
        <f t="shared" si="7"/>
        <v>1.120142857</v>
      </c>
      <c r="H180" s="377">
        <f t="shared" si="8"/>
        <v>0.2</v>
      </c>
      <c r="I180" s="104"/>
      <c r="J180" s="377">
        <f>MAX(0, Max(25,(DPS_Base_Range + ((DPS_Range_Stat) / 2))) / MIN(MAX(70, (70 * (1 + ($A180 / 3)))), 120))</f>
        <v>5.714285714</v>
      </c>
      <c r="K180" s="269">
        <f>IF(A180&lt;=DPS_Graph_Max,IF(A180&gt;=DPS_Graph_Speed_Min,A180,),)</f>
        <v>-0.63</v>
      </c>
      <c r="M180" s="213">
        <f>If(DPS_Weapon_Type="远程",$E180/60+$F180*2,$E180/60+$F180+$G180/2+$H180)</f>
        <v>0.2</v>
      </c>
      <c r="N180" s="104">
        <f>IF(DPS_Graph_Tooltip_Speed=TRUE,IF($A180&lt;=DPS_Graph_Max,IF($A180&gt;=DPS_Graph_Speed_Min,1/M180,),),)</f>
        <v>5</v>
      </c>
      <c r="R180" s="104" t="str">
        <f>IF(DPS_Graph_Tooltip_Speed=TRUE,IF($E$8=$A180,1/$N$6,),)</f>
        <v/>
      </c>
    </row>
    <row r="181">
      <c r="A181" s="370">
        <v>-0.62</v>
      </c>
      <c r="B181" s="213">
        <f>If(DPS_Weapon_Type="远程",($E181+1)/60+(ROUNDDOWN($F181*60+1,0)/60)*2,(ROUNDDOWN(($E181+1)+ROUNDDOWN($F181*60+1,0)+ROUNDDOWN($G181/2*60+1,0)+ROUNDDOWN($H181*60+1,0)+1,0))/60+If(DPS_ATK_TYPE="挥砍",1/60)+If(DPS_ATK_TYPE="挥砍/刺击",1/120))+DPS_Weapon_Randomization/60</f>
        <v>0.2716666667</v>
      </c>
      <c r="C181" s="104">
        <f>IF(DPS_Graph_True_Speed=TRUE,IF($A181&lt;=DPS_Graph_Max,IF($A181&gt;=DPS_Graph_Speed_Min,1/B181,),),)</f>
        <v>3.680981595</v>
      </c>
      <c r="D181" s="115" t="str">
        <f>IF(DPS_Graph_True_Speed=TRUE,IF($E$8=$A181,DPS_Attacks_P_Sec,),)</f>
        <v/>
      </c>
      <c r="E181" s="222">
        <f>ROUNDDOWN(MAX(2,IF(A181&gt;=0, DPS_Base_Wpn_Spd/(1+A181),DPS_Base_Wpn_Spd*(1+ABS(A181)))),0)</f>
        <v>6</v>
      </c>
      <c r="F181" s="232">
        <f>IF(A181&gt;=0, DPS_Base_Recoil/(1+A181),DPS_Base_Recoil)</f>
        <v>0.05</v>
      </c>
      <c r="G181" s="377">
        <f t="shared" si="7"/>
        <v>1.119142857</v>
      </c>
      <c r="H181" s="377">
        <f t="shared" si="8"/>
        <v>0.2</v>
      </c>
      <c r="I181" s="104"/>
      <c r="J181" s="377">
        <f>MAX(0, Max(25,(DPS_Base_Range + ((DPS_Range_Stat) / 2))) / MIN(MAX(70, (70 * (1 + ($A181 / 3)))), 120))</f>
        <v>5.714285714</v>
      </c>
      <c r="K181" s="269">
        <f>IF(A181&lt;=DPS_Graph_Max,IF(A181&gt;=DPS_Graph_Speed_Min,A181,),)</f>
        <v>-0.62</v>
      </c>
      <c r="M181" s="213">
        <f>If(DPS_Weapon_Type="远程",$E181/60+$F181*2,$E181/60+$F181+$G181/2+$H181)</f>
        <v>0.2</v>
      </c>
      <c r="N181" s="104">
        <f>IF(DPS_Graph_Tooltip_Speed=TRUE,IF($A181&lt;=DPS_Graph_Max,IF($A181&gt;=DPS_Graph_Speed_Min,1/M181,),),)</f>
        <v>5</v>
      </c>
      <c r="R181" s="104" t="str">
        <f>IF(DPS_Graph_Tooltip_Speed=TRUE,IF($E$8=$A181,1/$N$6,),)</f>
        <v/>
      </c>
    </row>
    <row r="182">
      <c r="A182" s="370">
        <v>-0.61</v>
      </c>
      <c r="B182" s="213">
        <f>If(DPS_Weapon_Type="远程",($E182+1)/60+(ROUNDDOWN($F182*60+1,0)/60)*2,(ROUNDDOWN(($E182+1)+ROUNDDOWN($F182*60+1,0)+ROUNDDOWN($G182/2*60+1,0)+ROUNDDOWN($H182*60+1,0)+1,0))/60+If(DPS_ATK_TYPE="挥砍",1/60)+If(DPS_ATK_TYPE="挥砍/刺击",1/120))+DPS_Weapon_Randomization/60</f>
        <v>0.2716666667</v>
      </c>
      <c r="C182" s="104">
        <f>IF(DPS_Graph_True_Speed=TRUE,IF($A182&lt;=DPS_Graph_Max,IF($A182&gt;=DPS_Graph_Speed_Min,1/B182,),),)</f>
        <v>3.680981595</v>
      </c>
      <c r="D182" s="115" t="str">
        <f>IF(DPS_Graph_True_Speed=TRUE,IF($E$8=$A182,DPS_Attacks_P_Sec,),)</f>
        <v/>
      </c>
      <c r="E182" s="222">
        <f>ROUNDDOWN(MAX(2,IF(A182&gt;=0, DPS_Base_Wpn_Spd/(1+A182),DPS_Base_Wpn_Spd*(1+ABS(A182)))),0)</f>
        <v>6</v>
      </c>
      <c r="F182" s="232">
        <f>IF(A182&gt;=0, DPS_Base_Recoil/(1+A182),DPS_Base_Recoil)</f>
        <v>0.05</v>
      </c>
      <c r="G182" s="377">
        <f t="shared" si="7"/>
        <v>1.118142857</v>
      </c>
      <c r="H182" s="377">
        <f t="shared" si="8"/>
        <v>0.2</v>
      </c>
      <c r="I182" s="104"/>
      <c r="J182" s="377">
        <f>MAX(0, Max(25,(DPS_Base_Range + ((DPS_Range_Stat) / 2))) / MIN(MAX(70, (70 * (1 + ($A182 / 3)))), 120))</f>
        <v>5.714285714</v>
      </c>
      <c r="K182" s="269">
        <f>IF(A182&lt;=DPS_Graph_Max,IF(A182&gt;=DPS_Graph_Speed_Min,A182,),)</f>
        <v>-0.61</v>
      </c>
      <c r="M182" s="213">
        <f>If(DPS_Weapon_Type="远程",$E182/60+$F182*2,$E182/60+$F182+$G182/2+$H182)</f>
        <v>0.2</v>
      </c>
      <c r="N182" s="104">
        <f>IF(DPS_Graph_Tooltip_Speed=TRUE,IF($A182&lt;=DPS_Graph_Max,IF($A182&gt;=DPS_Graph_Speed_Min,1/M182,),),)</f>
        <v>5</v>
      </c>
      <c r="R182" s="104" t="str">
        <f>IF(DPS_Graph_Tooltip_Speed=TRUE,IF($E$8=$A182,1/$N$6,),)</f>
        <v/>
      </c>
    </row>
    <row r="183">
      <c r="A183" s="370">
        <v>-0.6</v>
      </c>
      <c r="B183" s="213">
        <f>If(DPS_Weapon_Type="远程",($E183+1)/60+(ROUNDDOWN($F183*60+1,0)/60)*2,(ROUNDDOWN(($E183+1)+ROUNDDOWN($F183*60+1,0)+ROUNDDOWN($G183/2*60+1,0)+ROUNDDOWN($H183*60+1,0)+1,0))/60+If(DPS_ATK_TYPE="挥砍",1/60)+If(DPS_ATK_TYPE="挥砍/刺击",1/120))+DPS_Weapon_Randomization/60</f>
        <v>0.2716666667</v>
      </c>
      <c r="C183" s="104">
        <f>IF(DPS_Graph_True_Speed=TRUE,IF($A183&lt;=DPS_Graph_Max,IF($A183&gt;=DPS_Graph_Speed_Min,1/B183,),),)</f>
        <v>3.680981595</v>
      </c>
      <c r="D183" s="115" t="str">
        <f>IF(DPS_Graph_True_Speed=TRUE,IF($E$8=$A183,DPS_Attacks_P_Sec,),)</f>
        <v/>
      </c>
      <c r="E183" s="222">
        <f>ROUNDDOWN(MAX(2,IF(A183&gt;=0, DPS_Base_Wpn_Spd/(1+A183),DPS_Base_Wpn_Spd*(1+ABS(A183)))),0)</f>
        <v>6</v>
      </c>
      <c r="F183" s="232">
        <f>IF(A183&gt;=0, DPS_Base_Recoil/(1+A183),DPS_Base_Recoil)</f>
        <v>0.05</v>
      </c>
      <c r="G183" s="377">
        <f t="shared" si="7"/>
        <v>1.117142857</v>
      </c>
      <c r="H183" s="377">
        <f t="shared" si="8"/>
        <v>0.2</v>
      </c>
      <c r="I183" s="104"/>
      <c r="J183" s="377">
        <f>MAX(0, Max(25,(DPS_Base_Range + ((DPS_Range_Stat) / 2))) / MIN(MAX(70, (70 * (1 + ($A183 / 3)))), 120))</f>
        <v>5.714285714</v>
      </c>
      <c r="K183" s="269">
        <f>IF(A183&lt;=DPS_Graph_Max,IF(A183&gt;=DPS_Graph_Speed_Min,A183,),)</f>
        <v>-0.6</v>
      </c>
      <c r="M183" s="213">
        <f>If(DPS_Weapon_Type="远程",$E183/60+$F183*2,$E183/60+$F183+$G183/2+$H183)</f>
        <v>0.2</v>
      </c>
      <c r="N183" s="104">
        <f>IF(DPS_Graph_Tooltip_Speed=TRUE,IF($A183&lt;=DPS_Graph_Max,IF($A183&gt;=DPS_Graph_Speed_Min,1/M183,),),)</f>
        <v>5</v>
      </c>
      <c r="R183" s="104" t="str">
        <f>IF(DPS_Graph_Tooltip_Speed=TRUE,IF($E$8=$A183,1/$N$6,),)</f>
        <v/>
      </c>
    </row>
    <row r="184">
      <c r="A184" s="370">
        <v>-0.59</v>
      </c>
      <c r="B184" s="213">
        <f>If(DPS_Weapon_Type="远程",($E184+1)/60+(ROUNDDOWN($F184*60+1,0)/60)*2,(ROUNDDOWN(($E184+1)+ROUNDDOWN($F184*60+1,0)+ROUNDDOWN($G184/2*60+1,0)+ROUNDDOWN($H184*60+1,0)+1,0))/60+If(DPS_ATK_TYPE="挥砍",1/60)+If(DPS_ATK_TYPE="挥砍/刺击",1/120))+DPS_Weapon_Randomization/60</f>
        <v>0.2716666667</v>
      </c>
      <c r="C184" s="104">
        <f>IF(DPS_Graph_True_Speed=TRUE,IF($A184&lt;=DPS_Graph_Max,IF($A184&gt;=DPS_Graph_Speed_Min,1/B184,),),)</f>
        <v>3.680981595</v>
      </c>
      <c r="D184" s="115" t="str">
        <f>IF(DPS_Graph_True_Speed=TRUE,IF($E$8=$A184,DPS_Attacks_P_Sec,),)</f>
        <v/>
      </c>
      <c r="E184" s="222">
        <f>ROUNDDOWN(MAX(2,IF(A184&gt;=0, DPS_Base_Wpn_Spd/(1+A184),DPS_Base_Wpn_Spd*(1+ABS(A184)))),0)</f>
        <v>6</v>
      </c>
      <c r="F184" s="232">
        <f>IF(A184&gt;=0, DPS_Base_Recoil/(1+A184),DPS_Base_Recoil)</f>
        <v>0.05</v>
      </c>
      <c r="G184" s="377">
        <f t="shared" si="7"/>
        <v>1.116142857</v>
      </c>
      <c r="H184" s="377">
        <f t="shared" si="8"/>
        <v>0.2</v>
      </c>
      <c r="I184" s="104"/>
      <c r="J184" s="377">
        <f>MAX(0, Max(25,(DPS_Base_Range + ((DPS_Range_Stat) / 2))) / MIN(MAX(70, (70 * (1 + ($A184 / 3)))), 120))</f>
        <v>5.714285714</v>
      </c>
      <c r="K184" s="269">
        <f>IF(A184&lt;=DPS_Graph_Max,IF(A184&gt;=DPS_Graph_Speed_Min,A184,),)</f>
        <v>-0.59</v>
      </c>
      <c r="M184" s="213">
        <f>If(DPS_Weapon_Type="远程",$E184/60+$F184*2,$E184/60+$F184+$G184/2+$H184)</f>
        <v>0.2</v>
      </c>
      <c r="N184" s="104">
        <f>IF(DPS_Graph_Tooltip_Speed=TRUE,IF($A184&lt;=DPS_Graph_Max,IF($A184&gt;=DPS_Graph_Speed_Min,1/M184,),),)</f>
        <v>5</v>
      </c>
      <c r="R184" s="104" t="str">
        <f>IF(DPS_Graph_Tooltip_Speed=TRUE,IF($E$8=$A184,1/$N$6,),)</f>
        <v/>
      </c>
    </row>
    <row r="185">
      <c r="A185" s="370">
        <v>-0.58</v>
      </c>
      <c r="B185" s="213">
        <f>If(DPS_Weapon_Type="远程",($E185+1)/60+(ROUNDDOWN($F185*60+1,0)/60)*2,(ROUNDDOWN(($E185+1)+ROUNDDOWN($F185*60+1,0)+ROUNDDOWN($G185/2*60+1,0)+ROUNDDOWN($H185*60+1,0)+1,0))/60+If(DPS_ATK_TYPE="挥砍",1/60)+If(DPS_ATK_TYPE="挥砍/刺击",1/120))+DPS_Weapon_Randomization/60</f>
        <v>0.2716666667</v>
      </c>
      <c r="C185" s="104">
        <f>IF(DPS_Graph_True_Speed=TRUE,IF($A185&lt;=DPS_Graph_Max,IF($A185&gt;=DPS_Graph_Speed_Min,1/B185,),),)</f>
        <v>3.680981595</v>
      </c>
      <c r="D185" s="115" t="str">
        <f>IF(DPS_Graph_True_Speed=TRUE,IF($E$8=$A185,DPS_Attacks_P_Sec,),)</f>
        <v/>
      </c>
      <c r="E185" s="222">
        <f>ROUNDDOWN(MAX(2,IF(A185&gt;=0, DPS_Base_Wpn_Spd/(1+A185),DPS_Base_Wpn_Spd*(1+ABS(A185)))),0)</f>
        <v>6</v>
      </c>
      <c r="F185" s="232">
        <f>IF(A185&gt;=0, DPS_Base_Recoil/(1+A185),DPS_Base_Recoil)</f>
        <v>0.05</v>
      </c>
      <c r="G185" s="377">
        <f t="shared" si="7"/>
        <v>1.115142857</v>
      </c>
      <c r="H185" s="377">
        <f t="shared" si="8"/>
        <v>0.2</v>
      </c>
      <c r="I185" s="104"/>
      <c r="J185" s="377">
        <f>MAX(0, Max(25,(DPS_Base_Range + ((DPS_Range_Stat) / 2))) / MIN(MAX(70, (70 * (1 + ($A185 / 3)))), 120))</f>
        <v>5.714285714</v>
      </c>
      <c r="K185" s="269">
        <f>IF(A185&lt;=DPS_Graph_Max,IF(A185&gt;=DPS_Graph_Speed_Min,A185,),)</f>
        <v>-0.58</v>
      </c>
      <c r="M185" s="213">
        <f>If(DPS_Weapon_Type="远程",$E185/60+$F185*2,$E185/60+$F185+$G185/2+$H185)</f>
        <v>0.2</v>
      </c>
      <c r="N185" s="104">
        <f>IF(DPS_Graph_Tooltip_Speed=TRUE,IF($A185&lt;=DPS_Graph_Max,IF($A185&gt;=DPS_Graph_Speed_Min,1/M185,),),)</f>
        <v>5</v>
      </c>
      <c r="R185" s="104" t="str">
        <f>IF(DPS_Graph_Tooltip_Speed=TRUE,IF($E$8=$A185,1/$N$6,),)</f>
        <v/>
      </c>
    </row>
    <row r="186">
      <c r="A186" s="370">
        <v>-0.57</v>
      </c>
      <c r="B186" s="213">
        <f>If(DPS_Weapon_Type="远程",($E186+1)/60+(ROUNDDOWN($F186*60+1,0)/60)*2,(ROUNDDOWN(($E186+1)+ROUNDDOWN($F186*60+1,0)+ROUNDDOWN($G186/2*60+1,0)+ROUNDDOWN($H186*60+1,0)+1,0))/60+If(DPS_ATK_TYPE="挥砍",1/60)+If(DPS_ATK_TYPE="挥砍/刺击",1/120))+DPS_Weapon_Randomization/60</f>
        <v>0.2716666667</v>
      </c>
      <c r="C186" s="104">
        <f>IF(DPS_Graph_True_Speed=TRUE,IF($A186&lt;=DPS_Graph_Max,IF($A186&gt;=DPS_Graph_Speed_Min,1/B186,),),)</f>
        <v>3.680981595</v>
      </c>
      <c r="D186" s="115" t="str">
        <f>IF(DPS_Graph_True_Speed=TRUE,IF($E$8=$A186,DPS_Attacks_P_Sec,),)</f>
        <v/>
      </c>
      <c r="E186" s="222">
        <f>ROUNDDOWN(MAX(2,IF(A186&gt;=0, DPS_Base_Wpn_Spd/(1+A186),DPS_Base_Wpn_Spd*(1+ABS(A186)))),0)</f>
        <v>6</v>
      </c>
      <c r="F186" s="232">
        <f>IF(A186&gt;=0, DPS_Base_Recoil/(1+A186),DPS_Base_Recoil)</f>
        <v>0.05</v>
      </c>
      <c r="G186" s="377">
        <f t="shared" si="7"/>
        <v>1.114142857</v>
      </c>
      <c r="H186" s="377">
        <f t="shared" si="8"/>
        <v>0.2</v>
      </c>
      <c r="I186" s="104"/>
      <c r="J186" s="377">
        <f>MAX(0, Max(25,(DPS_Base_Range + ((DPS_Range_Stat) / 2))) / MIN(MAX(70, (70 * (1 + ($A186 / 3)))), 120))</f>
        <v>5.714285714</v>
      </c>
      <c r="K186" s="269">
        <f>IF(A186&lt;=DPS_Graph_Max,IF(A186&gt;=DPS_Graph_Speed_Min,A186,),)</f>
        <v>-0.57</v>
      </c>
      <c r="M186" s="213">
        <f>If(DPS_Weapon_Type="远程",$E186/60+$F186*2,$E186/60+$F186+$G186/2+$H186)</f>
        <v>0.2</v>
      </c>
      <c r="N186" s="104">
        <f>IF(DPS_Graph_Tooltip_Speed=TRUE,IF($A186&lt;=DPS_Graph_Max,IF($A186&gt;=DPS_Graph_Speed_Min,1/M186,),),)</f>
        <v>5</v>
      </c>
      <c r="R186" s="104" t="str">
        <f>IF(DPS_Graph_Tooltip_Speed=TRUE,IF($E$8=$A186,1/$N$6,),)</f>
        <v/>
      </c>
    </row>
    <row r="187">
      <c r="A187" s="370">
        <v>-0.56</v>
      </c>
      <c r="B187" s="213">
        <f>If(DPS_Weapon_Type="远程",($E187+1)/60+(ROUNDDOWN($F187*60+1,0)/60)*2,(ROUNDDOWN(($E187+1)+ROUNDDOWN($F187*60+1,0)+ROUNDDOWN($G187/2*60+1,0)+ROUNDDOWN($H187*60+1,0)+1,0))/60+If(DPS_ATK_TYPE="挥砍",1/60)+If(DPS_ATK_TYPE="挥砍/刺击",1/120))+DPS_Weapon_Randomization/60</f>
        <v>0.2716666667</v>
      </c>
      <c r="C187" s="104">
        <f>IF(DPS_Graph_True_Speed=TRUE,IF($A187&lt;=DPS_Graph_Max,IF($A187&gt;=DPS_Graph_Speed_Min,1/B187,),),)</f>
        <v>3.680981595</v>
      </c>
      <c r="D187" s="115" t="str">
        <f>IF(DPS_Graph_True_Speed=TRUE,IF($E$8=$A187,DPS_Attacks_P_Sec,),)</f>
        <v/>
      </c>
      <c r="E187" s="222">
        <f>ROUNDDOWN(MAX(2,IF(A187&gt;=0, DPS_Base_Wpn_Spd/(1+A187),DPS_Base_Wpn_Spd*(1+ABS(A187)))),0)</f>
        <v>6</v>
      </c>
      <c r="F187" s="232">
        <f>IF(A187&gt;=0, DPS_Base_Recoil/(1+A187),DPS_Base_Recoil)</f>
        <v>0.05</v>
      </c>
      <c r="G187" s="377">
        <f t="shared" si="7"/>
        <v>1.113142857</v>
      </c>
      <c r="H187" s="377">
        <f t="shared" si="8"/>
        <v>0.2</v>
      </c>
      <c r="I187" s="104"/>
      <c r="J187" s="377">
        <f>MAX(0, Max(25,(DPS_Base_Range + ((DPS_Range_Stat) / 2))) / MIN(MAX(70, (70 * (1 + ($A187 / 3)))), 120))</f>
        <v>5.714285714</v>
      </c>
      <c r="K187" s="269">
        <f>IF(A187&lt;=DPS_Graph_Max,IF(A187&gt;=DPS_Graph_Speed_Min,A187,),)</f>
        <v>-0.56</v>
      </c>
      <c r="M187" s="213">
        <f>If(DPS_Weapon_Type="远程",$E187/60+$F187*2,$E187/60+$F187+$G187/2+$H187)</f>
        <v>0.2</v>
      </c>
      <c r="N187" s="104">
        <f>IF(DPS_Graph_Tooltip_Speed=TRUE,IF($A187&lt;=DPS_Graph_Max,IF($A187&gt;=DPS_Graph_Speed_Min,1/M187,),),)</f>
        <v>5</v>
      </c>
      <c r="R187" s="104" t="str">
        <f>IF(DPS_Graph_Tooltip_Speed=TRUE,IF($E$8=$A187,1/$N$6,),)</f>
        <v/>
      </c>
    </row>
    <row r="188">
      <c r="A188" s="370">
        <v>-0.55</v>
      </c>
      <c r="B188" s="213">
        <f>If(DPS_Weapon_Type="远程",($E188+1)/60+(ROUNDDOWN($F188*60+1,0)/60)*2,(ROUNDDOWN(($E188+1)+ROUNDDOWN($F188*60+1,0)+ROUNDDOWN($G188/2*60+1,0)+ROUNDDOWN($H188*60+1,0)+1,0))/60+If(DPS_ATK_TYPE="挥砍",1/60)+If(DPS_ATK_TYPE="挥砍/刺击",1/120))+DPS_Weapon_Randomization/60</f>
        <v>0.2716666667</v>
      </c>
      <c r="C188" s="104">
        <f>IF(DPS_Graph_True_Speed=TRUE,IF($A188&lt;=DPS_Graph_Max,IF($A188&gt;=DPS_Graph_Speed_Min,1/B188,),),)</f>
        <v>3.680981595</v>
      </c>
      <c r="D188" s="115" t="str">
        <f>IF(DPS_Graph_True_Speed=TRUE,IF($E$8=$A188,DPS_Attacks_P_Sec,),)</f>
        <v/>
      </c>
      <c r="E188" s="222">
        <f>ROUNDDOWN(MAX(2,IF(A188&gt;=0, DPS_Base_Wpn_Spd/(1+A188),DPS_Base_Wpn_Spd*(1+ABS(A188)))),0)</f>
        <v>6</v>
      </c>
      <c r="F188" s="232">
        <f>IF(A188&gt;=0, DPS_Base_Recoil/(1+A188),DPS_Base_Recoil)</f>
        <v>0.05</v>
      </c>
      <c r="G188" s="377">
        <f t="shared" si="7"/>
        <v>1.112142857</v>
      </c>
      <c r="H188" s="377">
        <f t="shared" si="8"/>
        <v>0.2</v>
      </c>
      <c r="I188" s="104"/>
      <c r="J188" s="377">
        <f>MAX(0, Max(25,(DPS_Base_Range + ((DPS_Range_Stat) / 2))) / MIN(MAX(70, (70 * (1 + ($A188 / 3)))), 120))</f>
        <v>5.714285714</v>
      </c>
      <c r="K188" s="269">
        <f>IF(A188&lt;=DPS_Graph_Max,IF(A188&gt;=DPS_Graph_Speed_Min,A188,),)</f>
        <v>-0.55</v>
      </c>
      <c r="M188" s="213">
        <f>If(DPS_Weapon_Type="远程",$E188/60+$F188*2,$E188/60+$F188+$G188/2+$H188)</f>
        <v>0.2</v>
      </c>
      <c r="N188" s="104">
        <f>IF(DPS_Graph_Tooltip_Speed=TRUE,IF($A188&lt;=DPS_Graph_Max,IF($A188&gt;=DPS_Graph_Speed_Min,1/M188,),),)</f>
        <v>5</v>
      </c>
      <c r="R188" s="104" t="str">
        <f>IF(DPS_Graph_Tooltip_Speed=TRUE,IF($E$8=$A188,1/$N$6,),)</f>
        <v/>
      </c>
    </row>
    <row r="189">
      <c r="A189" s="370">
        <v>-0.54</v>
      </c>
      <c r="B189" s="213">
        <f>If(DPS_Weapon_Type="远程",($E189+1)/60+(ROUNDDOWN($F189*60+1,0)/60)*2,(ROUNDDOWN(($E189+1)+ROUNDDOWN($F189*60+1,0)+ROUNDDOWN($G189/2*60+1,0)+ROUNDDOWN($H189*60+1,0)+1,0))/60+If(DPS_ATK_TYPE="挥砍",1/60)+If(DPS_ATK_TYPE="挥砍/刺击",1/120))+DPS_Weapon_Randomization/60</f>
        <v>0.2716666667</v>
      </c>
      <c r="C189" s="104">
        <f>IF(DPS_Graph_True_Speed=TRUE,IF($A189&lt;=DPS_Graph_Max,IF($A189&gt;=DPS_Graph_Speed_Min,1/B189,),),)</f>
        <v>3.680981595</v>
      </c>
      <c r="D189" s="115" t="str">
        <f>IF(DPS_Graph_True_Speed=TRUE,IF($E$8=$A189,DPS_Attacks_P_Sec,),)</f>
        <v/>
      </c>
      <c r="E189" s="222">
        <f>ROUNDDOWN(MAX(2,IF(A189&gt;=0, DPS_Base_Wpn_Spd/(1+A189),DPS_Base_Wpn_Spd*(1+ABS(A189)))),0)</f>
        <v>6</v>
      </c>
      <c r="F189" s="232">
        <f>IF(A189&gt;=0, DPS_Base_Recoil/(1+A189),DPS_Base_Recoil)</f>
        <v>0.05</v>
      </c>
      <c r="G189" s="377">
        <f t="shared" si="7"/>
        <v>1.111142857</v>
      </c>
      <c r="H189" s="377">
        <f t="shared" si="8"/>
        <v>0.2</v>
      </c>
      <c r="I189" s="104"/>
      <c r="J189" s="377">
        <f>MAX(0, Max(25,(DPS_Base_Range + ((DPS_Range_Stat) / 2))) / MIN(MAX(70, (70 * (1 + ($A189 / 3)))), 120))</f>
        <v>5.714285714</v>
      </c>
      <c r="K189" s="269">
        <f>IF(A189&lt;=DPS_Graph_Max,IF(A189&gt;=DPS_Graph_Speed_Min,A189,),)</f>
        <v>-0.54</v>
      </c>
      <c r="M189" s="213">
        <f>If(DPS_Weapon_Type="远程",$E189/60+$F189*2,$E189/60+$F189+$G189/2+$H189)</f>
        <v>0.2</v>
      </c>
      <c r="N189" s="104">
        <f>IF(DPS_Graph_Tooltip_Speed=TRUE,IF($A189&lt;=DPS_Graph_Max,IF($A189&gt;=DPS_Graph_Speed_Min,1/M189,),),)</f>
        <v>5</v>
      </c>
      <c r="R189" s="104" t="str">
        <f>IF(DPS_Graph_Tooltip_Speed=TRUE,IF($E$8=$A189,1/$N$6,),)</f>
        <v/>
      </c>
    </row>
    <row r="190">
      <c r="A190" s="370">
        <v>-0.53</v>
      </c>
      <c r="B190" s="213">
        <f>If(DPS_Weapon_Type="远程",($E190+1)/60+(ROUNDDOWN($F190*60+1,0)/60)*2,(ROUNDDOWN(($E190+1)+ROUNDDOWN($F190*60+1,0)+ROUNDDOWN($G190/2*60+1,0)+ROUNDDOWN($H190*60+1,0)+1,0))/60+If(DPS_ATK_TYPE="挥砍",1/60)+If(DPS_ATK_TYPE="挥砍/刺击",1/120))+DPS_Weapon_Randomization/60</f>
        <v>0.2716666667</v>
      </c>
      <c r="C190" s="104">
        <f>IF(DPS_Graph_True_Speed=TRUE,IF($A190&lt;=DPS_Graph_Max,IF($A190&gt;=DPS_Graph_Speed_Min,1/B190,),),)</f>
        <v>3.680981595</v>
      </c>
      <c r="D190" s="115" t="str">
        <f>IF(DPS_Graph_True_Speed=TRUE,IF($E$8=$A190,DPS_Attacks_P_Sec,),)</f>
        <v/>
      </c>
      <c r="E190" s="222">
        <f>ROUNDDOWN(MAX(2,IF(A190&gt;=0, DPS_Base_Wpn_Spd/(1+A190),DPS_Base_Wpn_Spd*(1+ABS(A190)))),0)</f>
        <v>6</v>
      </c>
      <c r="F190" s="232">
        <f>IF(A190&gt;=0, DPS_Base_Recoil/(1+A190),DPS_Base_Recoil)</f>
        <v>0.05</v>
      </c>
      <c r="G190" s="377">
        <f t="shared" si="7"/>
        <v>1.110142857</v>
      </c>
      <c r="H190" s="377">
        <f t="shared" si="8"/>
        <v>0.2</v>
      </c>
      <c r="I190" s="104"/>
      <c r="J190" s="377">
        <f>MAX(0, Max(25,(DPS_Base_Range + ((DPS_Range_Stat) / 2))) / MIN(MAX(70, (70 * (1 + ($A190 / 3)))), 120))</f>
        <v>5.714285714</v>
      </c>
      <c r="K190" s="269">
        <f>IF(A190&lt;=DPS_Graph_Max,IF(A190&gt;=DPS_Graph_Speed_Min,A190,),)</f>
        <v>-0.53</v>
      </c>
      <c r="M190" s="213">
        <f>If(DPS_Weapon_Type="远程",$E190/60+$F190*2,$E190/60+$F190+$G190/2+$H190)</f>
        <v>0.2</v>
      </c>
      <c r="N190" s="104">
        <f>IF(DPS_Graph_Tooltip_Speed=TRUE,IF($A190&lt;=DPS_Graph_Max,IF($A190&gt;=DPS_Graph_Speed_Min,1/M190,),),)</f>
        <v>5</v>
      </c>
      <c r="R190" s="104" t="str">
        <f>IF(DPS_Graph_Tooltip_Speed=TRUE,IF($E$8=$A190,1/$N$6,),)</f>
        <v/>
      </c>
    </row>
    <row r="191">
      <c r="A191" s="370">
        <v>-0.52</v>
      </c>
      <c r="B191" s="213">
        <f>If(DPS_Weapon_Type="远程",($E191+1)/60+(ROUNDDOWN($F191*60+1,0)/60)*2,(ROUNDDOWN(($E191+1)+ROUNDDOWN($F191*60+1,0)+ROUNDDOWN($G191/2*60+1,0)+ROUNDDOWN($H191*60+1,0)+1,0))/60+If(DPS_ATK_TYPE="挥砍",1/60)+If(DPS_ATK_TYPE="挥砍/刺击",1/120))+DPS_Weapon_Randomization/60</f>
        <v>0.2716666667</v>
      </c>
      <c r="C191" s="104">
        <f>IF(DPS_Graph_True_Speed=TRUE,IF($A191&lt;=DPS_Graph_Max,IF($A191&gt;=DPS_Graph_Speed_Min,1/B191,),),)</f>
        <v>3.680981595</v>
      </c>
      <c r="D191" s="115" t="str">
        <f>IF(DPS_Graph_True_Speed=TRUE,IF($E$8=$A191,DPS_Attacks_P_Sec,),)</f>
        <v/>
      </c>
      <c r="E191" s="222">
        <f>ROUNDDOWN(MAX(2,IF(A191&gt;=0, DPS_Base_Wpn_Spd/(1+A191),DPS_Base_Wpn_Spd*(1+ABS(A191)))),0)</f>
        <v>6</v>
      </c>
      <c r="F191" s="232">
        <f>IF(A191&gt;=0, DPS_Base_Recoil/(1+A191),DPS_Base_Recoil)</f>
        <v>0.05</v>
      </c>
      <c r="G191" s="377">
        <f t="shared" si="7"/>
        <v>1.109142857</v>
      </c>
      <c r="H191" s="377">
        <f t="shared" si="8"/>
        <v>0.2</v>
      </c>
      <c r="I191" s="104"/>
      <c r="J191" s="377">
        <f>MAX(0, Max(25,(DPS_Base_Range + ((DPS_Range_Stat) / 2))) / MIN(MAX(70, (70 * (1 + ($A191 / 3)))), 120))</f>
        <v>5.714285714</v>
      </c>
      <c r="K191" s="269">
        <f>IF(A191&lt;=DPS_Graph_Max,IF(A191&gt;=DPS_Graph_Speed_Min,A191,),)</f>
        <v>-0.52</v>
      </c>
      <c r="M191" s="213">
        <f>If(DPS_Weapon_Type="远程",$E191/60+$F191*2,$E191/60+$F191+$G191/2+$H191)</f>
        <v>0.2</v>
      </c>
      <c r="N191" s="104">
        <f>IF(DPS_Graph_Tooltip_Speed=TRUE,IF($A191&lt;=DPS_Graph_Max,IF($A191&gt;=DPS_Graph_Speed_Min,1/M191,),),)</f>
        <v>5</v>
      </c>
      <c r="R191" s="104" t="str">
        <f>IF(DPS_Graph_Tooltip_Speed=TRUE,IF($E$8=$A191,1/$N$6,),)</f>
        <v/>
      </c>
    </row>
    <row r="192">
      <c r="A192" s="370">
        <v>-0.51</v>
      </c>
      <c r="B192" s="213">
        <f>If(DPS_Weapon_Type="远程",($E192+1)/60+(ROUNDDOWN($F192*60+1,0)/60)*2,(ROUNDDOWN(($E192+1)+ROUNDDOWN($F192*60+1,0)+ROUNDDOWN($G192/2*60+1,0)+ROUNDDOWN($H192*60+1,0)+1,0))/60+If(DPS_ATK_TYPE="挥砍",1/60)+If(DPS_ATK_TYPE="挥砍/刺击",1/120))+DPS_Weapon_Randomization/60</f>
        <v>0.2716666667</v>
      </c>
      <c r="C192" s="104">
        <f>IF(DPS_Graph_True_Speed=TRUE,IF($A192&lt;=DPS_Graph_Max,IF($A192&gt;=DPS_Graph_Speed_Min,1/B192,),),)</f>
        <v>3.680981595</v>
      </c>
      <c r="D192" s="115" t="str">
        <f>IF(DPS_Graph_True_Speed=TRUE,IF($E$8=$A192,DPS_Attacks_P_Sec,),)</f>
        <v/>
      </c>
      <c r="E192" s="222">
        <f>ROUNDDOWN(MAX(2,IF(A192&gt;=0, DPS_Base_Wpn_Spd/(1+A192),DPS_Base_Wpn_Spd*(1+ABS(A192)))),0)</f>
        <v>6</v>
      </c>
      <c r="F192" s="232">
        <f>IF(A192&gt;=0, DPS_Base_Recoil/(1+A192),DPS_Base_Recoil)</f>
        <v>0.05</v>
      </c>
      <c r="G192" s="377">
        <f t="shared" si="7"/>
        <v>1.108142857</v>
      </c>
      <c r="H192" s="377">
        <f t="shared" si="8"/>
        <v>0.2</v>
      </c>
      <c r="I192" s="104"/>
      <c r="J192" s="377">
        <f>MAX(0, Max(25,(DPS_Base_Range + ((DPS_Range_Stat) / 2))) / MIN(MAX(70, (70 * (1 + ($A192 / 3)))), 120))</f>
        <v>5.714285714</v>
      </c>
      <c r="K192" s="269">
        <f>IF(A192&lt;=DPS_Graph_Max,IF(A192&gt;=DPS_Graph_Speed_Min,A192,),)</f>
        <v>-0.51</v>
      </c>
      <c r="M192" s="213">
        <f>If(DPS_Weapon_Type="远程",$E192/60+$F192*2,$E192/60+$F192+$G192/2+$H192)</f>
        <v>0.2</v>
      </c>
      <c r="N192" s="104">
        <f>IF(DPS_Graph_Tooltip_Speed=TRUE,IF($A192&lt;=DPS_Graph_Max,IF($A192&gt;=DPS_Graph_Speed_Min,1/M192,),),)</f>
        <v>5</v>
      </c>
      <c r="R192" s="104" t="str">
        <f>IF(DPS_Graph_Tooltip_Speed=TRUE,IF($E$8=$A192,1/$N$6,),)</f>
        <v/>
      </c>
    </row>
    <row r="193">
      <c r="A193" s="370">
        <v>-0.5</v>
      </c>
      <c r="B193" s="213">
        <f>If(DPS_Weapon_Type="远程",($E193+1)/60+(ROUNDDOWN($F193*60+1,0)/60)*2,(ROUNDDOWN(($E193+1)+ROUNDDOWN($F193*60+1,0)+ROUNDDOWN($G193/2*60+1,0)+ROUNDDOWN($H193*60+1,0)+1,0))/60+If(DPS_ATK_TYPE="挥砍",1/60)+If(DPS_ATK_TYPE="挥砍/刺击",1/120))+DPS_Weapon_Randomization/60</f>
        <v>0.2716666667</v>
      </c>
      <c r="C193" s="104">
        <f>IF(DPS_Graph_True_Speed=TRUE,IF($A193&lt;=DPS_Graph_Max,IF($A193&gt;=DPS_Graph_Speed_Min,1/B193,),),)</f>
        <v>3.680981595</v>
      </c>
      <c r="D193" s="115" t="str">
        <f>IF(DPS_Graph_True_Speed=TRUE,IF($E$8=$A193,DPS_Attacks_P_Sec,),)</f>
        <v/>
      </c>
      <c r="E193" s="222">
        <f>ROUNDDOWN(MAX(2,IF(A193&gt;=0, DPS_Base_Wpn_Spd/(1+A193),DPS_Base_Wpn_Spd*(1+ABS(A193)))),0)</f>
        <v>6</v>
      </c>
      <c r="F193" s="232">
        <f>IF(A193&gt;=0, DPS_Base_Recoil/(1+A193),DPS_Base_Recoil)</f>
        <v>0.05</v>
      </c>
      <c r="G193" s="377">
        <f t="shared" si="7"/>
        <v>1.107142857</v>
      </c>
      <c r="H193" s="377">
        <f t="shared" si="8"/>
        <v>0.2</v>
      </c>
      <c r="I193" s="104"/>
      <c r="J193" s="377">
        <f>MAX(0, Max(25,(DPS_Base_Range + ((DPS_Range_Stat) / 2))) / MIN(MAX(70, (70 * (1 + ($A193 / 3)))), 120))</f>
        <v>5.714285714</v>
      </c>
      <c r="K193" s="269">
        <f>IF(A193&lt;=DPS_Graph_Max,IF(A193&gt;=DPS_Graph_Speed_Min,A193,),)</f>
        <v>-0.5</v>
      </c>
      <c r="M193" s="213">
        <f>If(DPS_Weapon_Type="远程",$E193/60+$F193*2,$E193/60+$F193+$G193/2+$H193)</f>
        <v>0.2</v>
      </c>
      <c r="N193" s="104">
        <f>IF(DPS_Graph_Tooltip_Speed=TRUE,IF($A193&lt;=DPS_Graph_Max,IF($A193&gt;=DPS_Graph_Speed_Min,1/M193,),),)</f>
        <v>5</v>
      </c>
      <c r="R193" s="104" t="str">
        <f>IF(DPS_Graph_Tooltip_Speed=TRUE,IF($E$8=$A193,1/$N$6,),)</f>
        <v/>
      </c>
    </row>
    <row r="194">
      <c r="A194" s="370">
        <v>-0.49</v>
      </c>
      <c r="B194" s="213">
        <f>If(DPS_Weapon_Type="远程",($E194+1)/60+(ROUNDDOWN($F194*60+1,0)/60)*2,(ROUNDDOWN(($E194+1)+ROUNDDOWN($F194*60+1,0)+ROUNDDOWN($G194/2*60+1,0)+ROUNDDOWN($H194*60+1,0)+1,0))/60+If(DPS_ATK_TYPE="挥砍",1/60)+If(DPS_ATK_TYPE="挥砍/刺击",1/120))+DPS_Weapon_Randomization/60</f>
        <v>0.255</v>
      </c>
      <c r="C194" s="104">
        <f>IF(DPS_Graph_True_Speed=TRUE,IF($A194&lt;=DPS_Graph_Max,IF($A194&gt;=DPS_Graph_Speed_Min,1/B194,),),)</f>
        <v>3.921568627</v>
      </c>
      <c r="D194" s="115" t="str">
        <f>IF(DPS_Graph_True_Speed=TRUE,IF($E$8=$A194,DPS_Attacks_P_Sec,),)</f>
        <v/>
      </c>
      <c r="E194" s="222">
        <f>ROUNDDOWN(MAX(2,IF(A194&gt;=0, DPS_Base_Wpn_Spd/(1+A194),DPS_Base_Wpn_Spd*(1+ABS(A194)))),0)</f>
        <v>5</v>
      </c>
      <c r="F194" s="232">
        <f>IF(A194&gt;=0, DPS_Base_Recoil/(1+A194),DPS_Base_Recoil)</f>
        <v>0.05</v>
      </c>
      <c r="G194" s="377">
        <f t="shared" si="7"/>
        <v>1.106142857</v>
      </c>
      <c r="H194" s="377">
        <f t="shared" si="8"/>
        <v>0.2</v>
      </c>
      <c r="I194" s="104"/>
      <c r="J194" s="377">
        <f>MAX(0, Max(25,(DPS_Base_Range + ((DPS_Range_Stat) / 2))) / MIN(MAX(70, (70 * (1 + ($A194 / 3)))), 120))</f>
        <v>5.714285714</v>
      </c>
      <c r="K194" s="269">
        <f>IF(A194&lt;=DPS_Graph_Max,IF(A194&gt;=DPS_Graph_Speed_Min,A194,),)</f>
        <v>-0.49</v>
      </c>
      <c r="M194" s="213">
        <f>If(DPS_Weapon_Type="远程",$E194/60+$F194*2,$E194/60+$F194+$G194/2+$H194)</f>
        <v>0.1833333333</v>
      </c>
      <c r="N194" s="104">
        <f>IF(DPS_Graph_Tooltip_Speed=TRUE,IF($A194&lt;=DPS_Graph_Max,IF($A194&gt;=DPS_Graph_Speed_Min,1/M194,),),)</f>
        <v>5.454545455</v>
      </c>
      <c r="R194" s="104" t="str">
        <f>IF(DPS_Graph_Tooltip_Speed=TRUE,IF($E$8=$A194,1/$N$6,),)</f>
        <v/>
      </c>
    </row>
    <row r="195">
      <c r="A195" s="370">
        <v>-0.48</v>
      </c>
      <c r="B195" s="213">
        <f>If(DPS_Weapon_Type="远程",($E195+1)/60+(ROUNDDOWN($F195*60+1,0)/60)*2,(ROUNDDOWN(($E195+1)+ROUNDDOWN($F195*60+1,0)+ROUNDDOWN($G195/2*60+1,0)+ROUNDDOWN($H195*60+1,0)+1,0))/60+If(DPS_ATK_TYPE="挥砍",1/60)+If(DPS_ATK_TYPE="挥砍/刺击",1/120))+DPS_Weapon_Randomization/60</f>
        <v>0.255</v>
      </c>
      <c r="C195" s="104">
        <f>IF(DPS_Graph_True_Speed=TRUE,IF($A195&lt;=DPS_Graph_Max,IF($A195&gt;=DPS_Graph_Speed_Min,1/B195,),),)</f>
        <v>3.921568627</v>
      </c>
      <c r="D195" s="115" t="str">
        <f>IF(DPS_Graph_True_Speed=TRUE,IF($E$8=$A195,DPS_Attacks_P_Sec,),)</f>
        <v/>
      </c>
      <c r="E195" s="222">
        <f>ROUNDDOWN(MAX(2,IF(A195&gt;=0, DPS_Base_Wpn_Spd/(1+A195),DPS_Base_Wpn_Spd*(1+ABS(A195)))),0)</f>
        <v>5</v>
      </c>
      <c r="F195" s="232">
        <f>IF(A195&gt;=0, DPS_Base_Recoil/(1+A195),DPS_Base_Recoil)</f>
        <v>0.05</v>
      </c>
      <c r="G195" s="377">
        <f t="shared" si="7"/>
        <v>1.105142857</v>
      </c>
      <c r="H195" s="377">
        <f t="shared" si="8"/>
        <v>0.2</v>
      </c>
      <c r="I195" s="104"/>
      <c r="J195" s="377">
        <f>MAX(0, Max(25,(DPS_Base_Range + ((DPS_Range_Stat) / 2))) / MIN(MAX(70, (70 * (1 + ($A195 / 3)))), 120))</f>
        <v>5.714285714</v>
      </c>
      <c r="K195" s="269">
        <f>IF(A195&lt;=DPS_Graph_Max,IF(A195&gt;=DPS_Graph_Speed_Min,A195,),)</f>
        <v>-0.48</v>
      </c>
      <c r="M195" s="213">
        <f>If(DPS_Weapon_Type="远程",$E195/60+$F195*2,$E195/60+$F195+$G195/2+$H195)</f>
        <v>0.1833333333</v>
      </c>
      <c r="N195" s="104">
        <f>IF(DPS_Graph_Tooltip_Speed=TRUE,IF($A195&lt;=DPS_Graph_Max,IF($A195&gt;=DPS_Graph_Speed_Min,1/M195,),),)</f>
        <v>5.454545455</v>
      </c>
      <c r="R195" s="104" t="str">
        <f>IF(DPS_Graph_Tooltip_Speed=TRUE,IF($E$8=$A195,1/$N$6,),)</f>
        <v/>
      </c>
    </row>
    <row r="196">
      <c r="A196" s="370">
        <v>-0.47</v>
      </c>
      <c r="B196" s="213">
        <f>If(DPS_Weapon_Type="远程",($E196+1)/60+(ROUNDDOWN($F196*60+1,0)/60)*2,(ROUNDDOWN(($E196+1)+ROUNDDOWN($F196*60+1,0)+ROUNDDOWN($G196/2*60+1,0)+ROUNDDOWN($H196*60+1,0)+1,0))/60+If(DPS_ATK_TYPE="挥砍",1/60)+If(DPS_ATK_TYPE="挥砍/刺击",1/120))+DPS_Weapon_Randomization/60</f>
        <v>0.255</v>
      </c>
      <c r="C196" s="104">
        <f>IF(DPS_Graph_True_Speed=TRUE,IF($A196&lt;=DPS_Graph_Max,IF($A196&gt;=DPS_Graph_Speed_Min,1/B196,),),)</f>
        <v>3.921568627</v>
      </c>
      <c r="D196" s="115" t="str">
        <f>IF(DPS_Graph_True_Speed=TRUE,IF($E$8=$A196,DPS_Attacks_P_Sec,),)</f>
        <v/>
      </c>
      <c r="E196" s="222">
        <f>ROUNDDOWN(MAX(2,IF(A196&gt;=0, DPS_Base_Wpn_Spd/(1+A196),DPS_Base_Wpn_Spd*(1+ABS(A196)))),0)</f>
        <v>5</v>
      </c>
      <c r="F196" s="232">
        <f>IF(A196&gt;=0, DPS_Base_Recoil/(1+A196),DPS_Base_Recoil)</f>
        <v>0.05</v>
      </c>
      <c r="G196" s="377">
        <f t="shared" si="7"/>
        <v>1.104142857</v>
      </c>
      <c r="H196" s="377">
        <f t="shared" si="8"/>
        <v>0.2</v>
      </c>
      <c r="I196" s="104"/>
      <c r="J196" s="377">
        <f>MAX(0, Max(25,(DPS_Base_Range + ((DPS_Range_Stat) / 2))) / MIN(MAX(70, (70 * (1 + ($A196 / 3)))), 120))</f>
        <v>5.714285714</v>
      </c>
      <c r="K196" s="269">
        <f>IF(A196&lt;=DPS_Graph_Max,IF(A196&gt;=DPS_Graph_Speed_Min,A196,),)</f>
        <v>-0.47</v>
      </c>
      <c r="M196" s="213">
        <f>If(DPS_Weapon_Type="远程",$E196/60+$F196*2,$E196/60+$F196+$G196/2+$H196)</f>
        <v>0.1833333333</v>
      </c>
      <c r="N196" s="104">
        <f>IF(DPS_Graph_Tooltip_Speed=TRUE,IF($A196&lt;=DPS_Graph_Max,IF($A196&gt;=DPS_Graph_Speed_Min,1/M196,),),)</f>
        <v>5.454545455</v>
      </c>
      <c r="R196" s="104" t="str">
        <f>IF(DPS_Graph_Tooltip_Speed=TRUE,IF($E$8=$A196,1/$N$6,),)</f>
        <v/>
      </c>
    </row>
    <row r="197">
      <c r="A197" s="370">
        <v>-0.46</v>
      </c>
      <c r="B197" s="213">
        <f>If(DPS_Weapon_Type="远程",($E197+1)/60+(ROUNDDOWN($F197*60+1,0)/60)*2,(ROUNDDOWN(($E197+1)+ROUNDDOWN($F197*60+1,0)+ROUNDDOWN($G197/2*60+1,0)+ROUNDDOWN($H197*60+1,0)+1,0))/60+If(DPS_ATK_TYPE="挥砍",1/60)+If(DPS_ATK_TYPE="挥砍/刺击",1/120))+DPS_Weapon_Randomization/60</f>
        <v>0.255</v>
      </c>
      <c r="C197" s="104">
        <f>IF(DPS_Graph_True_Speed=TRUE,IF($A197&lt;=DPS_Graph_Max,IF($A197&gt;=DPS_Graph_Speed_Min,1/B197,),),)</f>
        <v>3.921568627</v>
      </c>
      <c r="D197" s="115" t="str">
        <f>IF(DPS_Graph_True_Speed=TRUE,IF($E$8=$A197,DPS_Attacks_P_Sec,),)</f>
        <v/>
      </c>
      <c r="E197" s="222">
        <f>ROUNDDOWN(MAX(2,IF(A197&gt;=0, DPS_Base_Wpn_Spd/(1+A197),DPS_Base_Wpn_Spd*(1+ABS(A197)))),0)</f>
        <v>5</v>
      </c>
      <c r="F197" s="232">
        <f>IF(A197&gt;=0, DPS_Base_Recoil/(1+A197),DPS_Base_Recoil)</f>
        <v>0.05</v>
      </c>
      <c r="G197" s="377">
        <f t="shared" si="7"/>
        <v>1.103142857</v>
      </c>
      <c r="H197" s="377">
        <f t="shared" si="8"/>
        <v>0.2</v>
      </c>
      <c r="I197" s="104"/>
      <c r="J197" s="377">
        <f>MAX(0, Max(25,(DPS_Base_Range + ((DPS_Range_Stat) / 2))) / MIN(MAX(70, (70 * (1 + ($A197 / 3)))), 120))</f>
        <v>5.714285714</v>
      </c>
      <c r="K197" s="269">
        <f>IF(A197&lt;=DPS_Graph_Max,IF(A197&gt;=DPS_Graph_Speed_Min,A197,),)</f>
        <v>-0.46</v>
      </c>
      <c r="M197" s="213">
        <f>If(DPS_Weapon_Type="远程",$E197/60+$F197*2,$E197/60+$F197+$G197/2+$H197)</f>
        <v>0.1833333333</v>
      </c>
      <c r="N197" s="104">
        <f>IF(DPS_Graph_Tooltip_Speed=TRUE,IF($A197&lt;=DPS_Graph_Max,IF($A197&gt;=DPS_Graph_Speed_Min,1/M197,),),)</f>
        <v>5.454545455</v>
      </c>
      <c r="R197" s="104" t="str">
        <f>IF(DPS_Graph_Tooltip_Speed=TRUE,IF($E$8=$A197,1/$N$6,),)</f>
        <v/>
      </c>
    </row>
    <row r="198">
      <c r="A198" s="370">
        <v>-0.45</v>
      </c>
      <c r="B198" s="213">
        <f>If(DPS_Weapon_Type="远程",($E198+1)/60+(ROUNDDOWN($F198*60+1,0)/60)*2,(ROUNDDOWN(($E198+1)+ROUNDDOWN($F198*60+1,0)+ROUNDDOWN($G198/2*60+1,0)+ROUNDDOWN($H198*60+1,0)+1,0))/60+If(DPS_ATK_TYPE="挥砍",1/60)+If(DPS_ATK_TYPE="挥砍/刺击",1/120))+DPS_Weapon_Randomization/60</f>
        <v>0.255</v>
      </c>
      <c r="C198" s="104">
        <f>IF(DPS_Graph_True_Speed=TRUE,IF($A198&lt;=DPS_Graph_Max,IF($A198&gt;=DPS_Graph_Speed_Min,1/B198,),),)</f>
        <v>3.921568627</v>
      </c>
      <c r="D198" s="115" t="str">
        <f>IF(DPS_Graph_True_Speed=TRUE,IF($E$8=$A198,DPS_Attacks_P_Sec,),)</f>
        <v/>
      </c>
      <c r="E198" s="222">
        <f>ROUNDDOWN(MAX(2,IF(A198&gt;=0, DPS_Base_Wpn_Spd/(1+A198),DPS_Base_Wpn_Spd*(1+ABS(A198)))),0)</f>
        <v>5</v>
      </c>
      <c r="F198" s="232">
        <f>IF(A198&gt;=0, DPS_Base_Recoil/(1+A198),DPS_Base_Recoil)</f>
        <v>0.05</v>
      </c>
      <c r="G198" s="377">
        <f t="shared" si="7"/>
        <v>1.102142857</v>
      </c>
      <c r="H198" s="377">
        <f t="shared" si="8"/>
        <v>0.2</v>
      </c>
      <c r="I198" s="104"/>
      <c r="J198" s="377">
        <f>MAX(0, Max(25,(DPS_Base_Range + ((DPS_Range_Stat) / 2))) / MIN(MAX(70, (70 * (1 + ($A198 / 3)))), 120))</f>
        <v>5.714285714</v>
      </c>
      <c r="K198" s="269">
        <f>IF(A198&lt;=DPS_Graph_Max,IF(A198&gt;=DPS_Graph_Speed_Min,A198,),)</f>
        <v>-0.45</v>
      </c>
      <c r="M198" s="213">
        <f>If(DPS_Weapon_Type="远程",$E198/60+$F198*2,$E198/60+$F198+$G198/2+$H198)</f>
        <v>0.1833333333</v>
      </c>
      <c r="N198" s="104">
        <f>IF(DPS_Graph_Tooltip_Speed=TRUE,IF($A198&lt;=DPS_Graph_Max,IF($A198&gt;=DPS_Graph_Speed_Min,1/M198,),),)</f>
        <v>5.454545455</v>
      </c>
      <c r="R198" s="104" t="str">
        <f>IF(DPS_Graph_Tooltip_Speed=TRUE,IF($E$8=$A198,1/$N$6,),)</f>
        <v/>
      </c>
    </row>
    <row r="199">
      <c r="A199" s="370">
        <v>-0.44</v>
      </c>
      <c r="B199" s="213">
        <f>If(DPS_Weapon_Type="远程",($E199+1)/60+(ROUNDDOWN($F199*60+1,0)/60)*2,(ROUNDDOWN(($E199+1)+ROUNDDOWN($F199*60+1,0)+ROUNDDOWN($G199/2*60+1,0)+ROUNDDOWN($H199*60+1,0)+1,0))/60+If(DPS_ATK_TYPE="挥砍",1/60)+If(DPS_ATK_TYPE="挥砍/刺击",1/120))+DPS_Weapon_Randomization/60</f>
        <v>0.255</v>
      </c>
      <c r="C199" s="104">
        <f>IF(DPS_Graph_True_Speed=TRUE,IF($A199&lt;=DPS_Graph_Max,IF($A199&gt;=DPS_Graph_Speed_Min,1/B199,),),)</f>
        <v>3.921568627</v>
      </c>
      <c r="D199" s="115" t="str">
        <f>IF(DPS_Graph_True_Speed=TRUE,IF($E$8=$A199,DPS_Attacks_P_Sec,),)</f>
        <v/>
      </c>
      <c r="E199" s="222">
        <f>ROUNDDOWN(MAX(2,IF(A199&gt;=0, DPS_Base_Wpn_Spd/(1+A199),DPS_Base_Wpn_Spd*(1+ABS(A199)))),0)</f>
        <v>5</v>
      </c>
      <c r="F199" s="232">
        <f>IF(A199&gt;=0, DPS_Base_Recoil/(1+A199),DPS_Base_Recoil)</f>
        <v>0.05</v>
      </c>
      <c r="G199" s="377">
        <f t="shared" si="7"/>
        <v>1.101142857</v>
      </c>
      <c r="H199" s="377">
        <f t="shared" si="8"/>
        <v>0.2</v>
      </c>
      <c r="I199" s="104"/>
      <c r="J199" s="377">
        <f>MAX(0, Max(25,(DPS_Base_Range + ((DPS_Range_Stat) / 2))) / MIN(MAX(70, (70 * (1 + ($A199 / 3)))), 120))</f>
        <v>5.714285714</v>
      </c>
      <c r="K199" s="269">
        <f>IF(A199&lt;=DPS_Graph_Max,IF(A199&gt;=DPS_Graph_Speed_Min,A199,),)</f>
        <v>-0.44</v>
      </c>
      <c r="M199" s="213">
        <f>If(DPS_Weapon_Type="远程",$E199/60+$F199*2,$E199/60+$F199+$G199/2+$H199)</f>
        <v>0.1833333333</v>
      </c>
      <c r="N199" s="104">
        <f>IF(DPS_Graph_Tooltip_Speed=TRUE,IF($A199&lt;=DPS_Graph_Max,IF($A199&gt;=DPS_Graph_Speed_Min,1/M199,),),)</f>
        <v>5.454545455</v>
      </c>
      <c r="R199" s="104" t="str">
        <f>IF(DPS_Graph_Tooltip_Speed=TRUE,IF($E$8=$A199,1/$N$6,),)</f>
        <v/>
      </c>
    </row>
    <row r="200">
      <c r="A200" s="370">
        <v>-0.43</v>
      </c>
      <c r="B200" s="213">
        <f>If(DPS_Weapon_Type="远程",($E200+1)/60+(ROUNDDOWN($F200*60+1,0)/60)*2,(ROUNDDOWN(($E200+1)+ROUNDDOWN($F200*60+1,0)+ROUNDDOWN($G200/2*60+1,0)+ROUNDDOWN($H200*60+1,0)+1,0))/60+If(DPS_ATK_TYPE="挥砍",1/60)+If(DPS_ATK_TYPE="挥砍/刺击",1/120))+DPS_Weapon_Randomization/60</f>
        <v>0.255</v>
      </c>
      <c r="C200" s="104">
        <f>IF(DPS_Graph_True_Speed=TRUE,IF($A200&lt;=DPS_Graph_Max,IF($A200&gt;=DPS_Graph_Speed_Min,1/B200,),),)</f>
        <v>3.921568627</v>
      </c>
      <c r="D200" s="115" t="str">
        <f>IF(DPS_Graph_True_Speed=TRUE,IF($E$8=$A200,DPS_Attacks_P_Sec,),)</f>
        <v/>
      </c>
      <c r="E200" s="222">
        <f>ROUNDDOWN(MAX(2,IF(A200&gt;=0, DPS_Base_Wpn_Spd/(1+A200),DPS_Base_Wpn_Spd*(1+ABS(A200)))),0)</f>
        <v>5</v>
      </c>
      <c r="F200" s="232">
        <f>IF(A200&gt;=0, DPS_Base_Recoil/(1+A200),DPS_Base_Recoil)</f>
        <v>0.05</v>
      </c>
      <c r="G200" s="377">
        <f t="shared" si="7"/>
        <v>1.100142857</v>
      </c>
      <c r="H200" s="377">
        <f t="shared" si="8"/>
        <v>0.2</v>
      </c>
      <c r="I200" s="104"/>
      <c r="J200" s="377">
        <f>MAX(0, Max(25,(DPS_Base_Range + ((DPS_Range_Stat) / 2))) / MIN(MAX(70, (70 * (1 + ($A200 / 3)))), 120))</f>
        <v>5.714285714</v>
      </c>
      <c r="K200" s="269">
        <f>IF(A200&lt;=DPS_Graph_Max,IF(A200&gt;=DPS_Graph_Speed_Min,A200,),)</f>
        <v>-0.43</v>
      </c>
      <c r="M200" s="213">
        <f>If(DPS_Weapon_Type="远程",$E200/60+$F200*2,$E200/60+$F200+$G200/2+$H200)</f>
        <v>0.1833333333</v>
      </c>
      <c r="N200" s="104">
        <f>IF(DPS_Graph_Tooltip_Speed=TRUE,IF($A200&lt;=DPS_Graph_Max,IF($A200&gt;=DPS_Graph_Speed_Min,1/M200,),),)</f>
        <v>5.454545455</v>
      </c>
      <c r="R200" s="104" t="str">
        <f>IF(DPS_Graph_Tooltip_Speed=TRUE,IF($E$8=$A200,1/$N$6,),)</f>
        <v/>
      </c>
    </row>
    <row r="201">
      <c r="A201" s="370">
        <v>-0.42</v>
      </c>
      <c r="B201" s="213">
        <f>If(DPS_Weapon_Type="远程",($E201+1)/60+(ROUNDDOWN($F201*60+1,0)/60)*2,(ROUNDDOWN(($E201+1)+ROUNDDOWN($F201*60+1,0)+ROUNDDOWN($G201/2*60+1,0)+ROUNDDOWN($H201*60+1,0)+1,0))/60+If(DPS_ATK_TYPE="挥砍",1/60)+If(DPS_ATK_TYPE="挥砍/刺击",1/120))+DPS_Weapon_Randomization/60</f>
        <v>0.255</v>
      </c>
      <c r="C201" s="104">
        <f>IF(DPS_Graph_True_Speed=TRUE,IF($A201&lt;=DPS_Graph_Max,IF($A201&gt;=DPS_Graph_Speed_Min,1/B201,),),)</f>
        <v>3.921568627</v>
      </c>
      <c r="D201" s="115" t="str">
        <f>IF(DPS_Graph_True_Speed=TRUE,IF($E$8=$A201,DPS_Attacks_P_Sec,),)</f>
        <v/>
      </c>
      <c r="E201" s="222">
        <f>ROUNDDOWN(MAX(2,IF(A201&gt;=0, DPS_Base_Wpn_Spd/(1+A201),DPS_Base_Wpn_Spd*(1+ABS(A201)))),0)</f>
        <v>5</v>
      </c>
      <c r="F201" s="232">
        <f>IF(A201&gt;=0, DPS_Base_Recoil/(1+A201),DPS_Base_Recoil)</f>
        <v>0.05</v>
      </c>
      <c r="G201" s="377">
        <f t="shared" si="7"/>
        <v>1.099142857</v>
      </c>
      <c r="H201" s="377">
        <f t="shared" si="8"/>
        <v>0.2</v>
      </c>
      <c r="I201" s="104"/>
      <c r="J201" s="377">
        <f>MAX(0, Max(25,(DPS_Base_Range + ((DPS_Range_Stat) / 2))) / MIN(MAX(70, (70 * (1 + ($A201 / 3)))), 120))</f>
        <v>5.714285714</v>
      </c>
      <c r="K201" s="269">
        <f>IF(A201&lt;=DPS_Graph_Max,IF(A201&gt;=DPS_Graph_Speed_Min,A201,),)</f>
        <v>-0.42</v>
      </c>
      <c r="M201" s="213">
        <f>If(DPS_Weapon_Type="远程",$E201/60+$F201*2,$E201/60+$F201+$G201/2+$H201)</f>
        <v>0.1833333333</v>
      </c>
      <c r="N201" s="104">
        <f>IF(DPS_Graph_Tooltip_Speed=TRUE,IF($A201&lt;=DPS_Graph_Max,IF($A201&gt;=DPS_Graph_Speed_Min,1/M201,),),)</f>
        <v>5.454545455</v>
      </c>
      <c r="R201" s="104" t="str">
        <f>IF(DPS_Graph_Tooltip_Speed=TRUE,IF($E$8=$A201,1/$N$6,),)</f>
        <v/>
      </c>
    </row>
    <row r="202">
      <c r="A202" s="370">
        <v>-0.41</v>
      </c>
      <c r="B202" s="213">
        <f>If(DPS_Weapon_Type="远程",($E202+1)/60+(ROUNDDOWN($F202*60+1,0)/60)*2,(ROUNDDOWN(($E202+1)+ROUNDDOWN($F202*60+1,0)+ROUNDDOWN($G202/2*60+1,0)+ROUNDDOWN($H202*60+1,0)+1,0))/60+If(DPS_ATK_TYPE="挥砍",1/60)+If(DPS_ATK_TYPE="挥砍/刺击",1/120))+DPS_Weapon_Randomization/60</f>
        <v>0.255</v>
      </c>
      <c r="C202" s="104">
        <f>IF(DPS_Graph_True_Speed=TRUE,IF($A202&lt;=DPS_Graph_Max,IF($A202&gt;=DPS_Graph_Speed_Min,1/B202,),),)</f>
        <v>3.921568627</v>
      </c>
      <c r="D202" s="115" t="str">
        <f>IF(DPS_Graph_True_Speed=TRUE,IF($E$8=$A202,DPS_Attacks_P_Sec,),)</f>
        <v/>
      </c>
      <c r="E202" s="222">
        <f>ROUNDDOWN(MAX(2,IF(A202&gt;=0, DPS_Base_Wpn_Spd/(1+A202),DPS_Base_Wpn_Spd*(1+ABS(A202)))),0)</f>
        <v>5</v>
      </c>
      <c r="F202" s="232">
        <f>IF(A202&gt;=0, DPS_Base_Recoil/(1+A202),DPS_Base_Recoil)</f>
        <v>0.05</v>
      </c>
      <c r="G202" s="377">
        <f t="shared" si="7"/>
        <v>1.098142857</v>
      </c>
      <c r="H202" s="377">
        <f t="shared" si="8"/>
        <v>0.2</v>
      </c>
      <c r="I202" s="104"/>
      <c r="J202" s="377">
        <f>MAX(0, Max(25,(DPS_Base_Range + ((DPS_Range_Stat) / 2))) / MIN(MAX(70, (70 * (1 + ($A202 / 3)))), 120))</f>
        <v>5.714285714</v>
      </c>
      <c r="K202" s="269">
        <f>IF(A202&lt;=DPS_Graph_Max,IF(A202&gt;=DPS_Graph_Speed_Min,A202,),)</f>
        <v>-0.41</v>
      </c>
      <c r="M202" s="213">
        <f>If(DPS_Weapon_Type="远程",$E202/60+$F202*2,$E202/60+$F202+$G202/2+$H202)</f>
        <v>0.1833333333</v>
      </c>
      <c r="N202" s="104">
        <f>IF(DPS_Graph_Tooltip_Speed=TRUE,IF($A202&lt;=DPS_Graph_Max,IF($A202&gt;=DPS_Graph_Speed_Min,1/M202,),),)</f>
        <v>5.454545455</v>
      </c>
      <c r="R202" s="104" t="str">
        <f>IF(DPS_Graph_Tooltip_Speed=TRUE,IF($E$8=$A202,1/$N$6,),)</f>
        <v/>
      </c>
    </row>
    <row r="203">
      <c r="A203" s="370">
        <v>-0.4</v>
      </c>
      <c r="B203" s="213">
        <f>If(DPS_Weapon_Type="远程",($E203+1)/60+(ROUNDDOWN($F203*60+1,0)/60)*2,(ROUNDDOWN(($E203+1)+ROUNDDOWN($F203*60+1,0)+ROUNDDOWN($G203/2*60+1,0)+ROUNDDOWN($H203*60+1,0)+1,0))/60+If(DPS_ATK_TYPE="挥砍",1/60)+If(DPS_ATK_TYPE="挥砍/刺击",1/120))+DPS_Weapon_Randomization/60</f>
        <v>0.255</v>
      </c>
      <c r="C203" s="104">
        <f>IF(DPS_Graph_True_Speed=TRUE,IF($A203&lt;=DPS_Graph_Max,IF($A203&gt;=DPS_Graph_Speed_Min,1/B203,),),)</f>
        <v>3.921568627</v>
      </c>
      <c r="D203" s="115" t="str">
        <f>IF(DPS_Graph_True_Speed=TRUE,IF($E$8=$A203,DPS_Attacks_P_Sec,),)</f>
        <v/>
      </c>
      <c r="E203" s="222">
        <f>ROUNDDOWN(MAX(2,IF(A203&gt;=0, DPS_Base_Wpn_Spd/(1+A203),DPS_Base_Wpn_Spd*(1+ABS(A203)))),0)</f>
        <v>5</v>
      </c>
      <c r="F203" s="232">
        <f>IF(A203&gt;=0, DPS_Base_Recoil/(1+A203),DPS_Base_Recoil)</f>
        <v>0.05</v>
      </c>
      <c r="G203" s="377">
        <f t="shared" si="7"/>
        <v>1.097142857</v>
      </c>
      <c r="H203" s="377">
        <f t="shared" si="8"/>
        <v>0.2</v>
      </c>
      <c r="I203" s="104"/>
      <c r="J203" s="377">
        <f>MAX(0, Max(25,(DPS_Base_Range + ((DPS_Range_Stat) / 2))) / MIN(MAX(70, (70 * (1 + ($A203 / 3)))), 120))</f>
        <v>5.714285714</v>
      </c>
      <c r="K203" s="269">
        <f>IF(A203&lt;=DPS_Graph_Max,IF(A203&gt;=DPS_Graph_Speed_Min,A203,),)</f>
        <v>-0.4</v>
      </c>
      <c r="M203" s="213">
        <f>If(DPS_Weapon_Type="远程",$E203/60+$F203*2,$E203/60+$F203+$G203/2+$H203)</f>
        <v>0.1833333333</v>
      </c>
      <c r="N203" s="104">
        <f>IF(DPS_Graph_Tooltip_Speed=TRUE,IF($A203&lt;=DPS_Graph_Max,IF($A203&gt;=DPS_Graph_Speed_Min,1/M203,),),)</f>
        <v>5.454545455</v>
      </c>
      <c r="R203" s="104" t="str">
        <f>IF(DPS_Graph_Tooltip_Speed=TRUE,IF($E$8=$A203,1/$N$6,),)</f>
        <v/>
      </c>
    </row>
    <row r="204">
      <c r="A204" s="370">
        <v>-0.39</v>
      </c>
      <c r="B204" s="213">
        <f>If(DPS_Weapon_Type="远程",($E204+1)/60+(ROUNDDOWN($F204*60+1,0)/60)*2,(ROUNDDOWN(($E204+1)+ROUNDDOWN($F204*60+1,0)+ROUNDDOWN($G204/2*60+1,0)+ROUNDDOWN($H204*60+1,0)+1,0))/60+If(DPS_ATK_TYPE="挥砍",1/60)+If(DPS_ATK_TYPE="挥砍/刺击",1/120))+DPS_Weapon_Randomization/60</f>
        <v>0.255</v>
      </c>
      <c r="C204" s="104">
        <f>IF(DPS_Graph_True_Speed=TRUE,IF($A204&lt;=DPS_Graph_Max,IF($A204&gt;=DPS_Graph_Speed_Min,1/B204,),),)</f>
        <v>3.921568627</v>
      </c>
      <c r="D204" s="115" t="str">
        <f>IF(DPS_Graph_True_Speed=TRUE,IF($E$8=$A204,DPS_Attacks_P_Sec,),)</f>
        <v/>
      </c>
      <c r="E204" s="222">
        <f>ROUNDDOWN(MAX(2,IF(A204&gt;=0, DPS_Base_Wpn_Spd/(1+A204),DPS_Base_Wpn_Spd*(1+ABS(A204)))),0)</f>
        <v>5</v>
      </c>
      <c r="F204" s="232">
        <f>IF(A204&gt;=0, DPS_Base_Recoil/(1+A204),DPS_Base_Recoil)</f>
        <v>0.05</v>
      </c>
      <c r="G204" s="377">
        <f t="shared" si="7"/>
        <v>1.096142857</v>
      </c>
      <c r="H204" s="377">
        <f t="shared" si="8"/>
        <v>0.2</v>
      </c>
      <c r="I204" s="104"/>
      <c r="J204" s="377">
        <f>MAX(0, Max(25,(DPS_Base_Range + ((DPS_Range_Stat) / 2))) / MIN(MAX(70, (70 * (1 + ($A204 / 3)))), 120))</f>
        <v>5.714285714</v>
      </c>
      <c r="K204" s="269">
        <f>IF(A204&lt;=DPS_Graph_Max,IF(A204&gt;=DPS_Graph_Speed_Min,A204,),)</f>
        <v>-0.39</v>
      </c>
      <c r="M204" s="213">
        <f>If(DPS_Weapon_Type="远程",$E204/60+$F204*2,$E204/60+$F204+$G204/2+$H204)</f>
        <v>0.1833333333</v>
      </c>
      <c r="N204" s="104">
        <f>IF(DPS_Graph_Tooltip_Speed=TRUE,IF($A204&lt;=DPS_Graph_Max,IF($A204&gt;=DPS_Graph_Speed_Min,1/M204,),),)</f>
        <v>5.454545455</v>
      </c>
      <c r="R204" s="104" t="str">
        <f>IF(DPS_Graph_Tooltip_Speed=TRUE,IF($E$8=$A204,1/$N$6,),)</f>
        <v/>
      </c>
    </row>
    <row r="205">
      <c r="A205" s="370">
        <v>-0.38</v>
      </c>
      <c r="B205" s="213">
        <f>If(DPS_Weapon_Type="远程",($E205+1)/60+(ROUNDDOWN($F205*60+1,0)/60)*2,(ROUNDDOWN(($E205+1)+ROUNDDOWN($F205*60+1,0)+ROUNDDOWN($G205/2*60+1,0)+ROUNDDOWN($H205*60+1,0)+1,0))/60+If(DPS_ATK_TYPE="挥砍",1/60)+If(DPS_ATK_TYPE="挥砍/刺击",1/120))+DPS_Weapon_Randomization/60</f>
        <v>0.255</v>
      </c>
      <c r="C205" s="104">
        <f>IF(DPS_Graph_True_Speed=TRUE,IF($A205&lt;=DPS_Graph_Max,IF($A205&gt;=DPS_Graph_Speed_Min,1/B205,),),)</f>
        <v>3.921568627</v>
      </c>
      <c r="D205" s="115" t="str">
        <f>IF(DPS_Graph_True_Speed=TRUE,IF($E$8=$A205,DPS_Attacks_P_Sec,),)</f>
        <v/>
      </c>
      <c r="E205" s="222">
        <f>ROUNDDOWN(MAX(2,IF(A205&gt;=0, DPS_Base_Wpn_Spd/(1+A205),DPS_Base_Wpn_Spd*(1+ABS(A205)))),0)</f>
        <v>5</v>
      </c>
      <c r="F205" s="232">
        <f>IF(A205&gt;=0, DPS_Base_Recoil/(1+A205),DPS_Base_Recoil)</f>
        <v>0.05</v>
      </c>
      <c r="G205" s="377">
        <f t="shared" si="7"/>
        <v>1.095142857</v>
      </c>
      <c r="H205" s="377">
        <f t="shared" si="8"/>
        <v>0.2</v>
      </c>
      <c r="I205" s="104"/>
      <c r="J205" s="377">
        <f>MAX(0, Max(25,(DPS_Base_Range + ((DPS_Range_Stat) / 2))) / MIN(MAX(70, (70 * (1 + ($A205 / 3)))), 120))</f>
        <v>5.714285714</v>
      </c>
      <c r="K205" s="269">
        <f>IF(A205&lt;=DPS_Graph_Max,IF(A205&gt;=DPS_Graph_Speed_Min,A205,),)</f>
        <v>-0.38</v>
      </c>
      <c r="M205" s="213">
        <f>If(DPS_Weapon_Type="远程",$E205/60+$F205*2,$E205/60+$F205+$G205/2+$H205)</f>
        <v>0.1833333333</v>
      </c>
      <c r="N205" s="104">
        <f>IF(DPS_Graph_Tooltip_Speed=TRUE,IF($A205&lt;=DPS_Graph_Max,IF($A205&gt;=DPS_Graph_Speed_Min,1/M205,),),)</f>
        <v>5.454545455</v>
      </c>
      <c r="R205" s="104" t="str">
        <f>IF(DPS_Graph_Tooltip_Speed=TRUE,IF($E$8=$A205,1/$N$6,),)</f>
        <v/>
      </c>
    </row>
    <row r="206">
      <c r="A206" s="370">
        <v>-0.37</v>
      </c>
      <c r="B206" s="213">
        <f>If(DPS_Weapon_Type="远程",($E206+1)/60+(ROUNDDOWN($F206*60+1,0)/60)*2,(ROUNDDOWN(($E206+1)+ROUNDDOWN($F206*60+1,0)+ROUNDDOWN($G206/2*60+1,0)+ROUNDDOWN($H206*60+1,0)+1,0))/60+If(DPS_ATK_TYPE="挥砍",1/60)+If(DPS_ATK_TYPE="挥砍/刺击",1/120))+DPS_Weapon_Randomization/60</f>
        <v>0.255</v>
      </c>
      <c r="C206" s="104">
        <f>IF(DPS_Graph_True_Speed=TRUE,IF($A206&lt;=DPS_Graph_Max,IF($A206&gt;=DPS_Graph_Speed_Min,1/B206,),),)</f>
        <v>3.921568627</v>
      </c>
      <c r="D206" s="115" t="str">
        <f>IF(DPS_Graph_True_Speed=TRUE,IF($E$8=$A206,DPS_Attacks_P_Sec,),)</f>
        <v/>
      </c>
      <c r="E206" s="222">
        <f>ROUNDDOWN(MAX(2,IF(A206&gt;=0, DPS_Base_Wpn_Spd/(1+A206),DPS_Base_Wpn_Spd*(1+ABS(A206)))),0)</f>
        <v>5</v>
      </c>
      <c r="F206" s="232">
        <f>IF(A206&gt;=0, DPS_Base_Recoil/(1+A206),DPS_Base_Recoil)</f>
        <v>0.05</v>
      </c>
      <c r="G206" s="377">
        <f t="shared" si="7"/>
        <v>1.094142857</v>
      </c>
      <c r="H206" s="377">
        <f t="shared" si="8"/>
        <v>0.2</v>
      </c>
      <c r="I206" s="104"/>
      <c r="J206" s="377">
        <f>MAX(0, Max(25,(DPS_Base_Range + ((DPS_Range_Stat) / 2))) / MIN(MAX(70, (70 * (1 + ($A206 / 3)))), 120))</f>
        <v>5.714285714</v>
      </c>
      <c r="K206" s="269">
        <f>IF(A206&lt;=DPS_Graph_Max,IF(A206&gt;=DPS_Graph_Speed_Min,A206,),)</f>
        <v>-0.37</v>
      </c>
      <c r="M206" s="213">
        <f>If(DPS_Weapon_Type="远程",$E206/60+$F206*2,$E206/60+$F206+$G206/2+$H206)</f>
        <v>0.1833333333</v>
      </c>
      <c r="N206" s="104">
        <f>IF(DPS_Graph_Tooltip_Speed=TRUE,IF($A206&lt;=DPS_Graph_Max,IF($A206&gt;=DPS_Graph_Speed_Min,1/M206,),),)</f>
        <v>5.454545455</v>
      </c>
      <c r="R206" s="104" t="str">
        <f>IF(DPS_Graph_Tooltip_Speed=TRUE,IF($E$8=$A206,1/$N$6,),)</f>
        <v/>
      </c>
    </row>
    <row r="207">
      <c r="A207" s="370">
        <v>-0.36</v>
      </c>
      <c r="B207" s="213">
        <f>If(DPS_Weapon_Type="远程",($E207+1)/60+(ROUNDDOWN($F207*60+1,0)/60)*2,(ROUNDDOWN(($E207+1)+ROUNDDOWN($F207*60+1,0)+ROUNDDOWN($G207/2*60+1,0)+ROUNDDOWN($H207*60+1,0)+1,0))/60+If(DPS_ATK_TYPE="挥砍",1/60)+If(DPS_ATK_TYPE="挥砍/刺击",1/120))+DPS_Weapon_Randomization/60</f>
        <v>0.255</v>
      </c>
      <c r="C207" s="104">
        <f>IF(DPS_Graph_True_Speed=TRUE,IF($A207&lt;=DPS_Graph_Max,IF($A207&gt;=DPS_Graph_Speed_Min,1/B207,),),)</f>
        <v>3.921568627</v>
      </c>
      <c r="D207" s="115" t="str">
        <f>IF(DPS_Graph_True_Speed=TRUE,IF($E$8=$A207,DPS_Attacks_P_Sec,),)</f>
        <v/>
      </c>
      <c r="E207" s="222">
        <f>ROUNDDOWN(MAX(2,IF(A207&gt;=0, DPS_Base_Wpn_Spd/(1+A207),DPS_Base_Wpn_Spd*(1+ABS(A207)))),0)</f>
        <v>5</v>
      </c>
      <c r="F207" s="232">
        <f>IF(A207&gt;=0, DPS_Base_Recoil/(1+A207),DPS_Base_Recoil)</f>
        <v>0.05</v>
      </c>
      <c r="G207" s="377">
        <f t="shared" si="7"/>
        <v>1.093142857</v>
      </c>
      <c r="H207" s="377">
        <f t="shared" si="8"/>
        <v>0.2</v>
      </c>
      <c r="I207" s="104"/>
      <c r="J207" s="377">
        <f>MAX(0, Max(25,(DPS_Base_Range + ((DPS_Range_Stat) / 2))) / MIN(MAX(70, (70 * (1 + ($A207 / 3)))), 120))</f>
        <v>5.714285714</v>
      </c>
      <c r="K207" s="269">
        <f>IF(A207&lt;=DPS_Graph_Max,IF(A207&gt;=DPS_Graph_Speed_Min,A207,),)</f>
        <v>-0.36</v>
      </c>
      <c r="M207" s="213">
        <f>If(DPS_Weapon_Type="远程",$E207/60+$F207*2,$E207/60+$F207+$G207/2+$H207)</f>
        <v>0.1833333333</v>
      </c>
      <c r="N207" s="104">
        <f>IF(DPS_Graph_Tooltip_Speed=TRUE,IF($A207&lt;=DPS_Graph_Max,IF($A207&gt;=DPS_Graph_Speed_Min,1/M207,),),)</f>
        <v>5.454545455</v>
      </c>
      <c r="R207" s="104" t="str">
        <f>IF(DPS_Graph_Tooltip_Speed=TRUE,IF($E$8=$A207,1/$N$6,),)</f>
        <v/>
      </c>
    </row>
    <row r="208">
      <c r="A208" s="370">
        <v>-0.35</v>
      </c>
      <c r="B208" s="213">
        <f>If(DPS_Weapon_Type="远程",($E208+1)/60+(ROUNDDOWN($F208*60+1,0)/60)*2,(ROUNDDOWN(($E208+1)+ROUNDDOWN($F208*60+1,0)+ROUNDDOWN($G208/2*60+1,0)+ROUNDDOWN($H208*60+1,0)+1,0))/60+If(DPS_ATK_TYPE="挥砍",1/60)+If(DPS_ATK_TYPE="挥砍/刺击",1/120))+DPS_Weapon_Randomization/60</f>
        <v>0.255</v>
      </c>
      <c r="C208" s="104">
        <f>IF(DPS_Graph_True_Speed=TRUE,IF($A208&lt;=DPS_Graph_Max,IF($A208&gt;=DPS_Graph_Speed_Min,1/B208,),),)</f>
        <v>3.921568627</v>
      </c>
      <c r="D208" s="115" t="str">
        <f>IF(DPS_Graph_True_Speed=TRUE,IF($E$8=$A208,DPS_Attacks_P_Sec,),)</f>
        <v/>
      </c>
      <c r="E208" s="222">
        <f>ROUNDDOWN(MAX(2,IF(A208&gt;=0, DPS_Base_Wpn_Spd/(1+A208),DPS_Base_Wpn_Spd*(1+ABS(A208)))),0)</f>
        <v>5</v>
      </c>
      <c r="F208" s="232">
        <f>IF(A208&gt;=0, DPS_Base_Recoil/(1+A208),DPS_Base_Recoil)</f>
        <v>0.05</v>
      </c>
      <c r="G208" s="377">
        <f t="shared" si="7"/>
        <v>1.092142857</v>
      </c>
      <c r="H208" s="377">
        <f t="shared" si="8"/>
        <v>0.2</v>
      </c>
      <c r="I208" s="104"/>
      <c r="J208" s="377">
        <f>MAX(0, Max(25,(DPS_Base_Range + ((DPS_Range_Stat) / 2))) / MIN(MAX(70, (70 * (1 + ($A208 / 3)))), 120))</f>
        <v>5.714285714</v>
      </c>
      <c r="K208" s="269">
        <f>IF(A208&lt;=DPS_Graph_Max,IF(A208&gt;=DPS_Graph_Speed_Min,A208,),)</f>
        <v>-0.35</v>
      </c>
      <c r="M208" s="213">
        <f>If(DPS_Weapon_Type="远程",$E208/60+$F208*2,$E208/60+$F208+$G208/2+$H208)</f>
        <v>0.1833333333</v>
      </c>
      <c r="N208" s="104">
        <f>IF(DPS_Graph_Tooltip_Speed=TRUE,IF($A208&lt;=DPS_Graph_Max,IF($A208&gt;=DPS_Graph_Speed_Min,1/M208,),),)</f>
        <v>5.454545455</v>
      </c>
      <c r="R208" s="104" t="str">
        <f>IF(DPS_Graph_Tooltip_Speed=TRUE,IF($E$8=$A208,1/$N$6,),)</f>
        <v/>
      </c>
    </row>
    <row r="209">
      <c r="A209" s="370">
        <v>-0.34</v>
      </c>
      <c r="B209" s="213">
        <f>If(DPS_Weapon_Type="远程",($E209+1)/60+(ROUNDDOWN($F209*60+1,0)/60)*2,(ROUNDDOWN(($E209+1)+ROUNDDOWN($F209*60+1,0)+ROUNDDOWN($G209/2*60+1,0)+ROUNDDOWN($H209*60+1,0)+1,0))/60+If(DPS_ATK_TYPE="挥砍",1/60)+If(DPS_ATK_TYPE="挥砍/刺击",1/120))+DPS_Weapon_Randomization/60</f>
        <v>0.255</v>
      </c>
      <c r="C209" s="104">
        <f>IF(DPS_Graph_True_Speed=TRUE,IF($A209&lt;=DPS_Graph_Max,IF($A209&gt;=DPS_Graph_Speed_Min,1/B209,),),)</f>
        <v>3.921568627</v>
      </c>
      <c r="D209" s="115" t="str">
        <f>IF(DPS_Graph_True_Speed=TRUE,IF($E$8=$A209,DPS_Attacks_P_Sec,),)</f>
        <v/>
      </c>
      <c r="E209" s="222">
        <f>ROUNDDOWN(MAX(2,IF(A209&gt;=0, DPS_Base_Wpn_Spd/(1+A209),DPS_Base_Wpn_Spd*(1+ABS(A209)))),0)</f>
        <v>5</v>
      </c>
      <c r="F209" s="232">
        <f>IF(A209&gt;=0, DPS_Base_Recoil/(1+A209),DPS_Base_Recoil)</f>
        <v>0.05</v>
      </c>
      <c r="G209" s="377">
        <f t="shared" si="7"/>
        <v>1.091142857</v>
      </c>
      <c r="H209" s="377">
        <f t="shared" si="8"/>
        <v>0.2</v>
      </c>
      <c r="I209" s="104"/>
      <c r="J209" s="377">
        <f>MAX(0, Max(25,(DPS_Base_Range + ((DPS_Range_Stat) / 2))) / MIN(MAX(70, (70 * (1 + ($A209 / 3)))), 120))</f>
        <v>5.714285714</v>
      </c>
      <c r="K209" s="269">
        <f>IF(A209&lt;=DPS_Graph_Max,IF(A209&gt;=DPS_Graph_Speed_Min,A209,),)</f>
        <v>-0.34</v>
      </c>
      <c r="M209" s="213">
        <f>If(DPS_Weapon_Type="远程",$E209/60+$F209*2,$E209/60+$F209+$G209/2+$H209)</f>
        <v>0.1833333333</v>
      </c>
      <c r="N209" s="104">
        <f>IF(DPS_Graph_Tooltip_Speed=TRUE,IF($A209&lt;=DPS_Graph_Max,IF($A209&gt;=DPS_Graph_Speed_Min,1/M209,),),)</f>
        <v>5.454545455</v>
      </c>
      <c r="R209" s="104" t="str">
        <f>IF(DPS_Graph_Tooltip_Speed=TRUE,IF($E$8=$A209,1/$N$6,),)</f>
        <v/>
      </c>
    </row>
    <row r="210">
      <c r="A210" s="370">
        <v>-0.33</v>
      </c>
      <c r="B210" s="213">
        <f>If(DPS_Weapon_Type="远程",($E210+1)/60+(ROUNDDOWN($F210*60+1,0)/60)*2,(ROUNDDOWN(($E210+1)+ROUNDDOWN($F210*60+1,0)+ROUNDDOWN($G210/2*60+1,0)+ROUNDDOWN($H210*60+1,0)+1,0))/60+If(DPS_ATK_TYPE="挥砍",1/60)+If(DPS_ATK_TYPE="挥砍/刺击",1/120))+DPS_Weapon_Randomization/60</f>
        <v>0.255</v>
      </c>
      <c r="C210" s="104">
        <f>IF(DPS_Graph_True_Speed=TRUE,IF($A210&lt;=DPS_Graph_Max,IF($A210&gt;=DPS_Graph_Speed_Min,1/B210,),),)</f>
        <v>3.921568627</v>
      </c>
      <c r="D210" s="115" t="str">
        <f>IF(DPS_Graph_True_Speed=TRUE,IF($E$8=$A210,DPS_Attacks_P_Sec,),)</f>
        <v/>
      </c>
      <c r="E210" s="222">
        <f>ROUNDDOWN(MAX(2,IF(A210&gt;=0, DPS_Base_Wpn_Spd/(1+A210),DPS_Base_Wpn_Spd*(1+ABS(A210)))),0)</f>
        <v>5</v>
      </c>
      <c r="F210" s="232">
        <f>IF(A210&gt;=0, DPS_Base_Recoil/(1+A210),DPS_Base_Recoil)</f>
        <v>0.05</v>
      </c>
      <c r="G210" s="377">
        <f t="shared" si="7"/>
        <v>1.090142857</v>
      </c>
      <c r="H210" s="377">
        <f t="shared" si="8"/>
        <v>0.2</v>
      </c>
      <c r="I210" s="104"/>
      <c r="J210" s="377">
        <f>MAX(0, Max(25,(DPS_Base_Range + ((DPS_Range_Stat) / 2))) / MIN(MAX(70, (70 * (1 + ($A210 / 3)))), 120))</f>
        <v>5.714285714</v>
      </c>
      <c r="K210" s="269">
        <f>IF(A210&lt;=DPS_Graph_Max,IF(A210&gt;=DPS_Graph_Speed_Min,A210,),)</f>
        <v>-0.33</v>
      </c>
      <c r="M210" s="213">
        <f>If(DPS_Weapon_Type="远程",$E210/60+$F210*2,$E210/60+$F210+$G210/2+$H210)</f>
        <v>0.1833333333</v>
      </c>
      <c r="N210" s="104">
        <f>IF(DPS_Graph_Tooltip_Speed=TRUE,IF($A210&lt;=DPS_Graph_Max,IF($A210&gt;=DPS_Graph_Speed_Min,1/M210,),),)</f>
        <v>5.454545455</v>
      </c>
      <c r="R210" s="104" t="str">
        <f>IF(DPS_Graph_Tooltip_Speed=TRUE,IF($E$8=$A210,1/$N$6,),)</f>
        <v/>
      </c>
    </row>
    <row r="211">
      <c r="A211" s="370">
        <v>-0.32</v>
      </c>
      <c r="B211" s="213">
        <f>If(DPS_Weapon_Type="远程",($E211+1)/60+(ROUNDDOWN($F211*60+1,0)/60)*2,(ROUNDDOWN(($E211+1)+ROUNDDOWN($F211*60+1,0)+ROUNDDOWN($G211/2*60+1,0)+ROUNDDOWN($H211*60+1,0)+1,0))/60+If(DPS_ATK_TYPE="挥砍",1/60)+If(DPS_ATK_TYPE="挥砍/刺击",1/120))+DPS_Weapon_Randomization/60</f>
        <v>0.255</v>
      </c>
      <c r="C211" s="104">
        <f>IF(DPS_Graph_True_Speed=TRUE,IF($A211&lt;=DPS_Graph_Max,IF($A211&gt;=DPS_Graph_Speed_Min,1/B211,),),)</f>
        <v>3.921568627</v>
      </c>
      <c r="D211" s="115" t="str">
        <f>IF(DPS_Graph_True_Speed=TRUE,IF($E$8=$A211,DPS_Attacks_P_Sec,),)</f>
        <v/>
      </c>
      <c r="E211" s="222">
        <f>ROUNDDOWN(MAX(2,IF(A211&gt;=0, DPS_Base_Wpn_Spd/(1+A211),DPS_Base_Wpn_Spd*(1+ABS(A211)))),0)</f>
        <v>5</v>
      </c>
      <c r="F211" s="232">
        <f>IF(A211&gt;=0, DPS_Base_Recoil/(1+A211),DPS_Base_Recoil)</f>
        <v>0.05</v>
      </c>
      <c r="G211" s="377">
        <f t="shared" si="7"/>
        <v>1.089142857</v>
      </c>
      <c r="H211" s="377">
        <f t="shared" si="8"/>
        <v>0.2</v>
      </c>
      <c r="I211" s="104"/>
      <c r="J211" s="377">
        <f>MAX(0, Max(25,(DPS_Base_Range + ((DPS_Range_Stat) / 2))) / MIN(MAX(70, (70 * (1 + ($A211 / 3)))), 120))</f>
        <v>5.714285714</v>
      </c>
      <c r="K211" s="269">
        <f>IF(A211&lt;=DPS_Graph_Max,IF(A211&gt;=DPS_Graph_Speed_Min,A211,),)</f>
        <v>-0.32</v>
      </c>
      <c r="M211" s="213">
        <f>If(DPS_Weapon_Type="远程",$E211/60+$F211*2,$E211/60+$F211+$G211/2+$H211)</f>
        <v>0.1833333333</v>
      </c>
      <c r="N211" s="104">
        <f>IF(DPS_Graph_Tooltip_Speed=TRUE,IF($A211&lt;=DPS_Graph_Max,IF($A211&gt;=DPS_Graph_Speed_Min,1/M211,),),)</f>
        <v>5.454545455</v>
      </c>
      <c r="R211" s="104" t="str">
        <f>IF(DPS_Graph_Tooltip_Speed=TRUE,IF($E$8=$A211,1/$N$6,),)</f>
        <v/>
      </c>
    </row>
    <row r="212">
      <c r="A212" s="370">
        <v>-0.31</v>
      </c>
      <c r="B212" s="213">
        <f>If(DPS_Weapon_Type="远程",($E212+1)/60+(ROUNDDOWN($F212*60+1,0)/60)*2,(ROUNDDOWN(($E212+1)+ROUNDDOWN($F212*60+1,0)+ROUNDDOWN($G212/2*60+1,0)+ROUNDDOWN($H212*60+1,0)+1,0))/60+If(DPS_ATK_TYPE="挥砍",1/60)+If(DPS_ATK_TYPE="挥砍/刺击",1/120))+DPS_Weapon_Randomization/60</f>
        <v>0.255</v>
      </c>
      <c r="C212" s="104">
        <f>IF(DPS_Graph_True_Speed=TRUE,IF($A212&lt;=DPS_Graph_Max,IF($A212&gt;=DPS_Graph_Speed_Min,1/B212,),),)</f>
        <v>3.921568627</v>
      </c>
      <c r="D212" s="115" t="str">
        <f>IF(DPS_Graph_True_Speed=TRUE,IF($E$8=$A212,DPS_Attacks_P_Sec,),)</f>
        <v/>
      </c>
      <c r="E212" s="222">
        <f>ROUNDDOWN(MAX(2,IF(A212&gt;=0, DPS_Base_Wpn_Spd/(1+A212),DPS_Base_Wpn_Spd*(1+ABS(A212)))),0)</f>
        <v>5</v>
      </c>
      <c r="F212" s="232">
        <f>IF(A212&gt;=0, DPS_Base_Recoil/(1+A212),DPS_Base_Recoil)</f>
        <v>0.05</v>
      </c>
      <c r="G212" s="377">
        <f t="shared" si="7"/>
        <v>1.088142857</v>
      </c>
      <c r="H212" s="377">
        <f t="shared" si="8"/>
        <v>0.2</v>
      </c>
      <c r="I212" s="104"/>
      <c r="J212" s="377">
        <f>MAX(0, Max(25,(DPS_Base_Range + ((DPS_Range_Stat) / 2))) / MIN(MAX(70, (70 * (1 + ($A212 / 3)))), 120))</f>
        <v>5.714285714</v>
      </c>
      <c r="K212" s="269">
        <f>IF(A212&lt;=DPS_Graph_Max,IF(A212&gt;=DPS_Graph_Speed_Min,A212,),)</f>
        <v>-0.31</v>
      </c>
      <c r="M212" s="213">
        <f>If(DPS_Weapon_Type="远程",$E212/60+$F212*2,$E212/60+$F212+$G212/2+$H212)</f>
        <v>0.1833333333</v>
      </c>
      <c r="N212" s="104">
        <f>IF(DPS_Graph_Tooltip_Speed=TRUE,IF($A212&lt;=DPS_Graph_Max,IF($A212&gt;=DPS_Graph_Speed_Min,1/M212,),),)</f>
        <v>5.454545455</v>
      </c>
      <c r="R212" s="104" t="str">
        <f>IF(DPS_Graph_Tooltip_Speed=TRUE,IF($E$8=$A212,1/$N$6,),)</f>
        <v/>
      </c>
    </row>
    <row r="213">
      <c r="A213" s="370">
        <v>-0.3</v>
      </c>
      <c r="B213" s="213">
        <f>If(DPS_Weapon_Type="远程",($E213+1)/60+(ROUNDDOWN($F213*60+1,0)/60)*2,(ROUNDDOWN(($E213+1)+ROUNDDOWN($F213*60+1,0)+ROUNDDOWN($G213/2*60+1,0)+ROUNDDOWN($H213*60+1,0)+1,0))/60+If(DPS_ATK_TYPE="挥砍",1/60)+If(DPS_ATK_TYPE="挥砍/刺击",1/120))+DPS_Weapon_Randomization/60</f>
        <v>0.255</v>
      </c>
      <c r="C213" s="104">
        <f>IF(DPS_Graph_True_Speed=TRUE,IF($A213&lt;=DPS_Graph_Max,IF($A213&gt;=DPS_Graph_Speed_Min,1/B213,),),)</f>
        <v>3.921568627</v>
      </c>
      <c r="D213" s="115" t="str">
        <f>IF(DPS_Graph_True_Speed=TRUE,IF($E$8=$A213,DPS_Attacks_P_Sec,),)</f>
        <v/>
      </c>
      <c r="E213" s="222">
        <f>ROUNDDOWN(MAX(2,IF(A213&gt;=0, DPS_Base_Wpn_Spd/(1+A213),DPS_Base_Wpn_Spd*(1+ABS(A213)))),0)</f>
        <v>5</v>
      </c>
      <c r="F213" s="232">
        <f>IF(A213&gt;=0, DPS_Base_Recoil/(1+A213),DPS_Base_Recoil)</f>
        <v>0.05</v>
      </c>
      <c r="G213" s="377">
        <f t="shared" si="7"/>
        <v>1.087142857</v>
      </c>
      <c r="H213" s="377">
        <f t="shared" si="8"/>
        <v>0.2</v>
      </c>
      <c r="I213" s="104"/>
      <c r="J213" s="377">
        <f>MAX(0, Max(25,(DPS_Base_Range + ((DPS_Range_Stat) / 2))) / MIN(MAX(70, (70 * (1 + ($A213 / 3)))), 120))</f>
        <v>5.714285714</v>
      </c>
      <c r="K213" s="269">
        <f>IF(A213&lt;=DPS_Graph_Max,IF(A213&gt;=DPS_Graph_Speed_Min,A213,),)</f>
        <v>-0.3</v>
      </c>
      <c r="M213" s="213">
        <f>If(DPS_Weapon_Type="远程",$E213/60+$F213*2,$E213/60+$F213+$G213/2+$H213)</f>
        <v>0.1833333333</v>
      </c>
      <c r="N213" s="104">
        <f>IF(DPS_Graph_Tooltip_Speed=TRUE,IF($A213&lt;=DPS_Graph_Max,IF($A213&gt;=DPS_Graph_Speed_Min,1/M213,),),)</f>
        <v>5.454545455</v>
      </c>
      <c r="R213" s="104" t="str">
        <f>IF(DPS_Graph_Tooltip_Speed=TRUE,IF($E$8=$A213,1/$N$6,),)</f>
        <v/>
      </c>
    </row>
    <row r="214">
      <c r="A214" s="370">
        <v>-0.29</v>
      </c>
      <c r="B214" s="213">
        <f>If(DPS_Weapon_Type="远程",($E214+1)/60+(ROUNDDOWN($F214*60+1,0)/60)*2,(ROUNDDOWN(($E214+1)+ROUNDDOWN($F214*60+1,0)+ROUNDDOWN($G214/2*60+1,0)+ROUNDDOWN($H214*60+1,0)+1,0))/60+If(DPS_ATK_TYPE="挥砍",1/60)+If(DPS_ATK_TYPE="挥砍/刺击",1/120))+DPS_Weapon_Randomization/60</f>
        <v>0.255</v>
      </c>
      <c r="C214" s="104">
        <f>IF(DPS_Graph_True_Speed=TRUE,IF($A214&lt;=DPS_Graph_Max,IF($A214&gt;=DPS_Graph_Speed_Min,1/B214,),),)</f>
        <v>3.921568627</v>
      </c>
      <c r="D214" s="115" t="str">
        <f>IF(DPS_Graph_True_Speed=TRUE,IF($E$8=$A214,DPS_Attacks_P_Sec,),)</f>
        <v/>
      </c>
      <c r="E214" s="222">
        <f>ROUNDDOWN(MAX(2,IF(A214&gt;=0, DPS_Base_Wpn_Spd/(1+A214),DPS_Base_Wpn_Spd*(1+ABS(A214)))),0)</f>
        <v>5</v>
      </c>
      <c r="F214" s="232">
        <f>IF(A214&gt;=0, DPS_Base_Recoil/(1+A214),DPS_Base_Recoil)</f>
        <v>0.05</v>
      </c>
      <c r="G214" s="377">
        <f t="shared" si="7"/>
        <v>1.086142857</v>
      </c>
      <c r="H214" s="377">
        <f t="shared" si="8"/>
        <v>0.2</v>
      </c>
      <c r="I214" s="104"/>
      <c r="J214" s="377">
        <f>MAX(0, Max(25,(DPS_Base_Range + ((DPS_Range_Stat) / 2))) / MIN(MAX(70, (70 * (1 + ($A214 / 3)))), 120))</f>
        <v>5.714285714</v>
      </c>
      <c r="K214" s="269">
        <f>IF(A214&lt;=DPS_Graph_Max,IF(A214&gt;=DPS_Graph_Speed_Min,A214,),)</f>
        <v>-0.29</v>
      </c>
      <c r="M214" s="213">
        <f>If(DPS_Weapon_Type="远程",$E214/60+$F214*2,$E214/60+$F214+$G214/2+$H214)</f>
        <v>0.1833333333</v>
      </c>
      <c r="N214" s="104">
        <f>IF(DPS_Graph_Tooltip_Speed=TRUE,IF($A214&lt;=DPS_Graph_Max,IF($A214&gt;=DPS_Graph_Speed_Min,1/M214,),),)</f>
        <v>5.454545455</v>
      </c>
      <c r="R214" s="104" t="str">
        <f>IF(DPS_Graph_Tooltip_Speed=TRUE,IF($E$8=$A214,1/$N$6,),)</f>
        <v/>
      </c>
    </row>
    <row r="215">
      <c r="A215" s="370">
        <v>-0.28</v>
      </c>
      <c r="B215" s="213">
        <f>If(DPS_Weapon_Type="远程",($E215+1)/60+(ROUNDDOWN($F215*60+1,0)/60)*2,(ROUNDDOWN(($E215+1)+ROUNDDOWN($F215*60+1,0)+ROUNDDOWN($G215/2*60+1,0)+ROUNDDOWN($H215*60+1,0)+1,0))/60+If(DPS_ATK_TYPE="挥砍",1/60)+If(DPS_ATK_TYPE="挥砍/刺击",1/120))+DPS_Weapon_Randomization/60</f>
        <v>0.255</v>
      </c>
      <c r="C215" s="104">
        <f>IF(DPS_Graph_True_Speed=TRUE,IF($A215&lt;=DPS_Graph_Max,IF($A215&gt;=DPS_Graph_Speed_Min,1/B215,),),)</f>
        <v>3.921568627</v>
      </c>
      <c r="D215" s="115" t="str">
        <f>IF(DPS_Graph_True_Speed=TRUE,IF($E$8=$A215,DPS_Attacks_P_Sec,),)</f>
        <v/>
      </c>
      <c r="E215" s="222">
        <f>ROUNDDOWN(MAX(2,IF(A215&gt;=0, DPS_Base_Wpn_Spd/(1+A215),DPS_Base_Wpn_Spd*(1+ABS(A215)))),0)</f>
        <v>5</v>
      </c>
      <c r="F215" s="232">
        <f>IF(A215&gt;=0, DPS_Base_Recoil/(1+A215),DPS_Base_Recoil)</f>
        <v>0.05</v>
      </c>
      <c r="G215" s="377">
        <f t="shared" si="7"/>
        <v>1.085142857</v>
      </c>
      <c r="H215" s="377">
        <f t="shared" si="8"/>
        <v>0.2</v>
      </c>
      <c r="I215" s="104"/>
      <c r="J215" s="377">
        <f>MAX(0, Max(25,(DPS_Base_Range + ((DPS_Range_Stat) / 2))) / MIN(MAX(70, (70 * (1 + ($A215 / 3)))), 120))</f>
        <v>5.714285714</v>
      </c>
      <c r="K215" s="269">
        <f>IF(A215&lt;=DPS_Graph_Max,IF(A215&gt;=DPS_Graph_Speed_Min,A215,),)</f>
        <v>-0.28</v>
      </c>
      <c r="M215" s="213">
        <f>If(DPS_Weapon_Type="远程",$E215/60+$F215*2,$E215/60+$F215+$G215/2+$H215)</f>
        <v>0.1833333333</v>
      </c>
      <c r="N215" s="104">
        <f>IF(DPS_Graph_Tooltip_Speed=TRUE,IF($A215&lt;=DPS_Graph_Max,IF($A215&gt;=DPS_Graph_Speed_Min,1/M215,),),)</f>
        <v>5.454545455</v>
      </c>
      <c r="R215" s="104" t="str">
        <f>IF(DPS_Graph_Tooltip_Speed=TRUE,IF($E$8=$A215,1/$N$6,),)</f>
        <v/>
      </c>
    </row>
    <row r="216">
      <c r="A216" s="370">
        <v>-0.27</v>
      </c>
      <c r="B216" s="213">
        <f>If(DPS_Weapon_Type="远程",($E216+1)/60+(ROUNDDOWN($F216*60+1,0)/60)*2,(ROUNDDOWN(($E216+1)+ROUNDDOWN($F216*60+1,0)+ROUNDDOWN($G216/2*60+1,0)+ROUNDDOWN($H216*60+1,0)+1,0))/60+If(DPS_ATK_TYPE="挥砍",1/60)+If(DPS_ATK_TYPE="挥砍/刺击",1/120))+DPS_Weapon_Randomization/60</f>
        <v>0.255</v>
      </c>
      <c r="C216" s="104">
        <f>IF(DPS_Graph_True_Speed=TRUE,IF($A216&lt;=DPS_Graph_Max,IF($A216&gt;=DPS_Graph_Speed_Min,1/B216,),),)</f>
        <v>3.921568627</v>
      </c>
      <c r="D216" s="115" t="str">
        <f>IF(DPS_Graph_True_Speed=TRUE,IF($E$8=$A216,DPS_Attacks_P_Sec,),)</f>
        <v/>
      </c>
      <c r="E216" s="222">
        <f>ROUNDDOWN(MAX(2,IF(A216&gt;=0, DPS_Base_Wpn_Spd/(1+A216),DPS_Base_Wpn_Spd*(1+ABS(A216)))),0)</f>
        <v>5</v>
      </c>
      <c r="F216" s="232">
        <f>IF(A216&gt;=0, DPS_Base_Recoil/(1+A216),DPS_Base_Recoil)</f>
        <v>0.05</v>
      </c>
      <c r="G216" s="377">
        <f t="shared" si="7"/>
        <v>1.084142857</v>
      </c>
      <c r="H216" s="377">
        <f t="shared" si="8"/>
        <v>0.2</v>
      </c>
      <c r="I216" s="104"/>
      <c r="J216" s="377">
        <f>MAX(0, Max(25,(DPS_Base_Range + ((DPS_Range_Stat) / 2))) / MIN(MAX(70, (70 * (1 + ($A216 / 3)))), 120))</f>
        <v>5.714285714</v>
      </c>
      <c r="K216" s="269">
        <f>IF(A216&lt;=DPS_Graph_Max,IF(A216&gt;=DPS_Graph_Speed_Min,A216,),)</f>
        <v>-0.27</v>
      </c>
      <c r="M216" s="213">
        <f>If(DPS_Weapon_Type="远程",$E216/60+$F216*2,$E216/60+$F216+$G216/2+$H216)</f>
        <v>0.1833333333</v>
      </c>
      <c r="N216" s="104">
        <f>IF(DPS_Graph_Tooltip_Speed=TRUE,IF($A216&lt;=DPS_Graph_Max,IF($A216&gt;=DPS_Graph_Speed_Min,1/M216,),),)</f>
        <v>5.454545455</v>
      </c>
      <c r="R216" s="104" t="str">
        <f>IF(DPS_Graph_Tooltip_Speed=TRUE,IF($E$8=$A216,1/$N$6,),)</f>
        <v/>
      </c>
    </row>
    <row r="217">
      <c r="A217" s="370">
        <v>-0.26</v>
      </c>
      <c r="B217" s="213">
        <f>If(DPS_Weapon_Type="远程",($E217+1)/60+(ROUNDDOWN($F217*60+1,0)/60)*2,(ROUNDDOWN(($E217+1)+ROUNDDOWN($F217*60+1,0)+ROUNDDOWN($G217/2*60+1,0)+ROUNDDOWN($H217*60+1,0)+1,0))/60+If(DPS_ATK_TYPE="挥砍",1/60)+If(DPS_ATK_TYPE="挥砍/刺击",1/120))+DPS_Weapon_Randomization/60</f>
        <v>0.255</v>
      </c>
      <c r="C217" s="104">
        <f>IF(DPS_Graph_True_Speed=TRUE,IF($A217&lt;=DPS_Graph_Max,IF($A217&gt;=DPS_Graph_Speed_Min,1/B217,),),)</f>
        <v>3.921568627</v>
      </c>
      <c r="D217" s="115" t="str">
        <f>IF(DPS_Graph_True_Speed=TRUE,IF($E$8=$A217,DPS_Attacks_P_Sec,),)</f>
        <v/>
      </c>
      <c r="E217" s="222">
        <f>ROUNDDOWN(MAX(2,IF(A217&gt;=0, DPS_Base_Wpn_Spd/(1+A217),DPS_Base_Wpn_Spd*(1+ABS(A217)))),0)</f>
        <v>5</v>
      </c>
      <c r="F217" s="232">
        <f>IF(A217&gt;=0, DPS_Base_Recoil/(1+A217),DPS_Base_Recoil)</f>
        <v>0.05</v>
      </c>
      <c r="G217" s="377">
        <f t="shared" si="7"/>
        <v>1.083142857</v>
      </c>
      <c r="H217" s="377">
        <f t="shared" si="8"/>
        <v>0.2</v>
      </c>
      <c r="I217" s="104"/>
      <c r="J217" s="377">
        <f>MAX(0, Max(25,(DPS_Base_Range + ((DPS_Range_Stat) / 2))) / MIN(MAX(70, (70 * (1 + ($A217 / 3)))), 120))</f>
        <v>5.714285714</v>
      </c>
      <c r="K217" s="269">
        <f>IF(A217&lt;=DPS_Graph_Max,IF(A217&gt;=DPS_Graph_Speed_Min,A217,),)</f>
        <v>-0.26</v>
      </c>
      <c r="M217" s="213">
        <f>If(DPS_Weapon_Type="远程",$E217/60+$F217*2,$E217/60+$F217+$G217/2+$H217)</f>
        <v>0.1833333333</v>
      </c>
      <c r="N217" s="104">
        <f>IF(DPS_Graph_Tooltip_Speed=TRUE,IF($A217&lt;=DPS_Graph_Max,IF($A217&gt;=DPS_Graph_Speed_Min,1/M217,),),)</f>
        <v>5.454545455</v>
      </c>
      <c r="R217" s="104" t="str">
        <f>IF(DPS_Graph_Tooltip_Speed=TRUE,IF($E$8=$A217,1/$N$6,),)</f>
        <v/>
      </c>
    </row>
    <row r="218">
      <c r="A218" s="370">
        <v>-0.25</v>
      </c>
      <c r="B218" s="213">
        <f>If(DPS_Weapon_Type="远程",($E218+1)/60+(ROUNDDOWN($F218*60+1,0)/60)*2,(ROUNDDOWN(($E218+1)+ROUNDDOWN($F218*60+1,0)+ROUNDDOWN($G218/2*60+1,0)+ROUNDDOWN($H218*60+1,0)+1,0))/60+If(DPS_ATK_TYPE="挥砍",1/60)+If(DPS_ATK_TYPE="挥砍/刺击",1/120))+DPS_Weapon_Randomization/60</f>
        <v>0.255</v>
      </c>
      <c r="C218" s="104">
        <f>IF(DPS_Graph_True_Speed=TRUE,IF($A218&lt;=DPS_Graph_Max,IF($A218&gt;=DPS_Graph_Speed_Min,1/B218,),),)</f>
        <v>3.921568627</v>
      </c>
      <c r="D218" s="115" t="str">
        <f>IF(DPS_Graph_True_Speed=TRUE,IF($E$8=$A218,DPS_Attacks_P_Sec,),)</f>
        <v/>
      </c>
      <c r="E218" s="222">
        <f>ROUNDDOWN(MAX(2,IF(A218&gt;=0, DPS_Base_Wpn_Spd/(1+A218),DPS_Base_Wpn_Spd*(1+ABS(A218)))),0)</f>
        <v>5</v>
      </c>
      <c r="F218" s="232">
        <f>IF(A218&gt;=0, DPS_Base_Recoil/(1+A218),DPS_Base_Recoil)</f>
        <v>0.05</v>
      </c>
      <c r="G218" s="377">
        <f t="shared" si="7"/>
        <v>1.082142857</v>
      </c>
      <c r="H218" s="377">
        <f t="shared" si="8"/>
        <v>0.2</v>
      </c>
      <c r="I218" s="104"/>
      <c r="J218" s="377">
        <f>MAX(0, Max(25,(DPS_Base_Range + ((DPS_Range_Stat) / 2))) / MIN(MAX(70, (70 * (1 + ($A218 / 3)))), 120))</f>
        <v>5.714285714</v>
      </c>
      <c r="K218" s="269">
        <f>IF(A218&lt;=DPS_Graph_Max,IF(A218&gt;=DPS_Graph_Speed_Min,A218,),)</f>
        <v>-0.25</v>
      </c>
      <c r="M218" s="213">
        <f>If(DPS_Weapon_Type="远程",$E218/60+$F218*2,$E218/60+$F218+$G218/2+$H218)</f>
        <v>0.1833333333</v>
      </c>
      <c r="N218" s="104">
        <f>IF(DPS_Graph_Tooltip_Speed=TRUE,IF($A218&lt;=DPS_Graph_Max,IF($A218&gt;=DPS_Graph_Speed_Min,1/M218,),),)</f>
        <v>5.454545455</v>
      </c>
      <c r="R218" s="104" t="str">
        <f>IF(DPS_Graph_Tooltip_Speed=TRUE,IF($E$8=$A218,1/$N$6,),)</f>
        <v/>
      </c>
    </row>
    <row r="219">
      <c r="A219" s="370">
        <v>-0.24</v>
      </c>
      <c r="B219" s="213">
        <f>If(DPS_Weapon_Type="远程",($E219+1)/60+(ROUNDDOWN($F219*60+1,0)/60)*2,(ROUNDDOWN(($E219+1)+ROUNDDOWN($F219*60+1,0)+ROUNDDOWN($G219/2*60+1,0)+ROUNDDOWN($H219*60+1,0)+1,0))/60+If(DPS_ATK_TYPE="挥砍",1/60)+If(DPS_ATK_TYPE="挥砍/刺击",1/120))+DPS_Weapon_Randomization/60</f>
        <v>0.2383333333</v>
      </c>
      <c r="C219" s="104">
        <f>IF(DPS_Graph_True_Speed=TRUE,IF($A219&lt;=DPS_Graph_Max,IF($A219&gt;=DPS_Graph_Speed_Min,1/B219,),),)</f>
        <v>4.195804196</v>
      </c>
      <c r="D219" s="115" t="str">
        <f>IF(DPS_Graph_True_Speed=TRUE,IF($E$8=$A219,DPS_Attacks_P_Sec,),)</f>
        <v/>
      </c>
      <c r="E219" s="222">
        <f>ROUNDDOWN(MAX(2,IF(A219&gt;=0, DPS_Base_Wpn_Spd/(1+A219),DPS_Base_Wpn_Spd*(1+ABS(A219)))),0)</f>
        <v>4</v>
      </c>
      <c r="F219" s="232">
        <f>IF(A219&gt;=0, DPS_Base_Recoil/(1+A219),DPS_Base_Recoil)</f>
        <v>0.05</v>
      </c>
      <c r="G219" s="377">
        <f t="shared" si="7"/>
        <v>1.081142857</v>
      </c>
      <c r="H219" s="377">
        <f t="shared" si="8"/>
        <v>0.2</v>
      </c>
      <c r="I219" s="104"/>
      <c r="J219" s="377">
        <f>MAX(0, Max(25,(DPS_Base_Range + ((DPS_Range_Stat) / 2))) / MIN(MAX(70, (70 * (1 + ($A219 / 3)))), 120))</f>
        <v>5.714285714</v>
      </c>
      <c r="K219" s="269">
        <f>IF(A219&lt;=DPS_Graph_Max,IF(A219&gt;=DPS_Graph_Speed_Min,A219,),)</f>
        <v>-0.24</v>
      </c>
      <c r="M219" s="213">
        <f>If(DPS_Weapon_Type="远程",$E219/60+$F219*2,$E219/60+$F219+$G219/2+$H219)</f>
        <v>0.1666666667</v>
      </c>
      <c r="N219" s="104">
        <f>IF(DPS_Graph_Tooltip_Speed=TRUE,IF($A219&lt;=DPS_Graph_Max,IF($A219&gt;=DPS_Graph_Speed_Min,1/M219,),),)</f>
        <v>6</v>
      </c>
      <c r="R219" s="104" t="str">
        <f>IF(DPS_Graph_Tooltip_Speed=TRUE,IF($E$8=$A219,1/$N$6,),)</f>
        <v/>
      </c>
    </row>
    <row r="220">
      <c r="A220" s="370">
        <v>-0.23</v>
      </c>
      <c r="B220" s="213">
        <f>If(DPS_Weapon_Type="远程",($E220+1)/60+(ROUNDDOWN($F220*60+1,0)/60)*2,(ROUNDDOWN(($E220+1)+ROUNDDOWN($F220*60+1,0)+ROUNDDOWN($G220/2*60+1,0)+ROUNDDOWN($H220*60+1,0)+1,0))/60+If(DPS_ATK_TYPE="挥砍",1/60)+If(DPS_ATK_TYPE="挥砍/刺击",1/120))+DPS_Weapon_Randomization/60</f>
        <v>0.2383333333</v>
      </c>
      <c r="C220" s="104">
        <f>IF(DPS_Graph_True_Speed=TRUE,IF($A220&lt;=DPS_Graph_Max,IF($A220&gt;=DPS_Graph_Speed_Min,1/B220,),),)</f>
        <v>4.195804196</v>
      </c>
      <c r="D220" s="115" t="str">
        <f>IF(DPS_Graph_True_Speed=TRUE,IF($E$8=$A220,DPS_Attacks_P_Sec,),)</f>
        <v/>
      </c>
      <c r="E220" s="222">
        <f>ROUNDDOWN(MAX(2,IF(A220&gt;=0, DPS_Base_Wpn_Spd/(1+A220),DPS_Base_Wpn_Spd*(1+ABS(A220)))),0)</f>
        <v>4</v>
      </c>
      <c r="F220" s="232">
        <f>IF(A220&gt;=0, DPS_Base_Recoil/(1+A220),DPS_Base_Recoil)</f>
        <v>0.05</v>
      </c>
      <c r="G220" s="377">
        <f t="shared" si="7"/>
        <v>1.080142857</v>
      </c>
      <c r="H220" s="377">
        <f t="shared" si="8"/>
        <v>0.2</v>
      </c>
      <c r="I220" s="104"/>
      <c r="J220" s="377">
        <f>MAX(0, Max(25,(DPS_Base_Range + ((DPS_Range_Stat) / 2))) / MIN(MAX(70, (70 * (1 + ($A220 / 3)))), 120))</f>
        <v>5.714285714</v>
      </c>
      <c r="K220" s="269">
        <f>IF(A220&lt;=DPS_Graph_Max,IF(A220&gt;=DPS_Graph_Speed_Min,A220,),)</f>
        <v>-0.23</v>
      </c>
      <c r="M220" s="213">
        <f>If(DPS_Weapon_Type="远程",$E220/60+$F220*2,$E220/60+$F220+$G220/2+$H220)</f>
        <v>0.1666666667</v>
      </c>
      <c r="N220" s="104">
        <f>IF(DPS_Graph_Tooltip_Speed=TRUE,IF($A220&lt;=DPS_Graph_Max,IF($A220&gt;=DPS_Graph_Speed_Min,1/M220,),),)</f>
        <v>6</v>
      </c>
      <c r="R220" s="104" t="str">
        <f>IF(DPS_Graph_Tooltip_Speed=TRUE,IF($E$8=$A220,1/$N$6,),)</f>
        <v/>
      </c>
    </row>
    <row r="221">
      <c r="A221" s="370">
        <v>-0.22</v>
      </c>
      <c r="B221" s="213">
        <f>If(DPS_Weapon_Type="远程",($E221+1)/60+(ROUNDDOWN($F221*60+1,0)/60)*2,(ROUNDDOWN(($E221+1)+ROUNDDOWN($F221*60+1,0)+ROUNDDOWN($G221/2*60+1,0)+ROUNDDOWN($H221*60+1,0)+1,0))/60+If(DPS_ATK_TYPE="挥砍",1/60)+If(DPS_ATK_TYPE="挥砍/刺击",1/120))+DPS_Weapon_Randomization/60</f>
        <v>0.2383333333</v>
      </c>
      <c r="C221" s="104">
        <f>IF(DPS_Graph_True_Speed=TRUE,IF($A221&lt;=DPS_Graph_Max,IF($A221&gt;=DPS_Graph_Speed_Min,1/B221,),),)</f>
        <v>4.195804196</v>
      </c>
      <c r="D221" s="115" t="str">
        <f>IF(DPS_Graph_True_Speed=TRUE,IF($E$8=$A221,DPS_Attacks_P_Sec,),)</f>
        <v/>
      </c>
      <c r="E221" s="222">
        <f>ROUNDDOWN(MAX(2,IF(A221&gt;=0, DPS_Base_Wpn_Spd/(1+A221),DPS_Base_Wpn_Spd*(1+ABS(A221)))),0)</f>
        <v>4</v>
      </c>
      <c r="F221" s="232">
        <f>IF(A221&gt;=0, DPS_Base_Recoil/(1+A221),DPS_Base_Recoil)</f>
        <v>0.05</v>
      </c>
      <c r="G221" s="377">
        <f t="shared" si="7"/>
        <v>1.079142857</v>
      </c>
      <c r="H221" s="377">
        <f t="shared" si="8"/>
        <v>0.2</v>
      </c>
      <c r="I221" s="104"/>
      <c r="J221" s="377">
        <f>MAX(0, Max(25,(DPS_Base_Range + ((DPS_Range_Stat) / 2))) / MIN(MAX(70, (70 * (1 + ($A221 / 3)))), 120))</f>
        <v>5.714285714</v>
      </c>
      <c r="K221" s="269">
        <f>IF(A221&lt;=DPS_Graph_Max,IF(A221&gt;=DPS_Graph_Speed_Min,A221,),)</f>
        <v>-0.22</v>
      </c>
      <c r="M221" s="213">
        <f>If(DPS_Weapon_Type="远程",$E221/60+$F221*2,$E221/60+$F221+$G221/2+$H221)</f>
        <v>0.1666666667</v>
      </c>
      <c r="N221" s="104">
        <f>IF(DPS_Graph_Tooltip_Speed=TRUE,IF($A221&lt;=DPS_Graph_Max,IF($A221&gt;=DPS_Graph_Speed_Min,1/M221,),),)</f>
        <v>6</v>
      </c>
      <c r="R221" s="104" t="str">
        <f>IF(DPS_Graph_Tooltip_Speed=TRUE,IF($E$8=$A221,1/$N$6,),)</f>
        <v/>
      </c>
    </row>
    <row r="222">
      <c r="A222" s="370">
        <v>-0.21</v>
      </c>
      <c r="B222" s="213">
        <f>If(DPS_Weapon_Type="远程",($E222+1)/60+(ROUNDDOWN($F222*60+1,0)/60)*2,(ROUNDDOWN(($E222+1)+ROUNDDOWN($F222*60+1,0)+ROUNDDOWN($G222/2*60+1,0)+ROUNDDOWN($H222*60+1,0)+1,0))/60+If(DPS_ATK_TYPE="挥砍",1/60)+If(DPS_ATK_TYPE="挥砍/刺击",1/120))+DPS_Weapon_Randomization/60</f>
        <v>0.2383333333</v>
      </c>
      <c r="C222" s="104">
        <f>IF(DPS_Graph_True_Speed=TRUE,IF($A222&lt;=DPS_Graph_Max,IF($A222&gt;=DPS_Graph_Speed_Min,1/B222,),),)</f>
        <v>4.195804196</v>
      </c>
      <c r="D222" s="115" t="str">
        <f>IF(DPS_Graph_True_Speed=TRUE,IF($E$8=$A222,DPS_Attacks_P_Sec,),)</f>
        <v/>
      </c>
      <c r="E222" s="222">
        <f>ROUNDDOWN(MAX(2,IF(A222&gt;=0, DPS_Base_Wpn_Spd/(1+A222),DPS_Base_Wpn_Spd*(1+ABS(A222)))),0)</f>
        <v>4</v>
      </c>
      <c r="F222" s="232">
        <f>IF(A222&gt;=0, DPS_Base_Recoil/(1+A222),DPS_Base_Recoil)</f>
        <v>0.05</v>
      </c>
      <c r="G222" s="377">
        <f t="shared" si="7"/>
        <v>1.078142857</v>
      </c>
      <c r="H222" s="377">
        <f t="shared" si="8"/>
        <v>0.2</v>
      </c>
      <c r="I222" s="104"/>
      <c r="J222" s="377">
        <f>MAX(0, Max(25,(DPS_Base_Range + ((DPS_Range_Stat) / 2))) / MIN(MAX(70, (70 * (1 + ($A222 / 3)))), 120))</f>
        <v>5.714285714</v>
      </c>
      <c r="K222" s="269">
        <f>IF(A222&lt;=DPS_Graph_Max,IF(A222&gt;=DPS_Graph_Speed_Min,A222,),)</f>
        <v>-0.21</v>
      </c>
      <c r="M222" s="213">
        <f>If(DPS_Weapon_Type="远程",$E222/60+$F222*2,$E222/60+$F222+$G222/2+$H222)</f>
        <v>0.1666666667</v>
      </c>
      <c r="N222" s="104">
        <f>IF(DPS_Graph_Tooltip_Speed=TRUE,IF($A222&lt;=DPS_Graph_Max,IF($A222&gt;=DPS_Graph_Speed_Min,1/M222,),),)</f>
        <v>6</v>
      </c>
      <c r="R222" s="104" t="str">
        <f>IF(DPS_Graph_Tooltip_Speed=TRUE,IF($E$8=$A222,1/$N$6,),)</f>
        <v/>
      </c>
    </row>
    <row r="223">
      <c r="A223" s="370">
        <v>-0.2</v>
      </c>
      <c r="B223" s="213">
        <f>If(DPS_Weapon_Type="远程",($E223+1)/60+(ROUNDDOWN($F223*60+1,0)/60)*2,(ROUNDDOWN(($E223+1)+ROUNDDOWN($F223*60+1,0)+ROUNDDOWN($G223/2*60+1,0)+ROUNDDOWN($H223*60+1,0)+1,0))/60+If(DPS_ATK_TYPE="挥砍",1/60)+If(DPS_ATK_TYPE="挥砍/刺击",1/120))+DPS_Weapon_Randomization/60</f>
        <v>0.2383333333</v>
      </c>
      <c r="C223" s="104">
        <f>IF(DPS_Graph_True_Speed=TRUE,IF($A223&lt;=DPS_Graph_Max,IF($A223&gt;=DPS_Graph_Speed_Min,1/B223,),),)</f>
        <v>4.195804196</v>
      </c>
      <c r="D223" s="115" t="str">
        <f>IF(DPS_Graph_True_Speed=TRUE,IF($E$8=$A223,DPS_Attacks_P_Sec,),)</f>
        <v/>
      </c>
      <c r="E223" s="222">
        <f>ROUNDDOWN(MAX(2,IF(A223&gt;=0, DPS_Base_Wpn_Spd/(1+A223),DPS_Base_Wpn_Spd*(1+ABS(A223)))),0)</f>
        <v>4</v>
      </c>
      <c r="F223" s="232">
        <f>IF(A223&gt;=0, DPS_Base_Recoil/(1+A223),DPS_Base_Recoil)</f>
        <v>0.05</v>
      </c>
      <c r="G223" s="377">
        <f t="shared" si="7"/>
        <v>1.077142857</v>
      </c>
      <c r="H223" s="377">
        <f t="shared" si="8"/>
        <v>0.2</v>
      </c>
      <c r="I223" s="104"/>
      <c r="J223" s="377">
        <f>MAX(0, Max(25,(DPS_Base_Range + ((DPS_Range_Stat) / 2))) / MIN(MAX(70, (70 * (1 + ($A223 / 3)))), 120))</f>
        <v>5.714285714</v>
      </c>
      <c r="K223" s="269">
        <f>IF(A223&lt;=DPS_Graph_Max,IF(A223&gt;=DPS_Graph_Speed_Min,A223,),)</f>
        <v>-0.2</v>
      </c>
      <c r="M223" s="213">
        <f>If(DPS_Weapon_Type="远程",$E223/60+$F223*2,$E223/60+$F223+$G223/2+$H223)</f>
        <v>0.1666666667</v>
      </c>
      <c r="N223" s="104">
        <f>IF(DPS_Graph_Tooltip_Speed=TRUE,IF($A223&lt;=DPS_Graph_Max,IF($A223&gt;=DPS_Graph_Speed_Min,1/M223,),),)</f>
        <v>6</v>
      </c>
      <c r="R223" s="104" t="str">
        <f>IF(DPS_Graph_Tooltip_Speed=TRUE,IF($E$8=$A223,1/$N$6,),)</f>
        <v/>
      </c>
    </row>
    <row r="224">
      <c r="A224" s="370">
        <v>-0.19</v>
      </c>
      <c r="B224" s="213">
        <f>If(DPS_Weapon_Type="远程",($E224+1)/60+(ROUNDDOWN($F224*60+1,0)/60)*2,(ROUNDDOWN(($E224+1)+ROUNDDOWN($F224*60+1,0)+ROUNDDOWN($G224/2*60+1,0)+ROUNDDOWN($H224*60+1,0)+1,0))/60+If(DPS_ATK_TYPE="挥砍",1/60)+If(DPS_ATK_TYPE="挥砍/刺击",1/120))+DPS_Weapon_Randomization/60</f>
        <v>0.2383333333</v>
      </c>
      <c r="C224" s="104">
        <f>IF(DPS_Graph_True_Speed=TRUE,IF($A224&lt;=DPS_Graph_Max,IF($A224&gt;=DPS_Graph_Speed_Min,1/B224,),),)</f>
        <v>4.195804196</v>
      </c>
      <c r="D224" s="115" t="str">
        <f>IF(DPS_Graph_True_Speed=TRUE,IF($E$8=$A224,DPS_Attacks_P_Sec,),)</f>
        <v/>
      </c>
      <c r="E224" s="222">
        <f>ROUNDDOWN(MAX(2,IF(A224&gt;=0, DPS_Base_Wpn_Spd/(1+A224),DPS_Base_Wpn_Spd*(1+ABS(A224)))),0)</f>
        <v>4</v>
      </c>
      <c r="F224" s="232">
        <f>IF(A224&gt;=0, DPS_Base_Recoil/(1+A224),DPS_Base_Recoil)</f>
        <v>0.05</v>
      </c>
      <c r="G224" s="377">
        <f t="shared" si="7"/>
        <v>1.076142857</v>
      </c>
      <c r="H224" s="377">
        <f t="shared" si="8"/>
        <v>0.2</v>
      </c>
      <c r="I224" s="104"/>
      <c r="J224" s="377">
        <f>MAX(0, Max(25,(DPS_Base_Range + ((DPS_Range_Stat) / 2))) / MIN(MAX(70, (70 * (1 + ($A224 / 3)))), 120))</f>
        <v>5.714285714</v>
      </c>
      <c r="K224" s="269">
        <f>IF(A224&lt;=DPS_Graph_Max,IF(A224&gt;=DPS_Graph_Speed_Min,A224,),)</f>
        <v>-0.19</v>
      </c>
      <c r="M224" s="213">
        <f>If(DPS_Weapon_Type="远程",$E224/60+$F224*2,$E224/60+$F224+$G224/2+$H224)</f>
        <v>0.1666666667</v>
      </c>
      <c r="N224" s="104">
        <f>IF(DPS_Graph_Tooltip_Speed=TRUE,IF($A224&lt;=DPS_Graph_Max,IF($A224&gt;=DPS_Graph_Speed_Min,1/M224,),),)</f>
        <v>6</v>
      </c>
      <c r="R224" s="104" t="str">
        <f>IF(DPS_Graph_Tooltip_Speed=TRUE,IF($E$8=$A224,1/$N$6,),)</f>
        <v/>
      </c>
    </row>
    <row r="225">
      <c r="A225" s="370">
        <v>-0.18</v>
      </c>
      <c r="B225" s="213">
        <f>If(DPS_Weapon_Type="远程",($E225+1)/60+(ROUNDDOWN($F225*60+1,0)/60)*2,(ROUNDDOWN(($E225+1)+ROUNDDOWN($F225*60+1,0)+ROUNDDOWN($G225/2*60+1,0)+ROUNDDOWN($H225*60+1,0)+1,0))/60+If(DPS_ATK_TYPE="挥砍",1/60)+If(DPS_ATK_TYPE="挥砍/刺击",1/120))+DPS_Weapon_Randomization/60</f>
        <v>0.2383333333</v>
      </c>
      <c r="C225" s="104">
        <f>IF(DPS_Graph_True_Speed=TRUE,IF($A225&lt;=DPS_Graph_Max,IF($A225&gt;=DPS_Graph_Speed_Min,1/B225,),),)</f>
        <v>4.195804196</v>
      </c>
      <c r="D225" s="115" t="str">
        <f>IF(DPS_Graph_True_Speed=TRUE,IF($E$8=$A225,DPS_Attacks_P_Sec,),)</f>
        <v/>
      </c>
      <c r="E225" s="222">
        <f>ROUNDDOWN(MAX(2,IF(A225&gt;=0, DPS_Base_Wpn_Spd/(1+A225),DPS_Base_Wpn_Spd*(1+ABS(A225)))),0)</f>
        <v>4</v>
      </c>
      <c r="F225" s="232">
        <f>IF(A225&gt;=0, DPS_Base_Recoil/(1+A225),DPS_Base_Recoil)</f>
        <v>0.05</v>
      </c>
      <c r="G225" s="377">
        <f t="shared" si="7"/>
        <v>1.075142857</v>
      </c>
      <c r="H225" s="377">
        <f t="shared" si="8"/>
        <v>0.2</v>
      </c>
      <c r="I225" s="104"/>
      <c r="J225" s="377">
        <f>MAX(0, Max(25,(DPS_Base_Range + ((DPS_Range_Stat) / 2))) / MIN(MAX(70, (70 * (1 + ($A225 / 3)))), 120))</f>
        <v>5.714285714</v>
      </c>
      <c r="K225" s="269">
        <f>IF(A225&lt;=DPS_Graph_Max,IF(A225&gt;=DPS_Graph_Speed_Min,A225,),)</f>
        <v>-0.18</v>
      </c>
      <c r="M225" s="213">
        <f>If(DPS_Weapon_Type="远程",$E225/60+$F225*2,$E225/60+$F225+$G225/2+$H225)</f>
        <v>0.1666666667</v>
      </c>
      <c r="N225" s="104">
        <f>IF(DPS_Graph_Tooltip_Speed=TRUE,IF($A225&lt;=DPS_Graph_Max,IF($A225&gt;=DPS_Graph_Speed_Min,1/M225,),),)</f>
        <v>6</v>
      </c>
      <c r="R225" s="104" t="str">
        <f>IF(DPS_Graph_Tooltip_Speed=TRUE,IF($E$8=$A225,1/$N$6,),)</f>
        <v/>
      </c>
    </row>
    <row r="226">
      <c r="A226" s="370">
        <v>-0.17</v>
      </c>
      <c r="B226" s="213">
        <f>If(DPS_Weapon_Type="远程",($E226+1)/60+(ROUNDDOWN($F226*60+1,0)/60)*2,(ROUNDDOWN(($E226+1)+ROUNDDOWN($F226*60+1,0)+ROUNDDOWN($G226/2*60+1,0)+ROUNDDOWN($H226*60+1,0)+1,0))/60+If(DPS_ATK_TYPE="挥砍",1/60)+If(DPS_ATK_TYPE="挥砍/刺击",1/120))+DPS_Weapon_Randomization/60</f>
        <v>0.2383333333</v>
      </c>
      <c r="C226" s="104">
        <f>IF(DPS_Graph_True_Speed=TRUE,IF($A226&lt;=DPS_Graph_Max,IF($A226&gt;=DPS_Graph_Speed_Min,1/B226,),),)</f>
        <v>4.195804196</v>
      </c>
      <c r="D226" s="115" t="str">
        <f>IF(DPS_Graph_True_Speed=TRUE,IF($E$8=$A226,DPS_Attacks_P_Sec,),)</f>
        <v/>
      </c>
      <c r="E226" s="222">
        <f>ROUNDDOWN(MAX(2,IF(A226&gt;=0, DPS_Base_Wpn_Spd/(1+A226),DPS_Base_Wpn_Spd*(1+ABS(A226)))),0)</f>
        <v>4</v>
      </c>
      <c r="F226" s="232">
        <f>IF(A226&gt;=0, DPS_Base_Recoil/(1+A226),DPS_Base_Recoil)</f>
        <v>0.05</v>
      </c>
      <c r="G226" s="377">
        <f t="shared" si="7"/>
        <v>1.074142857</v>
      </c>
      <c r="H226" s="377">
        <f t="shared" si="8"/>
        <v>0.2</v>
      </c>
      <c r="I226" s="104"/>
      <c r="J226" s="377">
        <f>MAX(0, Max(25,(DPS_Base_Range + ((DPS_Range_Stat) / 2))) / MIN(MAX(70, (70 * (1 + ($A226 / 3)))), 120))</f>
        <v>5.714285714</v>
      </c>
      <c r="K226" s="269">
        <f>IF(A226&lt;=DPS_Graph_Max,IF(A226&gt;=DPS_Graph_Speed_Min,A226,),)</f>
        <v>-0.17</v>
      </c>
      <c r="M226" s="213">
        <f>If(DPS_Weapon_Type="远程",$E226/60+$F226*2,$E226/60+$F226+$G226/2+$H226)</f>
        <v>0.1666666667</v>
      </c>
      <c r="N226" s="104">
        <f>IF(DPS_Graph_Tooltip_Speed=TRUE,IF($A226&lt;=DPS_Graph_Max,IF($A226&gt;=DPS_Graph_Speed_Min,1/M226,),),)</f>
        <v>6</v>
      </c>
      <c r="R226" s="104" t="str">
        <f>IF(DPS_Graph_Tooltip_Speed=TRUE,IF($E$8=$A226,1/$N$6,),)</f>
        <v/>
      </c>
    </row>
    <row r="227">
      <c r="A227" s="370">
        <v>-0.16</v>
      </c>
      <c r="B227" s="213">
        <f>If(DPS_Weapon_Type="远程",($E227+1)/60+(ROUNDDOWN($F227*60+1,0)/60)*2,(ROUNDDOWN(($E227+1)+ROUNDDOWN($F227*60+1,0)+ROUNDDOWN($G227/2*60+1,0)+ROUNDDOWN($H227*60+1,0)+1,0))/60+If(DPS_ATK_TYPE="挥砍",1/60)+If(DPS_ATK_TYPE="挥砍/刺击",1/120))+DPS_Weapon_Randomization/60</f>
        <v>0.2383333333</v>
      </c>
      <c r="C227" s="104">
        <f>IF(DPS_Graph_True_Speed=TRUE,IF($A227&lt;=DPS_Graph_Max,IF($A227&gt;=DPS_Graph_Speed_Min,1/B227,),),)</f>
        <v>4.195804196</v>
      </c>
      <c r="D227" s="115" t="str">
        <f>IF(DPS_Graph_True_Speed=TRUE,IF($E$8=$A227,DPS_Attacks_P_Sec,),)</f>
        <v/>
      </c>
      <c r="E227" s="222">
        <f>ROUNDDOWN(MAX(2,IF(A227&gt;=0, DPS_Base_Wpn_Spd/(1+A227),DPS_Base_Wpn_Spd*(1+ABS(A227)))),0)</f>
        <v>4</v>
      </c>
      <c r="F227" s="232">
        <f>IF(A227&gt;=0, DPS_Base_Recoil/(1+A227),DPS_Base_Recoil)</f>
        <v>0.05</v>
      </c>
      <c r="G227" s="377">
        <f t="shared" si="7"/>
        <v>1.073142857</v>
      </c>
      <c r="H227" s="377">
        <f t="shared" si="8"/>
        <v>0.2</v>
      </c>
      <c r="I227" s="104"/>
      <c r="J227" s="377">
        <f>MAX(0, Max(25,(DPS_Base_Range + ((DPS_Range_Stat) / 2))) / MIN(MAX(70, (70 * (1 + ($A227 / 3)))), 120))</f>
        <v>5.714285714</v>
      </c>
      <c r="K227" s="269">
        <f>IF(A227&lt;=DPS_Graph_Max,IF(A227&gt;=DPS_Graph_Speed_Min,A227,),)</f>
        <v>-0.16</v>
      </c>
      <c r="M227" s="213">
        <f>If(DPS_Weapon_Type="远程",$E227/60+$F227*2,$E227/60+$F227+$G227/2+$H227)</f>
        <v>0.1666666667</v>
      </c>
      <c r="N227" s="104">
        <f>IF(DPS_Graph_Tooltip_Speed=TRUE,IF($A227&lt;=DPS_Graph_Max,IF($A227&gt;=DPS_Graph_Speed_Min,1/M227,),),)</f>
        <v>6</v>
      </c>
      <c r="R227" s="104" t="str">
        <f>IF(DPS_Graph_Tooltip_Speed=TRUE,IF($E$8=$A227,1/$N$6,),)</f>
        <v/>
      </c>
    </row>
    <row r="228">
      <c r="A228" s="370">
        <v>-0.15</v>
      </c>
      <c r="B228" s="213">
        <f>If(DPS_Weapon_Type="远程",($E228+1)/60+(ROUNDDOWN($F228*60+1,0)/60)*2,(ROUNDDOWN(($E228+1)+ROUNDDOWN($F228*60+1,0)+ROUNDDOWN($G228/2*60+1,0)+ROUNDDOWN($H228*60+1,0)+1,0))/60+If(DPS_ATK_TYPE="挥砍",1/60)+If(DPS_ATK_TYPE="挥砍/刺击",1/120))+DPS_Weapon_Randomization/60</f>
        <v>0.2383333333</v>
      </c>
      <c r="C228" s="104">
        <f>IF(DPS_Graph_True_Speed=TRUE,IF($A228&lt;=DPS_Graph_Max,IF($A228&gt;=DPS_Graph_Speed_Min,1/B228,),),)</f>
        <v>4.195804196</v>
      </c>
      <c r="D228" s="115" t="str">
        <f>IF(DPS_Graph_True_Speed=TRUE,IF($E$8=$A228,DPS_Attacks_P_Sec,),)</f>
        <v/>
      </c>
      <c r="E228" s="222">
        <f>ROUNDDOWN(MAX(2,IF(A228&gt;=0, DPS_Base_Wpn_Spd/(1+A228),DPS_Base_Wpn_Spd*(1+ABS(A228)))),0)</f>
        <v>4</v>
      </c>
      <c r="F228" s="232">
        <f>IF(A228&gt;=0, DPS_Base_Recoil/(1+A228),DPS_Base_Recoil)</f>
        <v>0.05</v>
      </c>
      <c r="G228" s="377">
        <f t="shared" si="7"/>
        <v>1.072142857</v>
      </c>
      <c r="H228" s="377">
        <f t="shared" si="8"/>
        <v>0.2</v>
      </c>
      <c r="I228" s="104"/>
      <c r="J228" s="377">
        <f>MAX(0, Max(25,(DPS_Base_Range + ((DPS_Range_Stat) / 2))) / MIN(MAX(70, (70 * (1 + ($A228 / 3)))), 120))</f>
        <v>5.714285714</v>
      </c>
      <c r="K228" s="269">
        <f>IF(A228&lt;=DPS_Graph_Max,IF(A228&gt;=DPS_Graph_Speed_Min,A228,),)</f>
        <v>-0.15</v>
      </c>
      <c r="M228" s="213">
        <f>If(DPS_Weapon_Type="远程",$E228/60+$F228*2,$E228/60+$F228+$G228/2+$H228)</f>
        <v>0.1666666667</v>
      </c>
      <c r="N228" s="104">
        <f>IF(DPS_Graph_Tooltip_Speed=TRUE,IF($A228&lt;=DPS_Graph_Max,IF($A228&gt;=DPS_Graph_Speed_Min,1/M228,),),)</f>
        <v>6</v>
      </c>
      <c r="R228" s="104" t="str">
        <f>IF(DPS_Graph_Tooltip_Speed=TRUE,IF($E$8=$A228,1/$N$6,),)</f>
        <v/>
      </c>
    </row>
    <row r="229">
      <c r="A229" s="370">
        <v>-0.14</v>
      </c>
      <c r="B229" s="213">
        <f>If(DPS_Weapon_Type="远程",($E229+1)/60+(ROUNDDOWN($F229*60+1,0)/60)*2,(ROUNDDOWN(($E229+1)+ROUNDDOWN($F229*60+1,0)+ROUNDDOWN($G229/2*60+1,0)+ROUNDDOWN($H229*60+1,0)+1,0))/60+If(DPS_ATK_TYPE="挥砍",1/60)+If(DPS_ATK_TYPE="挥砍/刺击",1/120))+DPS_Weapon_Randomization/60</f>
        <v>0.2383333333</v>
      </c>
      <c r="C229" s="104">
        <f>IF(DPS_Graph_True_Speed=TRUE,IF($A229&lt;=DPS_Graph_Max,IF($A229&gt;=DPS_Graph_Speed_Min,1/B229,),),)</f>
        <v>4.195804196</v>
      </c>
      <c r="D229" s="115" t="str">
        <f>IF(DPS_Graph_True_Speed=TRUE,IF($E$8=$A229,DPS_Attacks_P_Sec,),)</f>
        <v/>
      </c>
      <c r="E229" s="222">
        <f>ROUNDDOWN(MAX(2,IF(A229&gt;=0, DPS_Base_Wpn_Spd/(1+A229),DPS_Base_Wpn_Spd*(1+ABS(A229)))),0)</f>
        <v>4</v>
      </c>
      <c r="F229" s="232">
        <f>IF(A229&gt;=0, DPS_Base_Recoil/(1+A229),DPS_Base_Recoil)</f>
        <v>0.05</v>
      </c>
      <c r="G229" s="377">
        <f t="shared" si="7"/>
        <v>1.071142857</v>
      </c>
      <c r="H229" s="377">
        <f t="shared" si="8"/>
        <v>0.2</v>
      </c>
      <c r="I229" s="104"/>
      <c r="J229" s="377">
        <f>MAX(0, Max(25,(DPS_Base_Range + ((DPS_Range_Stat) / 2))) / MIN(MAX(70, (70 * (1 + ($A229 / 3)))), 120))</f>
        <v>5.714285714</v>
      </c>
      <c r="K229" s="269">
        <f>IF(A229&lt;=DPS_Graph_Max,IF(A229&gt;=DPS_Graph_Speed_Min,A229,),)</f>
        <v>-0.14</v>
      </c>
      <c r="M229" s="213">
        <f>If(DPS_Weapon_Type="远程",$E229/60+$F229*2,$E229/60+$F229+$G229/2+$H229)</f>
        <v>0.1666666667</v>
      </c>
      <c r="N229" s="104">
        <f>IF(DPS_Graph_Tooltip_Speed=TRUE,IF($A229&lt;=DPS_Graph_Max,IF($A229&gt;=DPS_Graph_Speed_Min,1/M229,),),)</f>
        <v>6</v>
      </c>
      <c r="R229" s="104" t="str">
        <f>IF(DPS_Graph_Tooltip_Speed=TRUE,IF($E$8=$A229,1/$N$6,),)</f>
        <v/>
      </c>
    </row>
    <row r="230">
      <c r="A230" s="370">
        <v>-0.13</v>
      </c>
      <c r="B230" s="213">
        <f>If(DPS_Weapon_Type="远程",($E230+1)/60+(ROUNDDOWN($F230*60+1,0)/60)*2,(ROUNDDOWN(($E230+1)+ROUNDDOWN($F230*60+1,0)+ROUNDDOWN($G230/2*60+1,0)+ROUNDDOWN($H230*60+1,0)+1,0))/60+If(DPS_ATK_TYPE="挥砍",1/60)+If(DPS_ATK_TYPE="挥砍/刺击",1/120))+DPS_Weapon_Randomization/60</f>
        <v>0.2383333333</v>
      </c>
      <c r="C230" s="104">
        <f>IF(DPS_Graph_True_Speed=TRUE,IF($A230&lt;=DPS_Graph_Max,IF($A230&gt;=DPS_Graph_Speed_Min,1/B230,),),)</f>
        <v>4.195804196</v>
      </c>
      <c r="D230" s="115" t="str">
        <f>IF(DPS_Graph_True_Speed=TRUE,IF($E$8=$A230,DPS_Attacks_P_Sec,),)</f>
        <v/>
      </c>
      <c r="E230" s="222">
        <f>ROUNDDOWN(MAX(2,IF(A230&gt;=0, DPS_Base_Wpn_Spd/(1+A230),DPS_Base_Wpn_Spd*(1+ABS(A230)))),0)</f>
        <v>4</v>
      </c>
      <c r="F230" s="232">
        <f>IF(A230&gt;=0, DPS_Base_Recoil/(1+A230),DPS_Base_Recoil)</f>
        <v>0.05</v>
      </c>
      <c r="G230" s="377">
        <f t="shared" si="7"/>
        <v>1.070142857</v>
      </c>
      <c r="H230" s="377">
        <f t="shared" si="8"/>
        <v>0.2</v>
      </c>
      <c r="I230" s="104"/>
      <c r="J230" s="377">
        <f>MAX(0, Max(25,(DPS_Base_Range + ((DPS_Range_Stat) / 2))) / MIN(MAX(70, (70 * (1 + ($A230 / 3)))), 120))</f>
        <v>5.714285714</v>
      </c>
      <c r="K230" s="269">
        <f>IF(A230&lt;=DPS_Graph_Max,IF(A230&gt;=DPS_Graph_Speed_Min,A230,),)</f>
        <v>-0.13</v>
      </c>
      <c r="M230" s="213">
        <f>If(DPS_Weapon_Type="远程",$E230/60+$F230*2,$E230/60+$F230+$G230/2+$H230)</f>
        <v>0.1666666667</v>
      </c>
      <c r="N230" s="104">
        <f>IF(DPS_Graph_Tooltip_Speed=TRUE,IF($A230&lt;=DPS_Graph_Max,IF($A230&gt;=DPS_Graph_Speed_Min,1/M230,),),)</f>
        <v>6</v>
      </c>
      <c r="R230" s="104" t="str">
        <f>IF(DPS_Graph_Tooltip_Speed=TRUE,IF($E$8=$A230,1/$N$6,),)</f>
        <v/>
      </c>
    </row>
    <row r="231">
      <c r="A231" s="370">
        <v>-0.12</v>
      </c>
      <c r="B231" s="213">
        <f>If(DPS_Weapon_Type="远程",($E231+1)/60+(ROUNDDOWN($F231*60+1,0)/60)*2,(ROUNDDOWN(($E231+1)+ROUNDDOWN($F231*60+1,0)+ROUNDDOWN($G231/2*60+1,0)+ROUNDDOWN($H231*60+1,0)+1,0))/60+If(DPS_ATK_TYPE="挥砍",1/60)+If(DPS_ATK_TYPE="挥砍/刺击",1/120))+DPS_Weapon_Randomization/60</f>
        <v>0.2383333333</v>
      </c>
      <c r="C231" s="104">
        <f>IF(DPS_Graph_True_Speed=TRUE,IF($A231&lt;=DPS_Graph_Max,IF($A231&gt;=DPS_Graph_Speed_Min,1/B231,),),)</f>
        <v>4.195804196</v>
      </c>
      <c r="D231" s="115" t="str">
        <f>IF(DPS_Graph_True_Speed=TRUE,IF($E$8=$A231,DPS_Attacks_P_Sec,),)</f>
        <v/>
      </c>
      <c r="E231" s="222">
        <f>ROUNDDOWN(MAX(2,IF(A231&gt;=0, DPS_Base_Wpn_Spd/(1+A231),DPS_Base_Wpn_Spd*(1+ABS(A231)))),0)</f>
        <v>4</v>
      </c>
      <c r="F231" s="232">
        <f>IF(A231&gt;=0, DPS_Base_Recoil/(1+A231),DPS_Base_Recoil)</f>
        <v>0.05</v>
      </c>
      <c r="G231" s="377">
        <f t="shared" si="7"/>
        <v>1.069142857</v>
      </c>
      <c r="H231" s="377">
        <f t="shared" si="8"/>
        <v>0.2</v>
      </c>
      <c r="I231" s="104"/>
      <c r="J231" s="377">
        <f>MAX(0, Max(25,(DPS_Base_Range + ((DPS_Range_Stat) / 2))) / MIN(MAX(70, (70 * (1 + ($A231 / 3)))), 120))</f>
        <v>5.714285714</v>
      </c>
      <c r="K231" s="269">
        <f>IF(A231&lt;=DPS_Graph_Max,IF(A231&gt;=DPS_Graph_Speed_Min,A231,),)</f>
        <v>-0.12</v>
      </c>
      <c r="M231" s="213">
        <f>If(DPS_Weapon_Type="远程",$E231/60+$F231*2,$E231/60+$F231+$G231/2+$H231)</f>
        <v>0.1666666667</v>
      </c>
      <c r="N231" s="104">
        <f>IF(DPS_Graph_Tooltip_Speed=TRUE,IF($A231&lt;=DPS_Graph_Max,IF($A231&gt;=DPS_Graph_Speed_Min,1/M231,),),)</f>
        <v>6</v>
      </c>
      <c r="R231" s="104" t="str">
        <f>IF(DPS_Graph_Tooltip_Speed=TRUE,IF($E$8=$A231,1/$N$6,),)</f>
        <v/>
      </c>
    </row>
    <row r="232">
      <c r="A232" s="370">
        <v>-0.11</v>
      </c>
      <c r="B232" s="213">
        <f>If(DPS_Weapon_Type="远程",($E232+1)/60+(ROUNDDOWN($F232*60+1,0)/60)*2,(ROUNDDOWN(($E232+1)+ROUNDDOWN($F232*60+1,0)+ROUNDDOWN($G232/2*60+1,0)+ROUNDDOWN($H232*60+1,0)+1,0))/60+If(DPS_ATK_TYPE="挥砍",1/60)+If(DPS_ATK_TYPE="挥砍/刺击",1/120))+DPS_Weapon_Randomization/60</f>
        <v>0.2383333333</v>
      </c>
      <c r="C232" s="104">
        <f>IF(DPS_Graph_True_Speed=TRUE,IF($A232&lt;=DPS_Graph_Max,IF($A232&gt;=DPS_Graph_Speed_Min,1/B232,),),)</f>
        <v>4.195804196</v>
      </c>
      <c r="D232" s="115" t="str">
        <f>IF(DPS_Graph_True_Speed=TRUE,IF($E$8=$A232,DPS_Attacks_P_Sec,),)</f>
        <v/>
      </c>
      <c r="E232" s="222">
        <f>ROUNDDOWN(MAX(2,IF(A232&gt;=0, DPS_Base_Wpn_Spd/(1+A232),DPS_Base_Wpn_Spd*(1+ABS(A232)))),0)</f>
        <v>4</v>
      </c>
      <c r="F232" s="232">
        <f>IF(A232&gt;=0, DPS_Base_Recoil/(1+A232),DPS_Base_Recoil)</f>
        <v>0.05</v>
      </c>
      <c r="G232" s="377">
        <f t="shared" si="7"/>
        <v>1.068142857</v>
      </c>
      <c r="H232" s="377">
        <f t="shared" si="8"/>
        <v>0.2</v>
      </c>
      <c r="I232" s="104"/>
      <c r="J232" s="377">
        <f>MAX(0, Max(25,(DPS_Base_Range + ((DPS_Range_Stat) / 2))) / MIN(MAX(70, (70 * (1 + ($A232 / 3)))), 120))</f>
        <v>5.714285714</v>
      </c>
      <c r="K232" s="269">
        <f>IF(A232&lt;=DPS_Graph_Max,IF(A232&gt;=DPS_Graph_Speed_Min,A232,),)</f>
        <v>-0.11</v>
      </c>
      <c r="M232" s="213">
        <f>If(DPS_Weapon_Type="远程",$E232/60+$F232*2,$E232/60+$F232+$G232/2+$H232)</f>
        <v>0.1666666667</v>
      </c>
      <c r="N232" s="104">
        <f>IF(DPS_Graph_Tooltip_Speed=TRUE,IF($A232&lt;=DPS_Graph_Max,IF($A232&gt;=DPS_Graph_Speed_Min,1/M232,),),)</f>
        <v>6</v>
      </c>
      <c r="R232" s="104" t="str">
        <f>IF(DPS_Graph_Tooltip_Speed=TRUE,IF($E$8=$A232,1/$N$6,),)</f>
        <v/>
      </c>
    </row>
    <row r="233">
      <c r="A233" s="370">
        <v>-0.1</v>
      </c>
      <c r="B233" s="213">
        <f>If(DPS_Weapon_Type="远程",($E233+1)/60+(ROUNDDOWN($F233*60+1,0)/60)*2,(ROUNDDOWN(($E233+1)+ROUNDDOWN($F233*60+1,0)+ROUNDDOWN($G233/2*60+1,0)+ROUNDDOWN($H233*60+1,0)+1,0))/60+If(DPS_ATK_TYPE="挥砍",1/60)+If(DPS_ATK_TYPE="挥砍/刺击",1/120))+DPS_Weapon_Randomization/60</f>
        <v>0.2383333333</v>
      </c>
      <c r="C233" s="104">
        <f>IF(DPS_Graph_True_Speed=TRUE,IF($A233&lt;=DPS_Graph_Max,IF($A233&gt;=DPS_Graph_Speed_Min,1/B233,),),)</f>
        <v>4.195804196</v>
      </c>
      <c r="D233" s="115" t="str">
        <f>IF(DPS_Graph_True_Speed=TRUE,IF($E$8=$A233,DPS_Attacks_P_Sec,),)</f>
        <v/>
      </c>
      <c r="E233" s="222">
        <f>ROUNDDOWN(MAX(2,IF(A233&gt;=0, DPS_Base_Wpn_Spd/(1+A233),DPS_Base_Wpn_Spd*(1+ABS(A233)))),0)</f>
        <v>4</v>
      </c>
      <c r="F233" s="232">
        <f>IF(A233&gt;=0, DPS_Base_Recoil/(1+A233),DPS_Base_Recoil)</f>
        <v>0.05</v>
      </c>
      <c r="G233" s="377">
        <f t="shared" si="7"/>
        <v>1.067142857</v>
      </c>
      <c r="H233" s="377">
        <f t="shared" si="8"/>
        <v>0.2</v>
      </c>
      <c r="I233" s="104"/>
      <c r="J233" s="377">
        <f>MAX(0, Max(25,(DPS_Base_Range + ((DPS_Range_Stat) / 2))) / MIN(MAX(70, (70 * (1 + ($A233 / 3)))), 120))</f>
        <v>5.714285714</v>
      </c>
      <c r="K233" s="269">
        <f>IF(A233&lt;=DPS_Graph_Max,IF(A233&gt;=DPS_Graph_Speed_Min,A233,),)</f>
        <v>-0.1</v>
      </c>
      <c r="M233" s="213">
        <f>If(DPS_Weapon_Type="远程",$E233/60+$F233*2,$E233/60+$F233+$G233/2+$H233)</f>
        <v>0.1666666667</v>
      </c>
      <c r="N233" s="104">
        <f>IF(DPS_Graph_Tooltip_Speed=TRUE,IF($A233&lt;=DPS_Graph_Max,IF($A233&gt;=DPS_Graph_Speed_Min,1/M233,),),)</f>
        <v>6</v>
      </c>
      <c r="R233" s="104" t="str">
        <f>IF(DPS_Graph_Tooltip_Speed=TRUE,IF($E$8=$A233,1/$N$6,),)</f>
        <v/>
      </c>
    </row>
    <row r="234">
      <c r="A234" s="370">
        <v>-0.09</v>
      </c>
      <c r="B234" s="213">
        <f>If(DPS_Weapon_Type="远程",($E234+1)/60+(ROUNDDOWN($F234*60+1,0)/60)*2,(ROUNDDOWN(($E234+1)+ROUNDDOWN($F234*60+1,0)+ROUNDDOWN($G234/2*60+1,0)+ROUNDDOWN($H234*60+1,0)+1,0))/60+If(DPS_ATK_TYPE="挥砍",1/60)+If(DPS_ATK_TYPE="挥砍/刺击",1/120))+DPS_Weapon_Randomization/60</f>
        <v>0.2383333333</v>
      </c>
      <c r="C234" s="104">
        <f>IF(DPS_Graph_True_Speed=TRUE,IF($A234&lt;=DPS_Graph_Max,IF($A234&gt;=DPS_Graph_Speed_Min,1/B234,),),)</f>
        <v>4.195804196</v>
      </c>
      <c r="D234" s="115" t="str">
        <f>IF(DPS_Graph_True_Speed=TRUE,IF($E$8=$A234,DPS_Attacks_P_Sec,),)</f>
        <v/>
      </c>
      <c r="E234" s="222">
        <f>ROUNDDOWN(MAX(2,IF(A234&gt;=0, DPS_Base_Wpn_Spd/(1+A234),DPS_Base_Wpn_Spd*(1+ABS(A234)))),0)</f>
        <v>4</v>
      </c>
      <c r="F234" s="232">
        <f>IF(A234&gt;=0, DPS_Base_Recoil/(1+A234),DPS_Base_Recoil)</f>
        <v>0.05</v>
      </c>
      <c r="G234" s="377">
        <f t="shared" si="7"/>
        <v>1.066142857</v>
      </c>
      <c r="H234" s="377">
        <f t="shared" si="8"/>
        <v>0.2</v>
      </c>
      <c r="I234" s="104"/>
      <c r="J234" s="377">
        <f>MAX(0, Max(25,(DPS_Base_Range + ((DPS_Range_Stat) / 2))) / MIN(MAX(70, (70 * (1 + ($A234 / 3)))), 120))</f>
        <v>5.714285714</v>
      </c>
      <c r="K234" s="269">
        <f>IF(A234&lt;=DPS_Graph_Max,IF(A234&gt;=DPS_Graph_Speed_Min,A234,),)</f>
        <v>-0.09</v>
      </c>
      <c r="M234" s="213">
        <f>If(DPS_Weapon_Type="远程",$E234/60+$F234*2,$E234/60+$F234+$G234/2+$H234)</f>
        <v>0.1666666667</v>
      </c>
      <c r="N234" s="104">
        <f>IF(DPS_Graph_Tooltip_Speed=TRUE,IF($A234&lt;=DPS_Graph_Max,IF($A234&gt;=DPS_Graph_Speed_Min,1/M234,),),)</f>
        <v>6</v>
      </c>
      <c r="R234" s="104" t="str">
        <f>IF(DPS_Graph_Tooltip_Speed=TRUE,IF($E$8=$A234,1/$N$6,),)</f>
        <v/>
      </c>
    </row>
    <row r="235">
      <c r="A235" s="370">
        <v>-0.08</v>
      </c>
      <c r="B235" s="213">
        <f>If(DPS_Weapon_Type="远程",($E235+1)/60+(ROUNDDOWN($F235*60+1,0)/60)*2,(ROUNDDOWN(($E235+1)+ROUNDDOWN($F235*60+1,0)+ROUNDDOWN($G235/2*60+1,0)+ROUNDDOWN($H235*60+1,0)+1,0))/60+If(DPS_ATK_TYPE="挥砍",1/60)+If(DPS_ATK_TYPE="挥砍/刺击",1/120))+DPS_Weapon_Randomization/60</f>
        <v>0.2383333333</v>
      </c>
      <c r="C235" s="104">
        <f>IF(DPS_Graph_True_Speed=TRUE,IF($A235&lt;=DPS_Graph_Max,IF($A235&gt;=DPS_Graph_Speed_Min,1/B235,),),)</f>
        <v>4.195804196</v>
      </c>
      <c r="D235" s="115" t="str">
        <f>IF(DPS_Graph_True_Speed=TRUE,IF($E$8=$A235,DPS_Attacks_P_Sec,),)</f>
        <v/>
      </c>
      <c r="E235" s="222">
        <f>ROUNDDOWN(MAX(2,IF(A235&gt;=0, DPS_Base_Wpn_Spd/(1+A235),DPS_Base_Wpn_Spd*(1+ABS(A235)))),0)</f>
        <v>4</v>
      </c>
      <c r="F235" s="232">
        <f>IF(A235&gt;=0, DPS_Base_Recoil/(1+A235),DPS_Base_Recoil)</f>
        <v>0.05</v>
      </c>
      <c r="G235" s="377">
        <f t="shared" si="7"/>
        <v>1.065142857</v>
      </c>
      <c r="H235" s="377">
        <f t="shared" si="8"/>
        <v>0.2</v>
      </c>
      <c r="I235" s="104"/>
      <c r="J235" s="377">
        <f>MAX(0, Max(25,(DPS_Base_Range + ((DPS_Range_Stat) / 2))) / MIN(MAX(70, (70 * (1 + ($A235 / 3)))), 120))</f>
        <v>5.714285714</v>
      </c>
      <c r="K235" s="269">
        <f>IF(A235&lt;=DPS_Graph_Max,IF(A235&gt;=DPS_Graph_Speed_Min,A235,),)</f>
        <v>-0.08</v>
      </c>
      <c r="M235" s="213">
        <f>If(DPS_Weapon_Type="远程",$E235/60+$F235*2,$E235/60+$F235+$G235/2+$H235)</f>
        <v>0.1666666667</v>
      </c>
      <c r="N235" s="104">
        <f>IF(DPS_Graph_Tooltip_Speed=TRUE,IF($A235&lt;=DPS_Graph_Max,IF($A235&gt;=DPS_Graph_Speed_Min,1/M235,),),)</f>
        <v>6</v>
      </c>
      <c r="R235" s="104" t="str">
        <f>IF(DPS_Graph_Tooltip_Speed=TRUE,IF($E$8=$A235,1/$N$6,),)</f>
        <v/>
      </c>
    </row>
    <row r="236">
      <c r="A236" s="370">
        <v>-0.07</v>
      </c>
      <c r="B236" s="213">
        <f>If(DPS_Weapon_Type="远程",($E236+1)/60+(ROUNDDOWN($F236*60+1,0)/60)*2,(ROUNDDOWN(($E236+1)+ROUNDDOWN($F236*60+1,0)+ROUNDDOWN($G236/2*60+1,0)+ROUNDDOWN($H236*60+1,0)+1,0))/60+If(DPS_ATK_TYPE="挥砍",1/60)+If(DPS_ATK_TYPE="挥砍/刺击",1/120))+DPS_Weapon_Randomization/60</f>
        <v>0.2383333333</v>
      </c>
      <c r="C236" s="104">
        <f>IF(DPS_Graph_True_Speed=TRUE,IF($A236&lt;=DPS_Graph_Max,IF($A236&gt;=DPS_Graph_Speed_Min,1/B236,),),)</f>
        <v>4.195804196</v>
      </c>
      <c r="D236" s="115" t="str">
        <f>IF(DPS_Graph_True_Speed=TRUE,IF($E$8=$A236,DPS_Attacks_P_Sec,),)</f>
        <v/>
      </c>
      <c r="E236" s="222">
        <f>ROUNDDOWN(MAX(2,IF(A236&gt;=0, DPS_Base_Wpn_Spd/(1+A236),DPS_Base_Wpn_Spd*(1+ABS(A236)))),0)</f>
        <v>4</v>
      </c>
      <c r="F236" s="232">
        <f>IF(A236&gt;=0, DPS_Base_Recoil/(1+A236),DPS_Base_Recoil)</f>
        <v>0.05</v>
      </c>
      <c r="G236" s="377">
        <f t="shared" si="7"/>
        <v>1.064142857</v>
      </c>
      <c r="H236" s="377">
        <f t="shared" si="8"/>
        <v>0.2</v>
      </c>
      <c r="I236" s="104"/>
      <c r="J236" s="377">
        <f>MAX(0, Max(25,(DPS_Base_Range + ((DPS_Range_Stat) / 2))) / MIN(MAX(70, (70 * (1 + ($A236 / 3)))), 120))</f>
        <v>5.714285714</v>
      </c>
      <c r="K236" s="269">
        <f>IF(A236&lt;=DPS_Graph_Max,IF(A236&gt;=DPS_Graph_Speed_Min,A236,),)</f>
        <v>-0.07</v>
      </c>
      <c r="M236" s="213">
        <f>If(DPS_Weapon_Type="远程",$E236/60+$F236*2,$E236/60+$F236+$G236/2+$H236)</f>
        <v>0.1666666667</v>
      </c>
      <c r="N236" s="104">
        <f>IF(DPS_Graph_Tooltip_Speed=TRUE,IF($A236&lt;=DPS_Graph_Max,IF($A236&gt;=DPS_Graph_Speed_Min,1/M236,),),)</f>
        <v>6</v>
      </c>
      <c r="R236" s="104" t="str">
        <f>IF(DPS_Graph_Tooltip_Speed=TRUE,IF($E$8=$A236,1/$N$6,),)</f>
        <v/>
      </c>
    </row>
    <row r="237">
      <c r="A237" s="370">
        <v>-0.06</v>
      </c>
      <c r="B237" s="213">
        <f>If(DPS_Weapon_Type="远程",($E237+1)/60+(ROUNDDOWN($F237*60+1,0)/60)*2,(ROUNDDOWN(($E237+1)+ROUNDDOWN($F237*60+1,0)+ROUNDDOWN($G237/2*60+1,0)+ROUNDDOWN($H237*60+1,0)+1,0))/60+If(DPS_ATK_TYPE="挥砍",1/60)+If(DPS_ATK_TYPE="挥砍/刺击",1/120))+DPS_Weapon_Randomization/60</f>
        <v>0.2383333333</v>
      </c>
      <c r="C237" s="104">
        <f>IF(DPS_Graph_True_Speed=TRUE,IF($A237&lt;=DPS_Graph_Max,IF($A237&gt;=DPS_Graph_Speed_Min,1/B237,),),)</f>
        <v>4.195804196</v>
      </c>
      <c r="D237" s="115" t="str">
        <f>IF(DPS_Graph_True_Speed=TRUE,IF($E$8=$A237,DPS_Attacks_P_Sec,),)</f>
        <v/>
      </c>
      <c r="E237" s="222">
        <f>ROUNDDOWN(MAX(2,IF(A237&gt;=0, DPS_Base_Wpn_Spd/(1+A237),DPS_Base_Wpn_Spd*(1+ABS(A237)))),0)</f>
        <v>4</v>
      </c>
      <c r="F237" s="232">
        <f>IF(A237&gt;=0, DPS_Base_Recoil/(1+A237),DPS_Base_Recoil)</f>
        <v>0.05</v>
      </c>
      <c r="G237" s="377">
        <f t="shared" si="7"/>
        <v>1.063142857</v>
      </c>
      <c r="H237" s="377">
        <f t="shared" si="8"/>
        <v>0.2</v>
      </c>
      <c r="I237" s="104"/>
      <c r="J237" s="377">
        <f>MAX(0, Max(25,(DPS_Base_Range + ((DPS_Range_Stat) / 2))) / MIN(MAX(70, (70 * (1 + ($A237 / 3)))), 120))</f>
        <v>5.714285714</v>
      </c>
      <c r="K237" s="269">
        <f>IF(A237&lt;=DPS_Graph_Max,IF(A237&gt;=DPS_Graph_Speed_Min,A237,),)</f>
        <v>-0.06</v>
      </c>
      <c r="M237" s="213">
        <f>If(DPS_Weapon_Type="远程",$E237/60+$F237*2,$E237/60+$F237+$G237/2+$H237)</f>
        <v>0.1666666667</v>
      </c>
      <c r="N237" s="104">
        <f>IF(DPS_Graph_Tooltip_Speed=TRUE,IF($A237&lt;=DPS_Graph_Max,IF($A237&gt;=DPS_Graph_Speed_Min,1/M237,),),)</f>
        <v>6</v>
      </c>
      <c r="R237" s="104" t="str">
        <f>IF(DPS_Graph_Tooltip_Speed=TRUE,IF($E$8=$A237,1/$N$6,),)</f>
        <v/>
      </c>
    </row>
    <row r="238">
      <c r="A238" s="370">
        <v>-0.05</v>
      </c>
      <c r="B238" s="213">
        <f>If(DPS_Weapon_Type="远程",($E238+1)/60+(ROUNDDOWN($F238*60+1,0)/60)*2,(ROUNDDOWN(($E238+1)+ROUNDDOWN($F238*60+1,0)+ROUNDDOWN($G238/2*60+1,0)+ROUNDDOWN($H238*60+1,0)+1,0))/60+If(DPS_ATK_TYPE="挥砍",1/60)+If(DPS_ATK_TYPE="挥砍/刺击",1/120))+DPS_Weapon_Randomization/60</f>
        <v>0.2383333333</v>
      </c>
      <c r="C238" s="104">
        <f>IF(DPS_Graph_True_Speed=TRUE,IF($A238&lt;=DPS_Graph_Max,IF($A238&gt;=DPS_Graph_Speed_Min,1/B238,),),)</f>
        <v>4.195804196</v>
      </c>
      <c r="D238" s="115" t="str">
        <f>IF(DPS_Graph_True_Speed=TRUE,IF($E$8=$A238,DPS_Attacks_P_Sec,),)</f>
        <v/>
      </c>
      <c r="E238" s="222">
        <f>ROUNDDOWN(MAX(2,IF(A238&gt;=0, DPS_Base_Wpn_Spd/(1+A238),DPS_Base_Wpn_Spd*(1+ABS(A238)))),0)</f>
        <v>4</v>
      </c>
      <c r="F238" s="232">
        <f>IF(A238&gt;=0, DPS_Base_Recoil/(1+A238),DPS_Base_Recoil)</f>
        <v>0.05</v>
      </c>
      <c r="G238" s="377">
        <f t="shared" si="7"/>
        <v>1.062142857</v>
      </c>
      <c r="H238" s="377">
        <f t="shared" si="8"/>
        <v>0.2</v>
      </c>
      <c r="I238" s="104"/>
      <c r="J238" s="377">
        <f>MAX(0, Max(25,(DPS_Base_Range + ((DPS_Range_Stat) / 2))) / MIN(MAX(70, (70 * (1 + ($A238 / 3)))), 120))</f>
        <v>5.714285714</v>
      </c>
      <c r="K238" s="269">
        <f>IF(A238&lt;=DPS_Graph_Max,IF(A238&gt;=DPS_Graph_Speed_Min,A238,),)</f>
        <v>-0.05</v>
      </c>
      <c r="M238" s="213">
        <f>If(DPS_Weapon_Type="远程",$E238/60+$F238*2,$E238/60+$F238+$G238/2+$H238)</f>
        <v>0.1666666667</v>
      </c>
      <c r="N238" s="104">
        <f>IF(DPS_Graph_Tooltip_Speed=TRUE,IF($A238&lt;=DPS_Graph_Max,IF($A238&gt;=DPS_Graph_Speed_Min,1/M238,),),)</f>
        <v>6</v>
      </c>
      <c r="R238" s="104" t="str">
        <f>IF(DPS_Graph_Tooltip_Speed=TRUE,IF($E$8=$A238,1/$N$6,),)</f>
        <v/>
      </c>
    </row>
    <row r="239">
      <c r="A239" s="370">
        <v>-0.04</v>
      </c>
      <c r="B239" s="213">
        <f>If(DPS_Weapon_Type="远程",($E239+1)/60+(ROUNDDOWN($F239*60+1,0)/60)*2,(ROUNDDOWN(($E239+1)+ROUNDDOWN($F239*60+1,0)+ROUNDDOWN($G239/2*60+1,0)+ROUNDDOWN($H239*60+1,0)+1,0))/60+If(DPS_ATK_TYPE="挥砍",1/60)+If(DPS_ATK_TYPE="挥砍/刺击",1/120))+DPS_Weapon_Randomization/60</f>
        <v>0.2383333333</v>
      </c>
      <c r="C239" s="104">
        <f>IF(DPS_Graph_True_Speed=TRUE,IF($A239&lt;=DPS_Graph_Max,IF($A239&gt;=DPS_Graph_Speed_Min,1/B239,),),)</f>
        <v>4.195804196</v>
      </c>
      <c r="D239" s="115" t="str">
        <f>IF(DPS_Graph_True_Speed=TRUE,IF($E$8=$A239,DPS_Attacks_P_Sec,),)</f>
        <v/>
      </c>
      <c r="E239" s="222">
        <f>ROUNDDOWN(MAX(2,IF(A239&gt;=0, DPS_Base_Wpn_Spd/(1+A239),DPS_Base_Wpn_Spd*(1+ABS(A239)))),0)</f>
        <v>4</v>
      </c>
      <c r="F239" s="232">
        <f>IF(A239&gt;=0, DPS_Base_Recoil/(1+A239),DPS_Base_Recoil)</f>
        <v>0.05</v>
      </c>
      <c r="G239" s="377">
        <f t="shared" si="7"/>
        <v>1.061142857</v>
      </c>
      <c r="H239" s="377">
        <f t="shared" si="8"/>
        <v>0.2</v>
      </c>
      <c r="I239" s="104"/>
      <c r="J239" s="377">
        <f>MAX(0, Max(25,(DPS_Base_Range + ((DPS_Range_Stat) / 2))) / MIN(MAX(70, (70 * (1 + ($A239 / 3)))), 120))</f>
        <v>5.714285714</v>
      </c>
      <c r="K239" s="269">
        <f>IF(A239&lt;=DPS_Graph_Max,IF(A239&gt;=DPS_Graph_Speed_Min,A239,),)</f>
        <v>-0.04</v>
      </c>
      <c r="M239" s="213">
        <f>If(DPS_Weapon_Type="远程",$E239/60+$F239*2,$E239/60+$F239+$G239/2+$H239)</f>
        <v>0.1666666667</v>
      </c>
      <c r="N239" s="104">
        <f>IF(DPS_Graph_Tooltip_Speed=TRUE,IF($A239&lt;=DPS_Graph_Max,IF($A239&gt;=DPS_Graph_Speed_Min,1/M239,),),)</f>
        <v>6</v>
      </c>
      <c r="R239" s="104" t="str">
        <f>IF(DPS_Graph_Tooltip_Speed=TRUE,IF($E$8=$A239,1/$N$6,),)</f>
        <v/>
      </c>
    </row>
    <row r="240">
      <c r="A240" s="370">
        <v>-0.03</v>
      </c>
      <c r="B240" s="213">
        <f>If(DPS_Weapon_Type="远程",($E240+1)/60+(ROUNDDOWN($F240*60+1,0)/60)*2,(ROUNDDOWN(($E240+1)+ROUNDDOWN($F240*60+1,0)+ROUNDDOWN($G240/2*60+1,0)+ROUNDDOWN($H240*60+1,0)+1,0))/60+If(DPS_ATK_TYPE="挥砍",1/60)+If(DPS_ATK_TYPE="挥砍/刺击",1/120))+DPS_Weapon_Randomization/60</f>
        <v>0.2383333333</v>
      </c>
      <c r="C240" s="104">
        <f>IF(DPS_Graph_True_Speed=TRUE,IF($A240&lt;=DPS_Graph_Max,IF($A240&gt;=DPS_Graph_Speed_Min,1/B240,),),)</f>
        <v>4.195804196</v>
      </c>
      <c r="D240" s="115" t="str">
        <f>IF(DPS_Graph_True_Speed=TRUE,IF($E$8=$A240,DPS_Attacks_P_Sec,),)</f>
        <v/>
      </c>
      <c r="E240" s="222">
        <f>ROUNDDOWN(MAX(2,IF(A240&gt;=0, DPS_Base_Wpn_Spd/(1+A240),DPS_Base_Wpn_Spd*(1+ABS(A240)))),0)</f>
        <v>4</v>
      </c>
      <c r="F240" s="232">
        <f>IF(A240&gt;=0, DPS_Base_Recoil/(1+A240),DPS_Base_Recoil)</f>
        <v>0.05</v>
      </c>
      <c r="G240" s="377">
        <f t="shared" si="7"/>
        <v>1.060142857</v>
      </c>
      <c r="H240" s="377">
        <f t="shared" si="8"/>
        <v>0.2</v>
      </c>
      <c r="I240" s="104"/>
      <c r="J240" s="377">
        <f>MAX(0, Max(25,(DPS_Base_Range + ((DPS_Range_Stat) / 2))) / MIN(MAX(70, (70 * (1 + ($A240 / 3)))), 120))</f>
        <v>5.714285714</v>
      </c>
      <c r="K240" s="269">
        <f>IF(A240&lt;=DPS_Graph_Max,IF(A240&gt;=DPS_Graph_Speed_Min,A240,),)</f>
        <v>-0.03</v>
      </c>
      <c r="M240" s="213">
        <f>If(DPS_Weapon_Type="远程",$E240/60+$F240*2,$E240/60+$F240+$G240/2+$H240)</f>
        <v>0.1666666667</v>
      </c>
      <c r="N240" s="104">
        <f>IF(DPS_Graph_Tooltip_Speed=TRUE,IF($A240&lt;=DPS_Graph_Max,IF($A240&gt;=DPS_Graph_Speed_Min,1/M240,),),)</f>
        <v>6</v>
      </c>
      <c r="R240" s="104" t="str">
        <f>IF(DPS_Graph_Tooltip_Speed=TRUE,IF($E$8=$A240,1/$N$6,),)</f>
        <v/>
      </c>
    </row>
    <row r="241">
      <c r="A241" s="370">
        <v>-0.02</v>
      </c>
      <c r="B241" s="213">
        <f>If(DPS_Weapon_Type="远程",($E241+1)/60+(ROUNDDOWN($F241*60+1,0)/60)*2,(ROUNDDOWN(($E241+1)+ROUNDDOWN($F241*60+1,0)+ROUNDDOWN($G241/2*60+1,0)+ROUNDDOWN($H241*60+1,0)+1,0))/60+If(DPS_ATK_TYPE="挥砍",1/60)+If(DPS_ATK_TYPE="挥砍/刺击",1/120))+DPS_Weapon_Randomization/60</f>
        <v>0.2383333333</v>
      </c>
      <c r="C241" s="104">
        <f>IF(DPS_Graph_True_Speed=TRUE,IF($A241&lt;=DPS_Graph_Max,IF($A241&gt;=DPS_Graph_Speed_Min,1/B241,),),)</f>
        <v>4.195804196</v>
      </c>
      <c r="D241" s="115" t="str">
        <f>IF(DPS_Graph_True_Speed=TRUE,IF($E$8=$A241,DPS_Attacks_P_Sec,),)</f>
        <v/>
      </c>
      <c r="E241" s="222">
        <f>ROUNDDOWN(MAX(2,IF(A241&gt;=0, DPS_Base_Wpn_Spd/(1+A241),DPS_Base_Wpn_Spd*(1+ABS(A241)))),0)</f>
        <v>4</v>
      </c>
      <c r="F241" s="232">
        <f>IF(A241&gt;=0, DPS_Base_Recoil/(1+A241),DPS_Base_Recoil)</f>
        <v>0.05</v>
      </c>
      <c r="G241" s="377">
        <f t="shared" si="7"/>
        <v>1.059142857</v>
      </c>
      <c r="H241" s="377">
        <f t="shared" si="8"/>
        <v>0.2</v>
      </c>
      <c r="I241" s="104"/>
      <c r="J241" s="377">
        <f>MAX(0, Max(25,(DPS_Base_Range + ((DPS_Range_Stat) / 2))) / MIN(MAX(70, (70 * (1 + ($A241 / 3)))), 120))</f>
        <v>5.714285714</v>
      </c>
      <c r="K241" s="269">
        <f>IF(A241&lt;=DPS_Graph_Max,IF(A241&gt;=DPS_Graph_Speed_Min,A241,),)</f>
        <v>-0.02</v>
      </c>
      <c r="M241" s="213">
        <f>If(DPS_Weapon_Type="远程",$E241/60+$F241*2,$E241/60+$F241+$G241/2+$H241)</f>
        <v>0.1666666667</v>
      </c>
      <c r="N241" s="104">
        <f>IF(DPS_Graph_Tooltip_Speed=TRUE,IF($A241&lt;=DPS_Graph_Max,IF($A241&gt;=DPS_Graph_Speed_Min,1/M241,),),)</f>
        <v>6</v>
      </c>
      <c r="R241" s="104" t="str">
        <f>IF(DPS_Graph_Tooltip_Speed=TRUE,IF($E$8=$A241,1/$N$6,),)</f>
        <v/>
      </c>
    </row>
    <row r="242">
      <c r="A242" s="370">
        <v>-0.01</v>
      </c>
      <c r="B242" s="213">
        <f>If(DPS_Weapon_Type="远程",($E242+1)/60+(ROUNDDOWN($F242*60+1,0)/60)*2,(ROUNDDOWN(($E242+1)+ROUNDDOWN($F242*60+1,0)+ROUNDDOWN($G242/2*60+1,0)+ROUNDDOWN($H242*60+1,0)+1,0))/60+If(DPS_ATK_TYPE="挥砍",1/60)+If(DPS_ATK_TYPE="挥砍/刺击",1/120))+DPS_Weapon_Randomization/60</f>
        <v>0.2383333333</v>
      </c>
      <c r="C242" s="104">
        <f>IF(DPS_Graph_True_Speed=TRUE,IF($A242&lt;=DPS_Graph_Max,IF($A242&gt;=DPS_Graph_Speed_Min,1/B242,),),)</f>
        <v>4.195804196</v>
      </c>
      <c r="D242" s="115" t="str">
        <f>IF(DPS_Graph_True_Speed=TRUE,IF($E$8=$A242,DPS_Attacks_P_Sec,),)</f>
        <v/>
      </c>
      <c r="E242" s="222">
        <f>ROUNDDOWN(MAX(2,IF(A242&gt;=0, DPS_Base_Wpn_Spd/(1+A242),DPS_Base_Wpn_Spd*(1+ABS(A242)))),0)</f>
        <v>4</v>
      </c>
      <c r="F242" s="232">
        <f>IF(A242&gt;=0, DPS_Base_Recoil/(1+A242),DPS_Base_Recoil)</f>
        <v>0.05</v>
      </c>
      <c r="G242" s="377">
        <f t="shared" si="7"/>
        <v>1.058142857</v>
      </c>
      <c r="H242" s="377">
        <f t="shared" si="8"/>
        <v>0.2</v>
      </c>
      <c r="I242" s="104"/>
      <c r="J242" s="377">
        <f>MAX(0, Max(25,(DPS_Base_Range + ((DPS_Range_Stat) / 2))) / MIN(MAX(70, (70 * (1 + ($A242 / 3)))), 120))</f>
        <v>5.714285714</v>
      </c>
      <c r="K242" s="269">
        <f>IF(A242&lt;=DPS_Graph_Max,IF(A242&gt;=DPS_Graph_Speed_Min,A242,),)</f>
        <v>-0.01</v>
      </c>
      <c r="M242" s="213">
        <f>If(DPS_Weapon_Type="远程",$E242/60+$F242*2,$E242/60+$F242+$G242/2+$H242)</f>
        <v>0.1666666667</v>
      </c>
      <c r="N242" s="104">
        <f>IF(DPS_Graph_Tooltip_Speed=TRUE,IF($A242&lt;=DPS_Graph_Max,IF($A242&gt;=DPS_Graph_Speed_Min,1/M242,),),)</f>
        <v>6</v>
      </c>
      <c r="R242" s="104" t="str">
        <f>IF(DPS_Graph_Tooltip_Speed=TRUE,IF($E$8=$A242,1/$N$6,),)</f>
        <v/>
      </c>
    </row>
    <row r="243">
      <c r="A243" s="370">
        <v>0.0</v>
      </c>
      <c r="B243" s="213">
        <f>If(DPS_Weapon_Type="远程",($E243+1)/60+(ROUNDDOWN($F243*60+1,0)/60)*2,(ROUNDDOWN(($E243+1)+ROUNDDOWN($F243*60+1,0)+ROUNDDOWN($G243/2*60+1,0)+ROUNDDOWN($H243*60+1,0)+1,0))/60+If(DPS_ATK_TYPE="挥砍",1/60)+If(DPS_ATK_TYPE="挥砍/刺击",1/120))+DPS_Weapon_Randomization/60</f>
        <v>0.2383333333</v>
      </c>
      <c r="C243" s="104">
        <f>IF(DPS_Graph_True_Speed=TRUE,IF($A243&lt;=DPS_Graph_Max,IF($A243&gt;=DPS_Graph_Speed_Min,1/B243,),),)</f>
        <v>4.195804196</v>
      </c>
      <c r="D243" s="115" t="str">
        <f>IF(DPS_Graph_True_Speed=TRUE,IF($E$8=$A243,DPS_Attacks_P_Sec,),)</f>
        <v/>
      </c>
      <c r="E243" s="222">
        <f>ROUNDDOWN(MAX(2,IF(A243&gt;=0, DPS_Base_Wpn_Spd/(1+A243),DPS_Base_Wpn_Spd*(1+ABS(A243)))),0)</f>
        <v>4</v>
      </c>
      <c r="F243" s="232">
        <f>IF(A243&gt;=0, DPS_Base_Recoil/(1+A243),DPS_Base_Recoil)</f>
        <v>0.05</v>
      </c>
      <c r="G243" s="377">
        <f t="shared" si="7"/>
        <v>1.057142857</v>
      </c>
      <c r="H243" s="377">
        <f t="shared" si="8"/>
        <v>0.2</v>
      </c>
      <c r="I243" s="104"/>
      <c r="J243" s="377">
        <f>MAX(0, Max(25,(DPS_Base_Range + ((DPS_Range_Stat) / 2))) / MIN(MAX(70, (70 * (1 + ($A243 / 3)))), 120))</f>
        <v>5.714285714</v>
      </c>
      <c r="K243" s="269">
        <f>IF(A243&lt;=DPS_Graph_Max,IF(A243&gt;=DPS_Graph_Speed_Min,A243,),)</f>
        <v>0</v>
      </c>
      <c r="M243" s="213">
        <f>If(DPS_Weapon_Type="远程",$E243/60+$F243*2,$E243/60+$F243+$G243/2+$H243)</f>
        <v>0.1666666667</v>
      </c>
      <c r="N243" s="104">
        <f>IF(DPS_Graph_Tooltip_Speed=TRUE,IF($A243&lt;=DPS_Graph_Max,IF($A243&gt;=DPS_Graph_Speed_Min,1/M243,),),)</f>
        <v>6</v>
      </c>
      <c r="R243" s="104" t="str">
        <f>IF(DPS_Graph_Tooltip_Speed=TRUE,IF($E$8=$A243,1/$N$6,),)</f>
        <v/>
      </c>
    </row>
    <row r="244">
      <c r="A244" s="370">
        <v>0.01</v>
      </c>
      <c r="B244" s="213">
        <f>If(DPS_Weapon_Type="远程",($E244+1)/60+(ROUNDDOWN($F244*60+1,0)/60)*2,(ROUNDDOWN(($E244+1)+ROUNDDOWN($F244*60+1,0)+ROUNDDOWN($G244/2*60+1,0)+ROUNDDOWN($H244*60+1,0)+1,0))/60+If(DPS_ATK_TYPE="挥砍",1/60)+If(DPS_ATK_TYPE="挥砍/刺击",1/120))+DPS_Weapon_Randomization/60</f>
        <v>0.1883333333</v>
      </c>
      <c r="C244" s="104">
        <f>IF(DPS_Graph_True_Speed=TRUE,IF($A244&lt;=DPS_Graph_Max,IF($A244&gt;=DPS_Graph_Speed_Min,1/B244,),),)</f>
        <v>5.309734513</v>
      </c>
      <c r="D244" s="115" t="str">
        <f>IF(DPS_Graph_True_Speed=TRUE,IF($E$8=$A244,DPS_Attacks_P_Sec,),)</f>
        <v/>
      </c>
      <c r="E244" s="222">
        <f>ROUNDDOWN(MAX(2,IF(A244&gt;=0, DPS_Base_Wpn_Spd/(1+A244),DPS_Base_Wpn_Spd*(1+ABS(A244)))),0)</f>
        <v>3</v>
      </c>
      <c r="F244" s="232">
        <f>IF(A244&gt;=0, DPS_Base_Recoil/(1+A244),DPS_Base_Recoil)</f>
        <v>0.0495049505</v>
      </c>
      <c r="G244" s="377">
        <f t="shared" si="7"/>
        <v>1.053295206</v>
      </c>
      <c r="H244" s="377">
        <f t="shared" si="8"/>
        <v>0.1941747573</v>
      </c>
      <c r="I244" s="104"/>
      <c r="J244" s="377">
        <f>MAX(0, Max(25,(DPS_Base_Range + ((DPS_Range_Stat) / 2))) / MIN(MAX(70, (70 * (1 + ($A244 / 3)))), 120))</f>
        <v>5.695301376</v>
      </c>
      <c r="K244" s="269">
        <f>IF(A244&lt;=DPS_Graph_Max,IF(A244&gt;=DPS_Graph_Speed_Min,A244,),)</f>
        <v>0.01</v>
      </c>
      <c r="M244" s="213">
        <f>If(DPS_Weapon_Type="远程",$E244/60+$F244*2,$E244/60+$F244+$G244/2+$H244)</f>
        <v>0.149009901</v>
      </c>
      <c r="N244" s="104">
        <f>IF(DPS_Graph_Tooltip_Speed=TRUE,IF($A244&lt;=DPS_Graph_Max,IF($A244&gt;=DPS_Graph_Speed_Min,1/M244,),),)</f>
        <v>6.710963455</v>
      </c>
      <c r="R244" s="104" t="str">
        <f>IF(DPS_Graph_Tooltip_Speed=TRUE,IF($E$8=$A244,1/$N$6,),)</f>
        <v/>
      </c>
    </row>
    <row r="245">
      <c r="A245" s="370">
        <v>0.02</v>
      </c>
      <c r="B245" s="213">
        <f>If(DPS_Weapon_Type="远程",($E245+1)/60+(ROUNDDOWN($F245*60+1,0)/60)*2,(ROUNDDOWN(($E245+1)+ROUNDDOWN($F245*60+1,0)+ROUNDDOWN($G245/2*60+1,0)+ROUNDDOWN($H245*60+1,0)+1,0))/60+If(DPS_ATK_TYPE="挥砍",1/60)+If(DPS_ATK_TYPE="挥砍/刺击",1/120))+DPS_Weapon_Randomization/60</f>
        <v>0.1883333333</v>
      </c>
      <c r="C245" s="104">
        <f>IF(DPS_Graph_True_Speed=TRUE,IF($A245&lt;=DPS_Graph_Max,IF($A245&gt;=DPS_Graph_Speed_Min,1/B245,),),)</f>
        <v>5.309734513</v>
      </c>
      <c r="D245" s="115" t="str">
        <f>IF(DPS_Graph_True_Speed=TRUE,IF($E$8=$A245,DPS_Attacks_P_Sec,),)</f>
        <v/>
      </c>
      <c r="E245" s="222">
        <f>ROUNDDOWN(MAX(2,IF(A245&gt;=0, DPS_Base_Wpn_Spd/(1+A245),DPS_Base_Wpn_Spd*(1+ABS(A245)))),0)</f>
        <v>3</v>
      </c>
      <c r="F245" s="232">
        <f>IF(A245&gt;=0, DPS_Base_Recoil/(1+A245),DPS_Base_Recoil)</f>
        <v>0.04901960784</v>
      </c>
      <c r="G245" s="377">
        <f t="shared" si="7"/>
        <v>1.049466414</v>
      </c>
      <c r="H245" s="377">
        <f t="shared" si="8"/>
        <v>0.1886792453</v>
      </c>
      <c r="I245" s="104"/>
      <c r="J245" s="377">
        <f>MAX(0, Max(25,(DPS_Base_Range + ((DPS_Range_Stat) / 2))) / MIN(MAX(70, (70 * (1 + ($A245 / 3)))), 120))</f>
        <v>5.676442763</v>
      </c>
      <c r="K245" s="269">
        <f>IF(A245&lt;=DPS_Graph_Max,IF(A245&gt;=DPS_Graph_Speed_Min,A245,),)</f>
        <v>0.02</v>
      </c>
      <c r="M245" s="213">
        <f>If(DPS_Weapon_Type="远程",$E245/60+$F245*2,$E245/60+$F245+$G245/2+$H245)</f>
        <v>0.1480392157</v>
      </c>
      <c r="N245" s="104">
        <f>IF(DPS_Graph_Tooltip_Speed=TRUE,IF($A245&lt;=DPS_Graph_Max,IF($A245&gt;=DPS_Graph_Speed_Min,1/M245,),),)</f>
        <v>6.754966887</v>
      </c>
      <c r="R245" s="104" t="str">
        <f>IF(DPS_Graph_Tooltip_Speed=TRUE,IF($E$8=$A245,1/$N$6,),)</f>
        <v/>
      </c>
    </row>
    <row r="246">
      <c r="A246" s="370">
        <v>0.03</v>
      </c>
      <c r="B246" s="213">
        <f>If(DPS_Weapon_Type="远程",($E246+1)/60+(ROUNDDOWN($F246*60+1,0)/60)*2,(ROUNDDOWN(($E246+1)+ROUNDDOWN($F246*60+1,0)+ROUNDDOWN($G246/2*60+1,0)+ROUNDDOWN($H246*60+1,0)+1,0))/60+If(DPS_ATK_TYPE="挥砍",1/60)+If(DPS_ATK_TYPE="挥砍/刺击",1/120))+DPS_Weapon_Randomization/60</f>
        <v>0.1883333333</v>
      </c>
      <c r="C246" s="104">
        <f>IF(DPS_Graph_True_Speed=TRUE,IF($A246&lt;=DPS_Graph_Max,IF($A246&gt;=DPS_Graph_Speed_Min,1/B246,),),)</f>
        <v>5.309734513</v>
      </c>
      <c r="D246" s="115" t="str">
        <f>IF(DPS_Graph_True_Speed=TRUE,IF($E$8=$A246,DPS_Attacks_P_Sec,),)</f>
        <v/>
      </c>
      <c r="E246" s="222">
        <f>ROUNDDOWN(MAX(2,IF(A246&gt;=0, DPS_Base_Wpn_Spd/(1+A246),DPS_Base_Wpn_Spd*(1+ABS(A246)))),0)</f>
        <v>3</v>
      </c>
      <c r="F246" s="232">
        <f>IF(A246&gt;=0, DPS_Base_Recoil/(1+A246),DPS_Base_Recoil)</f>
        <v>0.04854368932</v>
      </c>
      <c r="G246" s="377">
        <f t="shared" si="7"/>
        <v>1.045656294</v>
      </c>
      <c r="H246" s="377">
        <f t="shared" si="8"/>
        <v>0.1834862385</v>
      </c>
      <c r="I246" s="104"/>
      <c r="J246" s="377">
        <f>MAX(0, Max(25,(DPS_Base_Range + ((DPS_Range_Stat) / 2))) / MIN(MAX(70, (70 * (1 + ($A246 / 3)))), 120))</f>
        <v>5.657708628</v>
      </c>
      <c r="K246" s="269">
        <f>IF(A246&lt;=DPS_Graph_Max,IF(A246&gt;=DPS_Graph_Speed_Min,A246,),)</f>
        <v>0.03</v>
      </c>
      <c r="M246" s="213">
        <f>If(DPS_Weapon_Type="远程",$E246/60+$F246*2,$E246/60+$F246+$G246/2+$H246)</f>
        <v>0.1470873786</v>
      </c>
      <c r="N246" s="104">
        <f>IF(DPS_Graph_Tooltip_Speed=TRUE,IF($A246&lt;=DPS_Graph_Max,IF($A246&gt;=DPS_Graph_Speed_Min,1/M246,),),)</f>
        <v>6.798679868</v>
      </c>
      <c r="R246" s="104" t="str">
        <f>IF(DPS_Graph_Tooltip_Speed=TRUE,IF($E$8=$A246,1/$N$6,),)</f>
        <v/>
      </c>
    </row>
    <row r="247">
      <c r="A247" s="370">
        <v>0.04</v>
      </c>
      <c r="B247" s="213">
        <f>If(DPS_Weapon_Type="远程",($E247+1)/60+(ROUNDDOWN($F247*60+1,0)/60)*2,(ROUNDDOWN(($E247+1)+ROUNDDOWN($F247*60+1,0)+ROUNDDOWN($G247/2*60+1,0)+ROUNDDOWN($H247*60+1,0)+1,0))/60+If(DPS_ATK_TYPE="挥砍",1/60)+If(DPS_ATK_TYPE="挥砍/刺击",1/120))+DPS_Weapon_Randomization/60</f>
        <v>0.1883333333</v>
      </c>
      <c r="C247" s="104">
        <f>IF(DPS_Graph_True_Speed=TRUE,IF($A247&lt;=DPS_Graph_Max,IF($A247&gt;=DPS_Graph_Speed_Min,1/B247,),),)</f>
        <v>5.309734513</v>
      </c>
      <c r="D247" s="115" t="str">
        <f>IF(DPS_Graph_True_Speed=TRUE,IF($E$8=$A247,DPS_Attacks_P_Sec,),)</f>
        <v/>
      </c>
      <c r="E247" s="222">
        <f>ROUNDDOWN(MAX(2,IF(A247&gt;=0, DPS_Base_Wpn_Spd/(1+A247),DPS_Base_Wpn_Spd*(1+ABS(A247)))),0)</f>
        <v>3</v>
      </c>
      <c r="F247" s="232">
        <f>IF(A247&gt;=0, DPS_Base_Recoil/(1+A247),DPS_Base_Recoil)</f>
        <v>0.04807692308</v>
      </c>
      <c r="G247" s="377">
        <f t="shared" si="7"/>
        <v>1.041864662</v>
      </c>
      <c r="H247" s="377">
        <f t="shared" si="8"/>
        <v>0.1785714286</v>
      </c>
      <c r="I247" s="104"/>
      <c r="J247" s="377">
        <f>MAX(0, Max(25,(DPS_Base_Range + ((DPS_Range_Stat) / 2))) / MIN(MAX(70, (70 * (1 + ($A247 / 3)))), 120))</f>
        <v>5.639097744</v>
      </c>
      <c r="K247" s="269">
        <f>IF(A247&lt;=DPS_Graph_Max,IF(A247&gt;=DPS_Graph_Speed_Min,A247,),)</f>
        <v>0.04</v>
      </c>
      <c r="M247" s="213">
        <f>If(DPS_Weapon_Type="远程",$E247/60+$F247*2,$E247/60+$F247+$G247/2+$H247)</f>
        <v>0.1461538462</v>
      </c>
      <c r="N247" s="104">
        <f>IF(DPS_Graph_Tooltip_Speed=TRUE,IF($A247&lt;=DPS_Graph_Max,IF($A247&gt;=DPS_Graph_Speed_Min,1/M247,),),)</f>
        <v>6.842105263</v>
      </c>
      <c r="R247" s="104" t="str">
        <f>IF(DPS_Graph_Tooltip_Speed=TRUE,IF($E$8=$A247,1/$N$6,),)</f>
        <v/>
      </c>
    </row>
    <row r="248">
      <c r="A248" s="370">
        <v>0.05</v>
      </c>
      <c r="B248" s="213">
        <f>If(DPS_Weapon_Type="远程",($E248+1)/60+(ROUNDDOWN($F248*60+1,0)/60)*2,(ROUNDDOWN(($E248+1)+ROUNDDOWN($F248*60+1,0)+ROUNDDOWN($G248/2*60+1,0)+ROUNDDOWN($H248*60+1,0)+1,0))/60+If(DPS_ATK_TYPE="挥砍",1/60)+If(DPS_ATK_TYPE="挥砍/刺击",1/120))+DPS_Weapon_Randomization/60</f>
        <v>0.1883333333</v>
      </c>
      <c r="C248" s="104">
        <f>IF(DPS_Graph_True_Speed=TRUE,IF($A248&lt;=DPS_Graph_Max,IF($A248&gt;=DPS_Graph_Speed_Min,1/B248,),),)</f>
        <v>5.309734513</v>
      </c>
      <c r="D248" s="104">
        <f>IF(DPS_Graph_True_Speed=TRUE,IF($E$8=$A248,DPS_Attacks_P_Sec,),)</f>
        <v>5.309734513</v>
      </c>
      <c r="E248" s="222">
        <f>ROUNDDOWN(MAX(2,IF(A248&gt;=0, DPS_Base_Wpn_Spd/(1+A248),DPS_Base_Wpn_Spd*(1+ABS(A248)))),0)</f>
        <v>3</v>
      </c>
      <c r="F248" s="232">
        <f>IF(A248&gt;=0, DPS_Base_Recoil/(1+A248),DPS_Base_Recoil)</f>
        <v>0.04761904762</v>
      </c>
      <c r="G248" s="377">
        <f t="shared" si="7"/>
        <v>1.038091335</v>
      </c>
      <c r="H248" s="377">
        <f t="shared" si="8"/>
        <v>0.1739130435</v>
      </c>
      <c r="I248" s="104"/>
      <c r="J248" s="377">
        <f>MAX(0, Max(25,(DPS_Base_Range + ((DPS_Range_Stat) / 2))) / MIN(MAX(70, (70 * (1 + ($A248 / 3)))), 120))</f>
        <v>5.620608899</v>
      </c>
      <c r="K248" s="269">
        <f>IF(A248&lt;=DPS_Graph_Max,IF(A248&gt;=DPS_Graph_Speed_Min,A248,),)</f>
        <v>0.05</v>
      </c>
      <c r="M248" s="213">
        <f>If(DPS_Weapon_Type="远程",$E248/60+$F248*2,$E248/60+$F248+$G248/2+$H248)</f>
        <v>0.1452380952</v>
      </c>
      <c r="N248" s="104">
        <f>IF(DPS_Graph_Tooltip_Speed=TRUE,IF($A248&lt;=DPS_Graph_Max,IF($A248&gt;=DPS_Graph_Speed_Min,1/M248,),),)</f>
        <v>6.885245902</v>
      </c>
      <c r="R248" s="104">
        <f>IF(DPS_Graph_Tooltip_Speed=TRUE,IF($E$8=$A248,1/$N$6,),)</f>
        <v>6.885245902</v>
      </c>
    </row>
    <row r="249">
      <c r="A249" s="370">
        <v>0.06</v>
      </c>
      <c r="B249" s="213">
        <f>If(DPS_Weapon_Type="远程",($E249+1)/60+(ROUNDDOWN($F249*60+1,0)/60)*2,(ROUNDDOWN(($E249+1)+ROUNDDOWN($F249*60+1,0)+ROUNDDOWN($G249/2*60+1,0)+ROUNDDOWN($H249*60+1,0)+1,0))/60+If(DPS_ATK_TYPE="挥砍",1/60)+If(DPS_ATK_TYPE="挥砍/刺击",1/120))+DPS_Weapon_Randomization/60</f>
        <v>0.1883333333</v>
      </c>
      <c r="C249" s="104">
        <f>IF(DPS_Graph_True_Speed=TRUE,IF($A249&lt;=DPS_Graph_Max,IF($A249&gt;=DPS_Graph_Speed_Min,1/B249,),),)</f>
        <v>5.309734513</v>
      </c>
      <c r="D249" s="115" t="str">
        <f>IF(DPS_Graph_True_Speed=TRUE,IF($E$8=$A249,DPS_Attacks_P_Sec,),)</f>
        <v/>
      </c>
      <c r="E249" s="222">
        <f>ROUNDDOWN(MAX(2,IF(A249&gt;=0, DPS_Base_Wpn_Spd/(1+A249),DPS_Base_Wpn_Spd*(1+ABS(A249)))),0)</f>
        <v>3</v>
      </c>
      <c r="F249" s="232">
        <f>IF(A249&gt;=0, DPS_Base_Recoil/(1+A249),DPS_Base_Recoil)</f>
        <v>0.04716981132</v>
      </c>
      <c r="G249" s="377">
        <f t="shared" si="7"/>
        <v>1.034336134</v>
      </c>
      <c r="H249" s="377">
        <f t="shared" si="8"/>
        <v>0.1694915254</v>
      </c>
      <c r="I249" s="104"/>
      <c r="J249" s="377">
        <f>MAX(0, Max(25,(DPS_Base_Range + ((DPS_Range_Stat) / 2))) / MIN(MAX(70, (70 * (1 + ($A249 / 3)))), 120))</f>
        <v>5.602240896</v>
      </c>
      <c r="K249" s="269">
        <f>IF(A249&lt;=DPS_Graph_Max,IF(A249&gt;=DPS_Graph_Speed_Min,A249,),)</f>
        <v>0.06</v>
      </c>
      <c r="M249" s="213">
        <f>If(DPS_Weapon_Type="远程",$E249/60+$F249*2,$E249/60+$F249+$G249/2+$H249)</f>
        <v>0.1443396226</v>
      </c>
      <c r="N249" s="104">
        <f>IF(DPS_Graph_Tooltip_Speed=TRUE,IF($A249&lt;=DPS_Graph_Max,IF($A249&gt;=DPS_Graph_Speed_Min,1/M249,),),)</f>
        <v>6.928104575</v>
      </c>
      <c r="R249" s="104" t="str">
        <f>IF(DPS_Graph_Tooltip_Speed=TRUE,IF($E$8=$A249,1/$N$6,),)</f>
        <v/>
      </c>
    </row>
    <row r="250">
      <c r="A250" s="370">
        <v>0.07</v>
      </c>
      <c r="B250" s="213">
        <f>If(DPS_Weapon_Type="远程",($E250+1)/60+(ROUNDDOWN($F250*60+1,0)/60)*2,(ROUNDDOWN(($E250+1)+ROUNDDOWN($F250*60+1,0)+ROUNDDOWN($G250/2*60+1,0)+ROUNDDOWN($H250*60+1,0)+1,0))/60+If(DPS_ATK_TYPE="挥砍",1/60)+If(DPS_ATK_TYPE="挥砍/刺击",1/120))+DPS_Weapon_Randomization/60</f>
        <v>0.1883333333</v>
      </c>
      <c r="C250" s="104">
        <f>IF(DPS_Graph_True_Speed=TRUE,IF($A250&lt;=DPS_Graph_Max,IF($A250&gt;=DPS_Graph_Speed_Min,1/B250,),),)</f>
        <v>5.309734513</v>
      </c>
      <c r="D250" s="115" t="str">
        <f>IF(DPS_Graph_True_Speed=TRUE,IF($E$8=$A250,DPS_Attacks_P_Sec,),)</f>
        <v/>
      </c>
      <c r="E250" s="222">
        <f>ROUNDDOWN(MAX(2,IF(A250&gt;=0, DPS_Base_Wpn_Spd/(1+A250),DPS_Base_Wpn_Spd*(1+ABS(A250)))),0)</f>
        <v>3</v>
      </c>
      <c r="F250" s="232">
        <f>IF(A250&gt;=0, DPS_Base_Recoil/(1+A250),DPS_Base_Recoil)</f>
        <v>0.04672897196</v>
      </c>
      <c r="G250" s="377">
        <f t="shared" si="7"/>
        <v>1.030598883</v>
      </c>
      <c r="H250" s="377">
        <f t="shared" si="8"/>
        <v>0.1652892562</v>
      </c>
      <c r="I250" s="104"/>
      <c r="J250" s="377">
        <f>MAX(0, Max(25,(DPS_Base_Range + ((DPS_Range_Stat) / 2))) / MIN(MAX(70, (70 * (1 + ($A250 / 3)))), 120))</f>
        <v>5.583992555</v>
      </c>
      <c r="K250" s="269">
        <f>IF(A250&lt;=DPS_Graph_Max,IF(A250&gt;=DPS_Graph_Speed_Min,A250,),)</f>
        <v>0.07</v>
      </c>
      <c r="M250" s="213">
        <f>If(DPS_Weapon_Type="远程",$E250/60+$F250*2,$E250/60+$F250+$G250/2+$H250)</f>
        <v>0.1434579439</v>
      </c>
      <c r="N250" s="104">
        <f>IF(DPS_Graph_Tooltip_Speed=TRUE,IF($A250&lt;=DPS_Graph_Max,IF($A250&gt;=DPS_Graph_Speed_Min,1/M250,),),)</f>
        <v>6.970684039</v>
      </c>
      <c r="R250" s="104" t="str">
        <f>IF(DPS_Graph_Tooltip_Speed=TRUE,IF($E$8=$A250,1/$N$6,),)</f>
        <v/>
      </c>
    </row>
    <row r="251">
      <c r="A251" s="370">
        <v>0.08</v>
      </c>
      <c r="B251" s="213">
        <f>If(DPS_Weapon_Type="远程",($E251+1)/60+(ROUNDDOWN($F251*60+1,0)/60)*2,(ROUNDDOWN(($E251+1)+ROUNDDOWN($F251*60+1,0)+ROUNDDOWN($G251/2*60+1,0)+ROUNDDOWN($H251*60+1,0)+1,0))/60+If(DPS_ATK_TYPE="挥砍",1/60)+If(DPS_ATK_TYPE="挥砍/刺击",1/120))+DPS_Weapon_Randomization/60</f>
        <v>0.1883333333</v>
      </c>
      <c r="C251" s="104">
        <f>IF(DPS_Graph_True_Speed=TRUE,IF($A251&lt;=DPS_Graph_Max,IF($A251&gt;=DPS_Graph_Speed_Min,1/B251,),),)</f>
        <v>5.309734513</v>
      </c>
      <c r="D251" s="115" t="str">
        <f>IF(DPS_Graph_True_Speed=TRUE,IF($E$8=$A251,DPS_Attacks_P_Sec,),)</f>
        <v/>
      </c>
      <c r="E251" s="222">
        <f>ROUNDDOWN(MAX(2,IF(A251&gt;=0, DPS_Base_Wpn_Spd/(1+A251),DPS_Base_Wpn_Spd*(1+ABS(A251)))),0)</f>
        <v>3</v>
      </c>
      <c r="F251" s="232">
        <f>IF(A251&gt;=0, DPS_Base_Recoil/(1+A251),DPS_Base_Recoil)</f>
        <v>0.0462962963</v>
      </c>
      <c r="G251" s="377">
        <f t="shared" si="7"/>
        <v>1.026879406</v>
      </c>
      <c r="H251" s="377">
        <f t="shared" si="8"/>
        <v>0.1612903226</v>
      </c>
      <c r="I251" s="104"/>
      <c r="J251" s="377">
        <f>MAX(0, Max(25,(DPS_Base_Range + ((DPS_Range_Stat) / 2))) / MIN(MAX(70, (70 * (1 + ($A251 / 3)))), 120))</f>
        <v>5.565862709</v>
      </c>
      <c r="K251" s="269">
        <f>IF(A251&lt;=DPS_Graph_Max,IF(A251&gt;=DPS_Graph_Speed_Min,A251,),)</f>
        <v>0.08</v>
      </c>
      <c r="M251" s="213">
        <f>If(DPS_Weapon_Type="远程",$E251/60+$F251*2,$E251/60+$F251+$G251/2+$H251)</f>
        <v>0.1425925926</v>
      </c>
      <c r="N251" s="104">
        <f>IF(DPS_Graph_Tooltip_Speed=TRUE,IF($A251&lt;=DPS_Graph_Max,IF($A251&gt;=DPS_Graph_Speed_Min,1/M251,),),)</f>
        <v>7.012987013</v>
      </c>
      <c r="R251" s="104" t="str">
        <f>IF(DPS_Graph_Tooltip_Speed=TRUE,IF($E$8=$A251,1/$N$6,),)</f>
        <v/>
      </c>
    </row>
    <row r="252">
      <c r="A252" s="370">
        <v>0.09</v>
      </c>
      <c r="B252" s="213">
        <f>If(DPS_Weapon_Type="远程",($E252+1)/60+(ROUNDDOWN($F252*60+1,0)/60)*2,(ROUNDDOWN(($E252+1)+ROUNDDOWN($F252*60+1,0)+ROUNDDOWN($G252/2*60+1,0)+ROUNDDOWN($H252*60+1,0)+1,0))/60+If(DPS_ATK_TYPE="挥砍",1/60)+If(DPS_ATK_TYPE="挥砍/刺击",1/120))+DPS_Weapon_Randomization/60</f>
        <v>0.1883333333</v>
      </c>
      <c r="C252" s="104">
        <f>IF(DPS_Graph_True_Speed=TRUE,IF($A252&lt;=DPS_Graph_Max,IF($A252&gt;=DPS_Graph_Speed_Min,1/B252,),),)</f>
        <v>5.309734513</v>
      </c>
      <c r="D252" s="115" t="str">
        <f>IF(DPS_Graph_True_Speed=TRUE,IF($E$8=$A252,DPS_Attacks_P_Sec,),)</f>
        <v/>
      </c>
      <c r="E252" s="222">
        <f>ROUNDDOWN(MAX(2,IF(A252&gt;=0, DPS_Base_Wpn_Spd/(1+A252),DPS_Base_Wpn_Spd*(1+ABS(A252)))),0)</f>
        <v>3</v>
      </c>
      <c r="F252" s="232">
        <f>IF(A252&gt;=0, DPS_Base_Recoil/(1+A252),DPS_Base_Recoil)</f>
        <v>0.04587155963</v>
      </c>
      <c r="G252" s="377">
        <f t="shared" si="7"/>
        <v>1.023177531</v>
      </c>
      <c r="H252" s="377">
        <f t="shared" si="8"/>
        <v>0.157480315</v>
      </c>
      <c r="I252" s="104"/>
      <c r="J252" s="377">
        <f>MAX(0, Max(25,(DPS_Base_Range + ((DPS_Range_Stat) / 2))) / MIN(MAX(70, (70 * (1 + ($A252 / 3)))), 120))</f>
        <v>5.547850208</v>
      </c>
      <c r="K252" s="269">
        <f>IF(A252&lt;=DPS_Graph_Max,IF(A252&gt;=DPS_Graph_Speed_Min,A252,),)</f>
        <v>0.09</v>
      </c>
      <c r="M252" s="213">
        <f>If(DPS_Weapon_Type="远程",$E252/60+$F252*2,$E252/60+$F252+$G252/2+$H252)</f>
        <v>0.1417431193</v>
      </c>
      <c r="N252" s="104">
        <f>IF(DPS_Graph_Tooltip_Speed=TRUE,IF($A252&lt;=DPS_Graph_Max,IF($A252&gt;=DPS_Graph_Speed_Min,1/M252,),),)</f>
        <v>7.055016181</v>
      </c>
      <c r="R252" s="104" t="str">
        <f>IF(DPS_Graph_Tooltip_Speed=TRUE,IF($E$8=$A252,1/$N$6,),)</f>
        <v/>
      </c>
    </row>
    <row r="253">
      <c r="A253" s="370">
        <v>0.1</v>
      </c>
      <c r="B253" s="213">
        <f>If(DPS_Weapon_Type="远程",($E253+1)/60+(ROUNDDOWN($F253*60+1,0)/60)*2,(ROUNDDOWN(($E253+1)+ROUNDDOWN($F253*60+1,0)+ROUNDDOWN($G253/2*60+1,0)+ROUNDDOWN($H253*60+1,0)+1,0))/60+If(DPS_ATK_TYPE="挥砍",1/60)+If(DPS_ATK_TYPE="挥砍/刺击",1/120))+DPS_Weapon_Randomization/60</f>
        <v>0.1883333333</v>
      </c>
      <c r="C253" s="104">
        <f>IF(DPS_Graph_True_Speed=TRUE,IF($A253&lt;=DPS_Graph_Max,IF($A253&gt;=DPS_Graph_Speed_Min,1/B253,),),)</f>
        <v>5.309734513</v>
      </c>
      <c r="D253" s="115" t="str">
        <f>IF(DPS_Graph_True_Speed=TRUE,IF($E$8=$A253,DPS_Attacks_P_Sec,),)</f>
        <v/>
      </c>
      <c r="E253" s="222">
        <f>ROUNDDOWN(MAX(2,IF(A253&gt;=0, DPS_Base_Wpn_Spd/(1+A253),DPS_Base_Wpn_Spd*(1+ABS(A253)))),0)</f>
        <v>3</v>
      </c>
      <c r="F253" s="232">
        <f>IF(A253&gt;=0, DPS_Base_Recoil/(1+A253),DPS_Base_Recoil)</f>
        <v>0.04545454545</v>
      </c>
      <c r="G253" s="377">
        <f t="shared" si="7"/>
        <v>1.019493088</v>
      </c>
      <c r="H253" s="377">
        <f t="shared" si="8"/>
        <v>0.1538461538</v>
      </c>
      <c r="I253" s="104"/>
      <c r="J253" s="377">
        <f>MAX(0, Max(25,(DPS_Base_Range + ((DPS_Range_Stat) / 2))) / MIN(MAX(70, (70 * (1 + ($A253 / 3)))), 120))</f>
        <v>5.529953917</v>
      </c>
      <c r="K253" s="269">
        <f>IF(A253&lt;=DPS_Graph_Max,IF(A253&gt;=DPS_Graph_Speed_Min,A253,),)</f>
        <v>0.1</v>
      </c>
      <c r="M253" s="213">
        <f>If(DPS_Weapon_Type="远程",$E253/60+$F253*2,$E253/60+$F253+$G253/2+$H253)</f>
        <v>0.1409090909</v>
      </c>
      <c r="N253" s="104">
        <f>IF(DPS_Graph_Tooltip_Speed=TRUE,IF($A253&lt;=DPS_Graph_Max,IF($A253&gt;=DPS_Graph_Speed_Min,1/M253,),),)</f>
        <v>7.096774194</v>
      </c>
      <c r="R253" s="104" t="str">
        <f>IF(DPS_Graph_Tooltip_Speed=TRUE,IF($E$8=$A253,1/$N$6,),)</f>
        <v/>
      </c>
    </row>
    <row r="254">
      <c r="A254" s="370">
        <v>0.11</v>
      </c>
      <c r="B254" s="213">
        <f>If(DPS_Weapon_Type="远程",($E254+1)/60+(ROUNDDOWN($F254*60+1,0)/60)*2,(ROUNDDOWN(($E254+1)+ROUNDDOWN($F254*60+1,0)+ROUNDDOWN($G254/2*60+1,0)+ROUNDDOWN($H254*60+1,0)+1,0))/60+If(DPS_ATK_TYPE="挥砍",1/60)+If(DPS_ATK_TYPE="挥砍/刺击",1/120))+DPS_Weapon_Randomization/60</f>
        <v>0.1883333333</v>
      </c>
      <c r="C254" s="104">
        <f>IF(DPS_Graph_True_Speed=TRUE,IF($A254&lt;=DPS_Graph_Max,IF($A254&gt;=DPS_Graph_Speed_Min,1/B254,),),)</f>
        <v>5.309734513</v>
      </c>
      <c r="D254" s="115" t="str">
        <f>IF(DPS_Graph_True_Speed=TRUE,IF($E$8=$A254,DPS_Attacks_P_Sec,),)</f>
        <v/>
      </c>
      <c r="E254" s="222">
        <f>ROUNDDOWN(MAX(2,IF(A254&gt;=0, DPS_Base_Wpn_Spd/(1+A254),DPS_Base_Wpn_Spd*(1+ABS(A254)))),0)</f>
        <v>3</v>
      </c>
      <c r="F254" s="232">
        <f>IF(A254&gt;=0, DPS_Base_Recoil/(1+A254),DPS_Base_Recoil)</f>
        <v>0.04504504505</v>
      </c>
      <c r="G254" s="377">
        <f t="shared" si="7"/>
        <v>1.015825907</v>
      </c>
      <c r="H254" s="377">
        <f t="shared" si="8"/>
        <v>0.1503759398</v>
      </c>
      <c r="I254" s="104"/>
      <c r="J254" s="377">
        <f>MAX(0, Max(25,(DPS_Base_Range + ((DPS_Range_Stat) / 2))) / MIN(MAX(70, (70 * (1 + ($A254 / 3)))), 120))</f>
        <v>5.512172715</v>
      </c>
      <c r="K254" s="269">
        <f>IF(A254&lt;=DPS_Graph_Max,IF(A254&gt;=DPS_Graph_Speed_Min,A254,),)</f>
        <v>0.11</v>
      </c>
      <c r="M254" s="213">
        <f>If(DPS_Weapon_Type="远程",$E254/60+$F254*2,$E254/60+$F254+$G254/2+$H254)</f>
        <v>0.1400900901</v>
      </c>
      <c r="N254" s="104">
        <f>IF(DPS_Graph_Tooltip_Speed=TRUE,IF($A254&lt;=DPS_Graph_Max,IF($A254&gt;=DPS_Graph_Speed_Min,1/M254,),),)</f>
        <v>7.138263666</v>
      </c>
      <c r="R254" s="104" t="str">
        <f>IF(DPS_Graph_Tooltip_Speed=TRUE,IF($E$8=$A254,1/$N$6,),)</f>
        <v/>
      </c>
    </row>
    <row r="255">
      <c r="A255" s="370">
        <v>0.12</v>
      </c>
      <c r="B255" s="213">
        <f>If(DPS_Weapon_Type="远程",($E255+1)/60+(ROUNDDOWN($F255*60+1,0)/60)*2,(ROUNDDOWN(($E255+1)+ROUNDDOWN($F255*60+1,0)+ROUNDDOWN($G255/2*60+1,0)+ROUNDDOWN($H255*60+1,0)+1,0))/60+If(DPS_ATK_TYPE="挥砍",1/60)+If(DPS_ATK_TYPE="挥砍/刺击",1/120))+DPS_Weapon_Randomization/60</f>
        <v>0.1883333333</v>
      </c>
      <c r="C255" s="104">
        <f>IF(DPS_Graph_True_Speed=TRUE,IF($A255&lt;=DPS_Graph_Max,IF($A255&gt;=DPS_Graph_Speed_Min,1/B255,),),)</f>
        <v>5.309734513</v>
      </c>
      <c r="D255" s="115" t="str">
        <f>IF(DPS_Graph_True_Speed=TRUE,IF($E$8=$A255,DPS_Attacks_P_Sec,),)</f>
        <v/>
      </c>
      <c r="E255" s="222">
        <f>ROUNDDOWN(MAX(2,IF(A255&gt;=0, DPS_Base_Wpn_Spd/(1+A255),DPS_Base_Wpn_Spd*(1+ABS(A255)))),0)</f>
        <v>3</v>
      </c>
      <c r="F255" s="232">
        <f>IF(A255&gt;=0, DPS_Base_Recoil/(1+A255),DPS_Base_Recoil)</f>
        <v>0.04464285714</v>
      </c>
      <c r="G255" s="377">
        <f t="shared" si="7"/>
        <v>1.012175824</v>
      </c>
      <c r="H255" s="377">
        <f t="shared" si="8"/>
        <v>0.1470588235</v>
      </c>
      <c r="I255" s="104"/>
      <c r="J255" s="377">
        <f>MAX(0, Max(25,(DPS_Base_Range + ((DPS_Range_Stat) / 2))) / MIN(MAX(70, (70 * (1 + ($A255 / 3)))), 120))</f>
        <v>5.494505495</v>
      </c>
      <c r="K255" s="269">
        <f>IF(A255&lt;=DPS_Graph_Max,IF(A255&gt;=DPS_Graph_Speed_Min,A255,),)</f>
        <v>0.12</v>
      </c>
      <c r="M255" s="213">
        <f>If(DPS_Weapon_Type="远程",$E255/60+$F255*2,$E255/60+$F255+$G255/2+$H255)</f>
        <v>0.1392857143</v>
      </c>
      <c r="N255" s="104">
        <f>IF(DPS_Graph_Tooltip_Speed=TRUE,IF($A255&lt;=DPS_Graph_Max,IF($A255&gt;=DPS_Graph_Speed_Min,1/M255,),),)</f>
        <v>7.179487179</v>
      </c>
      <c r="R255" s="104" t="str">
        <f>IF(DPS_Graph_Tooltip_Speed=TRUE,IF($E$8=$A255,1/$N$6,),)</f>
        <v/>
      </c>
    </row>
    <row r="256">
      <c r="A256" s="370">
        <v>0.13</v>
      </c>
      <c r="B256" s="213">
        <f>If(DPS_Weapon_Type="远程",($E256+1)/60+(ROUNDDOWN($F256*60+1,0)/60)*2,(ROUNDDOWN(($E256+1)+ROUNDDOWN($F256*60+1,0)+ROUNDDOWN($G256/2*60+1,0)+ROUNDDOWN($H256*60+1,0)+1,0))/60+If(DPS_ATK_TYPE="挥砍",1/60)+If(DPS_ATK_TYPE="挥砍/刺击",1/120))+DPS_Weapon_Randomization/60</f>
        <v>0.1883333333</v>
      </c>
      <c r="C256" s="104">
        <f>IF(DPS_Graph_True_Speed=TRUE,IF($A256&lt;=DPS_Graph_Max,IF($A256&gt;=DPS_Graph_Speed_Min,1/B256,),),)</f>
        <v>5.309734513</v>
      </c>
      <c r="D256" s="115" t="str">
        <f>IF(DPS_Graph_True_Speed=TRUE,IF($E$8=$A256,DPS_Attacks_P_Sec,),)</f>
        <v/>
      </c>
      <c r="E256" s="222">
        <f>ROUNDDOWN(MAX(2,IF(A256&gt;=0, DPS_Base_Wpn_Spd/(1+A256),DPS_Base_Wpn_Spd*(1+ABS(A256)))),0)</f>
        <v>3</v>
      </c>
      <c r="F256" s="232">
        <f>IF(A256&gt;=0, DPS_Base_Recoil/(1+A256),DPS_Base_Recoil)</f>
        <v>0.04424778761</v>
      </c>
      <c r="G256" s="377">
        <f t="shared" si="7"/>
        <v>1.008542675</v>
      </c>
      <c r="H256" s="377">
        <f t="shared" si="8"/>
        <v>0.1438848921</v>
      </c>
      <c r="I256" s="104"/>
      <c r="J256" s="377">
        <f>MAX(0, Max(25,(DPS_Base_Range + ((DPS_Range_Stat) / 2))) / MIN(MAX(70, (70 * (1 + ($A256 / 3)))), 120))</f>
        <v>5.476951164</v>
      </c>
      <c r="K256" s="269">
        <f>IF(A256&lt;=DPS_Graph_Max,IF(A256&gt;=DPS_Graph_Speed_Min,A256,),)</f>
        <v>0.13</v>
      </c>
      <c r="M256" s="213">
        <f>If(DPS_Weapon_Type="远程",$E256/60+$F256*2,$E256/60+$F256+$G256/2+$H256)</f>
        <v>0.1384955752</v>
      </c>
      <c r="N256" s="104">
        <f>IF(DPS_Graph_Tooltip_Speed=TRUE,IF($A256&lt;=DPS_Graph_Max,IF($A256&gt;=DPS_Graph_Speed_Min,1/M256,),),)</f>
        <v>7.220447284</v>
      </c>
      <c r="R256" s="104" t="str">
        <f>IF(DPS_Graph_Tooltip_Speed=TRUE,IF($E$8=$A256,1/$N$6,),)</f>
        <v/>
      </c>
    </row>
    <row r="257">
      <c r="A257" s="370">
        <v>0.14</v>
      </c>
      <c r="B257" s="213">
        <f>If(DPS_Weapon_Type="远程",($E257+1)/60+(ROUNDDOWN($F257*60+1,0)/60)*2,(ROUNDDOWN(($E257+1)+ROUNDDOWN($F257*60+1,0)+ROUNDDOWN($G257/2*60+1,0)+ROUNDDOWN($H257*60+1,0)+1,0))/60+If(DPS_ATK_TYPE="挥砍",1/60)+If(DPS_ATK_TYPE="挥砍/刺击",1/120))+DPS_Weapon_Randomization/60</f>
        <v>0.1883333333</v>
      </c>
      <c r="C257" s="104">
        <f>IF(DPS_Graph_True_Speed=TRUE,IF($A257&lt;=DPS_Graph_Max,IF($A257&gt;=DPS_Graph_Speed_Min,1/B257,),),)</f>
        <v>5.309734513</v>
      </c>
      <c r="D257" s="115" t="str">
        <f>IF(DPS_Graph_True_Speed=TRUE,IF($E$8=$A257,DPS_Attacks_P_Sec,),)</f>
        <v/>
      </c>
      <c r="E257" s="222">
        <f>ROUNDDOWN(MAX(2,IF(A257&gt;=0, DPS_Base_Wpn_Spd/(1+A257),DPS_Base_Wpn_Spd*(1+ABS(A257)))),0)</f>
        <v>3</v>
      </c>
      <c r="F257" s="232">
        <f>IF(A257&gt;=0, DPS_Base_Recoil/(1+A257),DPS_Base_Recoil)</f>
        <v>0.04385964912</v>
      </c>
      <c r="G257" s="377">
        <f t="shared" si="7"/>
        <v>1.004926297</v>
      </c>
      <c r="H257" s="377">
        <f t="shared" si="8"/>
        <v>0.1408450704</v>
      </c>
      <c r="I257" s="104"/>
      <c r="J257" s="377">
        <f>MAX(0, Max(25,(DPS_Base_Range + ((DPS_Range_Stat) / 2))) / MIN(MAX(70, (70 * (1 + ($A257 / 3)))), 120))</f>
        <v>5.459508644</v>
      </c>
      <c r="K257" s="269">
        <f>IF(A257&lt;=DPS_Graph_Max,IF(A257&gt;=DPS_Graph_Speed_Min,A257,),)</f>
        <v>0.14</v>
      </c>
      <c r="M257" s="213">
        <f>If(DPS_Weapon_Type="远程",$E257/60+$F257*2,$E257/60+$F257+$G257/2+$H257)</f>
        <v>0.1377192982</v>
      </c>
      <c r="N257" s="104">
        <f>IF(DPS_Graph_Tooltip_Speed=TRUE,IF($A257&lt;=DPS_Graph_Max,IF($A257&gt;=DPS_Graph_Speed_Min,1/M257,),),)</f>
        <v>7.261146497</v>
      </c>
      <c r="R257" s="104" t="str">
        <f>IF(DPS_Graph_Tooltip_Speed=TRUE,IF($E$8=$A257,1/$N$6,),)</f>
        <v/>
      </c>
    </row>
    <row r="258">
      <c r="A258" s="370">
        <v>0.15</v>
      </c>
      <c r="B258" s="213">
        <f>If(DPS_Weapon_Type="远程",($E258+1)/60+(ROUNDDOWN($F258*60+1,0)/60)*2,(ROUNDDOWN(($E258+1)+ROUNDDOWN($F258*60+1,0)+ROUNDDOWN($G258/2*60+1,0)+ROUNDDOWN($H258*60+1,0)+1,0))/60+If(DPS_ATK_TYPE="挥砍",1/60)+If(DPS_ATK_TYPE="挥砍/刺击",1/120))+DPS_Weapon_Randomization/60</f>
        <v>0.1883333333</v>
      </c>
      <c r="C258" s="104">
        <f>IF(DPS_Graph_True_Speed=TRUE,IF($A258&lt;=DPS_Graph_Max,IF($A258&gt;=DPS_Graph_Speed_Min,1/B258,),),)</f>
        <v>5.309734513</v>
      </c>
      <c r="D258" s="115" t="str">
        <f>IF(DPS_Graph_True_Speed=TRUE,IF($E$8=$A258,DPS_Attacks_P_Sec,),)</f>
        <v/>
      </c>
      <c r="E258" s="222">
        <f>ROUNDDOWN(MAX(2,IF(A258&gt;=0, DPS_Base_Wpn_Spd/(1+A258),DPS_Base_Wpn_Spd*(1+ABS(A258)))),0)</f>
        <v>3</v>
      </c>
      <c r="F258" s="232">
        <f>IF(A258&gt;=0, DPS_Base_Recoil/(1+A258),DPS_Base_Recoil)</f>
        <v>0.04347826087</v>
      </c>
      <c r="G258" s="377">
        <f t="shared" si="7"/>
        <v>1.001326531</v>
      </c>
      <c r="H258" s="377">
        <f t="shared" si="8"/>
        <v>0.1379310345</v>
      </c>
      <c r="I258" s="104"/>
      <c r="J258" s="377">
        <f>MAX(0, Max(25,(DPS_Base_Range + ((DPS_Range_Stat) / 2))) / MIN(MAX(70, (70 * (1 + ($A258 / 3)))), 120))</f>
        <v>5.442176871</v>
      </c>
      <c r="K258" s="269">
        <f>IF(A258&lt;=DPS_Graph_Max,IF(A258&gt;=DPS_Graph_Speed_Min,A258,),)</f>
        <v>0.15</v>
      </c>
      <c r="M258" s="213">
        <f>If(DPS_Weapon_Type="远程",$E258/60+$F258*2,$E258/60+$F258+$G258/2+$H258)</f>
        <v>0.1369565217</v>
      </c>
      <c r="N258" s="104">
        <f>IF(DPS_Graph_Tooltip_Speed=TRUE,IF($A258&lt;=DPS_Graph_Max,IF($A258&gt;=DPS_Graph_Speed_Min,1/M258,),),)</f>
        <v>7.301587302</v>
      </c>
      <c r="R258" s="104" t="str">
        <f>IF(DPS_Graph_Tooltip_Speed=TRUE,IF($E$8=$A258,1/$N$6,),)</f>
        <v/>
      </c>
    </row>
    <row r="259">
      <c r="A259" s="370">
        <v>0.16</v>
      </c>
      <c r="B259" s="213">
        <f>If(DPS_Weapon_Type="远程",($E259+1)/60+(ROUNDDOWN($F259*60+1,0)/60)*2,(ROUNDDOWN(($E259+1)+ROUNDDOWN($F259*60+1,0)+ROUNDDOWN($G259/2*60+1,0)+ROUNDDOWN($H259*60+1,0)+1,0))/60+If(DPS_ATK_TYPE="挥砍",1/60)+If(DPS_ATK_TYPE="挥砍/刺击",1/120))+DPS_Weapon_Randomization/60</f>
        <v>0.1883333333</v>
      </c>
      <c r="C259" s="104">
        <f>IF(DPS_Graph_True_Speed=TRUE,IF($A259&lt;=DPS_Graph_Max,IF($A259&gt;=DPS_Graph_Speed_Min,1/B259,),),)</f>
        <v>5.309734513</v>
      </c>
      <c r="D259" s="115" t="str">
        <f>IF(DPS_Graph_True_Speed=TRUE,IF($E$8=$A259,DPS_Attacks_P_Sec,),)</f>
        <v/>
      </c>
      <c r="E259" s="222">
        <f>ROUNDDOWN(MAX(2,IF(A259&gt;=0, DPS_Base_Wpn_Spd/(1+A259),DPS_Base_Wpn_Spd*(1+ABS(A259)))),0)</f>
        <v>3</v>
      </c>
      <c r="F259" s="232">
        <f>IF(A259&gt;=0, DPS_Base_Recoil/(1+A259),DPS_Base_Recoil)</f>
        <v>0.04310344828</v>
      </c>
      <c r="G259" s="377">
        <f t="shared" si="7"/>
        <v>0.9977432188</v>
      </c>
      <c r="H259" s="377">
        <f t="shared" si="8"/>
        <v>0.1351351351</v>
      </c>
      <c r="I259" s="104"/>
      <c r="J259" s="377">
        <f>MAX(0, Max(25,(DPS_Base_Range + ((DPS_Range_Stat) / 2))) / MIN(MAX(70, (70 * (1 + ($A259 / 3)))), 120))</f>
        <v>5.424954792</v>
      </c>
      <c r="K259" s="269">
        <f>IF(A259&lt;=DPS_Graph_Max,IF(A259&gt;=DPS_Graph_Speed_Min,A259,),)</f>
        <v>0.16</v>
      </c>
      <c r="M259" s="213">
        <f>If(DPS_Weapon_Type="远程",$E259/60+$F259*2,$E259/60+$F259+$G259/2+$H259)</f>
        <v>0.1362068966</v>
      </c>
      <c r="N259" s="104">
        <f>IF(DPS_Graph_Tooltip_Speed=TRUE,IF($A259&lt;=DPS_Graph_Max,IF($A259&gt;=DPS_Graph_Speed_Min,1/M259,),),)</f>
        <v>7.341772152</v>
      </c>
      <c r="R259" s="104" t="str">
        <f>IF(DPS_Graph_Tooltip_Speed=TRUE,IF($E$8=$A259,1/$N$6,),)</f>
        <v/>
      </c>
    </row>
    <row r="260">
      <c r="A260" s="370">
        <v>0.17</v>
      </c>
      <c r="B260" s="213">
        <f>If(DPS_Weapon_Type="远程",($E260+1)/60+(ROUNDDOWN($F260*60+1,0)/60)*2,(ROUNDDOWN(($E260+1)+ROUNDDOWN($F260*60+1,0)+ROUNDDOWN($G260/2*60+1,0)+ROUNDDOWN($H260*60+1,0)+1,0))/60+If(DPS_ATK_TYPE="挥砍",1/60)+If(DPS_ATK_TYPE="挥砍/刺击",1/120))+DPS_Weapon_Randomization/60</f>
        <v>0.1883333333</v>
      </c>
      <c r="C260" s="104">
        <f>IF(DPS_Graph_True_Speed=TRUE,IF($A260&lt;=DPS_Graph_Max,IF($A260&gt;=DPS_Graph_Speed_Min,1/B260,),),)</f>
        <v>5.309734513</v>
      </c>
      <c r="D260" s="115" t="str">
        <f>IF(DPS_Graph_True_Speed=TRUE,IF($E$8=$A260,DPS_Attacks_P_Sec,),)</f>
        <v/>
      </c>
      <c r="E260" s="222">
        <f>ROUNDDOWN(MAX(2,IF(A260&gt;=0, DPS_Base_Wpn_Spd/(1+A260),DPS_Base_Wpn_Spd*(1+ABS(A260)))),0)</f>
        <v>3</v>
      </c>
      <c r="F260" s="232">
        <f>IF(A260&gt;=0, DPS_Base_Recoil/(1+A260),DPS_Base_Recoil)</f>
        <v>0.04273504274</v>
      </c>
      <c r="G260" s="377">
        <f t="shared" si="7"/>
        <v>0.9941762055</v>
      </c>
      <c r="H260" s="377">
        <f t="shared" si="8"/>
        <v>0.1324503311</v>
      </c>
      <c r="I260" s="104"/>
      <c r="J260" s="377">
        <f>MAX(0, Max(25,(DPS_Base_Range + ((DPS_Range_Stat) / 2))) / MIN(MAX(70, (70 * (1 + ($A260 / 3)))), 120))</f>
        <v>5.40784137</v>
      </c>
      <c r="K260" s="269">
        <f>IF(A260&lt;=DPS_Graph_Max,IF(A260&gt;=DPS_Graph_Speed_Min,A260,),)</f>
        <v>0.17</v>
      </c>
      <c r="M260" s="213">
        <f>If(DPS_Weapon_Type="远程",$E260/60+$F260*2,$E260/60+$F260+$G260/2+$H260)</f>
        <v>0.1354700855</v>
      </c>
      <c r="N260" s="104">
        <f>IF(DPS_Graph_Tooltip_Speed=TRUE,IF($A260&lt;=DPS_Graph_Max,IF($A260&gt;=DPS_Graph_Speed_Min,1/M260,),),)</f>
        <v>7.38170347</v>
      </c>
      <c r="R260" s="104" t="str">
        <f>IF(DPS_Graph_Tooltip_Speed=TRUE,IF($E$8=$A260,1/$N$6,),)</f>
        <v/>
      </c>
    </row>
    <row r="261">
      <c r="A261" s="370">
        <v>0.18</v>
      </c>
      <c r="B261" s="213">
        <f>If(DPS_Weapon_Type="远程",($E261+1)/60+(ROUNDDOWN($F261*60+1,0)/60)*2,(ROUNDDOWN(($E261+1)+ROUNDDOWN($F261*60+1,0)+ROUNDDOWN($G261/2*60+1,0)+ROUNDDOWN($H261*60+1,0)+1,0))/60+If(DPS_ATK_TYPE="挥砍",1/60)+If(DPS_ATK_TYPE="挥砍/刺击",1/120))+DPS_Weapon_Randomization/60</f>
        <v>0.1883333333</v>
      </c>
      <c r="C261" s="104">
        <f>IF(DPS_Graph_True_Speed=TRUE,IF($A261&lt;=DPS_Graph_Max,IF($A261&gt;=DPS_Graph_Speed_Min,1/B261,),),)</f>
        <v>5.309734513</v>
      </c>
      <c r="D261" s="115" t="str">
        <f>IF(DPS_Graph_True_Speed=TRUE,IF($E$8=$A261,DPS_Attacks_P_Sec,),)</f>
        <v/>
      </c>
      <c r="E261" s="222">
        <f>ROUNDDOWN(MAX(2,IF(A261&gt;=0, DPS_Base_Wpn_Spd/(1+A261),DPS_Base_Wpn_Spd*(1+ABS(A261)))),0)</f>
        <v>3</v>
      </c>
      <c r="F261" s="232">
        <f>IF(A261&gt;=0, DPS_Base_Recoil/(1+A261),DPS_Base_Recoil)</f>
        <v>0.04237288136</v>
      </c>
      <c r="G261" s="377">
        <f t="shared" si="7"/>
        <v>0.9906253369</v>
      </c>
      <c r="H261" s="377">
        <f t="shared" si="8"/>
        <v>0.1298701299</v>
      </c>
      <c r="I261" s="104"/>
      <c r="J261" s="377">
        <f>MAX(0, Max(25,(DPS_Base_Range + ((DPS_Range_Stat) / 2))) / MIN(MAX(70, (70 * (1 + ($A261 / 3)))), 120))</f>
        <v>5.39083558</v>
      </c>
      <c r="K261" s="269">
        <f>IF(A261&lt;=DPS_Graph_Max,IF(A261&gt;=DPS_Graph_Speed_Min,A261,),)</f>
        <v>0.18</v>
      </c>
      <c r="M261" s="213">
        <f>If(DPS_Weapon_Type="远程",$E261/60+$F261*2,$E261/60+$F261+$G261/2+$H261)</f>
        <v>0.1347457627</v>
      </c>
      <c r="N261" s="104">
        <f>IF(DPS_Graph_Tooltip_Speed=TRUE,IF($A261&lt;=DPS_Graph_Max,IF($A261&gt;=DPS_Graph_Speed_Min,1/M261,),),)</f>
        <v>7.421383648</v>
      </c>
      <c r="R261" s="104" t="str">
        <f>IF(DPS_Graph_Tooltip_Speed=TRUE,IF($E$8=$A261,1/$N$6,),)</f>
        <v/>
      </c>
    </row>
    <row r="262">
      <c r="A262" s="370">
        <v>0.19</v>
      </c>
      <c r="B262" s="213">
        <f>If(DPS_Weapon_Type="远程",($E262+1)/60+(ROUNDDOWN($F262*60+1,0)/60)*2,(ROUNDDOWN(($E262+1)+ROUNDDOWN($F262*60+1,0)+ROUNDDOWN($G262/2*60+1,0)+ROUNDDOWN($H262*60+1,0)+1,0))/60+If(DPS_ATK_TYPE="挥砍",1/60)+If(DPS_ATK_TYPE="挥砍/刺击",1/120))+DPS_Weapon_Randomization/60</f>
        <v>0.1883333333</v>
      </c>
      <c r="C262" s="104">
        <f>IF(DPS_Graph_True_Speed=TRUE,IF($A262&lt;=DPS_Graph_Max,IF($A262&gt;=DPS_Graph_Speed_Min,1/B262,),),)</f>
        <v>5.309734513</v>
      </c>
      <c r="D262" s="115" t="str">
        <f>IF(DPS_Graph_True_Speed=TRUE,IF($E$8=$A262,DPS_Attacks_P_Sec,),)</f>
        <v/>
      </c>
      <c r="E262" s="222">
        <f>ROUNDDOWN(MAX(2,IF(A262&gt;=0, DPS_Base_Wpn_Spd/(1+A262),DPS_Base_Wpn_Spd*(1+ABS(A262)))),0)</f>
        <v>3</v>
      </c>
      <c r="F262" s="232">
        <f>IF(A262&gt;=0, DPS_Base_Recoil/(1+A262),DPS_Base_Recoil)</f>
        <v>0.04201680672</v>
      </c>
      <c r="G262" s="377">
        <f t="shared" si="7"/>
        <v>0.9870904613</v>
      </c>
      <c r="H262" s="377">
        <f t="shared" si="8"/>
        <v>0.127388535</v>
      </c>
      <c r="I262" s="104"/>
      <c r="J262" s="377">
        <f>MAX(0, Max(25,(DPS_Base_Range + ((DPS_Range_Stat) / 2))) / MIN(MAX(70, (70 * (1 + ($A262 / 3)))), 120))</f>
        <v>5.373936408</v>
      </c>
      <c r="K262" s="269">
        <f>IF(A262&lt;=DPS_Graph_Max,IF(A262&gt;=DPS_Graph_Speed_Min,A262,),)</f>
        <v>0.19</v>
      </c>
      <c r="M262" s="213">
        <f>If(DPS_Weapon_Type="远程",$E262/60+$F262*2,$E262/60+$F262+$G262/2+$H262)</f>
        <v>0.1340336134</v>
      </c>
      <c r="N262" s="104">
        <f>IF(DPS_Graph_Tooltip_Speed=TRUE,IF($A262&lt;=DPS_Graph_Max,IF($A262&gt;=DPS_Graph_Speed_Min,1/M262,),),)</f>
        <v>7.460815047</v>
      </c>
      <c r="R262" s="104" t="str">
        <f>IF(DPS_Graph_Tooltip_Speed=TRUE,IF($E$8=$A262,1/$N$6,),)</f>
        <v/>
      </c>
    </row>
    <row r="263">
      <c r="A263" s="370">
        <v>0.2</v>
      </c>
      <c r="B263" s="213">
        <f>If(DPS_Weapon_Type="远程",($E263+1)/60+(ROUNDDOWN($F263*60+1,0)/60)*2,(ROUNDDOWN(($E263+1)+ROUNDDOWN($F263*60+1,0)+ROUNDDOWN($G263/2*60+1,0)+ROUNDDOWN($H263*60+1,0)+1,0))/60+If(DPS_ATK_TYPE="挥砍",1/60)+If(DPS_ATK_TYPE="挥砍/刺击",1/120))+DPS_Weapon_Randomization/60</f>
        <v>0.1883333333</v>
      </c>
      <c r="C263" s="104">
        <f>IF(DPS_Graph_True_Speed=TRUE,IF($A263&lt;=DPS_Graph_Max,IF($A263&gt;=DPS_Graph_Speed_Min,1/B263,),),)</f>
        <v>5.309734513</v>
      </c>
      <c r="D263" s="115" t="str">
        <f>IF(DPS_Graph_True_Speed=TRUE,IF($E$8=$A263,DPS_Attacks_P_Sec,),)</f>
        <v/>
      </c>
      <c r="E263" s="222">
        <f>ROUNDDOWN(MAX(2,IF(A263&gt;=0, DPS_Base_Wpn_Spd/(1+A263),DPS_Base_Wpn_Spd*(1+ABS(A263)))),0)</f>
        <v>3</v>
      </c>
      <c r="F263" s="232">
        <f>IF(A263&gt;=0, DPS_Base_Recoil/(1+A263),DPS_Base_Recoil)</f>
        <v>0.04166666667</v>
      </c>
      <c r="G263" s="377">
        <f t="shared" si="7"/>
        <v>0.9835714286</v>
      </c>
      <c r="H263" s="377">
        <f t="shared" si="8"/>
        <v>0.125</v>
      </c>
      <c r="I263" s="104"/>
      <c r="J263" s="377">
        <f>MAX(0, Max(25,(DPS_Base_Range + ((DPS_Range_Stat) / 2))) / MIN(MAX(70, (70 * (1 + ($A263 / 3)))), 120))</f>
        <v>5.357142857</v>
      </c>
      <c r="K263" s="269">
        <f>IF(A263&lt;=DPS_Graph_Max,IF(A263&gt;=DPS_Graph_Speed_Min,A263,),)</f>
        <v>0.2</v>
      </c>
      <c r="M263" s="213">
        <f>If(DPS_Weapon_Type="远程",$E263/60+$F263*2,$E263/60+$F263+$G263/2+$H263)</f>
        <v>0.1333333333</v>
      </c>
      <c r="N263" s="104">
        <f>IF(DPS_Graph_Tooltip_Speed=TRUE,IF($A263&lt;=DPS_Graph_Max,IF($A263&gt;=DPS_Graph_Speed_Min,1/M263,),),)</f>
        <v>7.5</v>
      </c>
      <c r="R263" s="104" t="str">
        <f>IF(DPS_Graph_Tooltip_Speed=TRUE,IF($E$8=$A263,1/$N$6,),)</f>
        <v/>
      </c>
    </row>
    <row r="264">
      <c r="A264" s="370">
        <v>0.21</v>
      </c>
      <c r="B264" s="213">
        <f>If(DPS_Weapon_Type="远程",($E264+1)/60+(ROUNDDOWN($F264*60+1,0)/60)*2,(ROUNDDOWN(($E264+1)+ROUNDDOWN($F264*60+1,0)+ROUNDDOWN($G264/2*60+1,0)+ROUNDDOWN($H264*60+1,0)+1,0))/60+If(DPS_ATK_TYPE="挥砍",1/60)+If(DPS_ATK_TYPE="挥砍/刺击",1/120))+DPS_Weapon_Randomization/60</f>
        <v>0.1883333333</v>
      </c>
      <c r="C264" s="104">
        <f>IF(DPS_Graph_True_Speed=TRUE,IF($A264&lt;=DPS_Graph_Max,IF($A264&gt;=DPS_Graph_Speed_Min,1/B264,),),)</f>
        <v>5.309734513</v>
      </c>
      <c r="D264" s="115" t="str">
        <f>IF(DPS_Graph_True_Speed=TRUE,IF($E$8=$A264,DPS_Attacks_P_Sec,),)</f>
        <v/>
      </c>
      <c r="E264" s="222">
        <f>ROUNDDOWN(MAX(2,IF(A264&gt;=0, DPS_Base_Wpn_Spd/(1+A264),DPS_Base_Wpn_Spd*(1+ABS(A264)))),0)</f>
        <v>3</v>
      </c>
      <c r="F264" s="232">
        <f>IF(A264&gt;=0, DPS_Base_Recoil/(1+A264),DPS_Base_Recoil)</f>
        <v>0.04132231405</v>
      </c>
      <c r="G264" s="377">
        <f t="shared" si="7"/>
        <v>0.9800680908</v>
      </c>
      <c r="H264" s="377">
        <f t="shared" si="8"/>
        <v>0.1226993865</v>
      </c>
      <c r="I264" s="104"/>
      <c r="J264" s="377">
        <f>MAX(0, Max(25,(DPS_Base_Range + ((DPS_Range_Stat) / 2))) / MIN(MAX(70, (70 * (1 + ($A264 / 3)))), 120))</f>
        <v>5.340453939</v>
      </c>
      <c r="K264" s="269">
        <f>IF(A264&lt;=DPS_Graph_Max,IF(A264&gt;=DPS_Graph_Speed_Min,A264,),)</f>
        <v>0.21</v>
      </c>
      <c r="M264" s="213">
        <f>If(DPS_Weapon_Type="远程",$E264/60+$F264*2,$E264/60+$F264+$G264/2+$H264)</f>
        <v>0.1326446281</v>
      </c>
      <c r="N264" s="104">
        <f>IF(DPS_Graph_Tooltip_Speed=TRUE,IF($A264&lt;=DPS_Graph_Max,IF($A264&gt;=DPS_Graph_Speed_Min,1/M264,),),)</f>
        <v>7.53894081</v>
      </c>
      <c r="R264" s="104" t="str">
        <f>IF(DPS_Graph_Tooltip_Speed=TRUE,IF($E$8=$A264,1/$N$6,),)</f>
        <v/>
      </c>
    </row>
    <row r="265">
      <c r="A265" s="370">
        <v>0.22</v>
      </c>
      <c r="B265" s="213">
        <f>If(DPS_Weapon_Type="远程",($E265+1)/60+(ROUNDDOWN($F265*60+1,0)/60)*2,(ROUNDDOWN(($E265+1)+ROUNDDOWN($F265*60+1,0)+ROUNDDOWN($G265/2*60+1,0)+ROUNDDOWN($H265*60+1,0)+1,0))/60+If(DPS_ATK_TYPE="挥砍",1/60)+If(DPS_ATK_TYPE="挥砍/刺击",1/120))+DPS_Weapon_Randomization/60</f>
        <v>0.1883333333</v>
      </c>
      <c r="C265" s="104">
        <f>IF(DPS_Graph_True_Speed=TRUE,IF($A265&lt;=DPS_Graph_Max,IF($A265&gt;=DPS_Graph_Speed_Min,1/B265,),),)</f>
        <v>5.309734513</v>
      </c>
      <c r="D265" s="115" t="str">
        <f>IF(DPS_Graph_True_Speed=TRUE,IF($E$8=$A265,DPS_Attacks_P_Sec,),)</f>
        <v/>
      </c>
      <c r="E265" s="222">
        <f>ROUNDDOWN(MAX(2,IF(A265&gt;=0, DPS_Base_Wpn_Spd/(1+A265),DPS_Base_Wpn_Spd*(1+ABS(A265)))),0)</f>
        <v>3</v>
      </c>
      <c r="F265" s="232">
        <f>IF(A265&gt;=0, DPS_Base_Recoil/(1+A265),DPS_Base_Recoil)</f>
        <v>0.04098360656</v>
      </c>
      <c r="G265" s="377">
        <f t="shared" si="7"/>
        <v>0.9765803017</v>
      </c>
      <c r="H265" s="377">
        <f t="shared" si="8"/>
        <v>0.1204819277</v>
      </c>
      <c r="I265" s="104"/>
      <c r="J265" s="377">
        <f>MAX(0, Max(25,(DPS_Base_Range + ((DPS_Range_Stat) / 2))) / MIN(MAX(70, (70 * (1 + ($A265 / 3)))), 120))</f>
        <v>5.323868678</v>
      </c>
      <c r="K265" s="269">
        <f>IF(A265&lt;=DPS_Graph_Max,IF(A265&gt;=DPS_Graph_Speed_Min,A265,),)</f>
        <v>0.22</v>
      </c>
      <c r="M265" s="213">
        <f>If(DPS_Weapon_Type="远程",$E265/60+$F265*2,$E265/60+$F265+$G265/2+$H265)</f>
        <v>0.1319672131</v>
      </c>
      <c r="N265" s="104">
        <f>IF(DPS_Graph_Tooltip_Speed=TRUE,IF($A265&lt;=DPS_Graph_Max,IF($A265&gt;=DPS_Graph_Speed_Min,1/M265,),),)</f>
        <v>7.577639752</v>
      </c>
      <c r="R265" s="104" t="str">
        <f>IF(DPS_Graph_Tooltip_Speed=TRUE,IF($E$8=$A265,1/$N$6,),)</f>
        <v/>
      </c>
    </row>
    <row r="266">
      <c r="A266" s="370">
        <v>0.23</v>
      </c>
      <c r="B266" s="213">
        <f>If(DPS_Weapon_Type="远程",($E266+1)/60+(ROUNDDOWN($F266*60+1,0)/60)*2,(ROUNDDOWN(($E266+1)+ROUNDDOWN($F266*60+1,0)+ROUNDDOWN($G266/2*60+1,0)+ROUNDDOWN($H266*60+1,0)+1,0))/60+If(DPS_ATK_TYPE="挥砍",1/60)+If(DPS_ATK_TYPE="挥砍/刺击",1/120))+DPS_Weapon_Randomization/60</f>
        <v>0.1883333333</v>
      </c>
      <c r="C266" s="104">
        <f>IF(DPS_Graph_True_Speed=TRUE,IF($A266&lt;=DPS_Graph_Max,IF($A266&gt;=DPS_Graph_Speed_Min,1/B266,),),)</f>
        <v>5.309734513</v>
      </c>
      <c r="D266" s="115" t="str">
        <f>IF(DPS_Graph_True_Speed=TRUE,IF($E$8=$A266,DPS_Attacks_P_Sec,),)</f>
        <v/>
      </c>
      <c r="E266" s="222">
        <f>ROUNDDOWN(MAX(2,IF(A266&gt;=0, DPS_Base_Wpn_Spd/(1+A266),DPS_Base_Wpn_Spd*(1+ABS(A266)))),0)</f>
        <v>3</v>
      </c>
      <c r="F266" s="232">
        <f>IF(A266&gt;=0, DPS_Base_Recoil/(1+A266),DPS_Base_Recoil)</f>
        <v>0.0406504065</v>
      </c>
      <c r="G266" s="377">
        <f t="shared" si="7"/>
        <v>0.9731079169</v>
      </c>
      <c r="H266" s="377">
        <f t="shared" si="8"/>
        <v>0.1183431953</v>
      </c>
      <c r="I266" s="104"/>
      <c r="J266" s="377">
        <f>MAX(0, Max(25,(DPS_Base_Range + ((DPS_Range_Stat) / 2))) / MIN(MAX(70, (70 * (1 + ($A266 / 3)))), 120))</f>
        <v>5.307386112</v>
      </c>
      <c r="K266" s="269">
        <f>IF(A266&lt;=DPS_Graph_Max,IF(A266&gt;=DPS_Graph_Speed_Min,A266,),)</f>
        <v>0.23</v>
      </c>
      <c r="M266" s="213">
        <f>If(DPS_Weapon_Type="远程",$E266/60+$F266*2,$E266/60+$F266+$G266/2+$H266)</f>
        <v>0.131300813</v>
      </c>
      <c r="N266" s="104">
        <f>IF(DPS_Graph_Tooltip_Speed=TRUE,IF($A266&lt;=DPS_Graph_Max,IF($A266&gt;=DPS_Graph_Speed_Min,1/M266,),),)</f>
        <v>7.616099071</v>
      </c>
      <c r="R266" s="104" t="str">
        <f>IF(DPS_Graph_Tooltip_Speed=TRUE,IF($E$8=$A266,1/$N$6,),)</f>
        <v/>
      </c>
    </row>
    <row r="267">
      <c r="A267" s="370">
        <v>0.24</v>
      </c>
      <c r="B267" s="213">
        <f>If(DPS_Weapon_Type="远程",($E267+1)/60+(ROUNDDOWN($F267*60+1,0)/60)*2,(ROUNDDOWN(($E267+1)+ROUNDDOWN($F267*60+1,0)+ROUNDDOWN($G267/2*60+1,0)+ROUNDDOWN($H267*60+1,0)+1,0))/60+If(DPS_ATK_TYPE="挥砍",1/60)+If(DPS_ATK_TYPE="挥砍/刺击",1/120))+DPS_Weapon_Randomization/60</f>
        <v>0.1883333333</v>
      </c>
      <c r="C267" s="104">
        <f>IF(DPS_Graph_True_Speed=TRUE,IF($A267&lt;=DPS_Graph_Max,IF($A267&gt;=DPS_Graph_Speed_Min,1/B267,),),)</f>
        <v>5.309734513</v>
      </c>
      <c r="D267" s="115" t="str">
        <f>IF(DPS_Graph_True_Speed=TRUE,IF($E$8=$A267,DPS_Attacks_P_Sec,),)</f>
        <v/>
      </c>
      <c r="E267" s="222">
        <f>ROUNDDOWN(MAX(2,IF(A267&gt;=0, DPS_Base_Wpn_Spd/(1+A267),DPS_Base_Wpn_Spd*(1+ABS(A267)))),0)</f>
        <v>3</v>
      </c>
      <c r="F267" s="232">
        <f>IF(A267&gt;=0, DPS_Base_Recoil/(1+A267),DPS_Base_Recoil)</f>
        <v>0.04032258065</v>
      </c>
      <c r="G267" s="377">
        <f t="shared" si="7"/>
        <v>0.9696507937</v>
      </c>
      <c r="H267" s="377">
        <f t="shared" si="8"/>
        <v>0.1162790698</v>
      </c>
      <c r="I267" s="104"/>
      <c r="J267" s="377">
        <f>MAX(0, Max(25,(DPS_Base_Range + ((DPS_Range_Stat) / 2))) / MIN(MAX(70, (70 * (1 + ($A267 / 3)))), 120))</f>
        <v>5.291005291</v>
      </c>
      <c r="K267" s="269">
        <f>IF(A267&lt;=DPS_Graph_Max,IF(A267&gt;=DPS_Graph_Speed_Min,A267,),)</f>
        <v>0.24</v>
      </c>
      <c r="M267" s="213">
        <f>If(DPS_Weapon_Type="远程",$E267/60+$F267*2,$E267/60+$F267+$G267/2+$H267)</f>
        <v>0.1306451613</v>
      </c>
      <c r="N267" s="104">
        <f>IF(DPS_Graph_Tooltip_Speed=TRUE,IF($A267&lt;=DPS_Graph_Max,IF($A267&gt;=DPS_Graph_Speed_Min,1/M267,),),)</f>
        <v>7.654320988</v>
      </c>
      <c r="R267" s="104" t="str">
        <f>IF(DPS_Graph_Tooltip_Speed=TRUE,IF($E$8=$A267,1/$N$6,),)</f>
        <v/>
      </c>
    </row>
    <row r="268">
      <c r="A268" s="370">
        <v>0.25</v>
      </c>
      <c r="B268" s="213">
        <f>If(DPS_Weapon_Type="远程",($E268+1)/60+(ROUNDDOWN($F268*60+1,0)/60)*2,(ROUNDDOWN(($E268+1)+ROUNDDOWN($F268*60+1,0)+ROUNDDOWN($G268/2*60+1,0)+ROUNDDOWN($H268*60+1,0)+1,0))/60+If(DPS_ATK_TYPE="挥砍",1/60)+If(DPS_ATK_TYPE="挥砍/刺击",1/120))+DPS_Weapon_Randomization/60</f>
        <v>0.1883333333</v>
      </c>
      <c r="C268" s="104">
        <f>IF(DPS_Graph_True_Speed=TRUE,IF($A268&lt;=DPS_Graph_Max,IF($A268&gt;=DPS_Graph_Speed_Min,1/B268,),),)</f>
        <v>5.309734513</v>
      </c>
      <c r="D268" s="115" t="str">
        <f>IF(DPS_Graph_True_Speed=TRUE,IF($E$8=$A268,DPS_Attacks_P_Sec,),)</f>
        <v/>
      </c>
      <c r="E268" s="222">
        <f>ROUNDDOWN(MAX(2,IF(A268&gt;=0, DPS_Base_Wpn_Spd/(1+A268),DPS_Base_Wpn_Spd*(1+ABS(A268)))),0)</f>
        <v>3</v>
      </c>
      <c r="F268" s="232">
        <f>IF(A268&gt;=0, DPS_Base_Recoil/(1+A268),DPS_Base_Recoil)</f>
        <v>0.04</v>
      </c>
      <c r="G268" s="377">
        <f t="shared" si="7"/>
        <v>0.9662087912</v>
      </c>
      <c r="H268" s="377">
        <f t="shared" si="8"/>
        <v>0.1142857143</v>
      </c>
      <c r="I268" s="104"/>
      <c r="J268" s="377">
        <f>MAX(0, Max(25,(DPS_Base_Range + ((DPS_Range_Stat) / 2))) / MIN(MAX(70, (70 * (1 + ($A268 / 3)))), 120))</f>
        <v>5.274725275</v>
      </c>
      <c r="K268" s="269">
        <f>IF(A268&lt;=DPS_Graph_Max,IF(A268&gt;=DPS_Graph_Speed_Min,A268,),)</f>
        <v>0.25</v>
      </c>
      <c r="M268" s="213">
        <f>If(DPS_Weapon_Type="远程",$E268/60+$F268*2,$E268/60+$F268+$G268/2+$H268)</f>
        <v>0.13</v>
      </c>
      <c r="N268" s="104">
        <f>IF(DPS_Graph_Tooltip_Speed=TRUE,IF($A268&lt;=DPS_Graph_Max,IF($A268&gt;=DPS_Graph_Speed_Min,1/M268,),),)</f>
        <v>7.692307692</v>
      </c>
      <c r="R268" s="104" t="str">
        <f>IF(DPS_Graph_Tooltip_Speed=TRUE,IF($E$8=$A268,1/$N$6,),)</f>
        <v/>
      </c>
    </row>
    <row r="269">
      <c r="A269" s="370">
        <v>0.26</v>
      </c>
      <c r="B269" s="213">
        <f>If(DPS_Weapon_Type="远程",($E269+1)/60+(ROUNDDOWN($F269*60+1,0)/60)*2,(ROUNDDOWN(($E269+1)+ROUNDDOWN($F269*60+1,0)+ROUNDDOWN($G269/2*60+1,0)+ROUNDDOWN($H269*60+1,0)+1,0))/60+If(DPS_ATK_TYPE="挥砍",1/60)+If(DPS_ATK_TYPE="挥砍/刺击",1/120))+DPS_Weapon_Randomization/60</f>
        <v>0.1883333333</v>
      </c>
      <c r="C269" s="104">
        <f>IF(DPS_Graph_True_Speed=TRUE,IF($A269&lt;=DPS_Graph_Max,IF($A269&gt;=DPS_Graph_Speed_Min,1/B269,),),)</f>
        <v>5.309734513</v>
      </c>
      <c r="D269" s="115" t="str">
        <f>IF(DPS_Graph_True_Speed=TRUE,IF($E$8=$A269,DPS_Attacks_P_Sec,),)</f>
        <v/>
      </c>
      <c r="E269" s="222">
        <f>ROUNDDOWN(MAX(2,IF(A269&gt;=0, DPS_Base_Wpn_Spd/(1+A269),DPS_Base_Wpn_Spd*(1+ABS(A269)))),0)</f>
        <v>3</v>
      </c>
      <c r="F269" s="232">
        <f>IF(A269&gt;=0, DPS_Base_Recoil/(1+A269),DPS_Base_Recoil)</f>
        <v>0.03968253968</v>
      </c>
      <c r="G269" s="377">
        <f t="shared" si="7"/>
        <v>0.9627817704</v>
      </c>
      <c r="H269" s="377">
        <f t="shared" si="8"/>
        <v>0.1123595506</v>
      </c>
      <c r="I269" s="104"/>
      <c r="J269" s="377">
        <f>MAX(0, Max(25,(DPS_Base_Range + ((DPS_Range_Stat) / 2))) / MIN(MAX(70, (70 * (1 + ($A269 / 3)))), 120))</f>
        <v>5.258545136</v>
      </c>
      <c r="K269" s="269">
        <f>IF(A269&lt;=DPS_Graph_Max,IF(A269&gt;=DPS_Graph_Speed_Min,A269,),)</f>
        <v>0.26</v>
      </c>
      <c r="M269" s="213">
        <f>If(DPS_Weapon_Type="远程",$E269/60+$F269*2,$E269/60+$F269+$G269/2+$H269)</f>
        <v>0.1293650794</v>
      </c>
      <c r="N269" s="104">
        <f>IF(DPS_Graph_Tooltip_Speed=TRUE,IF($A269&lt;=DPS_Graph_Max,IF($A269&gt;=DPS_Graph_Speed_Min,1/M269,),),)</f>
        <v>7.73006135</v>
      </c>
      <c r="R269" s="104" t="str">
        <f>IF(DPS_Graph_Tooltip_Speed=TRUE,IF($E$8=$A269,1/$N$6,),)</f>
        <v/>
      </c>
    </row>
    <row r="270">
      <c r="A270" s="370">
        <v>0.27</v>
      </c>
      <c r="B270" s="213">
        <f>If(DPS_Weapon_Type="远程",($E270+1)/60+(ROUNDDOWN($F270*60+1,0)/60)*2,(ROUNDDOWN(($E270+1)+ROUNDDOWN($F270*60+1,0)+ROUNDDOWN($G270/2*60+1,0)+ROUNDDOWN($H270*60+1,0)+1,0))/60+If(DPS_ATK_TYPE="挥砍",1/60)+If(DPS_ATK_TYPE="挥砍/刺击",1/120))+DPS_Weapon_Randomization/60</f>
        <v>0.1883333333</v>
      </c>
      <c r="C270" s="104">
        <f>IF(DPS_Graph_True_Speed=TRUE,IF($A270&lt;=DPS_Graph_Max,IF($A270&gt;=DPS_Graph_Speed_Min,1/B270,),),)</f>
        <v>5.309734513</v>
      </c>
      <c r="D270" s="115" t="str">
        <f>IF(DPS_Graph_True_Speed=TRUE,IF($E$8=$A270,DPS_Attacks_P_Sec,),)</f>
        <v/>
      </c>
      <c r="E270" s="222">
        <f>ROUNDDOWN(MAX(2,IF(A270&gt;=0, DPS_Base_Wpn_Spd/(1+A270),DPS_Base_Wpn_Spd*(1+ABS(A270)))),0)</f>
        <v>3</v>
      </c>
      <c r="F270" s="232">
        <f>IF(A270&gt;=0, DPS_Base_Recoil/(1+A270),DPS_Base_Recoil)</f>
        <v>0.03937007874</v>
      </c>
      <c r="G270" s="377">
        <f t="shared" si="7"/>
        <v>0.9593695937</v>
      </c>
      <c r="H270" s="377">
        <f t="shared" si="8"/>
        <v>0.1104972376</v>
      </c>
      <c r="I270" s="104"/>
      <c r="J270" s="377">
        <f>MAX(0, Max(25,(DPS_Base_Range + ((DPS_Range_Stat) / 2))) / MIN(MAX(70, (70 * (1 + ($A270 / 3)))), 120))</f>
        <v>5.242463958</v>
      </c>
      <c r="K270" s="269">
        <f>IF(A270&lt;=DPS_Graph_Max,IF(A270&gt;=DPS_Graph_Speed_Min,A270,),)</f>
        <v>0.27</v>
      </c>
      <c r="M270" s="213">
        <f>If(DPS_Weapon_Type="远程",$E270/60+$F270*2,$E270/60+$F270+$G270/2+$H270)</f>
        <v>0.1287401575</v>
      </c>
      <c r="N270" s="104">
        <f>IF(DPS_Graph_Tooltip_Speed=TRUE,IF($A270&lt;=DPS_Graph_Max,IF($A270&gt;=DPS_Graph_Speed_Min,1/M270,),),)</f>
        <v>7.767584098</v>
      </c>
      <c r="R270" s="104" t="str">
        <f>IF(DPS_Graph_Tooltip_Speed=TRUE,IF($E$8=$A270,1/$N$6,),)</f>
        <v/>
      </c>
    </row>
    <row r="271">
      <c r="A271" s="370">
        <v>0.28</v>
      </c>
      <c r="B271" s="213">
        <f>If(DPS_Weapon_Type="远程",($E271+1)/60+(ROUNDDOWN($F271*60+1,0)/60)*2,(ROUNDDOWN(($E271+1)+ROUNDDOWN($F271*60+1,0)+ROUNDDOWN($G271/2*60+1,0)+ROUNDDOWN($H271*60+1,0)+1,0))/60+If(DPS_ATK_TYPE="挥砍",1/60)+If(DPS_ATK_TYPE="挥砍/刺击",1/120))+DPS_Weapon_Randomization/60</f>
        <v>0.1883333333</v>
      </c>
      <c r="C271" s="104">
        <f>IF(DPS_Graph_True_Speed=TRUE,IF($A271&lt;=DPS_Graph_Max,IF($A271&gt;=DPS_Graph_Speed_Min,1/B271,),),)</f>
        <v>5.309734513</v>
      </c>
      <c r="D271" s="115" t="str">
        <f>IF(DPS_Graph_True_Speed=TRUE,IF($E$8=$A271,DPS_Attacks_P_Sec,),)</f>
        <v/>
      </c>
      <c r="E271" s="222">
        <f>ROUNDDOWN(MAX(2,IF(A271&gt;=0, DPS_Base_Wpn_Spd/(1+A271),DPS_Base_Wpn_Spd*(1+ABS(A271)))),0)</f>
        <v>3</v>
      </c>
      <c r="F271" s="232">
        <f>IF(A271&gt;=0, DPS_Base_Recoil/(1+A271),DPS_Base_Recoil)</f>
        <v>0.0390625</v>
      </c>
      <c r="G271" s="377">
        <f t="shared" si="7"/>
        <v>0.9559721254</v>
      </c>
      <c r="H271" s="377">
        <f t="shared" si="8"/>
        <v>0.1086956522</v>
      </c>
      <c r="I271" s="104"/>
      <c r="J271" s="377">
        <f>MAX(0, Max(25,(DPS_Base_Range + ((DPS_Range_Stat) / 2))) / MIN(MAX(70, (70 * (1 + ($A271 / 3)))), 120))</f>
        <v>5.226480836</v>
      </c>
      <c r="K271" s="269">
        <f>IF(A271&lt;=DPS_Graph_Max,IF(A271&gt;=DPS_Graph_Speed_Min,A271,),)</f>
        <v>0.28</v>
      </c>
      <c r="M271" s="213">
        <f>If(DPS_Weapon_Type="远程",$E271/60+$F271*2,$E271/60+$F271+$G271/2+$H271)</f>
        <v>0.128125</v>
      </c>
      <c r="N271" s="104">
        <f>IF(DPS_Graph_Tooltip_Speed=TRUE,IF($A271&lt;=DPS_Graph_Max,IF($A271&gt;=DPS_Graph_Speed_Min,1/M271,),),)</f>
        <v>7.804878049</v>
      </c>
      <c r="R271" s="104" t="str">
        <f>IF(DPS_Graph_Tooltip_Speed=TRUE,IF($E$8=$A271,1/$N$6,),)</f>
        <v/>
      </c>
    </row>
    <row r="272">
      <c r="A272" s="370">
        <v>0.29</v>
      </c>
      <c r="B272" s="213">
        <f>If(DPS_Weapon_Type="远程",($E272+1)/60+(ROUNDDOWN($F272*60+1,0)/60)*2,(ROUNDDOWN(($E272+1)+ROUNDDOWN($F272*60+1,0)+ROUNDDOWN($G272/2*60+1,0)+ROUNDDOWN($H272*60+1,0)+1,0))/60+If(DPS_ATK_TYPE="挥砍",1/60)+If(DPS_ATK_TYPE="挥砍/刺击",1/120))+DPS_Weapon_Randomization/60</f>
        <v>0.1883333333</v>
      </c>
      <c r="C272" s="104">
        <f>IF(DPS_Graph_True_Speed=TRUE,IF($A272&lt;=DPS_Graph_Max,IF($A272&gt;=DPS_Graph_Speed_Min,1/B272,),),)</f>
        <v>5.309734513</v>
      </c>
      <c r="D272" s="115" t="str">
        <f>IF(DPS_Graph_True_Speed=TRUE,IF($E$8=$A272,DPS_Attacks_P_Sec,),)</f>
        <v/>
      </c>
      <c r="E272" s="222">
        <f>ROUNDDOWN(MAX(2,IF(A272&gt;=0, DPS_Base_Wpn_Spd/(1+A272),DPS_Base_Wpn_Spd*(1+ABS(A272)))),0)</f>
        <v>3</v>
      </c>
      <c r="F272" s="232">
        <f>IF(A272&gt;=0, DPS_Base_Recoil/(1+A272),DPS_Base_Recoil)</f>
        <v>0.03875968992</v>
      </c>
      <c r="G272" s="377">
        <f t="shared" si="7"/>
        <v>0.9525892314</v>
      </c>
      <c r="H272" s="377">
        <f t="shared" si="8"/>
        <v>0.1069518717</v>
      </c>
      <c r="I272" s="104"/>
      <c r="J272" s="377">
        <f>MAX(0, Max(25,(DPS_Base_Range + ((DPS_Range_Stat) / 2))) / MIN(MAX(70, (70 * (1 + ($A272 / 3)))), 120))</f>
        <v>5.210594876</v>
      </c>
      <c r="K272" s="269">
        <f>IF(A272&lt;=DPS_Graph_Max,IF(A272&gt;=DPS_Graph_Speed_Min,A272,),)</f>
        <v>0.29</v>
      </c>
      <c r="M272" s="213">
        <f>If(DPS_Weapon_Type="远程",$E272/60+$F272*2,$E272/60+$F272+$G272/2+$H272)</f>
        <v>0.1275193798</v>
      </c>
      <c r="N272" s="104">
        <f>IF(DPS_Graph_Tooltip_Speed=TRUE,IF($A272&lt;=DPS_Graph_Max,IF($A272&gt;=DPS_Graph_Speed_Min,1/M272,),),)</f>
        <v>7.841945289</v>
      </c>
      <c r="R272" s="104" t="str">
        <f>IF(DPS_Graph_Tooltip_Speed=TRUE,IF($E$8=$A272,1/$N$6,),)</f>
        <v/>
      </c>
    </row>
    <row r="273">
      <c r="A273" s="370">
        <v>0.3</v>
      </c>
      <c r="B273" s="213">
        <f>If(DPS_Weapon_Type="远程",($E273+1)/60+(ROUNDDOWN($F273*60+1,0)/60)*2,(ROUNDDOWN(($E273+1)+ROUNDDOWN($F273*60+1,0)+ROUNDDOWN($G273/2*60+1,0)+ROUNDDOWN($H273*60+1,0)+1,0))/60+If(DPS_ATK_TYPE="挥砍",1/60)+If(DPS_ATK_TYPE="挥砍/刺击",1/120))+DPS_Weapon_Randomization/60</f>
        <v>0.1883333333</v>
      </c>
      <c r="C273" s="104">
        <f>IF(DPS_Graph_True_Speed=TRUE,IF($A273&lt;=DPS_Graph_Max,IF($A273&gt;=DPS_Graph_Speed_Min,1/B273,),),)</f>
        <v>5.309734513</v>
      </c>
      <c r="D273" s="115" t="str">
        <f>IF(DPS_Graph_True_Speed=TRUE,IF($E$8=$A273,DPS_Attacks_P_Sec,),)</f>
        <v/>
      </c>
      <c r="E273" s="222">
        <f>ROUNDDOWN(MAX(2,IF(A273&gt;=0, DPS_Base_Wpn_Spd/(1+A273),DPS_Base_Wpn_Spd*(1+ABS(A273)))),0)</f>
        <v>3</v>
      </c>
      <c r="F273" s="232">
        <f>IF(A273&gt;=0, DPS_Base_Recoil/(1+A273),DPS_Base_Recoil)</f>
        <v>0.03846153846</v>
      </c>
      <c r="G273" s="377">
        <f t="shared" si="7"/>
        <v>0.9492207792</v>
      </c>
      <c r="H273" s="377">
        <f t="shared" si="8"/>
        <v>0.1052631579</v>
      </c>
      <c r="I273" s="104"/>
      <c r="J273" s="377">
        <f>MAX(0, Max(25,(DPS_Base_Range + ((DPS_Range_Stat) / 2))) / MIN(MAX(70, (70 * (1 + ($A273 / 3)))), 120))</f>
        <v>5.194805195</v>
      </c>
      <c r="K273" s="269">
        <f>IF(A273&lt;=DPS_Graph_Max,IF(A273&gt;=DPS_Graph_Speed_Min,A273,),)</f>
        <v>0.3</v>
      </c>
      <c r="M273" s="213">
        <f>If(DPS_Weapon_Type="远程",$E273/60+$F273*2,$E273/60+$F273+$G273/2+$H273)</f>
        <v>0.1269230769</v>
      </c>
      <c r="N273" s="104">
        <f>IF(DPS_Graph_Tooltip_Speed=TRUE,IF($A273&lt;=DPS_Graph_Max,IF($A273&gt;=DPS_Graph_Speed_Min,1/M273,),),)</f>
        <v>7.878787879</v>
      </c>
      <c r="R273" s="104" t="str">
        <f>IF(DPS_Graph_Tooltip_Speed=TRUE,IF($E$8=$A273,1/$N$6,),)</f>
        <v/>
      </c>
    </row>
    <row r="274">
      <c r="A274" s="370">
        <v>0.31</v>
      </c>
      <c r="B274" s="213">
        <f>If(DPS_Weapon_Type="远程",($E274+1)/60+(ROUNDDOWN($F274*60+1,0)/60)*2,(ROUNDDOWN(($E274+1)+ROUNDDOWN($F274*60+1,0)+ROUNDDOWN($G274/2*60+1,0)+ROUNDDOWN($H274*60+1,0)+1,0))/60+If(DPS_ATK_TYPE="挥砍",1/60)+If(DPS_ATK_TYPE="挥砍/刺击",1/120))+DPS_Weapon_Randomization/60</f>
        <v>0.1883333333</v>
      </c>
      <c r="C274" s="104">
        <f>IF(DPS_Graph_True_Speed=TRUE,IF($A274&lt;=DPS_Graph_Max,IF($A274&gt;=DPS_Graph_Speed_Min,1/B274,),),)</f>
        <v>5.309734513</v>
      </c>
      <c r="D274" s="115" t="str">
        <f>IF(DPS_Graph_True_Speed=TRUE,IF($E$8=$A274,DPS_Attacks_P_Sec,),)</f>
        <v/>
      </c>
      <c r="E274" s="222">
        <f>ROUNDDOWN(MAX(2,IF(A274&gt;=0, DPS_Base_Wpn_Spd/(1+A274),DPS_Base_Wpn_Spd*(1+ABS(A274)))),0)</f>
        <v>3</v>
      </c>
      <c r="F274" s="232">
        <f>IF(A274&gt;=0, DPS_Base_Recoil/(1+A274),DPS_Base_Recoil)</f>
        <v>0.03816793893</v>
      </c>
      <c r="G274" s="377">
        <f t="shared" si="7"/>
        <v>0.9458666379</v>
      </c>
      <c r="H274" s="377">
        <f t="shared" si="8"/>
        <v>0.103626943</v>
      </c>
      <c r="I274" s="104"/>
      <c r="J274" s="377">
        <f>MAX(0, Max(25,(DPS_Base_Range + ((DPS_Range_Stat) / 2))) / MIN(MAX(70, (70 * (1 + ($A274 / 3)))), 120))</f>
        <v>5.179110919</v>
      </c>
      <c r="K274" s="269">
        <f>IF(A274&lt;=DPS_Graph_Max,IF(A274&gt;=DPS_Graph_Speed_Min,A274,),)</f>
        <v>0.31</v>
      </c>
      <c r="M274" s="213">
        <f>If(DPS_Weapon_Type="远程",$E274/60+$F274*2,$E274/60+$F274+$G274/2+$H274)</f>
        <v>0.1263358779</v>
      </c>
      <c r="N274" s="104">
        <f>IF(DPS_Graph_Tooltip_Speed=TRUE,IF($A274&lt;=DPS_Graph_Max,IF($A274&gt;=DPS_Graph_Speed_Min,1/M274,),),)</f>
        <v>7.915407855</v>
      </c>
      <c r="R274" s="104" t="str">
        <f>IF(DPS_Graph_Tooltip_Speed=TRUE,IF($E$8=$A274,1/$N$6,),)</f>
        <v/>
      </c>
    </row>
    <row r="275">
      <c r="A275" s="370">
        <v>0.32</v>
      </c>
      <c r="B275" s="213">
        <f>If(DPS_Weapon_Type="远程",($E275+1)/60+(ROUNDDOWN($F275*60+1,0)/60)*2,(ROUNDDOWN(($E275+1)+ROUNDDOWN($F275*60+1,0)+ROUNDDOWN($G275/2*60+1,0)+ROUNDDOWN($H275*60+1,0)+1,0))/60+If(DPS_ATK_TYPE="挥砍",1/60)+If(DPS_ATK_TYPE="挥砍/刺击",1/120))+DPS_Weapon_Randomization/60</f>
        <v>0.1883333333</v>
      </c>
      <c r="C275" s="104">
        <f>IF(DPS_Graph_True_Speed=TRUE,IF($A275&lt;=DPS_Graph_Max,IF($A275&gt;=DPS_Graph_Speed_Min,1/B275,),),)</f>
        <v>5.309734513</v>
      </c>
      <c r="D275" s="115" t="str">
        <f>IF(DPS_Graph_True_Speed=TRUE,IF($E$8=$A275,DPS_Attacks_P_Sec,),)</f>
        <v/>
      </c>
      <c r="E275" s="222">
        <f>ROUNDDOWN(MAX(2,IF(A275&gt;=0, DPS_Base_Wpn_Spd/(1+A275),DPS_Base_Wpn_Spd*(1+ABS(A275)))),0)</f>
        <v>3</v>
      </c>
      <c r="F275" s="232">
        <f>IF(A275&gt;=0, DPS_Base_Recoil/(1+A275),DPS_Base_Recoil)</f>
        <v>0.03787878788</v>
      </c>
      <c r="G275" s="377">
        <f t="shared" si="7"/>
        <v>0.9425266781</v>
      </c>
      <c r="H275" s="377">
        <f t="shared" si="8"/>
        <v>0.1020408163</v>
      </c>
      <c r="I275" s="104"/>
      <c r="J275" s="377">
        <f>MAX(0, Max(25,(DPS_Base_Range + ((DPS_Range_Stat) / 2))) / MIN(MAX(70, (70 * (1 + ($A275 / 3)))), 120))</f>
        <v>5.163511188</v>
      </c>
      <c r="K275" s="269">
        <f>IF(A275&lt;=DPS_Graph_Max,IF(A275&gt;=DPS_Graph_Speed_Min,A275,),)</f>
        <v>0.32</v>
      </c>
      <c r="M275" s="213">
        <f>If(DPS_Weapon_Type="远程",$E275/60+$F275*2,$E275/60+$F275+$G275/2+$H275)</f>
        <v>0.1257575758</v>
      </c>
      <c r="N275" s="104">
        <f>IF(DPS_Graph_Tooltip_Speed=TRUE,IF($A275&lt;=DPS_Graph_Max,IF($A275&gt;=DPS_Graph_Speed_Min,1/M275,),),)</f>
        <v>7.951807229</v>
      </c>
      <c r="R275" s="104" t="str">
        <f>IF(DPS_Graph_Tooltip_Speed=TRUE,IF($E$8=$A275,1/$N$6,),)</f>
        <v/>
      </c>
    </row>
    <row r="276">
      <c r="A276" s="370">
        <v>0.33</v>
      </c>
      <c r="B276" s="213">
        <f>If(DPS_Weapon_Type="远程",($E276+1)/60+(ROUNDDOWN($F276*60+1,0)/60)*2,(ROUNDDOWN(($E276+1)+ROUNDDOWN($F276*60+1,0)+ROUNDDOWN($G276/2*60+1,0)+ROUNDDOWN($H276*60+1,0)+1,0))/60+If(DPS_ATK_TYPE="挥砍",1/60)+If(DPS_ATK_TYPE="挥砍/刺击",1/120))+DPS_Weapon_Randomization/60</f>
        <v>0.1883333333</v>
      </c>
      <c r="C276" s="104">
        <f>IF(DPS_Graph_True_Speed=TRUE,IF($A276&lt;=DPS_Graph_Max,IF($A276&gt;=DPS_Graph_Speed_Min,1/B276,),),)</f>
        <v>5.309734513</v>
      </c>
      <c r="D276" s="115" t="str">
        <f>IF(DPS_Graph_True_Speed=TRUE,IF($E$8=$A276,DPS_Attacks_P_Sec,),)</f>
        <v/>
      </c>
      <c r="E276" s="222">
        <f>ROUNDDOWN(MAX(2,IF(A276&gt;=0, DPS_Base_Wpn_Spd/(1+A276),DPS_Base_Wpn_Spd*(1+ABS(A276)))),0)</f>
        <v>3</v>
      </c>
      <c r="F276" s="232">
        <f>IF(A276&gt;=0, DPS_Base_Recoil/(1+A276),DPS_Base_Recoil)</f>
        <v>0.03759398496</v>
      </c>
      <c r="G276" s="377">
        <f t="shared" si="7"/>
        <v>0.9392007722</v>
      </c>
      <c r="H276" s="377">
        <f t="shared" si="8"/>
        <v>0.1005025126</v>
      </c>
      <c r="I276" s="104"/>
      <c r="J276" s="377">
        <f>MAX(0, Max(25,(DPS_Base_Range + ((DPS_Range_Stat) / 2))) / MIN(MAX(70, (70 * (1 + ($A276 / 3)))), 120))</f>
        <v>5.148005148</v>
      </c>
      <c r="K276" s="269">
        <f>IF(A276&lt;=DPS_Graph_Max,IF(A276&gt;=DPS_Graph_Speed_Min,A276,),)</f>
        <v>0.33</v>
      </c>
      <c r="M276" s="213">
        <f>If(DPS_Weapon_Type="远程",$E276/60+$F276*2,$E276/60+$F276+$G276/2+$H276)</f>
        <v>0.1251879699</v>
      </c>
      <c r="N276" s="104">
        <f>IF(DPS_Graph_Tooltip_Speed=TRUE,IF($A276&lt;=DPS_Graph_Max,IF($A276&gt;=DPS_Graph_Speed_Min,1/M276,),),)</f>
        <v>7.987987988</v>
      </c>
      <c r="R276" s="104" t="str">
        <f>IF(DPS_Graph_Tooltip_Speed=TRUE,IF($E$8=$A276,1/$N$6,),)</f>
        <v/>
      </c>
    </row>
    <row r="277">
      <c r="A277" s="370">
        <v>0.34</v>
      </c>
      <c r="B277" s="213">
        <f>If(DPS_Weapon_Type="远程",($E277+1)/60+(ROUNDDOWN($F277*60+1,0)/60)*2,(ROUNDDOWN(($E277+1)+ROUNDDOWN($F277*60+1,0)+ROUNDDOWN($G277/2*60+1,0)+ROUNDDOWN($H277*60+1,0)+1,0))/60+If(DPS_ATK_TYPE="挥砍",1/60)+If(DPS_ATK_TYPE="挥砍/刺击",1/120))+DPS_Weapon_Randomization/60</f>
        <v>0.1716666667</v>
      </c>
      <c r="C277" s="104">
        <f>IF(DPS_Graph_True_Speed=TRUE,IF($A277&lt;=DPS_Graph_Max,IF($A277&gt;=DPS_Graph_Speed_Min,1/B277,),),)</f>
        <v>5.825242718</v>
      </c>
      <c r="D277" s="115" t="str">
        <f>IF(DPS_Graph_True_Speed=TRUE,IF($E$8=$A277,DPS_Attacks_P_Sec,),)</f>
        <v/>
      </c>
      <c r="E277" s="222">
        <f>ROUNDDOWN(MAX(2,IF(A277&gt;=0, DPS_Base_Wpn_Spd/(1+A277),DPS_Base_Wpn_Spd*(1+ABS(A277)))),0)</f>
        <v>2</v>
      </c>
      <c r="F277" s="232">
        <f>IF(A277&gt;=0, DPS_Base_Recoil/(1+A277),DPS_Base_Recoil)</f>
        <v>0.03731343284</v>
      </c>
      <c r="G277" s="377">
        <f t="shared" si="7"/>
        <v>0.9358887938</v>
      </c>
      <c r="H277" s="377">
        <f t="shared" si="8"/>
        <v>0.09900990099</v>
      </c>
      <c r="I277" s="104"/>
      <c r="J277" s="377">
        <f>MAX(0, Max(25,(DPS_Base_Range + ((DPS_Range_Stat) / 2))) / MIN(MAX(70, (70 * (1 + ($A277 / 3)))), 120))</f>
        <v>5.132591959</v>
      </c>
      <c r="K277" s="269">
        <f>IF(A277&lt;=DPS_Graph_Max,IF(A277&gt;=DPS_Graph_Speed_Min,A277,),)</f>
        <v>0.34</v>
      </c>
      <c r="M277" s="213">
        <f>If(DPS_Weapon_Type="远程",$E277/60+$F277*2,$E277/60+$F277+$G277/2+$H277)</f>
        <v>0.107960199</v>
      </c>
      <c r="N277" s="104">
        <f>IF(DPS_Graph_Tooltip_Speed=TRUE,IF($A277&lt;=DPS_Graph_Max,IF($A277&gt;=DPS_Graph_Speed_Min,1/M277,),),)</f>
        <v>9.262672811</v>
      </c>
      <c r="R277" s="104" t="str">
        <f>IF(DPS_Graph_Tooltip_Speed=TRUE,IF($E$8=$A277,1/$N$6,),)</f>
        <v/>
      </c>
    </row>
    <row r="278">
      <c r="A278" s="370">
        <v>0.35</v>
      </c>
      <c r="B278" s="213">
        <f>If(DPS_Weapon_Type="远程",($E278+1)/60+(ROUNDDOWN($F278*60+1,0)/60)*2,(ROUNDDOWN(($E278+1)+ROUNDDOWN($F278*60+1,0)+ROUNDDOWN($G278/2*60+1,0)+ROUNDDOWN($H278*60+1,0)+1,0))/60+If(DPS_ATK_TYPE="挥砍",1/60)+If(DPS_ATK_TYPE="挥砍/刺击",1/120))+DPS_Weapon_Randomization/60</f>
        <v>0.1716666667</v>
      </c>
      <c r="C278" s="104">
        <f>IF(DPS_Graph_True_Speed=TRUE,IF($A278&lt;=DPS_Graph_Max,IF($A278&gt;=DPS_Graph_Speed_Min,1/B278,),),)</f>
        <v>5.825242718</v>
      </c>
      <c r="D278" s="115" t="str">
        <f>IF(DPS_Graph_True_Speed=TRUE,IF($E$8=$A278,DPS_Attacks_P_Sec,),)</f>
        <v/>
      </c>
      <c r="E278" s="222">
        <f>ROUNDDOWN(MAX(2,IF(A278&gt;=0, DPS_Base_Wpn_Spd/(1+A278),DPS_Base_Wpn_Spd*(1+ABS(A278)))),0)</f>
        <v>2</v>
      </c>
      <c r="F278" s="232">
        <f>IF(A278&gt;=0, DPS_Base_Recoil/(1+A278),DPS_Base_Recoil)</f>
        <v>0.03703703704</v>
      </c>
      <c r="G278" s="377">
        <f t="shared" si="7"/>
        <v>0.9325906183</v>
      </c>
      <c r="H278" s="377">
        <f t="shared" si="8"/>
        <v>0.09756097561</v>
      </c>
      <c r="I278" s="104"/>
      <c r="J278" s="377">
        <f>MAX(0, Max(25,(DPS_Base_Range + ((DPS_Range_Stat) / 2))) / MIN(MAX(70, (70 * (1 + ($A278 / 3)))), 120))</f>
        <v>5.117270789</v>
      </c>
      <c r="K278" s="269">
        <f>IF(A278&lt;=DPS_Graph_Max,IF(A278&gt;=DPS_Graph_Speed_Min,A278,),)</f>
        <v>0.35</v>
      </c>
      <c r="M278" s="213">
        <f>If(DPS_Weapon_Type="远程",$E278/60+$F278*2,$E278/60+$F278+$G278/2+$H278)</f>
        <v>0.1074074074</v>
      </c>
      <c r="N278" s="104">
        <f>IF(DPS_Graph_Tooltip_Speed=TRUE,IF($A278&lt;=DPS_Graph_Max,IF($A278&gt;=DPS_Graph_Speed_Min,1/M278,),),)</f>
        <v>9.310344828</v>
      </c>
      <c r="R278" s="104" t="str">
        <f>IF(DPS_Graph_Tooltip_Speed=TRUE,IF($E$8=$A278,1/$N$6,),)</f>
        <v/>
      </c>
    </row>
    <row r="279">
      <c r="A279" s="370">
        <v>0.36</v>
      </c>
      <c r="B279" s="213">
        <f>If(DPS_Weapon_Type="远程",($E279+1)/60+(ROUNDDOWN($F279*60+1,0)/60)*2,(ROUNDDOWN(($E279+1)+ROUNDDOWN($F279*60+1,0)+ROUNDDOWN($G279/2*60+1,0)+ROUNDDOWN($H279*60+1,0)+1,0))/60+If(DPS_ATK_TYPE="挥砍",1/60)+If(DPS_ATK_TYPE="挥砍/刺击",1/120))+DPS_Weapon_Randomization/60</f>
        <v>0.1716666667</v>
      </c>
      <c r="C279" s="104">
        <f>IF(DPS_Graph_True_Speed=TRUE,IF($A279&lt;=DPS_Graph_Max,IF($A279&gt;=DPS_Graph_Speed_Min,1/B279,),),)</f>
        <v>5.825242718</v>
      </c>
      <c r="D279" s="115" t="str">
        <f>IF(DPS_Graph_True_Speed=TRUE,IF($E$8=$A279,DPS_Attacks_P_Sec,),)</f>
        <v/>
      </c>
      <c r="E279" s="222">
        <f>ROUNDDOWN(MAX(2,IF(A279&gt;=0, DPS_Base_Wpn_Spd/(1+A279),DPS_Base_Wpn_Spd*(1+ABS(A279)))),0)</f>
        <v>2</v>
      </c>
      <c r="F279" s="232">
        <f>IF(A279&gt;=0, DPS_Base_Recoil/(1+A279),DPS_Base_Recoil)</f>
        <v>0.03676470588</v>
      </c>
      <c r="G279" s="377">
        <f t="shared" si="7"/>
        <v>0.9293061224</v>
      </c>
      <c r="H279" s="377">
        <f t="shared" si="8"/>
        <v>0.09615384615</v>
      </c>
      <c r="I279" s="104"/>
      <c r="J279" s="377">
        <f>MAX(0, Max(25,(DPS_Base_Range + ((DPS_Range_Stat) / 2))) / MIN(MAX(70, (70 * (1 + ($A279 / 3)))), 120))</f>
        <v>5.102040816</v>
      </c>
      <c r="K279" s="269">
        <f>IF(A279&lt;=DPS_Graph_Max,IF(A279&gt;=DPS_Graph_Speed_Min,A279,),)</f>
        <v>0.36</v>
      </c>
      <c r="M279" s="213">
        <f>If(DPS_Weapon_Type="远程",$E279/60+$F279*2,$E279/60+$F279+$G279/2+$H279)</f>
        <v>0.1068627451</v>
      </c>
      <c r="N279" s="104">
        <f>IF(DPS_Graph_Tooltip_Speed=TRUE,IF($A279&lt;=DPS_Graph_Max,IF($A279&gt;=DPS_Graph_Speed_Min,1/M279,),),)</f>
        <v>9.357798165</v>
      </c>
      <c r="R279" s="104" t="str">
        <f>IF(DPS_Graph_Tooltip_Speed=TRUE,IF($E$8=$A279,1/$N$6,),)</f>
        <v/>
      </c>
    </row>
    <row r="280">
      <c r="A280" s="370">
        <v>0.37</v>
      </c>
      <c r="B280" s="213">
        <f>If(DPS_Weapon_Type="远程",($E280+1)/60+(ROUNDDOWN($F280*60+1,0)/60)*2,(ROUNDDOWN(($E280+1)+ROUNDDOWN($F280*60+1,0)+ROUNDDOWN($G280/2*60+1,0)+ROUNDDOWN($H280*60+1,0)+1,0))/60+If(DPS_ATK_TYPE="挥砍",1/60)+If(DPS_ATK_TYPE="挥砍/刺击",1/120))+DPS_Weapon_Randomization/60</f>
        <v>0.1716666667</v>
      </c>
      <c r="C280" s="104">
        <f>IF(DPS_Graph_True_Speed=TRUE,IF($A280&lt;=DPS_Graph_Max,IF($A280&gt;=DPS_Graph_Speed_Min,1/B280,),),)</f>
        <v>5.825242718</v>
      </c>
      <c r="D280" s="115" t="str">
        <f>IF(DPS_Graph_True_Speed=TRUE,IF($E$8=$A280,DPS_Attacks_P_Sec,),)</f>
        <v/>
      </c>
      <c r="E280" s="222">
        <f>ROUNDDOWN(MAX(2,IF(A280&gt;=0, DPS_Base_Wpn_Spd/(1+A280),DPS_Base_Wpn_Spd*(1+ABS(A280)))),0)</f>
        <v>2</v>
      </c>
      <c r="F280" s="232">
        <f>IF(A280&gt;=0, DPS_Base_Recoil/(1+A280),DPS_Base_Recoil)</f>
        <v>0.03649635036</v>
      </c>
      <c r="G280" s="377">
        <f t="shared" si="7"/>
        <v>0.9260351844</v>
      </c>
      <c r="H280" s="377">
        <f t="shared" si="8"/>
        <v>0.09478672986</v>
      </c>
      <c r="I280" s="104"/>
      <c r="J280" s="377">
        <f>MAX(0, Max(25,(DPS_Base_Range + ((DPS_Range_Stat) / 2))) / MIN(MAX(70, (70 * (1 + ($A280 / 3)))), 120))</f>
        <v>5.086901229</v>
      </c>
      <c r="K280" s="269">
        <f>IF(A280&lt;=DPS_Graph_Max,IF(A280&gt;=DPS_Graph_Speed_Min,A280,),)</f>
        <v>0.37</v>
      </c>
      <c r="M280" s="213">
        <f>If(DPS_Weapon_Type="远程",$E280/60+$F280*2,$E280/60+$F280+$G280/2+$H280)</f>
        <v>0.1063260341</v>
      </c>
      <c r="N280" s="104">
        <f>IF(DPS_Graph_Tooltip_Speed=TRUE,IF($A280&lt;=DPS_Graph_Max,IF($A280&gt;=DPS_Graph_Speed_Min,1/M280,),),)</f>
        <v>9.405034325</v>
      </c>
      <c r="R280" s="104" t="str">
        <f>IF(DPS_Graph_Tooltip_Speed=TRUE,IF($E$8=$A280,1/$N$6,),)</f>
        <v/>
      </c>
    </row>
    <row r="281">
      <c r="A281" s="370">
        <v>0.38</v>
      </c>
      <c r="B281" s="213">
        <f>If(DPS_Weapon_Type="远程",($E281+1)/60+(ROUNDDOWN($F281*60+1,0)/60)*2,(ROUNDDOWN(($E281+1)+ROUNDDOWN($F281*60+1,0)+ROUNDDOWN($G281/2*60+1,0)+ROUNDDOWN($H281*60+1,0)+1,0))/60+If(DPS_ATK_TYPE="挥砍",1/60)+If(DPS_ATK_TYPE="挥砍/刺击",1/120))+DPS_Weapon_Randomization/60</f>
        <v>0.1716666667</v>
      </c>
      <c r="C281" s="104">
        <f>IF(DPS_Graph_True_Speed=TRUE,IF($A281&lt;=DPS_Graph_Max,IF($A281&gt;=DPS_Graph_Speed_Min,1/B281,),),)</f>
        <v>5.825242718</v>
      </c>
      <c r="D281" s="115" t="str">
        <f>IF(DPS_Graph_True_Speed=TRUE,IF($E$8=$A281,DPS_Attacks_P_Sec,),)</f>
        <v/>
      </c>
      <c r="E281" s="222">
        <f>ROUNDDOWN(MAX(2,IF(A281&gt;=0, DPS_Base_Wpn_Spd/(1+A281),DPS_Base_Wpn_Spd*(1+ABS(A281)))),0)</f>
        <v>2</v>
      </c>
      <c r="F281" s="232">
        <f>IF(A281&gt;=0, DPS_Base_Recoil/(1+A281),DPS_Base_Recoil)</f>
        <v>0.03623188406</v>
      </c>
      <c r="G281" s="377">
        <f t="shared" si="7"/>
        <v>0.9227776839</v>
      </c>
      <c r="H281" s="377">
        <f t="shared" si="8"/>
        <v>0.09345794393</v>
      </c>
      <c r="I281" s="104"/>
      <c r="J281" s="377">
        <f>MAX(0, Max(25,(DPS_Base_Range + ((DPS_Range_Stat) / 2))) / MIN(MAX(70, (70 * (1 + ($A281 / 3)))), 120))</f>
        <v>5.071851226</v>
      </c>
      <c r="K281" s="269">
        <f>IF(A281&lt;=DPS_Graph_Max,IF(A281&gt;=DPS_Graph_Speed_Min,A281,),)</f>
        <v>0.38</v>
      </c>
      <c r="M281" s="213">
        <f>If(DPS_Weapon_Type="远程",$E281/60+$F281*2,$E281/60+$F281+$G281/2+$H281)</f>
        <v>0.1057971014</v>
      </c>
      <c r="N281" s="104">
        <f>IF(DPS_Graph_Tooltip_Speed=TRUE,IF($A281&lt;=DPS_Graph_Max,IF($A281&gt;=DPS_Graph_Speed_Min,1/M281,),),)</f>
        <v>9.452054795</v>
      </c>
      <c r="R281" s="104" t="str">
        <f>IF(DPS_Graph_Tooltip_Speed=TRUE,IF($E$8=$A281,1/$N$6,),)</f>
        <v/>
      </c>
    </row>
    <row r="282">
      <c r="A282" s="370">
        <v>0.39</v>
      </c>
      <c r="B282" s="213">
        <f>If(DPS_Weapon_Type="远程",($E282+1)/60+(ROUNDDOWN($F282*60+1,0)/60)*2,(ROUNDDOWN(($E282+1)+ROUNDDOWN($F282*60+1,0)+ROUNDDOWN($G282/2*60+1,0)+ROUNDDOWN($H282*60+1,0)+1,0))/60+If(DPS_ATK_TYPE="挥砍",1/60)+If(DPS_ATK_TYPE="挥砍/刺击",1/120))+DPS_Weapon_Randomization/60</f>
        <v>0.1716666667</v>
      </c>
      <c r="C282" s="104">
        <f>IF(DPS_Graph_True_Speed=TRUE,IF($A282&lt;=DPS_Graph_Max,IF($A282&gt;=DPS_Graph_Speed_Min,1/B282,),),)</f>
        <v>5.825242718</v>
      </c>
      <c r="D282" s="115" t="str">
        <f>IF(DPS_Graph_True_Speed=TRUE,IF($E$8=$A282,DPS_Attacks_P_Sec,),)</f>
        <v/>
      </c>
      <c r="E282" s="222">
        <f>ROUNDDOWN(MAX(2,IF(A282&gt;=0, DPS_Base_Wpn_Spd/(1+A282),DPS_Base_Wpn_Spd*(1+ABS(A282)))),0)</f>
        <v>2</v>
      </c>
      <c r="F282" s="232">
        <f>IF(A282&gt;=0, DPS_Base_Recoil/(1+A282),DPS_Base_Recoil)</f>
        <v>0.03597122302</v>
      </c>
      <c r="G282" s="377">
        <f t="shared" si="7"/>
        <v>0.9195335019</v>
      </c>
      <c r="H282" s="377">
        <f t="shared" si="8"/>
        <v>0.09216589862</v>
      </c>
      <c r="I282" s="104"/>
      <c r="J282" s="377">
        <f>MAX(0, Max(25,(DPS_Base_Range + ((DPS_Range_Stat) / 2))) / MIN(MAX(70, (70 * (1 + ($A282 / 3)))), 120))</f>
        <v>5.056890013</v>
      </c>
      <c r="K282" s="269">
        <f>IF(A282&lt;=DPS_Graph_Max,IF(A282&gt;=DPS_Graph_Speed_Min,A282,),)</f>
        <v>0.39</v>
      </c>
      <c r="M282" s="213">
        <f>If(DPS_Weapon_Type="远程",$E282/60+$F282*2,$E282/60+$F282+$G282/2+$H282)</f>
        <v>0.1052757794</v>
      </c>
      <c r="N282" s="104">
        <f>IF(DPS_Graph_Tooltip_Speed=TRUE,IF($A282&lt;=DPS_Graph_Max,IF($A282&gt;=DPS_Graph_Speed_Min,1/M282,),),)</f>
        <v>9.498861048</v>
      </c>
      <c r="R282" s="104" t="str">
        <f>IF(DPS_Graph_Tooltip_Speed=TRUE,IF($E$8=$A282,1/$N$6,),)</f>
        <v/>
      </c>
    </row>
    <row r="283">
      <c r="A283" s="370">
        <v>0.4</v>
      </c>
      <c r="B283" s="213">
        <f>If(DPS_Weapon_Type="远程",($E283+1)/60+(ROUNDDOWN($F283*60+1,0)/60)*2,(ROUNDDOWN(($E283+1)+ROUNDDOWN($F283*60+1,0)+ROUNDDOWN($G283/2*60+1,0)+ROUNDDOWN($H283*60+1,0)+1,0))/60+If(DPS_ATK_TYPE="挥砍",1/60)+If(DPS_ATK_TYPE="挥砍/刺击",1/120))+DPS_Weapon_Randomization/60</f>
        <v>0.1716666667</v>
      </c>
      <c r="C283" s="104">
        <f>IF(DPS_Graph_True_Speed=TRUE,IF($A283&lt;=DPS_Graph_Max,IF($A283&gt;=DPS_Graph_Speed_Min,1/B283,),),)</f>
        <v>5.825242718</v>
      </c>
      <c r="D283" s="115" t="str">
        <f>IF(DPS_Graph_True_Speed=TRUE,IF($E$8=$A283,DPS_Attacks_P_Sec,),)</f>
        <v/>
      </c>
      <c r="E283" s="222">
        <f>ROUNDDOWN(MAX(2,IF(A283&gt;=0, DPS_Base_Wpn_Spd/(1+A283),DPS_Base_Wpn_Spd*(1+ABS(A283)))),0)</f>
        <v>2</v>
      </c>
      <c r="F283" s="232">
        <f>IF(A283&gt;=0, DPS_Base_Recoil/(1+A283),DPS_Base_Recoil)</f>
        <v>0.03571428571</v>
      </c>
      <c r="G283" s="377">
        <f t="shared" si="7"/>
        <v>0.916302521</v>
      </c>
      <c r="H283" s="377">
        <f t="shared" si="8"/>
        <v>0.09090909091</v>
      </c>
      <c r="I283" s="104"/>
      <c r="J283" s="377">
        <f>MAX(0, Max(25,(DPS_Base_Range + ((DPS_Range_Stat) / 2))) / MIN(MAX(70, (70 * (1 + ($A283 / 3)))), 120))</f>
        <v>5.042016807</v>
      </c>
      <c r="K283" s="269">
        <f>IF(A283&lt;=DPS_Graph_Max,IF(A283&gt;=DPS_Graph_Speed_Min,A283,),)</f>
        <v>0.4</v>
      </c>
      <c r="M283" s="213">
        <f>If(DPS_Weapon_Type="远程",$E283/60+$F283*2,$E283/60+$F283+$G283/2+$H283)</f>
        <v>0.1047619048</v>
      </c>
      <c r="N283" s="104">
        <f>IF(DPS_Graph_Tooltip_Speed=TRUE,IF($A283&lt;=DPS_Graph_Max,IF($A283&gt;=DPS_Graph_Speed_Min,1/M283,),),)</f>
        <v>9.545454545</v>
      </c>
      <c r="R283" s="104" t="str">
        <f>IF(DPS_Graph_Tooltip_Speed=TRUE,IF($E$8=$A283,1/$N$6,),)</f>
        <v/>
      </c>
    </row>
    <row r="284">
      <c r="A284" s="370">
        <v>0.41</v>
      </c>
      <c r="B284" s="213">
        <f>If(DPS_Weapon_Type="远程",($E284+1)/60+(ROUNDDOWN($F284*60+1,0)/60)*2,(ROUNDDOWN(($E284+1)+ROUNDDOWN($F284*60+1,0)+ROUNDDOWN($G284/2*60+1,0)+ROUNDDOWN($H284*60+1,0)+1,0))/60+If(DPS_ATK_TYPE="挥砍",1/60)+If(DPS_ATK_TYPE="挥砍/刺击",1/120))+DPS_Weapon_Randomization/60</f>
        <v>0.1716666667</v>
      </c>
      <c r="C284" s="104">
        <f>IF(DPS_Graph_True_Speed=TRUE,IF($A284&lt;=DPS_Graph_Max,IF($A284&gt;=DPS_Graph_Speed_Min,1/B284,),),)</f>
        <v>5.825242718</v>
      </c>
      <c r="D284" s="115" t="str">
        <f>IF(DPS_Graph_True_Speed=TRUE,IF($E$8=$A284,DPS_Attacks_P_Sec,),)</f>
        <v/>
      </c>
      <c r="E284" s="222">
        <f>ROUNDDOWN(MAX(2,IF(A284&gt;=0, DPS_Base_Wpn_Spd/(1+A284),DPS_Base_Wpn_Spd*(1+ABS(A284)))),0)</f>
        <v>2</v>
      </c>
      <c r="F284" s="232">
        <f>IF(A284&gt;=0, DPS_Base_Recoil/(1+A284),DPS_Base_Recoil)</f>
        <v>0.03546099291</v>
      </c>
      <c r="G284" s="377">
        <f t="shared" si="7"/>
        <v>0.9130846251</v>
      </c>
      <c r="H284" s="377">
        <f t="shared" si="8"/>
        <v>0.08968609865</v>
      </c>
      <c r="I284" s="104"/>
      <c r="J284" s="377">
        <f>MAX(0, Max(25,(DPS_Base_Range + ((DPS_Range_Stat) / 2))) / MIN(MAX(70, (70 * (1 + ($A284 / 3)))), 120))</f>
        <v>5.027230834</v>
      </c>
      <c r="K284" s="269">
        <f>IF(A284&lt;=DPS_Graph_Max,IF(A284&gt;=DPS_Graph_Speed_Min,A284,),)</f>
        <v>0.41</v>
      </c>
      <c r="M284" s="213">
        <f>If(DPS_Weapon_Type="远程",$E284/60+$F284*2,$E284/60+$F284+$G284/2+$H284)</f>
        <v>0.1042553191</v>
      </c>
      <c r="N284" s="104">
        <f>IF(DPS_Graph_Tooltip_Speed=TRUE,IF($A284&lt;=DPS_Graph_Max,IF($A284&gt;=DPS_Graph_Speed_Min,1/M284,),),)</f>
        <v>9.591836735</v>
      </c>
      <c r="R284" s="104" t="str">
        <f>IF(DPS_Graph_Tooltip_Speed=TRUE,IF($E$8=$A284,1/$N$6,),)</f>
        <v/>
      </c>
    </row>
    <row r="285">
      <c r="A285" s="370">
        <v>0.42</v>
      </c>
      <c r="B285" s="213">
        <f>If(DPS_Weapon_Type="远程",($E285+1)/60+(ROUNDDOWN($F285*60+1,0)/60)*2,(ROUNDDOWN(($E285+1)+ROUNDDOWN($F285*60+1,0)+ROUNDDOWN($G285/2*60+1,0)+ROUNDDOWN($H285*60+1,0)+1,0))/60+If(DPS_ATK_TYPE="挥砍",1/60)+If(DPS_ATK_TYPE="挥砍/刺击",1/120))+DPS_Weapon_Randomization/60</f>
        <v>0.1716666667</v>
      </c>
      <c r="C285" s="104">
        <f>IF(DPS_Graph_True_Speed=TRUE,IF($A285&lt;=DPS_Graph_Max,IF($A285&gt;=DPS_Graph_Speed_Min,1/B285,),),)</f>
        <v>5.825242718</v>
      </c>
      <c r="D285" s="115" t="str">
        <f>IF(DPS_Graph_True_Speed=TRUE,IF($E$8=$A285,DPS_Attacks_P_Sec,),)</f>
        <v/>
      </c>
      <c r="E285" s="222">
        <f>ROUNDDOWN(MAX(2,IF(A285&gt;=0, DPS_Base_Wpn_Spd/(1+A285),DPS_Base_Wpn_Spd*(1+ABS(A285)))),0)</f>
        <v>2</v>
      </c>
      <c r="F285" s="232">
        <f>IF(A285&gt;=0, DPS_Base_Recoil/(1+A285),DPS_Base_Recoil)</f>
        <v>0.03521126761</v>
      </c>
      <c r="G285" s="377">
        <f t="shared" si="7"/>
        <v>0.9098796992</v>
      </c>
      <c r="H285" s="377">
        <f t="shared" si="8"/>
        <v>0.08849557522</v>
      </c>
      <c r="I285" s="104"/>
      <c r="J285" s="377">
        <f>MAX(0, Max(25,(DPS_Base_Range + ((DPS_Range_Stat) / 2))) / MIN(MAX(70, (70 * (1 + ($A285 / 3)))), 120))</f>
        <v>5.012531328</v>
      </c>
      <c r="K285" s="269">
        <f>IF(A285&lt;=DPS_Graph_Max,IF(A285&gt;=DPS_Graph_Speed_Min,A285,),)</f>
        <v>0.42</v>
      </c>
      <c r="M285" s="213">
        <f>If(DPS_Weapon_Type="远程",$E285/60+$F285*2,$E285/60+$F285+$G285/2+$H285)</f>
        <v>0.1037558685</v>
      </c>
      <c r="N285" s="104">
        <f>IF(DPS_Graph_Tooltip_Speed=TRUE,IF($A285&lt;=DPS_Graph_Max,IF($A285&gt;=DPS_Graph_Speed_Min,1/M285,),),)</f>
        <v>9.63800905</v>
      </c>
      <c r="R285" s="104" t="str">
        <f>IF(DPS_Graph_Tooltip_Speed=TRUE,IF($E$8=$A285,1/$N$6,),)</f>
        <v/>
      </c>
    </row>
    <row r="286">
      <c r="A286" s="370">
        <v>0.43</v>
      </c>
      <c r="B286" s="213">
        <f>If(DPS_Weapon_Type="远程",($E286+1)/60+(ROUNDDOWN($F286*60+1,0)/60)*2,(ROUNDDOWN(($E286+1)+ROUNDDOWN($F286*60+1,0)+ROUNDDOWN($G286/2*60+1,0)+ROUNDDOWN($H286*60+1,0)+1,0))/60+If(DPS_ATK_TYPE="挥砍",1/60)+If(DPS_ATK_TYPE="挥砍/刺击",1/120))+DPS_Weapon_Randomization/60</f>
        <v>0.1716666667</v>
      </c>
      <c r="C286" s="104">
        <f>IF(DPS_Graph_True_Speed=TRUE,IF($A286&lt;=DPS_Graph_Max,IF($A286&gt;=DPS_Graph_Speed_Min,1/B286,),),)</f>
        <v>5.825242718</v>
      </c>
      <c r="D286" s="115" t="str">
        <f>IF(DPS_Graph_True_Speed=TRUE,IF($E$8=$A286,DPS_Attacks_P_Sec,),)</f>
        <v/>
      </c>
      <c r="E286" s="222">
        <f>ROUNDDOWN(MAX(2,IF(A286&gt;=0, DPS_Base_Wpn_Spd/(1+A286),DPS_Base_Wpn_Spd*(1+ABS(A286)))),0)</f>
        <v>2</v>
      </c>
      <c r="F286" s="232">
        <f>IF(A286&gt;=0, DPS_Base_Recoil/(1+A286),DPS_Base_Recoil)</f>
        <v>0.03496503497</v>
      </c>
      <c r="G286" s="377">
        <f t="shared" si="7"/>
        <v>0.9066876302</v>
      </c>
      <c r="H286" s="377">
        <f t="shared" si="8"/>
        <v>0.08733624454</v>
      </c>
      <c r="I286" s="104"/>
      <c r="J286" s="377">
        <f>MAX(0, Max(25,(DPS_Base_Range + ((DPS_Range_Stat) / 2))) / MIN(MAX(70, (70 * (1 + ($A286 / 3)))), 120))</f>
        <v>4.997917534</v>
      </c>
      <c r="K286" s="269">
        <f>IF(A286&lt;=DPS_Graph_Max,IF(A286&gt;=DPS_Graph_Speed_Min,A286,),)</f>
        <v>0.43</v>
      </c>
      <c r="M286" s="213">
        <f>If(DPS_Weapon_Type="远程",$E286/60+$F286*2,$E286/60+$F286+$G286/2+$H286)</f>
        <v>0.1032634033</v>
      </c>
      <c r="N286" s="104">
        <f>IF(DPS_Graph_Tooltip_Speed=TRUE,IF($A286&lt;=DPS_Graph_Max,IF($A286&gt;=DPS_Graph_Speed_Min,1/M286,),),)</f>
        <v>9.683972912</v>
      </c>
      <c r="R286" s="104" t="str">
        <f>IF(DPS_Graph_Tooltip_Speed=TRUE,IF($E$8=$A286,1/$N$6,),)</f>
        <v/>
      </c>
    </row>
    <row r="287">
      <c r="A287" s="370">
        <v>0.44</v>
      </c>
      <c r="B287" s="213">
        <f>If(DPS_Weapon_Type="远程",($E287+1)/60+(ROUNDDOWN($F287*60+1,0)/60)*2,(ROUNDDOWN(($E287+1)+ROUNDDOWN($F287*60+1,0)+ROUNDDOWN($G287/2*60+1,0)+ROUNDDOWN($H287*60+1,0)+1,0))/60+If(DPS_ATK_TYPE="挥砍",1/60)+If(DPS_ATK_TYPE="挥砍/刺击",1/120))+DPS_Weapon_Randomization/60</f>
        <v>0.1716666667</v>
      </c>
      <c r="C287" s="104">
        <f>IF(DPS_Graph_True_Speed=TRUE,IF($A287&lt;=DPS_Graph_Max,IF($A287&gt;=DPS_Graph_Speed_Min,1/B287,),),)</f>
        <v>5.825242718</v>
      </c>
      <c r="D287" s="115" t="str">
        <f>IF(DPS_Graph_True_Speed=TRUE,IF($E$8=$A287,DPS_Attacks_P_Sec,),)</f>
        <v/>
      </c>
      <c r="E287" s="222">
        <f>ROUNDDOWN(MAX(2,IF(A287&gt;=0, DPS_Base_Wpn_Spd/(1+A287),DPS_Base_Wpn_Spd*(1+ABS(A287)))),0)</f>
        <v>2</v>
      </c>
      <c r="F287" s="232">
        <f>IF(A287&gt;=0, DPS_Base_Recoil/(1+A287),DPS_Base_Recoil)</f>
        <v>0.03472222222</v>
      </c>
      <c r="G287" s="377">
        <f t="shared" si="7"/>
        <v>0.9035083056</v>
      </c>
      <c r="H287" s="377">
        <f t="shared" si="8"/>
        <v>0.08620689655</v>
      </c>
      <c r="I287" s="104"/>
      <c r="J287" s="377">
        <f>MAX(0, Max(25,(DPS_Base_Range + ((DPS_Range_Stat) / 2))) / MIN(MAX(70, (70 * (1 + ($A287 / 3)))), 120))</f>
        <v>4.983388704</v>
      </c>
      <c r="K287" s="269">
        <f>IF(A287&lt;=DPS_Graph_Max,IF(A287&gt;=DPS_Graph_Speed_Min,A287,),)</f>
        <v>0.44</v>
      </c>
      <c r="M287" s="213">
        <f>If(DPS_Weapon_Type="远程",$E287/60+$F287*2,$E287/60+$F287+$G287/2+$H287)</f>
        <v>0.1027777778</v>
      </c>
      <c r="N287" s="104">
        <f>IF(DPS_Graph_Tooltip_Speed=TRUE,IF($A287&lt;=DPS_Graph_Max,IF($A287&gt;=DPS_Graph_Speed_Min,1/M287,),),)</f>
        <v>9.72972973</v>
      </c>
      <c r="R287" s="104" t="str">
        <f>IF(DPS_Graph_Tooltip_Speed=TRUE,IF($E$8=$A287,1/$N$6,),)</f>
        <v/>
      </c>
    </row>
    <row r="288">
      <c r="A288" s="370">
        <v>0.45</v>
      </c>
      <c r="B288" s="213">
        <f>If(DPS_Weapon_Type="远程",($E288+1)/60+(ROUNDDOWN($F288*60+1,0)/60)*2,(ROUNDDOWN(($E288+1)+ROUNDDOWN($F288*60+1,0)+ROUNDDOWN($G288/2*60+1,0)+ROUNDDOWN($H288*60+1,0)+1,0))/60+If(DPS_ATK_TYPE="挥砍",1/60)+If(DPS_ATK_TYPE="挥砍/刺击",1/120))+DPS_Weapon_Randomization/60</f>
        <v>0.1716666667</v>
      </c>
      <c r="C288" s="104">
        <f>IF(DPS_Graph_True_Speed=TRUE,IF($A288&lt;=DPS_Graph_Max,IF($A288&gt;=DPS_Graph_Speed_Min,1/B288,),),)</f>
        <v>5.825242718</v>
      </c>
      <c r="D288" s="115" t="str">
        <f>IF(DPS_Graph_True_Speed=TRUE,IF($E$8=$A288,DPS_Attacks_P_Sec,),)</f>
        <v/>
      </c>
      <c r="E288" s="222">
        <f>ROUNDDOWN(MAX(2,IF(A288&gt;=0, DPS_Base_Wpn_Spd/(1+A288),DPS_Base_Wpn_Spd*(1+ABS(A288)))),0)</f>
        <v>2</v>
      </c>
      <c r="F288" s="232">
        <f>IF(A288&gt;=0, DPS_Base_Recoil/(1+A288),DPS_Base_Recoil)</f>
        <v>0.03448275862</v>
      </c>
      <c r="G288" s="377">
        <f t="shared" si="7"/>
        <v>0.9003416149</v>
      </c>
      <c r="H288" s="377">
        <f t="shared" si="8"/>
        <v>0.08510638298</v>
      </c>
      <c r="I288" s="104"/>
      <c r="J288" s="377">
        <f>MAX(0, Max(25,(DPS_Base_Range + ((DPS_Range_Stat) / 2))) / MIN(MAX(70, (70 * (1 + ($A288 / 3)))), 120))</f>
        <v>4.968944099</v>
      </c>
      <c r="K288" s="269">
        <f>IF(A288&lt;=DPS_Graph_Max,IF(A288&gt;=DPS_Graph_Speed_Min,A288,),)</f>
        <v>0.45</v>
      </c>
      <c r="M288" s="213">
        <f>If(DPS_Weapon_Type="远程",$E288/60+$F288*2,$E288/60+$F288+$G288/2+$H288)</f>
        <v>0.1022988506</v>
      </c>
      <c r="N288" s="104">
        <f>IF(DPS_Graph_Tooltip_Speed=TRUE,IF($A288&lt;=DPS_Graph_Max,IF($A288&gt;=DPS_Graph_Speed_Min,1/M288,),),)</f>
        <v>9.775280899</v>
      </c>
      <c r="R288" s="104" t="str">
        <f>IF(DPS_Graph_Tooltip_Speed=TRUE,IF($E$8=$A288,1/$N$6,),)</f>
        <v/>
      </c>
    </row>
    <row r="289">
      <c r="A289" s="370">
        <v>0.46</v>
      </c>
      <c r="B289" s="213">
        <f>If(DPS_Weapon_Type="远程",($E289+1)/60+(ROUNDDOWN($F289*60+1,0)/60)*2,(ROUNDDOWN(($E289+1)+ROUNDDOWN($F289*60+1,0)+ROUNDDOWN($G289/2*60+1,0)+ROUNDDOWN($H289*60+1,0)+1,0))/60+If(DPS_ATK_TYPE="挥砍",1/60)+If(DPS_ATK_TYPE="挥砍/刺击",1/120))+DPS_Weapon_Randomization/60</f>
        <v>0.1716666667</v>
      </c>
      <c r="C289" s="104">
        <f>IF(DPS_Graph_True_Speed=TRUE,IF($A289&lt;=DPS_Graph_Max,IF($A289&gt;=DPS_Graph_Speed_Min,1/B289,),),)</f>
        <v>5.825242718</v>
      </c>
      <c r="D289" s="115" t="str">
        <f>IF(DPS_Graph_True_Speed=TRUE,IF($E$8=$A289,DPS_Attacks_P_Sec,),)</f>
        <v/>
      </c>
      <c r="E289" s="222">
        <f>ROUNDDOWN(MAX(2,IF(A289&gt;=0, DPS_Base_Wpn_Spd/(1+A289),DPS_Base_Wpn_Spd*(1+ABS(A289)))),0)</f>
        <v>2</v>
      </c>
      <c r="F289" s="232">
        <f>IF(A289&gt;=0, DPS_Base_Recoil/(1+A289),DPS_Base_Recoil)</f>
        <v>0.03424657534</v>
      </c>
      <c r="G289" s="377">
        <f t="shared" si="7"/>
        <v>0.8971874484</v>
      </c>
      <c r="H289" s="377">
        <f t="shared" si="8"/>
        <v>0.08403361345</v>
      </c>
      <c r="I289" s="104"/>
      <c r="J289" s="377">
        <f>MAX(0, Max(25,(DPS_Base_Range + ((DPS_Range_Stat) / 2))) / MIN(MAX(70, (70 * (1 + ($A289 / 3)))), 120))</f>
        <v>4.954582989</v>
      </c>
      <c r="K289" s="269">
        <f>IF(A289&lt;=DPS_Graph_Max,IF(A289&gt;=DPS_Graph_Speed_Min,A289,),)</f>
        <v>0.46</v>
      </c>
      <c r="M289" s="213">
        <f>If(DPS_Weapon_Type="远程",$E289/60+$F289*2,$E289/60+$F289+$G289/2+$H289)</f>
        <v>0.101826484</v>
      </c>
      <c r="N289" s="104">
        <f>IF(DPS_Graph_Tooltip_Speed=TRUE,IF($A289&lt;=DPS_Graph_Max,IF($A289&gt;=DPS_Graph_Speed_Min,1/M289,),),)</f>
        <v>9.820627803</v>
      </c>
      <c r="R289" s="104" t="str">
        <f>IF(DPS_Graph_Tooltip_Speed=TRUE,IF($E$8=$A289,1/$N$6,),)</f>
        <v/>
      </c>
    </row>
    <row r="290">
      <c r="A290" s="370">
        <v>0.47</v>
      </c>
      <c r="B290" s="213">
        <f>If(DPS_Weapon_Type="远程",($E290+1)/60+(ROUNDDOWN($F290*60+1,0)/60)*2,(ROUNDDOWN(($E290+1)+ROUNDDOWN($F290*60+1,0)+ROUNDDOWN($G290/2*60+1,0)+ROUNDDOWN($H290*60+1,0)+1,0))/60+If(DPS_ATK_TYPE="挥砍",1/60)+If(DPS_ATK_TYPE="挥砍/刺击",1/120))+DPS_Weapon_Randomization/60</f>
        <v>0.1716666667</v>
      </c>
      <c r="C290" s="104">
        <f>IF(DPS_Graph_True_Speed=TRUE,IF($A290&lt;=DPS_Graph_Max,IF($A290&gt;=DPS_Graph_Speed_Min,1/B290,),),)</f>
        <v>5.825242718</v>
      </c>
      <c r="D290" s="115" t="str">
        <f>IF(DPS_Graph_True_Speed=TRUE,IF($E$8=$A290,DPS_Attacks_P_Sec,),)</f>
        <v/>
      </c>
      <c r="E290" s="222">
        <f>ROUNDDOWN(MAX(2,IF(A290&gt;=0, DPS_Base_Wpn_Spd/(1+A290),DPS_Base_Wpn_Spd*(1+ABS(A290)))),0)</f>
        <v>2</v>
      </c>
      <c r="F290" s="232">
        <f>IF(A290&gt;=0, DPS_Base_Recoil/(1+A290),DPS_Base_Recoil)</f>
        <v>0.03401360544</v>
      </c>
      <c r="G290" s="377">
        <f t="shared" si="7"/>
        <v>0.8940456978</v>
      </c>
      <c r="H290" s="377">
        <f t="shared" si="8"/>
        <v>0.08298755187</v>
      </c>
      <c r="I290" s="104"/>
      <c r="J290" s="377">
        <f>MAX(0, Max(25,(DPS_Base_Range + ((DPS_Range_Stat) / 2))) / MIN(MAX(70, (70 * (1 + ($A290 / 3)))), 120))</f>
        <v>4.940304652</v>
      </c>
      <c r="K290" s="269">
        <f>IF(A290&lt;=DPS_Graph_Max,IF(A290&gt;=DPS_Graph_Speed_Min,A290,),)</f>
        <v>0.47</v>
      </c>
      <c r="M290" s="213">
        <f>If(DPS_Weapon_Type="远程",$E290/60+$F290*2,$E290/60+$F290+$G290/2+$H290)</f>
        <v>0.1013605442</v>
      </c>
      <c r="N290" s="104">
        <f>IF(DPS_Graph_Tooltip_Speed=TRUE,IF($A290&lt;=DPS_Graph_Max,IF($A290&gt;=DPS_Graph_Speed_Min,1/M290,),),)</f>
        <v>9.865771812</v>
      </c>
      <c r="R290" s="104" t="str">
        <f>IF(DPS_Graph_Tooltip_Speed=TRUE,IF($E$8=$A290,1/$N$6,),)</f>
        <v/>
      </c>
    </row>
    <row r="291">
      <c r="A291" s="370">
        <v>0.48</v>
      </c>
      <c r="B291" s="213">
        <f>If(DPS_Weapon_Type="远程",($E291+1)/60+(ROUNDDOWN($F291*60+1,0)/60)*2,(ROUNDDOWN(($E291+1)+ROUNDDOWN($F291*60+1,0)+ROUNDDOWN($G291/2*60+1,0)+ROUNDDOWN($H291*60+1,0)+1,0))/60+If(DPS_ATK_TYPE="挥砍",1/60)+If(DPS_ATK_TYPE="挥砍/刺击",1/120))+DPS_Weapon_Randomization/60</f>
        <v>0.1716666667</v>
      </c>
      <c r="C291" s="104">
        <f>IF(DPS_Graph_True_Speed=TRUE,IF($A291&lt;=DPS_Graph_Max,IF($A291&gt;=DPS_Graph_Speed_Min,1/B291,),),)</f>
        <v>5.825242718</v>
      </c>
      <c r="D291" s="115" t="str">
        <f>IF(DPS_Graph_True_Speed=TRUE,IF($E$8=$A291,DPS_Attacks_P_Sec,),)</f>
        <v/>
      </c>
      <c r="E291" s="222">
        <f>ROUNDDOWN(MAX(2,IF(A291&gt;=0, DPS_Base_Wpn_Spd/(1+A291),DPS_Base_Wpn_Spd*(1+ABS(A291)))),0)</f>
        <v>2</v>
      </c>
      <c r="F291" s="232">
        <f>IF(A291&gt;=0, DPS_Base_Recoil/(1+A291),DPS_Base_Recoil)</f>
        <v>0.03378378378</v>
      </c>
      <c r="G291" s="377">
        <f t="shared" si="7"/>
        <v>0.8909162562</v>
      </c>
      <c r="H291" s="377">
        <f t="shared" si="8"/>
        <v>0.08196721311</v>
      </c>
      <c r="I291" s="104"/>
      <c r="J291" s="377">
        <f>MAX(0, Max(25,(DPS_Base_Range + ((DPS_Range_Stat) / 2))) / MIN(MAX(70, (70 * (1 + ($A291 / 3)))), 120))</f>
        <v>4.926108374</v>
      </c>
      <c r="K291" s="269">
        <f>IF(A291&lt;=DPS_Graph_Max,IF(A291&gt;=DPS_Graph_Speed_Min,A291,),)</f>
        <v>0.48</v>
      </c>
      <c r="M291" s="213">
        <f>If(DPS_Weapon_Type="远程",$E291/60+$F291*2,$E291/60+$F291+$G291/2+$H291)</f>
        <v>0.1009009009</v>
      </c>
      <c r="N291" s="104">
        <f>IF(DPS_Graph_Tooltip_Speed=TRUE,IF($A291&lt;=DPS_Graph_Max,IF($A291&gt;=DPS_Graph_Speed_Min,1/M291,),),)</f>
        <v>9.910714286</v>
      </c>
      <c r="R291" s="104" t="str">
        <f>IF(DPS_Graph_Tooltip_Speed=TRUE,IF($E$8=$A291,1/$N$6,),)</f>
        <v/>
      </c>
    </row>
    <row r="292">
      <c r="A292" s="370">
        <v>0.49</v>
      </c>
      <c r="B292" s="213">
        <f>If(DPS_Weapon_Type="远程",($E292+1)/60+(ROUNDDOWN($F292*60+1,0)/60)*2,(ROUNDDOWN(($E292+1)+ROUNDDOWN($F292*60+1,0)+ROUNDDOWN($G292/2*60+1,0)+ROUNDDOWN($H292*60+1,0)+1,0))/60+If(DPS_ATK_TYPE="挥砍",1/60)+If(DPS_ATK_TYPE="挥砍/刺击",1/120))+DPS_Weapon_Randomization/60</f>
        <v>0.1716666667</v>
      </c>
      <c r="C292" s="104">
        <f>IF(DPS_Graph_True_Speed=TRUE,IF($A292&lt;=DPS_Graph_Max,IF($A292&gt;=DPS_Graph_Speed_Min,1/B292,),),)</f>
        <v>5.825242718</v>
      </c>
      <c r="D292" s="115" t="str">
        <f>IF(DPS_Graph_True_Speed=TRUE,IF($E$8=$A292,DPS_Attacks_P_Sec,),)</f>
        <v/>
      </c>
      <c r="E292" s="222">
        <f>ROUNDDOWN(MAX(2,IF(A292&gt;=0, DPS_Base_Wpn_Spd/(1+A292),DPS_Base_Wpn_Spd*(1+ABS(A292)))),0)</f>
        <v>2</v>
      </c>
      <c r="F292" s="232">
        <f>IF(A292&gt;=0, DPS_Base_Recoil/(1+A292),DPS_Base_Recoil)</f>
        <v>0.03355704698</v>
      </c>
      <c r="G292" s="377">
        <f t="shared" si="7"/>
        <v>0.8877990176</v>
      </c>
      <c r="H292" s="377">
        <f t="shared" si="8"/>
        <v>0.08097165992</v>
      </c>
      <c r="I292" s="104"/>
      <c r="J292" s="377">
        <f>MAX(0, Max(25,(DPS_Base_Range + ((DPS_Range_Stat) / 2))) / MIN(MAX(70, (70 * (1 + ($A292 / 3)))), 120))</f>
        <v>4.911993451</v>
      </c>
      <c r="K292" s="269">
        <f>IF(A292&lt;=DPS_Graph_Max,IF(A292&gt;=DPS_Graph_Speed_Min,A292,),)</f>
        <v>0.49</v>
      </c>
      <c r="M292" s="213">
        <f>If(DPS_Weapon_Type="远程",$E292/60+$F292*2,$E292/60+$F292+$G292/2+$H292)</f>
        <v>0.1004474273</v>
      </c>
      <c r="N292" s="104">
        <f>IF(DPS_Graph_Tooltip_Speed=TRUE,IF($A292&lt;=DPS_Graph_Max,IF($A292&gt;=DPS_Graph_Speed_Min,1/M292,),),)</f>
        <v>9.95545657</v>
      </c>
      <c r="R292" s="104" t="str">
        <f>IF(DPS_Graph_Tooltip_Speed=TRUE,IF($E$8=$A292,1/$N$6,),)</f>
        <v/>
      </c>
    </row>
    <row r="293">
      <c r="A293" s="370">
        <v>0.5</v>
      </c>
      <c r="B293" s="213">
        <f>If(DPS_Weapon_Type="远程",($E293+1)/60+(ROUNDDOWN($F293*60+1,0)/60)*2,(ROUNDDOWN(($E293+1)+ROUNDDOWN($F293*60+1,0)+ROUNDDOWN($G293/2*60+1,0)+ROUNDDOWN($H293*60+1,0)+1,0))/60+If(DPS_ATK_TYPE="挥砍",1/60)+If(DPS_ATK_TYPE="挥砍/刺击",1/120))+DPS_Weapon_Randomization/60</f>
        <v>0.1716666667</v>
      </c>
      <c r="C293" s="104">
        <f>IF(DPS_Graph_True_Speed=TRUE,IF($A293&lt;=DPS_Graph_Max,IF($A293&gt;=DPS_Graph_Speed_Min,1/B293,),),)</f>
        <v>5.825242718</v>
      </c>
      <c r="D293" s="115" t="str">
        <f>IF(DPS_Graph_True_Speed=TRUE,IF($E$8=$A293,DPS_Attacks_P_Sec,),)</f>
        <v/>
      </c>
      <c r="E293" s="222">
        <f>ROUNDDOWN(MAX(2,IF(A293&gt;=0, DPS_Base_Wpn_Spd/(1+A293),DPS_Base_Wpn_Spd*(1+ABS(A293)))),0)</f>
        <v>2</v>
      </c>
      <c r="F293" s="232">
        <f>IF(A293&gt;=0, DPS_Base_Recoil/(1+A293),DPS_Base_Recoil)</f>
        <v>0.03333333333</v>
      </c>
      <c r="G293" s="377">
        <f t="shared" si="7"/>
        <v>0.8846938776</v>
      </c>
      <c r="H293" s="377">
        <f t="shared" si="8"/>
        <v>0.08</v>
      </c>
      <c r="I293" s="104"/>
      <c r="J293" s="377">
        <f>MAX(0, Max(25,(DPS_Base_Range + ((DPS_Range_Stat) / 2))) / MIN(MAX(70, (70 * (1 + ($A293 / 3)))), 120))</f>
        <v>4.897959184</v>
      </c>
      <c r="K293" s="269">
        <f>IF(A293&lt;=DPS_Graph_Max,IF(A293&gt;=DPS_Graph_Speed_Min,A293,),)</f>
        <v>0.5</v>
      </c>
      <c r="M293" s="213">
        <f>If(DPS_Weapon_Type="远程",$E293/60+$F293*2,$E293/60+$F293+$G293/2+$H293)</f>
        <v>0.1</v>
      </c>
      <c r="N293" s="104">
        <f>IF(DPS_Graph_Tooltip_Speed=TRUE,IF($A293&lt;=DPS_Graph_Max,IF($A293&gt;=DPS_Graph_Speed_Min,1/M293,),),)</f>
        <v>10</v>
      </c>
      <c r="R293" s="104" t="str">
        <f>IF(DPS_Graph_Tooltip_Speed=TRUE,IF($E$8=$A293,1/$N$6,),)</f>
        <v/>
      </c>
    </row>
    <row r="294">
      <c r="A294" s="370">
        <v>0.51</v>
      </c>
      <c r="B294" s="213">
        <f>If(DPS_Weapon_Type="远程",($E294+1)/60+(ROUNDDOWN($F294*60+1,0)/60)*2,(ROUNDDOWN(($E294+1)+ROUNDDOWN($F294*60+1,0)+ROUNDDOWN($G294/2*60+1,0)+ROUNDDOWN($H294*60+1,0)+1,0))/60+If(DPS_ATK_TYPE="挥砍",1/60)+If(DPS_ATK_TYPE="挥砍/刺击",1/120))+DPS_Weapon_Randomization/60</f>
        <v>0.1383333333</v>
      </c>
      <c r="C294" s="104">
        <f>IF(DPS_Graph_True_Speed=TRUE,IF($A294&lt;=DPS_Graph_Max,IF($A294&gt;=DPS_Graph_Speed_Min,1/B294,),),)</f>
        <v>7.228915663</v>
      </c>
      <c r="D294" s="115" t="str">
        <f>IF(DPS_Graph_True_Speed=TRUE,IF($E$8=$A294,DPS_Attacks_P_Sec,),)</f>
        <v/>
      </c>
      <c r="E294" s="222">
        <f>ROUNDDOWN(MAX(2,IF(A294&gt;=0, DPS_Base_Wpn_Spd/(1+A294),DPS_Base_Wpn_Spd*(1+ABS(A294)))),0)</f>
        <v>2</v>
      </c>
      <c r="F294" s="232">
        <f>IF(A294&gt;=0, DPS_Base_Recoil/(1+A294),DPS_Base_Recoil)</f>
        <v>0.03311258278</v>
      </c>
      <c r="G294" s="377">
        <f t="shared" si="7"/>
        <v>0.8816007326</v>
      </c>
      <c r="H294" s="377">
        <f t="shared" si="8"/>
        <v>0.0790513834</v>
      </c>
      <c r="I294" s="104"/>
      <c r="J294" s="377">
        <f>MAX(0, Max(25,(DPS_Base_Range + ((DPS_Range_Stat) / 2))) / MIN(MAX(70, (70 * (1 + ($A294 / 3)))), 120))</f>
        <v>4.884004884</v>
      </c>
      <c r="K294" s="269">
        <f>IF(A294&lt;=DPS_Graph_Max,IF(A294&gt;=DPS_Graph_Speed_Min,A294,),)</f>
        <v>0.51</v>
      </c>
      <c r="M294" s="213">
        <f>If(DPS_Weapon_Type="远程",$E294/60+$F294*2,$E294/60+$F294+$G294/2+$H294)</f>
        <v>0.0995584989</v>
      </c>
      <c r="N294" s="104">
        <f>IF(DPS_Graph_Tooltip_Speed=TRUE,IF($A294&lt;=DPS_Graph_Max,IF($A294&gt;=DPS_Graph_Speed_Min,1/M294,),),)</f>
        <v>10.0443459</v>
      </c>
      <c r="R294" s="104" t="str">
        <f>IF(DPS_Graph_Tooltip_Speed=TRUE,IF($E$8=$A294,1/$N$6,),)</f>
        <v/>
      </c>
    </row>
    <row r="295">
      <c r="A295" s="370">
        <v>0.52</v>
      </c>
      <c r="B295" s="213">
        <f>If(DPS_Weapon_Type="远程",($E295+1)/60+(ROUNDDOWN($F295*60+1,0)/60)*2,(ROUNDDOWN(($E295+1)+ROUNDDOWN($F295*60+1,0)+ROUNDDOWN($G295/2*60+1,0)+ROUNDDOWN($H295*60+1,0)+1,0))/60+If(DPS_ATK_TYPE="挥砍",1/60)+If(DPS_ATK_TYPE="挥砍/刺击",1/120))+DPS_Weapon_Randomization/60</f>
        <v>0.1383333333</v>
      </c>
      <c r="C295" s="104">
        <f>IF(DPS_Graph_True_Speed=TRUE,IF($A295&lt;=DPS_Graph_Max,IF($A295&gt;=DPS_Graph_Speed_Min,1/B295,),),)</f>
        <v>7.228915663</v>
      </c>
      <c r="D295" s="115" t="str">
        <f>IF(DPS_Graph_True_Speed=TRUE,IF($E$8=$A295,DPS_Attacks_P_Sec,),)</f>
        <v/>
      </c>
      <c r="E295" s="222">
        <f>ROUNDDOWN(MAX(2,IF(A295&gt;=0, DPS_Base_Wpn_Spd/(1+A295),DPS_Base_Wpn_Spd*(1+ABS(A295)))),0)</f>
        <v>2</v>
      </c>
      <c r="F295" s="232">
        <f>IF(A295&gt;=0, DPS_Base_Recoil/(1+A295),DPS_Base_Recoil)</f>
        <v>0.03289473684</v>
      </c>
      <c r="G295" s="377">
        <f t="shared" si="7"/>
        <v>0.8785194805</v>
      </c>
      <c r="H295" s="377">
        <f t="shared" si="8"/>
        <v>0.078125</v>
      </c>
      <c r="I295" s="104"/>
      <c r="J295" s="377">
        <f>MAX(0, Max(25,(DPS_Base_Range + ((DPS_Range_Stat) / 2))) / MIN(MAX(70, (70 * (1 + ($A295 / 3)))), 120))</f>
        <v>4.87012987</v>
      </c>
      <c r="K295" s="269">
        <f>IF(A295&lt;=DPS_Graph_Max,IF(A295&gt;=DPS_Graph_Speed_Min,A295,),)</f>
        <v>0.52</v>
      </c>
      <c r="M295" s="213">
        <f>If(DPS_Weapon_Type="远程",$E295/60+$F295*2,$E295/60+$F295+$G295/2+$H295)</f>
        <v>0.09912280702</v>
      </c>
      <c r="N295" s="104">
        <f>IF(DPS_Graph_Tooltip_Speed=TRUE,IF($A295&lt;=DPS_Graph_Max,IF($A295&gt;=DPS_Graph_Speed_Min,1/M295,),),)</f>
        <v>10.08849558</v>
      </c>
      <c r="R295" s="104" t="str">
        <f>IF(DPS_Graph_Tooltip_Speed=TRUE,IF($E$8=$A295,1/$N$6,),)</f>
        <v/>
      </c>
    </row>
    <row r="296">
      <c r="A296" s="370">
        <v>0.53</v>
      </c>
      <c r="B296" s="213">
        <f>If(DPS_Weapon_Type="远程",($E296+1)/60+(ROUNDDOWN($F296*60+1,0)/60)*2,(ROUNDDOWN(($E296+1)+ROUNDDOWN($F296*60+1,0)+ROUNDDOWN($G296/2*60+1,0)+ROUNDDOWN($H296*60+1,0)+1,0))/60+If(DPS_ATK_TYPE="挥砍",1/60)+If(DPS_ATK_TYPE="挥砍/刺击",1/120))+DPS_Weapon_Randomization/60</f>
        <v>0.1383333333</v>
      </c>
      <c r="C296" s="104">
        <f>IF(DPS_Graph_True_Speed=TRUE,IF($A296&lt;=DPS_Graph_Max,IF($A296&gt;=DPS_Graph_Speed_Min,1/B296,),),)</f>
        <v>7.228915663</v>
      </c>
      <c r="D296" s="115" t="str">
        <f>IF(DPS_Graph_True_Speed=TRUE,IF($E$8=$A296,DPS_Attacks_P_Sec,),)</f>
        <v/>
      </c>
      <c r="E296" s="222">
        <f>ROUNDDOWN(MAX(2,IF(A296&gt;=0, DPS_Base_Wpn_Spd/(1+A296),DPS_Base_Wpn_Spd*(1+ABS(A296)))),0)</f>
        <v>2</v>
      </c>
      <c r="F296" s="232">
        <f>IF(A296&gt;=0, DPS_Base_Recoil/(1+A296),DPS_Base_Recoil)</f>
        <v>0.03267973856</v>
      </c>
      <c r="G296" s="377">
        <f t="shared" si="7"/>
        <v>0.8754500202</v>
      </c>
      <c r="H296" s="377">
        <f t="shared" si="8"/>
        <v>0.07722007722</v>
      </c>
      <c r="I296" s="104"/>
      <c r="J296" s="377">
        <f>MAX(0, Max(25,(DPS_Base_Range + ((DPS_Range_Stat) / 2))) / MIN(MAX(70, (70 * (1 + ($A296 / 3)))), 120))</f>
        <v>4.856333468</v>
      </c>
      <c r="K296" s="269">
        <f>IF(A296&lt;=DPS_Graph_Max,IF(A296&gt;=DPS_Graph_Speed_Min,A296,),)</f>
        <v>0.53</v>
      </c>
      <c r="M296" s="213">
        <f>If(DPS_Weapon_Type="远程",$E296/60+$F296*2,$E296/60+$F296+$G296/2+$H296)</f>
        <v>0.09869281046</v>
      </c>
      <c r="N296" s="104">
        <f>IF(DPS_Graph_Tooltip_Speed=TRUE,IF($A296&lt;=DPS_Graph_Max,IF($A296&gt;=DPS_Graph_Speed_Min,1/M296,),),)</f>
        <v>10.13245033</v>
      </c>
      <c r="R296" s="104" t="str">
        <f>IF(DPS_Graph_Tooltip_Speed=TRUE,IF($E$8=$A296,1/$N$6,),)</f>
        <v/>
      </c>
    </row>
    <row r="297">
      <c r="A297" s="370">
        <v>0.54</v>
      </c>
      <c r="B297" s="213">
        <f>If(DPS_Weapon_Type="远程",($E297+1)/60+(ROUNDDOWN($F297*60+1,0)/60)*2,(ROUNDDOWN(($E297+1)+ROUNDDOWN($F297*60+1,0)+ROUNDDOWN($G297/2*60+1,0)+ROUNDDOWN($H297*60+1,0)+1,0))/60+If(DPS_ATK_TYPE="挥砍",1/60)+If(DPS_ATK_TYPE="挥砍/刺击",1/120))+DPS_Weapon_Randomization/60</f>
        <v>0.1383333333</v>
      </c>
      <c r="C297" s="104">
        <f>IF(DPS_Graph_True_Speed=TRUE,IF($A297&lt;=DPS_Graph_Max,IF($A297&gt;=DPS_Graph_Speed_Min,1/B297,),),)</f>
        <v>7.228915663</v>
      </c>
      <c r="D297" s="115" t="str">
        <f>IF(DPS_Graph_True_Speed=TRUE,IF($E$8=$A297,DPS_Attacks_P_Sec,),)</f>
        <v/>
      </c>
      <c r="E297" s="222">
        <f>ROUNDDOWN(MAX(2,IF(A297&gt;=0, DPS_Base_Wpn_Spd/(1+A297),DPS_Base_Wpn_Spd*(1+ABS(A297)))),0)</f>
        <v>2</v>
      </c>
      <c r="F297" s="232">
        <f>IF(A297&gt;=0, DPS_Base_Recoil/(1+A297),DPS_Base_Recoil)</f>
        <v>0.03246753247</v>
      </c>
      <c r="G297" s="377">
        <f t="shared" si="7"/>
        <v>0.8723922518</v>
      </c>
      <c r="H297" s="377">
        <f t="shared" si="8"/>
        <v>0.07633587786</v>
      </c>
      <c r="I297" s="104"/>
      <c r="J297" s="377">
        <f>MAX(0, Max(25,(DPS_Base_Range + ((DPS_Range_Stat) / 2))) / MIN(MAX(70, (70 * (1 + ($A297 / 3)))), 120))</f>
        <v>4.842615012</v>
      </c>
      <c r="K297" s="269">
        <f>IF(A297&lt;=DPS_Graph_Max,IF(A297&gt;=DPS_Graph_Speed_Min,A297,),)</f>
        <v>0.54</v>
      </c>
      <c r="M297" s="213">
        <f>If(DPS_Weapon_Type="远程",$E297/60+$F297*2,$E297/60+$F297+$G297/2+$H297)</f>
        <v>0.09826839827</v>
      </c>
      <c r="N297" s="104">
        <f>IF(DPS_Graph_Tooltip_Speed=TRUE,IF($A297&lt;=DPS_Graph_Max,IF($A297&gt;=DPS_Graph_Speed_Min,1/M297,),),)</f>
        <v>10.17621145</v>
      </c>
      <c r="R297" s="104" t="str">
        <f>IF(DPS_Graph_Tooltip_Speed=TRUE,IF($E$8=$A297,1/$N$6,),)</f>
        <v/>
      </c>
    </row>
    <row r="298">
      <c r="A298" s="370">
        <v>0.55</v>
      </c>
      <c r="B298" s="213">
        <f>If(DPS_Weapon_Type="远程",($E298+1)/60+(ROUNDDOWN($F298*60+1,0)/60)*2,(ROUNDDOWN(($E298+1)+ROUNDDOWN($F298*60+1,0)+ROUNDDOWN($G298/2*60+1,0)+ROUNDDOWN($H298*60+1,0)+1,0))/60+If(DPS_ATK_TYPE="挥砍",1/60)+If(DPS_ATK_TYPE="挥砍/刺击",1/120))+DPS_Weapon_Randomization/60</f>
        <v>0.1383333333</v>
      </c>
      <c r="C298" s="104">
        <f>IF(DPS_Graph_True_Speed=TRUE,IF($A298&lt;=DPS_Graph_Max,IF($A298&gt;=DPS_Graph_Speed_Min,1/B298,),),)</f>
        <v>7.228915663</v>
      </c>
      <c r="D298" s="115" t="str">
        <f>IF(DPS_Graph_True_Speed=TRUE,IF($E$8=$A298,DPS_Attacks_P_Sec,),)</f>
        <v/>
      </c>
      <c r="E298" s="222">
        <f>ROUNDDOWN(MAX(2,IF(A298&gt;=0, DPS_Base_Wpn_Spd/(1+A298),DPS_Base_Wpn_Spd*(1+ABS(A298)))),0)</f>
        <v>2</v>
      </c>
      <c r="F298" s="232">
        <f>IF(A298&gt;=0, DPS_Base_Recoil/(1+A298),DPS_Base_Recoil)</f>
        <v>0.03225806452</v>
      </c>
      <c r="G298" s="377">
        <f t="shared" si="7"/>
        <v>0.8693460765</v>
      </c>
      <c r="H298" s="377">
        <f t="shared" si="8"/>
        <v>0.07547169811</v>
      </c>
      <c r="I298" s="104"/>
      <c r="J298" s="377">
        <f>MAX(0, Max(25,(DPS_Base_Range + ((DPS_Range_Stat) / 2))) / MIN(MAX(70, (70 * (1 + ($A298 / 3)))), 120))</f>
        <v>4.828973843</v>
      </c>
      <c r="K298" s="269">
        <f>IF(A298&lt;=DPS_Graph_Max,IF(A298&gt;=DPS_Graph_Speed_Min,A298,),)</f>
        <v>0.55</v>
      </c>
      <c r="M298" s="213">
        <f>If(DPS_Weapon_Type="远程",$E298/60+$F298*2,$E298/60+$F298+$G298/2+$H298)</f>
        <v>0.09784946237</v>
      </c>
      <c r="N298" s="104">
        <f>IF(DPS_Graph_Tooltip_Speed=TRUE,IF($A298&lt;=DPS_Graph_Max,IF($A298&gt;=DPS_Graph_Speed_Min,1/M298,),),)</f>
        <v>10.21978022</v>
      </c>
      <c r="R298" s="104" t="str">
        <f>IF(DPS_Graph_Tooltip_Speed=TRUE,IF($E$8=$A298,1/$N$6,),)</f>
        <v/>
      </c>
    </row>
    <row r="299">
      <c r="A299" s="370">
        <v>0.56</v>
      </c>
      <c r="B299" s="213">
        <f>If(DPS_Weapon_Type="远程",($E299+1)/60+(ROUNDDOWN($F299*60+1,0)/60)*2,(ROUNDDOWN(($E299+1)+ROUNDDOWN($F299*60+1,0)+ROUNDDOWN($G299/2*60+1,0)+ROUNDDOWN($H299*60+1,0)+1,0))/60+If(DPS_ATK_TYPE="挥砍",1/60)+If(DPS_ATK_TYPE="挥砍/刺击",1/120))+DPS_Weapon_Randomization/60</f>
        <v>0.1383333333</v>
      </c>
      <c r="C299" s="104">
        <f>IF(DPS_Graph_True_Speed=TRUE,IF($A299&lt;=DPS_Graph_Max,IF($A299&gt;=DPS_Graph_Speed_Min,1/B299,),),)</f>
        <v>7.228915663</v>
      </c>
      <c r="D299" s="115" t="str">
        <f>IF(DPS_Graph_True_Speed=TRUE,IF($E$8=$A299,DPS_Attacks_P_Sec,),)</f>
        <v/>
      </c>
      <c r="E299" s="222">
        <f>ROUNDDOWN(MAX(2,IF(A299&gt;=0, DPS_Base_Wpn_Spd/(1+A299),DPS_Base_Wpn_Spd*(1+ABS(A299)))),0)</f>
        <v>2</v>
      </c>
      <c r="F299" s="232">
        <f>IF(A299&gt;=0, DPS_Base_Recoil/(1+A299),DPS_Base_Recoil)</f>
        <v>0.03205128205</v>
      </c>
      <c r="G299" s="377">
        <f t="shared" si="7"/>
        <v>0.8663113965</v>
      </c>
      <c r="H299" s="377">
        <f t="shared" si="8"/>
        <v>0.07462686567</v>
      </c>
      <c r="I299" s="104"/>
      <c r="J299" s="377">
        <f>MAX(0, Max(25,(DPS_Base_Range + ((DPS_Range_Stat) / 2))) / MIN(MAX(70, (70 * (1 + ($A299 / 3)))), 120))</f>
        <v>4.81540931</v>
      </c>
      <c r="K299" s="269">
        <f>IF(A299&lt;=DPS_Graph_Max,IF(A299&gt;=DPS_Graph_Speed_Min,A299,),)</f>
        <v>0.56</v>
      </c>
      <c r="M299" s="213">
        <f>If(DPS_Weapon_Type="远程",$E299/60+$F299*2,$E299/60+$F299+$G299/2+$H299)</f>
        <v>0.09743589744</v>
      </c>
      <c r="N299" s="104">
        <f>IF(DPS_Graph_Tooltip_Speed=TRUE,IF($A299&lt;=DPS_Graph_Max,IF($A299&gt;=DPS_Graph_Speed_Min,1/M299,),),)</f>
        <v>10.26315789</v>
      </c>
      <c r="R299" s="104" t="str">
        <f>IF(DPS_Graph_Tooltip_Speed=TRUE,IF($E$8=$A299,1/$N$6,),)</f>
        <v/>
      </c>
    </row>
    <row r="300">
      <c r="A300" s="370">
        <v>0.57</v>
      </c>
      <c r="B300" s="213">
        <f>If(DPS_Weapon_Type="远程",($E300+1)/60+(ROUNDDOWN($F300*60+1,0)/60)*2,(ROUNDDOWN(($E300+1)+ROUNDDOWN($F300*60+1,0)+ROUNDDOWN($G300/2*60+1,0)+ROUNDDOWN($H300*60+1,0)+1,0))/60+If(DPS_ATK_TYPE="挥砍",1/60)+If(DPS_ATK_TYPE="挥砍/刺击",1/120))+DPS_Weapon_Randomization/60</f>
        <v>0.1383333333</v>
      </c>
      <c r="C300" s="104">
        <f>IF(DPS_Graph_True_Speed=TRUE,IF($A300&lt;=DPS_Graph_Max,IF($A300&gt;=DPS_Graph_Speed_Min,1/B300,),),)</f>
        <v>7.228915663</v>
      </c>
      <c r="D300" s="115" t="str">
        <f>IF(DPS_Graph_True_Speed=TRUE,IF($E$8=$A300,DPS_Attacks_P_Sec,),)</f>
        <v/>
      </c>
      <c r="E300" s="222">
        <f>ROUNDDOWN(MAX(2,IF(A300&gt;=0, DPS_Base_Wpn_Spd/(1+A300),DPS_Base_Wpn_Spd*(1+ABS(A300)))),0)</f>
        <v>2</v>
      </c>
      <c r="F300" s="232">
        <f>IF(A300&gt;=0, DPS_Base_Recoil/(1+A300),DPS_Base_Recoil)</f>
        <v>0.03184713376</v>
      </c>
      <c r="G300" s="377">
        <f t="shared" si="7"/>
        <v>0.8632881152</v>
      </c>
      <c r="H300" s="377">
        <f t="shared" si="8"/>
        <v>0.07380073801</v>
      </c>
      <c r="I300" s="104"/>
      <c r="J300" s="377">
        <f>MAX(0, Max(25,(DPS_Base_Range + ((DPS_Range_Stat) / 2))) / MIN(MAX(70, (70 * (1 + ($A300 / 3)))), 120))</f>
        <v>4.801920768</v>
      </c>
      <c r="K300" s="269">
        <f>IF(A300&lt;=DPS_Graph_Max,IF(A300&gt;=DPS_Graph_Speed_Min,A300,),)</f>
        <v>0.57</v>
      </c>
      <c r="M300" s="213">
        <f>If(DPS_Weapon_Type="远程",$E300/60+$F300*2,$E300/60+$F300+$G300/2+$H300)</f>
        <v>0.09702760085</v>
      </c>
      <c r="N300" s="104">
        <f>IF(DPS_Graph_Tooltip_Speed=TRUE,IF($A300&lt;=DPS_Graph_Max,IF($A300&gt;=DPS_Graph_Speed_Min,1/M300,),),)</f>
        <v>10.30634573</v>
      </c>
      <c r="R300" s="104" t="str">
        <f>IF(DPS_Graph_Tooltip_Speed=TRUE,IF($E$8=$A300,1/$N$6,),)</f>
        <v/>
      </c>
    </row>
    <row r="301">
      <c r="A301" s="370">
        <v>0.58</v>
      </c>
      <c r="B301" s="213">
        <f>If(DPS_Weapon_Type="远程",($E301+1)/60+(ROUNDDOWN($F301*60+1,0)/60)*2,(ROUNDDOWN(($E301+1)+ROUNDDOWN($F301*60+1,0)+ROUNDDOWN($G301/2*60+1,0)+ROUNDDOWN($H301*60+1,0)+1,0))/60+If(DPS_ATK_TYPE="挥砍",1/60)+If(DPS_ATK_TYPE="挥砍/刺击",1/120))+DPS_Weapon_Randomization/60</f>
        <v>0.1383333333</v>
      </c>
      <c r="C301" s="104">
        <f>IF(DPS_Graph_True_Speed=TRUE,IF($A301&lt;=DPS_Graph_Max,IF($A301&gt;=DPS_Graph_Speed_Min,1/B301,),),)</f>
        <v>7.228915663</v>
      </c>
      <c r="D301" s="115" t="str">
        <f>IF(DPS_Graph_True_Speed=TRUE,IF($E$8=$A301,DPS_Attacks_P_Sec,),)</f>
        <v/>
      </c>
      <c r="E301" s="222">
        <f>ROUNDDOWN(MAX(2,IF(A301&gt;=0, DPS_Base_Wpn_Spd/(1+A301),DPS_Base_Wpn_Spd*(1+ABS(A301)))),0)</f>
        <v>2</v>
      </c>
      <c r="F301" s="232">
        <f>IF(A301&gt;=0, DPS_Base_Recoil/(1+A301),DPS_Base_Recoil)</f>
        <v>0.03164556962</v>
      </c>
      <c r="G301" s="377">
        <f t="shared" si="7"/>
        <v>0.8602761373</v>
      </c>
      <c r="H301" s="377">
        <f t="shared" si="8"/>
        <v>0.07299270073</v>
      </c>
      <c r="I301" s="104"/>
      <c r="J301" s="377">
        <f>MAX(0, Max(25,(DPS_Base_Range + ((DPS_Range_Stat) / 2))) / MIN(MAX(70, (70 * (1 + ($A301 / 3)))), 120))</f>
        <v>4.788507582</v>
      </c>
      <c r="K301" s="269">
        <f>IF(A301&lt;=DPS_Graph_Max,IF(A301&gt;=DPS_Graph_Speed_Min,A301,),)</f>
        <v>0.58</v>
      </c>
      <c r="M301" s="213">
        <f>If(DPS_Weapon_Type="远程",$E301/60+$F301*2,$E301/60+$F301+$G301/2+$H301)</f>
        <v>0.09662447257</v>
      </c>
      <c r="N301" s="104">
        <f>IF(DPS_Graph_Tooltip_Speed=TRUE,IF($A301&lt;=DPS_Graph_Max,IF($A301&gt;=DPS_Graph_Speed_Min,1/M301,),),)</f>
        <v>10.34934498</v>
      </c>
      <c r="R301" s="104" t="str">
        <f>IF(DPS_Graph_Tooltip_Speed=TRUE,IF($E$8=$A301,1/$N$6,),)</f>
        <v/>
      </c>
    </row>
    <row r="302">
      <c r="A302" s="370">
        <v>0.59</v>
      </c>
      <c r="B302" s="213">
        <f>If(DPS_Weapon_Type="远程",($E302+1)/60+(ROUNDDOWN($F302*60+1,0)/60)*2,(ROUNDDOWN(($E302+1)+ROUNDDOWN($F302*60+1,0)+ROUNDDOWN($G302/2*60+1,0)+ROUNDDOWN($H302*60+1,0)+1,0))/60+If(DPS_ATK_TYPE="挥砍",1/60)+If(DPS_ATK_TYPE="挥砍/刺击",1/120))+DPS_Weapon_Randomization/60</f>
        <v>0.1383333333</v>
      </c>
      <c r="C302" s="104">
        <f>IF(DPS_Graph_True_Speed=TRUE,IF($A302&lt;=DPS_Graph_Max,IF($A302&gt;=DPS_Graph_Speed_Min,1/B302,),),)</f>
        <v>7.228915663</v>
      </c>
      <c r="D302" s="115" t="str">
        <f>IF(DPS_Graph_True_Speed=TRUE,IF($E$8=$A302,DPS_Attacks_P_Sec,),)</f>
        <v/>
      </c>
      <c r="E302" s="222">
        <f>ROUNDDOWN(MAX(2,IF(A302&gt;=0, DPS_Base_Wpn_Spd/(1+A302),DPS_Base_Wpn_Spd*(1+ABS(A302)))),0)</f>
        <v>2</v>
      </c>
      <c r="F302" s="232">
        <f>IF(A302&gt;=0, DPS_Base_Recoil/(1+A302),DPS_Base_Recoil)</f>
        <v>0.03144654088</v>
      </c>
      <c r="G302" s="377">
        <f t="shared" si="7"/>
        <v>0.8572753681</v>
      </c>
      <c r="H302" s="377">
        <f t="shared" si="8"/>
        <v>0.07220216606</v>
      </c>
      <c r="I302" s="104"/>
      <c r="J302" s="377">
        <f>MAX(0, Max(25,(DPS_Base_Range + ((DPS_Range_Stat) / 2))) / MIN(MAX(70, (70 * (1 + ($A302 / 3)))), 120))</f>
        <v>4.775169121</v>
      </c>
      <c r="K302" s="269">
        <f>IF(A302&lt;=DPS_Graph_Max,IF(A302&gt;=DPS_Graph_Speed_Min,A302,),)</f>
        <v>0.59</v>
      </c>
      <c r="M302" s="213">
        <f>If(DPS_Weapon_Type="远程",$E302/60+$F302*2,$E302/60+$F302+$G302/2+$H302)</f>
        <v>0.09622641509</v>
      </c>
      <c r="N302" s="104">
        <f>IF(DPS_Graph_Tooltip_Speed=TRUE,IF($A302&lt;=DPS_Graph_Max,IF($A302&gt;=DPS_Graph_Speed_Min,1/M302,),),)</f>
        <v>10.39215686</v>
      </c>
      <c r="R302" s="104" t="str">
        <f>IF(DPS_Graph_Tooltip_Speed=TRUE,IF($E$8=$A302,1/$N$6,),)</f>
        <v/>
      </c>
    </row>
    <row r="303">
      <c r="A303" s="370">
        <v>0.6</v>
      </c>
      <c r="B303" s="213">
        <f>If(DPS_Weapon_Type="远程",($E303+1)/60+(ROUNDDOWN($F303*60+1,0)/60)*2,(ROUNDDOWN(($E303+1)+ROUNDDOWN($F303*60+1,0)+ROUNDDOWN($G303/2*60+1,0)+ROUNDDOWN($H303*60+1,0)+1,0))/60+If(DPS_ATK_TYPE="挥砍",1/60)+If(DPS_ATK_TYPE="挥砍/刺击",1/120))+DPS_Weapon_Randomization/60</f>
        <v>0.1383333333</v>
      </c>
      <c r="C303" s="104">
        <f>IF(DPS_Graph_True_Speed=TRUE,IF($A303&lt;=DPS_Graph_Max,IF($A303&gt;=DPS_Graph_Speed_Min,1/B303,),),)</f>
        <v>7.228915663</v>
      </c>
      <c r="D303" s="115" t="str">
        <f>IF(DPS_Graph_True_Speed=TRUE,IF($E$8=$A303,DPS_Attacks_P_Sec,),)</f>
        <v/>
      </c>
      <c r="E303" s="222">
        <f>ROUNDDOWN(MAX(2,IF(A303&gt;=0, DPS_Base_Wpn_Spd/(1+A303),DPS_Base_Wpn_Spd*(1+ABS(A303)))),0)</f>
        <v>2</v>
      </c>
      <c r="F303" s="232">
        <f>IF(A303&gt;=0, DPS_Base_Recoil/(1+A303),DPS_Base_Recoil)</f>
        <v>0.03125</v>
      </c>
      <c r="G303" s="377">
        <f t="shared" si="7"/>
        <v>0.8542857143</v>
      </c>
      <c r="H303" s="377">
        <f t="shared" si="8"/>
        <v>0.07142857143</v>
      </c>
      <c r="I303" s="104"/>
      <c r="J303" s="377">
        <f>MAX(0, Max(25,(DPS_Base_Range + ((DPS_Range_Stat) / 2))) / MIN(MAX(70, (70 * (1 + ($A303 / 3)))), 120))</f>
        <v>4.761904762</v>
      </c>
      <c r="K303" s="269">
        <f>IF(A303&lt;=DPS_Graph_Max,IF(A303&gt;=DPS_Graph_Speed_Min,A303,),)</f>
        <v>0.6</v>
      </c>
      <c r="M303" s="213">
        <f>If(DPS_Weapon_Type="远程",$E303/60+$F303*2,$E303/60+$F303+$G303/2+$H303)</f>
        <v>0.09583333333</v>
      </c>
      <c r="N303" s="104">
        <f>IF(DPS_Graph_Tooltip_Speed=TRUE,IF($A303&lt;=DPS_Graph_Max,IF($A303&gt;=DPS_Graph_Speed_Min,1/M303,),),)</f>
        <v>10.43478261</v>
      </c>
      <c r="R303" s="104" t="str">
        <f>IF(DPS_Graph_Tooltip_Speed=TRUE,IF($E$8=$A303,1/$N$6,),)</f>
        <v/>
      </c>
    </row>
    <row r="304">
      <c r="A304" s="370">
        <v>0.61</v>
      </c>
      <c r="B304" s="213">
        <f>If(DPS_Weapon_Type="远程",($E304+1)/60+(ROUNDDOWN($F304*60+1,0)/60)*2,(ROUNDDOWN(($E304+1)+ROUNDDOWN($F304*60+1,0)+ROUNDDOWN($G304/2*60+1,0)+ROUNDDOWN($H304*60+1,0)+1,0))/60+If(DPS_ATK_TYPE="挥砍",1/60)+If(DPS_ATK_TYPE="挥砍/刺击",1/120))+DPS_Weapon_Randomization/60</f>
        <v>0.1383333333</v>
      </c>
      <c r="C304" s="104">
        <f>IF(DPS_Graph_True_Speed=TRUE,IF($A304&lt;=DPS_Graph_Max,IF($A304&gt;=DPS_Graph_Speed_Min,1/B304,),),)</f>
        <v>7.228915663</v>
      </c>
      <c r="D304" s="115" t="str">
        <f>IF(DPS_Graph_True_Speed=TRUE,IF($E$8=$A304,DPS_Attacks_P_Sec,),)</f>
        <v/>
      </c>
      <c r="E304" s="222">
        <f>ROUNDDOWN(MAX(2,IF(A304&gt;=0, DPS_Base_Wpn_Spd/(1+A304),DPS_Base_Wpn_Spd*(1+ABS(A304)))),0)</f>
        <v>2</v>
      </c>
      <c r="F304" s="232">
        <f>IF(A304&gt;=0, DPS_Base_Recoil/(1+A304),DPS_Base_Recoil)</f>
        <v>0.03105590062</v>
      </c>
      <c r="G304" s="377">
        <f t="shared" si="7"/>
        <v>0.8513070835</v>
      </c>
      <c r="H304" s="377">
        <f t="shared" si="8"/>
        <v>0.07067137809</v>
      </c>
      <c r="I304" s="104"/>
      <c r="J304" s="377">
        <f>MAX(0, Max(25,(DPS_Base_Range + ((DPS_Range_Stat) / 2))) / MIN(MAX(70, (70 * (1 + ($A304 / 3)))), 120))</f>
        <v>4.74871389</v>
      </c>
      <c r="K304" s="269">
        <f>IF(A304&lt;=DPS_Graph_Max,IF(A304&gt;=DPS_Graph_Speed_Min,A304,),)</f>
        <v>0.61</v>
      </c>
      <c r="M304" s="213">
        <f>If(DPS_Weapon_Type="远程",$E304/60+$F304*2,$E304/60+$F304+$G304/2+$H304)</f>
        <v>0.09544513458</v>
      </c>
      <c r="N304" s="104">
        <f>IF(DPS_Graph_Tooltip_Speed=TRUE,IF($A304&lt;=DPS_Graph_Max,IF($A304&gt;=DPS_Graph_Speed_Min,1/M304,),),)</f>
        <v>10.47722343</v>
      </c>
      <c r="R304" s="104" t="str">
        <f>IF(DPS_Graph_Tooltip_Speed=TRUE,IF($E$8=$A304,1/$N$6,),)</f>
        <v/>
      </c>
    </row>
    <row r="305">
      <c r="A305" s="370">
        <v>0.62</v>
      </c>
      <c r="B305" s="213">
        <f>If(DPS_Weapon_Type="远程",($E305+1)/60+(ROUNDDOWN($F305*60+1,0)/60)*2,(ROUNDDOWN(($E305+1)+ROUNDDOWN($F305*60+1,0)+ROUNDDOWN($G305/2*60+1,0)+ROUNDDOWN($H305*60+1,0)+1,0))/60+If(DPS_ATK_TYPE="挥砍",1/60)+If(DPS_ATK_TYPE="挥砍/刺击",1/120))+DPS_Weapon_Randomization/60</f>
        <v>0.1383333333</v>
      </c>
      <c r="C305" s="104">
        <f>IF(DPS_Graph_True_Speed=TRUE,IF($A305&lt;=DPS_Graph_Max,IF($A305&gt;=DPS_Graph_Speed_Min,1/B305,),),)</f>
        <v>7.228915663</v>
      </c>
      <c r="D305" s="115" t="str">
        <f>IF(DPS_Graph_True_Speed=TRUE,IF($E$8=$A305,DPS_Attacks_P_Sec,),)</f>
        <v/>
      </c>
      <c r="E305" s="222">
        <f>ROUNDDOWN(MAX(2,IF(A305&gt;=0, DPS_Base_Wpn_Spd/(1+A305),DPS_Base_Wpn_Spd*(1+ABS(A305)))),0)</f>
        <v>2</v>
      </c>
      <c r="F305" s="232">
        <f>IF(A305&gt;=0, DPS_Base_Recoil/(1+A305),DPS_Base_Recoil)</f>
        <v>0.03086419753</v>
      </c>
      <c r="G305" s="377">
        <f t="shared" si="7"/>
        <v>0.8483393844</v>
      </c>
      <c r="H305" s="377">
        <f t="shared" si="8"/>
        <v>0.06993006993</v>
      </c>
      <c r="I305" s="104"/>
      <c r="J305" s="377">
        <f>MAX(0, Max(25,(DPS_Base_Range + ((DPS_Range_Stat) / 2))) / MIN(MAX(70, (70 * (1 + ($A305 / 3)))), 120))</f>
        <v>4.735595896</v>
      </c>
      <c r="K305" s="269">
        <f>IF(A305&lt;=DPS_Graph_Max,IF(A305&gt;=DPS_Graph_Speed_Min,A305,),)</f>
        <v>0.62</v>
      </c>
      <c r="M305" s="213">
        <f>If(DPS_Weapon_Type="远程",$E305/60+$F305*2,$E305/60+$F305+$G305/2+$H305)</f>
        <v>0.0950617284</v>
      </c>
      <c r="N305" s="104">
        <f>IF(DPS_Graph_Tooltip_Speed=TRUE,IF($A305&lt;=DPS_Graph_Max,IF($A305&gt;=DPS_Graph_Speed_Min,1/M305,),),)</f>
        <v>10.51948052</v>
      </c>
      <c r="R305" s="104" t="str">
        <f>IF(DPS_Graph_Tooltip_Speed=TRUE,IF($E$8=$A305,1/$N$6,),)</f>
        <v/>
      </c>
    </row>
    <row r="306">
      <c r="A306" s="370">
        <v>0.63</v>
      </c>
      <c r="B306" s="213">
        <f>If(DPS_Weapon_Type="远程",($E306+1)/60+(ROUNDDOWN($F306*60+1,0)/60)*2,(ROUNDDOWN(($E306+1)+ROUNDDOWN($F306*60+1,0)+ROUNDDOWN($G306/2*60+1,0)+ROUNDDOWN($H306*60+1,0)+1,0))/60+If(DPS_ATK_TYPE="挥砍",1/60)+If(DPS_ATK_TYPE="挥砍/刺击",1/120))+DPS_Weapon_Randomization/60</f>
        <v>0.1383333333</v>
      </c>
      <c r="C306" s="104">
        <f>IF(DPS_Graph_True_Speed=TRUE,IF($A306&lt;=DPS_Graph_Max,IF($A306&gt;=DPS_Graph_Speed_Min,1/B306,),),)</f>
        <v>7.228915663</v>
      </c>
      <c r="D306" s="115" t="str">
        <f>IF(DPS_Graph_True_Speed=TRUE,IF($E$8=$A306,DPS_Attacks_P_Sec,),)</f>
        <v/>
      </c>
      <c r="E306" s="222">
        <f>ROUNDDOWN(MAX(2,IF(A306&gt;=0, DPS_Base_Wpn_Spd/(1+A306),DPS_Base_Wpn_Spd*(1+ABS(A306)))),0)</f>
        <v>2</v>
      </c>
      <c r="F306" s="232">
        <f>IF(A306&gt;=0, DPS_Base_Recoil/(1+A306),DPS_Base_Recoil)</f>
        <v>0.03067484663</v>
      </c>
      <c r="G306" s="377">
        <f t="shared" si="7"/>
        <v>0.8453825266</v>
      </c>
      <c r="H306" s="377">
        <f t="shared" si="8"/>
        <v>0.06920415225</v>
      </c>
      <c r="I306" s="104"/>
      <c r="J306" s="377">
        <f>MAX(0, Max(25,(DPS_Base_Range + ((DPS_Range_Stat) / 2))) / MIN(MAX(70, (70 * (1 + ($A306 / 3)))), 120))</f>
        <v>4.722550177</v>
      </c>
      <c r="K306" s="269">
        <f>IF(A306&lt;=DPS_Graph_Max,IF(A306&gt;=DPS_Graph_Speed_Min,A306,),)</f>
        <v>0.63</v>
      </c>
      <c r="M306" s="213">
        <f>If(DPS_Weapon_Type="远程",$E306/60+$F306*2,$E306/60+$F306+$G306/2+$H306)</f>
        <v>0.09468302658</v>
      </c>
      <c r="N306" s="104">
        <f>IF(DPS_Graph_Tooltip_Speed=TRUE,IF($A306&lt;=DPS_Graph_Max,IF($A306&gt;=DPS_Graph_Speed_Min,1/M306,),),)</f>
        <v>10.56155508</v>
      </c>
      <c r="R306" s="104" t="str">
        <f>IF(DPS_Graph_Tooltip_Speed=TRUE,IF($E$8=$A306,1/$N$6,),)</f>
        <v/>
      </c>
    </row>
    <row r="307">
      <c r="A307" s="370">
        <v>0.64</v>
      </c>
      <c r="B307" s="213">
        <f>If(DPS_Weapon_Type="远程",($E307+1)/60+(ROUNDDOWN($F307*60+1,0)/60)*2,(ROUNDDOWN(($E307+1)+ROUNDDOWN($F307*60+1,0)+ROUNDDOWN($G307/2*60+1,0)+ROUNDDOWN($H307*60+1,0)+1,0))/60+If(DPS_ATK_TYPE="挥砍",1/60)+If(DPS_ATK_TYPE="挥砍/刺击",1/120))+DPS_Weapon_Randomization/60</f>
        <v>0.1383333333</v>
      </c>
      <c r="C307" s="104">
        <f>IF(DPS_Graph_True_Speed=TRUE,IF($A307&lt;=DPS_Graph_Max,IF($A307&gt;=DPS_Graph_Speed_Min,1/B307,),),)</f>
        <v>7.228915663</v>
      </c>
      <c r="D307" s="115" t="str">
        <f>IF(DPS_Graph_True_Speed=TRUE,IF($E$8=$A307,DPS_Attacks_P_Sec,),)</f>
        <v/>
      </c>
      <c r="E307" s="222">
        <f>ROUNDDOWN(MAX(2,IF(A307&gt;=0, DPS_Base_Wpn_Spd/(1+A307),DPS_Base_Wpn_Spd*(1+ABS(A307)))),0)</f>
        <v>2</v>
      </c>
      <c r="F307" s="232">
        <f>IF(A307&gt;=0, DPS_Base_Recoil/(1+A307),DPS_Base_Recoil)</f>
        <v>0.03048780488</v>
      </c>
      <c r="G307" s="377">
        <f t="shared" si="7"/>
        <v>0.8424364207</v>
      </c>
      <c r="H307" s="377">
        <f t="shared" si="8"/>
        <v>0.06849315068</v>
      </c>
      <c r="I307" s="104"/>
      <c r="J307" s="377">
        <f>MAX(0, Max(25,(DPS_Base_Range + ((DPS_Range_Stat) / 2))) / MIN(MAX(70, (70 * (1 + ($A307 / 3)))), 120))</f>
        <v>4.709576138</v>
      </c>
      <c r="K307" s="269">
        <f>IF(A307&lt;=DPS_Graph_Max,IF(A307&gt;=DPS_Graph_Speed_Min,A307,),)</f>
        <v>0.64</v>
      </c>
      <c r="M307" s="213">
        <f>If(DPS_Weapon_Type="远程",$E307/60+$F307*2,$E307/60+$F307+$G307/2+$H307)</f>
        <v>0.09430894309</v>
      </c>
      <c r="N307" s="104">
        <f>IF(DPS_Graph_Tooltip_Speed=TRUE,IF($A307&lt;=DPS_Graph_Max,IF($A307&gt;=DPS_Graph_Speed_Min,1/M307,),),)</f>
        <v>10.60344828</v>
      </c>
      <c r="R307" s="104" t="str">
        <f>IF(DPS_Graph_Tooltip_Speed=TRUE,IF($E$8=$A307,1/$N$6,),)</f>
        <v/>
      </c>
    </row>
    <row r="308">
      <c r="A308" s="370">
        <v>0.65</v>
      </c>
      <c r="B308" s="213">
        <f>If(DPS_Weapon_Type="远程",($E308+1)/60+(ROUNDDOWN($F308*60+1,0)/60)*2,(ROUNDDOWN(($E308+1)+ROUNDDOWN($F308*60+1,0)+ROUNDDOWN($G308/2*60+1,0)+ROUNDDOWN($H308*60+1,0)+1,0))/60+If(DPS_ATK_TYPE="挥砍",1/60)+If(DPS_ATK_TYPE="挥砍/刺击",1/120))+DPS_Weapon_Randomization/60</f>
        <v>0.1383333333</v>
      </c>
      <c r="C308" s="104">
        <f>IF(DPS_Graph_True_Speed=TRUE,IF($A308&lt;=DPS_Graph_Max,IF($A308&gt;=DPS_Graph_Speed_Min,1/B308,),),)</f>
        <v>7.228915663</v>
      </c>
      <c r="D308" s="115" t="str">
        <f>IF(DPS_Graph_True_Speed=TRUE,IF($E$8=$A308,DPS_Attacks_P_Sec,),)</f>
        <v/>
      </c>
      <c r="E308" s="222">
        <f>ROUNDDOWN(MAX(2,IF(A308&gt;=0, DPS_Base_Wpn_Spd/(1+A308),DPS_Base_Wpn_Spd*(1+ABS(A308)))),0)</f>
        <v>2</v>
      </c>
      <c r="F308" s="232">
        <f>IF(A308&gt;=0, DPS_Base_Recoil/(1+A308),DPS_Base_Recoil)</f>
        <v>0.0303030303</v>
      </c>
      <c r="G308" s="377">
        <f t="shared" si="7"/>
        <v>0.8395009785</v>
      </c>
      <c r="H308" s="377">
        <f t="shared" si="8"/>
        <v>0.06779661017</v>
      </c>
      <c r="I308" s="104"/>
      <c r="J308" s="377">
        <f>MAX(0, Max(25,(DPS_Base_Range + ((DPS_Range_Stat) / 2))) / MIN(MAX(70, (70 * (1 + ($A308 / 3)))), 120))</f>
        <v>4.69667319</v>
      </c>
      <c r="K308" s="269">
        <f>IF(A308&lt;=DPS_Graph_Max,IF(A308&gt;=DPS_Graph_Speed_Min,A308,),)</f>
        <v>0.65</v>
      </c>
      <c r="M308" s="213">
        <f>If(DPS_Weapon_Type="远程",$E308/60+$F308*2,$E308/60+$F308+$G308/2+$H308)</f>
        <v>0.09393939394</v>
      </c>
      <c r="N308" s="104">
        <f>IF(DPS_Graph_Tooltip_Speed=TRUE,IF($A308&lt;=DPS_Graph_Max,IF($A308&gt;=DPS_Graph_Speed_Min,1/M308,),),)</f>
        <v>10.64516129</v>
      </c>
      <c r="R308" s="104" t="str">
        <f>IF(DPS_Graph_Tooltip_Speed=TRUE,IF($E$8=$A308,1/$N$6,),)</f>
        <v/>
      </c>
    </row>
    <row r="309">
      <c r="A309" s="370">
        <v>0.66</v>
      </c>
      <c r="B309" s="213">
        <f>If(DPS_Weapon_Type="远程",($E309+1)/60+(ROUNDDOWN($F309*60+1,0)/60)*2,(ROUNDDOWN(($E309+1)+ROUNDDOWN($F309*60+1,0)+ROUNDDOWN($G309/2*60+1,0)+ROUNDDOWN($H309*60+1,0)+1,0))/60+If(DPS_ATK_TYPE="挥砍",1/60)+If(DPS_ATK_TYPE="挥砍/刺击",1/120))+DPS_Weapon_Randomization/60</f>
        <v>0.1383333333</v>
      </c>
      <c r="C309" s="104">
        <f>IF(DPS_Graph_True_Speed=TRUE,IF($A309&lt;=DPS_Graph_Max,IF($A309&gt;=DPS_Graph_Speed_Min,1/B309,),),)</f>
        <v>7.228915663</v>
      </c>
      <c r="D309" s="115" t="str">
        <f>IF(DPS_Graph_True_Speed=TRUE,IF($E$8=$A309,DPS_Attacks_P_Sec,),)</f>
        <v/>
      </c>
      <c r="E309" s="222">
        <f>ROUNDDOWN(MAX(2,IF(A309&gt;=0, DPS_Base_Wpn_Spd/(1+A309),DPS_Base_Wpn_Spd*(1+ABS(A309)))),0)</f>
        <v>2</v>
      </c>
      <c r="F309" s="232">
        <f>IF(A309&gt;=0, DPS_Base_Recoil/(1+A309),DPS_Base_Recoil)</f>
        <v>0.03012048193</v>
      </c>
      <c r="G309" s="377">
        <f t="shared" si="7"/>
        <v>0.8365761124</v>
      </c>
      <c r="H309" s="377">
        <f t="shared" si="8"/>
        <v>0.06711409396</v>
      </c>
      <c r="I309" s="104"/>
      <c r="J309" s="377">
        <f>MAX(0, Max(25,(DPS_Base_Range + ((DPS_Range_Stat) / 2))) / MIN(MAX(70, (70 * (1 + ($A309 / 3)))), 120))</f>
        <v>4.683840749</v>
      </c>
      <c r="K309" s="269">
        <f>IF(A309&lt;=DPS_Graph_Max,IF(A309&gt;=DPS_Graph_Speed_Min,A309,),)</f>
        <v>0.66</v>
      </c>
      <c r="M309" s="213">
        <f>If(DPS_Weapon_Type="远程",$E309/60+$F309*2,$E309/60+$F309+$G309/2+$H309)</f>
        <v>0.09357429719</v>
      </c>
      <c r="N309" s="104">
        <f>IF(DPS_Graph_Tooltip_Speed=TRUE,IF($A309&lt;=DPS_Graph_Max,IF($A309&gt;=DPS_Graph_Speed_Min,1/M309,),),)</f>
        <v>10.68669528</v>
      </c>
      <c r="R309" s="104" t="str">
        <f>IF(DPS_Graph_Tooltip_Speed=TRUE,IF($E$8=$A309,1/$N$6,),)</f>
        <v/>
      </c>
    </row>
    <row r="310">
      <c r="A310" s="370">
        <v>0.67</v>
      </c>
      <c r="B310" s="213">
        <f>If(DPS_Weapon_Type="远程",($E310+1)/60+(ROUNDDOWN($F310*60+1,0)/60)*2,(ROUNDDOWN(($E310+1)+ROUNDDOWN($F310*60+1,0)+ROUNDDOWN($G310/2*60+1,0)+ROUNDDOWN($H310*60+1,0)+1,0))/60+If(DPS_ATK_TYPE="挥砍",1/60)+If(DPS_ATK_TYPE="挥砍/刺击",1/120))+DPS_Weapon_Randomization/60</f>
        <v>0.1383333333</v>
      </c>
      <c r="C310" s="104">
        <f>IF(DPS_Graph_True_Speed=TRUE,IF($A310&lt;=DPS_Graph_Max,IF($A310&gt;=DPS_Graph_Speed_Min,1/B310,),),)</f>
        <v>7.228915663</v>
      </c>
      <c r="D310" s="115" t="str">
        <f>IF(DPS_Graph_True_Speed=TRUE,IF($E$8=$A310,DPS_Attacks_P_Sec,),)</f>
        <v/>
      </c>
      <c r="E310" s="222">
        <f>ROUNDDOWN(MAX(2,IF(A310&gt;=0, DPS_Base_Wpn_Spd/(1+A310),DPS_Base_Wpn_Spd*(1+ABS(A310)))),0)</f>
        <v>2</v>
      </c>
      <c r="F310" s="232">
        <f>IF(A310&gt;=0, DPS_Base_Recoil/(1+A310),DPS_Base_Recoil)</f>
        <v>0.02994011976</v>
      </c>
      <c r="G310" s="377">
        <f t="shared" si="7"/>
        <v>0.8336617361</v>
      </c>
      <c r="H310" s="377">
        <f t="shared" si="8"/>
        <v>0.06644518272</v>
      </c>
      <c r="I310" s="104"/>
      <c r="J310" s="377">
        <f>MAX(0, Max(25,(DPS_Base_Range + ((DPS_Range_Stat) / 2))) / MIN(MAX(70, (70 * (1 + ($A310 / 3)))), 120))</f>
        <v>4.671078241</v>
      </c>
      <c r="K310" s="269">
        <f>IF(A310&lt;=DPS_Graph_Max,IF(A310&gt;=DPS_Graph_Speed_Min,A310,),)</f>
        <v>0.67</v>
      </c>
      <c r="M310" s="213">
        <f>If(DPS_Weapon_Type="远程",$E310/60+$F310*2,$E310/60+$F310+$G310/2+$H310)</f>
        <v>0.09321357285</v>
      </c>
      <c r="N310" s="104">
        <f>IF(DPS_Graph_Tooltip_Speed=TRUE,IF($A310&lt;=DPS_Graph_Max,IF($A310&gt;=DPS_Graph_Speed_Min,1/M310,),),)</f>
        <v>10.72805139</v>
      </c>
      <c r="R310" s="104" t="str">
        <f>IF(DPS_Graph_Tooltip_Speed=TRUE,IF($E$8=$A310,1/$N$6,),)</f>
        <v/>
      </c>
    </row>
    <row r="311">
      <c r="A311" s="370">
        <v>0.68</v>
      </c>
      <c r="B311" s="213">
        <f>If(DPS_Weapon_Type="远程",($E311+1)/60+(ROUNDDOWN($F311*60+1,0)/60)*2,(ROUNDDOWN(($E311+1)+ROUNDDOWN($F311*60+1,0)+ROUNDDOWN($G311/2*60+1,0)+ROUNDDOWN($H311*60+1,0)+1,0))/60+If(DPS_ATK_TYPE="挥砍",1/60)+If(DPS_ATK_TYPE="挥砍/刺击",1/120))+DPS_Weapon_Randomization/60</f>
        <v>0.1383333333</v>
      </c>
      <c r="C311" s="104">
        <f>IF(DPS_Graph_True_Speed=TRUE,IF($A311&lt;=DPS_Graph_Max,IF($A311&gt;=DPS_Graph_Speed_Min,1/B311,),),)</f>
        <v>7.228915663</v>
      </c>
      <c r="D311" s="115" t="str">
        <f>IF(DPS_Graph_True_Speed=TRUE,IF($E$8=$A311,DPS_Attacks_P_Sec,),)</f>
        <v/>
      </c>
      <c r="E311" s="222">
        <f>ROUNDDOWN(MAX(2,IF(A311&gt;=0, DPS_Base_Wpn_Spd/(1+A311),DPS_Base_Wpn_Spd*(1+ABS(A311)))),0)</f>
        <v>2</v>
      </c>
      <c r="F311" s="232">
        <f>IF(A311&gt;=0, DPS_Base_Recoil/(1+A311),DPS_Base_Recoil)</f>
        <v>0.02976190476</v>
      </c>
      <c r="G311" s="377">
        <f t="shared" si="7"/>
        <v>0.830757764</v>
      </c>
      <c r="H311" s="377">
        <f t="shared" si="8"/>
        <v>0.06578947368</v>
      </c>
      <c r="I311" s="104"/>
      <c r="J311" s="377">
        <f>MAX(0, Max(25,(DPS_Base_Range + ((DPS_Range_Stat) / 2))) / MIN(MAX(70, (70 * (1 + ($A311 / 3)))), 120))</f>
        <v>4.658385093</v>
      </c>
      <c r="K311" s="269">
        <f>IF(A311&lt;=DPS_Graph_Max,IF(A311&gt;=DPS_Graph_Speed_Min,A311,),)</f>
        <v>0.68</v>
      </c>
      <c r="M311" s="213">
        <f>If(DPS_Weapon_Type="远程",$E311/60+$F311*2,$E311/60+$F311+$G311/2+$H311)</f>
        <v>0.09285714286</v>
      </c>
      <c r="N311" s="104">
        <f>IF(DPS_Graph_Tooltip_Speed=TRUE,IF($A311&lt;=DPS_Graph_Max,IF($A311&gt;=DPS_Graph_Speed_Min,1/M311,),),)</f>
        <v>10.76923077</v>
      </c>
      <c r="R311" s="104" t="str">
        <f>IF(DPS_Graph_Tooltip_Speed=TRUE,IF($E$8=$A311,1/$N$6,),)</f>
        <v/>
      </c>
    </row>
    <row r="312">
      <c r="A312" s="370">
        <v>0.69</v>
      </c>
      <c r="B312" s="213">
        <f>If(DPS_Weapon_Type="远程",($E312+1)/60+(ROUNDDOWN($F312*60+1,0)/60)*2,(ROUNDDOWN(($E312+1)+ROUNDDOWN($F312*60+1,0)+ROUNDDOWN($G312/2*60+1,0)+ROUNDDOWN($H312*60+1,0)+1,0))/60+If(DPS_ATK_TYPE="挥砍",1/60)+If(DPS_ATK_TYPE="挥砍/刺击",1/120))+DPS_Weapon_Randomization/60</f>
        <v>0.1383333333</v>
      </c>
      <c r="C312" s="104">
        <f>IF(DPS_Graph_True_Speed=TRUE,IF($A312&lt;=DPS_Graph_Max,IF($A312&gt;=DPS_Graph_Speed_Min,1/B312,),),)</f>
        <v>7.228915663</v>
      </c>
      <c r="D312" s="115" t="str">
        <f>IF(DPS_Graph_True_Speed=TRUE,IF($E$8=$A312,DPS_Attacks_P_Sec,),)</f>
        <v/>
      </c>
      <c r="E312" s="222">
        <f>ROUNDDOWN(MAX(2,IF(A312&gt;=0, DPS_Base_Wpn_Spd/(1+A312),DPS_Base_Wpn_Spd*(1+ABS(A312)))),0)</f>
        <v>2</v>
      </c>
      <c r="F312" s="232">
        <f>IF(A312&gt;=0, DPS_Base_Recoil/(1+A312),DPS_Base_Recoil)</f>
        <v>0.02958579882</v>
      </c>
      <c r="G312" s="377">
        <f t="shared" si="7"/>
        <v>0.8278641115</v>
      </c>
      <c r="H312" s="377">
        <f t="shared" si="8"/>
        <v>0.0651465798</v>
      </c>
      <c r="I312" s="104"/>
      <c r="J312" s="377">
        <f>MAX(0, Max(25,(DPS_Base_Range + ((DPS_Range_Stat) / 2))) / MIN(MAX(70, (70 * (1 + ($A312 / 3)))), 120))</f>
        <v>4.645760743</v>
      </c>
      <c r="K312" s="269">
        <f>IF(A312&lt;=DPS_Graph_Max,IF(A312&gt;=DPS_Graph_Speed_Min,A312,),)</f>
        <v>0.69</v>
      </c>
      <c r="M312" s="213">
        <f>If(DPS_Weapon_Type="远程",$E312/60+$F312*2,$E312/60+$F312+$G312/2+$H312)</f>
        <v>0.09250493097</v>
      </c>
      <c r="N312" s="104">
        <f>IF(DPS_Graph_Tooltip_Speed=TRUE,IF($A312&lt;=DPS_Graph_Max,IF($A312&gt;=DPS_Graph_Speed_Min,1/M312,),),)</f>
        <v>10.81023454</v>
      </c>
      <c r="R312" s="104" t="str">
        <f>IF(DPS_Graph_Tooltip_Speed=TRUE,IF($E$8=$A312,1/$N$6,),)</f>
        <v/>
      </c>
    </row>
    <row r="313">
      <c r="A313" s="370">
        <v>0.7</v>
      </c>
      <c r="B313" s="213">
        <f>If(DPS_Weapon_Type="远程",($E313+1)/60+(ROUNDDOWN($F313*60+1,0)/60)*2,(ROUNDDOWN(($E313+1)+ROUNDDOWN($F313*60+1,0)+ROUNDDOWN($G313/2*60+1,0)+ROUNDDOWN($H313*60+1,0)+1,0))/60+If(DPS_ATK_TYPE="挥砍",1/60)+If(DPS_ATK_TYPE="挥砍/刺击",1/120))+DPS_Weapon_Randomization/60</f>
        <v>0.1383333333</v>
      </c>
      <c r="C313" s="104">
        <f>IF(DPS_Graph_True_Speed=TRUE,IF($A313&lt;=DPS_Graph_Max,IF($A313&gt;=DPS_Graph_Speed_Min,1/B313,),),)</f>
        <v>7.228915663</v>
      </c>
      <c r="D313" s="115" t="str">
        <f>IF(DPS_Graph_True_Speed=TRUE,IF($E$8=$A313,DPS_Attacks_P_Sec,),)</f>
        <v/>
      </c>
      <c r="E313" s="222">
        <f>ROUNDDOWN(MAX(2,IF(A313&gt;=0, DPS_Base_Wpn_Spd/(1+A313),DPS_Base_Wpn_Spd*(1+ABS(A313)))),0)</f>
        <v>2</v>
      </c>
      <c r="F313" s="232">
        <f>IF(A313&gt;=0, DPS_Base_Recoil/(1+A313),DPS_Base_Recoil)</f>
        <v>0.02941176471</v>
      </c>
      <c r="G313" s="377">
        <f t="shared" si="7"/>
        <v>0.824980695</v>
      </c>
      <c r="H313" s="377">
        <f t="shared" si="8"/>
        <v>0.06451612903</v>
      </c>
      <c r="I313" s="104"/>
      <c r="J313" s="377">
        <f>MAX(0, Max(25,(DPS_Base_Range + ((DPS_Range_Stat) / 2))) / MIN(MAX(70, (70 * (1 + ($A313 / 3)))), 120))</f>
        <v>4.633204633</v>
      </c>
      <c r="K313" s="269">
        <f>IF(A313&lt;=DPS_Graph_Max,IF(A313&gt;=DPS_Graph_Speed_Min,A313,),)</f>
        <v>0.7</v>
      </c>
      <c r="M313" s="213">
        <f>If(DPS_Weapon_Type="远程",$E313/60+$F313*2,$E313/60+$F313+$G313/2+$H313)</f>
        <v>0.09215686275</v>
      </c>
      <c r="N313" s="104">
        <f>IF(DPS_Graph_Tooltip_Speed=TRUE,IF($A313&lt;=DPS_Graph_Max,IF($A313&gt;=DPS_Graph_Speed_Min,1/M313,),),)</f>
        <v>10.85106383</v>
      </c>
      <c r="R313" s="104" t="str">
        <f>IF(DPS_Graph_Tooltip_Speed=TRUE,IF($E$8=$A313,1/$N$6,),)</f>
        <v/>
      </c>
    </row>
    <row r="314">
      <c r="A314" s="370">
        <v>0.71</v>
      </c>
      <c r="B314" s="213">
        <f>If(DPS_Weapon_Type="远程",($E314+1)/60+(ROUNDDOWN($F314*60+1,0)/60)*2,(ROUNDDOWN(($E314+1)+ROUNDDOWN($F314*60+1,0)+ROUNDDOWN($G314/2*60+1,0)+ROUNDDOWN($H314*60+1,0)+1,0))/60+If(DPS_ATK_TYPE="挥砍",1/60)+If(DPS_ATK_TYPE="挥砍/刺击",1/120))+DPS_Weapon_Randomization/60</f>
        <v>0.1383333333</v>
      </c>
      <c r="C314" s="104">
        <f>IF(DPS_Graph_True_Speed=TRUE,IF($A314&lt;=DPS_Graph_Max,IF($A314&gt;=DPS_Graph_Speed_Min,1/B314,),),)</f>
        <v>7.228915663</v>
      </c>
      <c r="D314" s="115" t="str">
        <f>IF(DPS_Graph_True_Speed=TRUE,IF($E$8=$A314,DPS_Attacks_P_Sec,),)</f>
        <v/>
      </c>
      <c r="E314" s="222">
        <f>ROUNDDOWN(MAX(2,IF(A314&gt;=0, DPS_Base_Wpn_Spd/(1+A314),DPS_Base_Wpn_Spd*(1+ABS(A314)))),0)</f>
        <v>2</v>
      </c>
      <c r="F314" s="232">
        <f>IF(A314&gt;=0, DPS_Base_Recoil/(1+A314),DPS_Base_Recoil)</f>
        <v>0.02923976608</v>
      </c>
      <c r="G314" s="377">
        <f t="shared" si="7"/>
        <v>0.8221074317</v>
      </c>
      <c r="H314" s="377">
        <f t="shared" si="8"/>
        <v>0.06389776358</v>
      </c>
      <c r="I314" s="104"/>
      <c r="J314" s="377">
        <f>MAX(0, Max(25,(DPS_Base_Range + ((DPS_Range_Stat) / 2))) / MIN(MAX(70, (70 * (1 + ($A314 / 3)))), 120))</f>
        <v>4.620716211</v>
      </c>
      <c r="K314" s="269">
        <f>IF(A314&lt;=DPS_Graph_Max,IF(A314&gt;=DPS_Graph_Speed_Min,A314,),)</f>
        <v>0.71</v>
      </c>
      <c r="M314" s="213">
        <f>If(DPS_Weapon_Type="远程",$E314/60+$F314*2,$E314/60+$F314+$G314/2+$H314)</f>
        <v>0.0918128655</v>
      </c>
      <c r="N314" s="104">
        <f>IF(DPS_Graph_Tooltip_Speed=TRUE,IF($A314&lt;=DPS_Graph_Max,IF($A314&gt;=DPS_Graph_Speed_Min,1/M314,),),)</f>
        <v>10.89171975</v>
      </c>
      <c r="R314" s="104" t="str">
        <f>IF(DPS_Graph_Tooltip_Speed=TRUE,IF($E$8=$A314,1/$N$6,),)</f>
        <v/>
      </c>
    </row>
    <row r="315">
      <c r="A315" s="370">
        <v>0.72</v>
      </c>
      <c r="B315" s="213">
        <f>If(DPS_Weapon_Type="远程",($E315+1)/60+(ROUNDDOWN($F315*60+1,0)/60)*2,(ROUNDDOWN(($E315+1)+ROUNDDOWN($F315*60+1,0)+ROUNDDOWN($G315/2*60+1,0)+ROUNDDOWN($H315*60+1,0)+1,0))/60+If(DPS_ATK_TYPE="挥砍",1/60)+If(DPS_ATK_TYPE="挥砍/刺击",1/120))+DPS_Weapon_Randomization/60</f>
        <v>0.1383333333</v>
      </c>
      <c r="C315" s="104">
        <f>IF(DPS_Graph_True_Speed=TRUE,IF($A315&lt;=DPS_Graph_Max,IF($A315&gt;=DPS_Graph_Speed_Min,1/B315,),),)</f>
        <v>7.228915663</v>
      </c>
      <c r="D315" s="115" t="str">
        <f>IF(DPS_Graph_True_Speed=TRUE,IF($E$8=$A315,DPS_Attacks_P_Sec,),)</f>
        <v/>
      </c>
      <c r="E315" s="222">
        <f>ROUNDDOWN(MAX(2,IF(A315&gt;=0, DPS_Base_Wpn_Spd/(1+A315),DPS_Base_Wpn_Spd*(1+ABS(A315)))),0)</f>
        <v>2</v>
      </c>
      <c r="F315" s="232">
        <f>IF(A315&gt;=0, DPS_Base_Recoil/(1+A315),DPS_Base_Recoil)</f>
        <v>0.02906976744</v>
      </c>
      <c r="G315" s="377">
        <f t="shared" si="7"/>
        <v>0.8192442396</v>
      </c>
      <c r="H315" s="377">
        <f t="shared" si="8"/>
        <v>0.06329113924</v>
      </c>
      <c r="I315" s="104"/>
      <c r="J315" s="377">
        <f>MAX(0, Max(25,(DPS_Base_Range + ((DPS_Range_Stat) / 2))) / MIN(MAX(70, (70 * (1 + ($A315 / 3)))), 120))</f>
        <v>4.608294931</v>
      </c>
      <c r="K315" s="269">
        <f>IF(A315&lt;=DPS_Graph_Max,IF(A315&gt;=DPS_Graph_Speed_Min,A315,),)</f>
        <v>0.72</v>
      </c>
      <c r="M315" s="213">
        <f>If(DPS_Weapon_Type="远程",$E315/60+$F315*2,$E315/60+$F315+$G315/2+$H315)</f>
        <v>0.09147286822</v>
      </c>
      <c r="N315" s="104">
        <f>IF(DPS_Graph_Tooltip_Speed=TRUE,IF($A315&lt;=DPS_Graph_Max,IF($A315&gt;=DPS_Graph_Speed_Min,1/M315,),),)</f>
        <v>10.93220339</v>
      </c>
      <c r="R315" s="104" t="str">
        <f>IF(DPS_Graph_Tooltip_Speed=TRUE,IF($E$8=$A315,1/$N$6,),)</f>
        <v/>
      </c>
    </row>
    <row r="316">
      <c r="A316" s="370">
        <v>0.73</v>
      </c>
      <c r="B316" s="213">
        <f>If(DPS_Weapon_Type="远程",($E316+1)/60+(ROUNDDOWN($F316*60+1,0)/60)*2,(ROUNDDOWN(($E316+1)+ROUNDDOWN($F316*60+1,0)+ROUNDDOWN($G316/2*60+1,0)+ROUNDDOWN($H316*60+1,0)+1,0))/60+If(DPS_ATK_TYPE="挥砍",1/60)+If(DPS_ATK_TYPE="挥砍/刺击",1/120))+DPS_Weapon_Randomization/60</f>
        <v>0.1383333333</v>
      </c>
      <c r="C316" s="104">
        <f>IF(DPS_Graph_True_Speed=TRUE,IF($A316&lt;=DPS_Graph_Max,IF($A316&gt;=DPS_Graph_Speed_Min,1/B316,),),)</f>
        <v>7.228915663</v>
      </c>
      <c r="D316" s="115" t="str">
        <f>IF(DPS_Graph_True_Speed=TRUE,IF($E$8=$A316,DPS_Attacks_P_Sec,),)</f>
        <v/>
      </c>
      <c r="E316" s="222">
        <f>ROUNDDOWN(MAX(2,IF(A316&gt;=0, DPS_Base_Wpn_Spd/(1+A316),DPS_Base_Wpn_Spd*(1+ABS(A316)))),0)</f>
        <v>2</v>
      </c>
      <c r="F316" s="232">
        <f>IF(A316&gt;=0, DPS_Base_Recoil/(1+A316),DPS_Base_Recoil)</f>
        <v>0.0289017341</v>
      </c>
      <c r="G316" s="377">
        <f t="shared" si="7"/>
        <v>0.8163910379</v>
      </c>
      <c r="H316" s="377">
        <f t="shared" si="8"/>
        <v>0.06269592476</v>
      </c>
      <c r="I316" s="104"/>
      <c r="J316" s="377">
        <f>MAX(0, Max(25,(DPS_Base_Range + ((DPS_Range_Stat) / 2))) / MIN(MAX(70, (70 * (1 + ($A316 / 3)))), 120))</f>
        <v>4.595940253</v>
      </c>
      <c r="K316" s="269">
        <f>IF(A316&lt;=DPS_Graph_Max,IF(A316&gt;=DPS_Graph_Speed_Min,A316,),)</f>
        <v>0.73</v>
      </c>
      <c r="M316" s="213">
        <f>If(DPS_Weapon_Type="远程",$E316/60+$F316*2,$E316/60+$F316+$G316/2+$H316)</f>
        <v>0.09113680154</v>
      </c>
      <c r="N316" s="104">
        <f>IF(DPS_Graph_Tooltip_Speed=TRUE,IF($A316&lt;=DPS_Graph_Max,IF($A316&gt;=DPS_Graph_Speed_Min,1/M316,),),)</f>
        <v>10.97251586</v>
      </c>
      <c r="R316" s="104" t="str">
        <f>IF(DPS_Graph_Tooltip_Speed=TRUE,IF($E$8=$A316,1/$N$6,),)</f>
        <v/>
      </c>
    </row>
    <row r="317">
      <c r="A317" s="370">
        <v>0.74</v>
      </c>
      <c r="B317" s="213">
        <f>If(DPS_Weapon_Type="远程",($E317+1)/60+(ROUNDDOWN($F317*60+1,0)/60)*2,(ROUNDDOWN(($E317+1)+ROUNDDOWN($F317*60+1,0)+ROUNDDOWN($G317/2*60+1,0)+ROUNDDOWN($H317*60+1,0)+1,0))/60+If(DPS_ATK_TYPE="挥砍",1/60)+If(DPS_ATK_TYPE="挥砍/刺击",1/120))+DPS_Weapon_Randomization/60</f>
        <v>0.1383333333</v>
      </c>
      <c r="C317" s="104">
        <f>IF(DPS_Graph_True_Speed=TRUE,IF($A317&lt;=DPS_Graph_Max,IF($A317&gt;=DPS_Graph_Speed_Min,1/B317,),),)</f>
        <v>7.228915663</v>
      </c>
      <c r="D317" s="115" t="str">
        <f>IF(DPS_Graph_True_Speed=TRUE,IF($E$8=$A317,DPS_Attacks_P_Sec,),)</f>
        <v/>
      </c>
      <c r="E317" s="222">
        <f>ROUNDDOWN(MAX(2,IF(A317&gt;=0, DPS_Base_Wpn_Spd/(1+A317),DPS_Base_Wpn_Spd*(1+ABS(A317)))),0)</f>
        <v>2</v>
      </c>
      <c r="F317" s="232">
        <f>IF(A317&gt;=0, DPS_Base_Recoil/(1+A317),DPS_Base_Recoil)</f>
        <v>0.02873563218</v>
      </c>
      <c r="G317" s="377">
        <f t="shared" si="7"/>
        <v>0.8135477464</v>
      </c>
      <c r="H317" s="377">
        <f t="shared" si="8"/>
        <v>0.06211180124</v>
      </c>
      <c r="I317" s="104"/>
      <c r="J317" s="377">
        <f>MAX(0, Max(25,(DPS_Base_Range + ((DPS_Range_Stat) / 2))) / MIN(MAX(70, (70 * (1 + ($A317 / 3)))), 120))</f>
        <v>4.583651642</v>
      </c>
      <c r="K317" s="269">
        <f>IF(A317&lt;=DPS_Graph_Max,IF(A317&gt;=DPS_Graph_Speed_Min,A317,),)</f>
        <v>0.74</v>
      </c>
      <c r="M317" s="213">
        <f>If(DPS_Weapon_Type="远程",$E317/60+$F317*2,$E317/60+$F317+$G317/2+$H317)</f>
        <v>0.0908045977</v>
      </c>
      <c r="N317" s="104">
        <f>IF(DPS_Graph_Tooltip_Speed=TRUE,IF($A317&lt;=DPS_Graph_Max,IF($A317&gt;=DPS_Graph_Speed_Min,1/M317,),),)</f>
        <v>11.01265823</v>
      </c>
      <c r="R317" s="104" t="str">
        <f>IF(DPS_Graph_Tooltip_Speed=TRUE,IF($E$8=$A317,1/$N$6,),)</f>
        <v/>
      </c>
    </row>
    <row r="318">
      <c r="A318" s="370">
        <v>0.75</v>
      </c>
      <c r="B318" s="213">
        <f>If(DPS_Weapon_Type="远程",($E318+1)/60+(ROUNDDOWN($F318*60+1,0)/60)*2,(ROUNDDOWN(($E318+1)+ROUNDDOWN($F318*60+1,0)+ROUNDDOWN($G318/2*60+1,0)+ROUNDDOWN($H318*60+1,0)+1,0))/60+If(DPS_ATK_TYPE="挥砍",1/60)+If(DPS_ATK_TYPE="挥砍/刺击",1/120))+DPS_Weapon_Randomization/60</f>
        <v>0.1383333333</v>
      </c>
      <c r="C318" s="104">
        <f>IF(DPS_Graph_True_Speed=TRUE,IF($A318&lt;=DPS_Graph_Max,IF($A318&gt;=DPS_Graph_Speed_Min,1/B318,),),)</f>
        <v>7.228915663</v>
      </c>
      <c r="D318" s="115" t="str">
        <f>IF(DPS_Graph_True_Speed=TRUE,IF($E$8=$A318,DPS_Attacks_P_Sec,),)</f>
        <v/>
      </c>
      <c r="E318" s="222">
        <f>ROUNDDOWN(MAX(2,IF(A318&gt;=0, DPS_Base_Wpn_Spd/(1+A318),DPS_Base_Wpn_Spd*(1+ABS(A318)))),0)</f>
        <v>2</v>
      </c>
      <c r="F318" s="232">
        <f>IF(A318&gt;=0, DPS_Base_Recoil/(1+A318),DPS_Base_Recoil)</f>
        <v>0.02857142857</v>
      </c>
      <c r="G318" s="377">
        <f t="shared" si="7"/>
        <v>0.8107142857</v>
      </c>
      <c r="H318" s="377">
        <f t="shared" si="8"/>
        <v>0.06153846154</v>
      </c>
      <c r="I318" s="104"/>
      <c r="J318" s="377">
        <f>MAX(0, Max(25,(DPS_Base_Range + ((DPS_Range_Stat) / 2))) / MIN(MAX(70, (70 * (1 + ($A318 / 3)))), 120))</f>
        <v>4.571428571</v>
      </c>
      <c r="K318" s="269">
        <f>IF(A318&lt;=DPS_Graph_Max,IF(A318&gt;=DPS_Graph_Speed_Min,A318,),)</f>
        <v>0.75</v>
      </c>
      <c r="M318" s="213">
        <f>If(DPS_Weapon_Type="远程",$E318/60+$F318*2,$E318/60+$F318+$G318/2+$H318)</f>
        <v>0.09047619048</v>
      </c>
      <c r="N318" s="104">
        <f>IF(DPS_Graph_Tooltip_Speed=TRUE,IF($A318&lt;=DPS_Graph_Max,IF($A318&gt;=DPS_Graph_Speed_Min,1/M318,),),)</f>
        <v>11.05263158</v>
      </c>
      <c r="R318" s="104" t="str">
        <f>IF(DPS_Graph_Tooltip_Speed=TRUE,IF($E$8=$A318,1/$N$6,),)</f>
        <v/>
      </c>
    </row>
    <row r="319">
      <c r="A319" s="370">
        <v>0.76</v>
      </c>
      <c r="B319" s="213">
        <f>If(DPS_Weapon_Type="远程",($E319+1)/60+(ROUNDDOWN($F319*60+1,0)/60)*2,(ROUNDDOWN(($E319+1)+ROUNDDOWN($F319*60+1,0)+ROUNDDOWN($G319/2*60+1,0)+ROUNDDOWN($H319*60+1,0)+1,0))/60+If(DPS_ATK_TYPE="挥砍",1/60)+If(DPS_ATK_TYPE="挥砍/刺击",1/120))+DPS_Weapon_Randomization/60</f>
        <v>0.1383333333</v>
      </c>
      <c r="C319" s="104">
        <f>IF(DPS_Graph_True_Speed=TRUE,IF($A319&lt;=DPS_Graph_Max,IF($A319&gt;=DPS_Graph_Speed_Min,1/B319,),),)</f>
        <v>7.228915663</v>
      </c>
      <c r="D319" s="115" t="str">
        <f>IF(DPS_Graph_True_Speed=TRUE,IF($E$8=$A319,DPS_Attacks_P_Sec,),)</f>
        <v/>
      </c>
      <c r="E319" s="222">
        <f>ROUNDDOWN(MAX(2,IF(A319&gt;=0, DPS_Base_Wpn_Spd/(1+A319),DPS_Base_Wpn_Spd*(1+ABS(A319)))),0)</f>
        <v>2</v>
      </c>
      <c r="F319" s="232">
        <f>IF(A319&gt;=0, DPS_Base_Recoil/(1+A319),DPS_Base_Recoil)</f>
        <v>0.02840909091</v>
      </c>
      <c r="G319" s="377">
        <f t="shared" si="7"/>
        <v>0.8078905775</v>
      </c>
      <c r="H319" s="377">
        <f t="shared" si="8"/>
        <v>0.06097560976</v>
      </c>
      <c r="I319" s="104"/>
      <c r="J319" s="377">
        <f>MAX(0, Max(25,(DPS_Base_Range + ((DPS_Range_Stat) / 2))) / MIN(MAX(70, (70 * (1 + ($A319 / 3)))), 120))</f>
        <v>4.559270517</v>
      </c>
      <c r="K319" s="269">
        <f>IF(A319&lt;=DPS_Graph_Max,IF(A319&gt;=DPS_Graph_Speed_Min,A319,),)</f>
        <v>0.76</v>
      </c>
      <c r="M319" s="213">
        <f>If(DPS_Weapon_Type="远程",$E319/60+$F319*2,$E319/60+$F319+$G319/2+$H319)</f>
        <v>0.09015151515</v>
      </c>
      <c r="N319" s="104">
        <f>IF(DPS_Graph_Tooltip_Speed=TRUE,IF($A319&lt;=DPS_Graph_Max,IF($A319&gt;=DPS_Graph_Speed_Min,1/M319,),),)</f>
        <v>11.09243697</v>
      </c>
      <c r="R319" s="104" t="str">
        <f>IF(DPS_Graph_Tooltip_Speed=TRUE,IF($E$8=$A319,1/$N$6,),)</f>
        <v/>
      </c>
    </row>
    <row r="320">
      <c r="A320" s="370">
        <v>0.77</v>
      </c>
      <c r="B320" s="213">
        <f>If(DPS_Weapon_Type="远程",($E320+1)/60+(ROUNDDOWN($F320*60+1,0)/60)*2,(ROUNDDOWN(($E320+1)+ROUNDDOWN($F320*60+1,0)+ROUNDDOWN($G320/2*60+1,0)+ROUNDDOWN($H320*60+1,0)+1,0))/60+If(DPS_ATK_TYPE="挥砍",1/60)+If(DPS_ATK_TYPE="挥砍/刺击",1/120))+DPS_Weapon_Randomization/60</f>
        <v>0.1383333333</v>
      </c>
      <c r="C320" s="104">
        <f>IF(DPS_Graph_True_Speed=TRUE,IF($A320&lt;=DPS_Graph_Max,IF($A320&gt;=DPS_Graph_Speed_Min,1/B320,),),)</f>
        <v>7.228915663</v>
      </c>
      <c r="D320" s="115" t="str">
        <f>IF(DPS_Graph_True_Speed=TRUE,IF($E$8=$A320,DPS_Attacks_P_Sec,),)</f>
        <v/>
      </c>
      <c r="E320" s="222">
        <f>ROUNDDOWN(MAX(2,IF(A320&gt;=0, DPS_Base_Wpn_Spd/(1+A320),DPS_Base_Wpn_Spd*(1+ABS(A320)))),0)</f>
        <v>2</v>
      </c>
      <c r="F320" s="232">
        <f>IF(A320&gt;=0, DPS_Base_Recoil/(1+A320),DPS_Base_Recoil)</f>
        <v>0.02824858757</v>
      </c>
      <c r="G320" s="377">
        <f t="shared" si="7"/>
        <v>0.8050765441</v>
      </c>
      <c r="H320" s="377">
        <f t="shared" si="8"/>
        <v>0.06042296073</v>
      </c>
      <c r="I320" s="104"/>
      <c r="J320" s="377">
        <f>MAX(0, Max(25,(DPS_Base_Range + ((DPS_Range_Stat) / 2))) / MIN(MAX(70, (70 * (1 + ($A320 / 3)))), 120))</f>
        <v>4.547176961</v>
      </c>
      <c r="K320" s="269">
        <f>IF(A320&lt;=DPS_Graph_Max,IF(A320&gt;=DPS_Graph_Speed_Min,A320,),)</f>
        <v>0.77</v>
      </c>
      <c r="M320" s="213">
        <f>If(DPS_Weapon_Type="远程",$E320/60+$F320*2,$E320/60+$F320+$G320/2+$H320)</f>
        <v>0.08983050847</v>
      </c>
      <c r="N320" s="104">
        <f>IF(DPS_Graph_Tooltip_Speed=TRUE,IF($A320&lt;=DPS_Graph_Max,IF($A320&gt;=DPS_Graph_Speed_Min,1/M320,),),)</f>
        <v>11.13207547</v>
      </c>
      <c r="R320" s="104" t="str">
        <f>IF(DPS_Graph_Tooltip_Speed=TRUE,IF($E$8=$A320,1/$N$6,),)</f>
        <v/>
      </c>
    </row>
    <row r="321">
      <c r="A321" s="370">
        <v>0.78</v>
      </c>
      <c r="B321" s="213">
        <f>If(DPS_Weapon_Type="远程",($E321+1)/60+(ROUNDDOWN($F321*60+1,0)/60)*2,(ROUNDDOWN(($E321+1)+ROUNDDOWN($F321*60+1,0)+ROUNDDOWN($G321/2*60+1,0)+ROUNDDOWN($H321*60+1,0)+1,0))/60+If(DPS_ATK_TYPE="挥砍",1/60)+If(DPS_ATK_TYPE="挥砍/刺击",1/120))+DPS_Weapon_Randomization/60</f>
        <v>0.1383333333</v>
      </c>
      <c r="C321" s="104">
        <f>IF(DPS_Graph_True_Speed=TRUE,IF($A321&lt;=DPS_Graph_Max,IF($A321&gt;=DPS_Graph_Speed_Min,1/B321,),),)</f>
        <v>7.228915663</v>
      </c>
      <c r="D321" s="115" t="str">
        <f>IF(DPS_Graph_True_Speed=TRUE,IF($E$8=$A321,DPS_Attacks_P_Sec,),)</f>
        <v/>
      </c>
      <c r="E321" s="222">
        <f>ROUNDDOWN(MAX(2,IF(A321&gt;=0, DPS_Base_Wpn_Spd/(1+A321),DPS_Base_Wpn_Spd*(1+ABS(A321)))),0)</f>
        <v>2</v>
      </c>
      <c r="F321" s="232">
        <f>IF(A321&gt;=0, DPS_Base_Recoil/(1+A321),DPS_Base_Recoil)</f>
        <v>0.02808988764</v>
      </c>
      <c r="G321" s="377">
        <f t="shared" si="7"/>
        <v>0.8022721088</v>
      </c>
      <c r="H321" s="377">
        <f t="shared" si="8"/>
        <v>0.05988023952</v>
      </c>
      <c r="I321" s="104"/>
      <c r="J321" s="377">
        <f>MAX(0, Max(25,(DPS_Base_Range + ((DPS_Range_Stat) / 2))) / MIN(MAX(70, (70 * (1 + ($A321 / 3)))), 120))</f>
        <v>4.535147392</v>
      </c>
      <c r="K321" s="269">
        <f>IF(A321&lt;=DPS_Graph_Max,IF(A321&gt;=DPS_Graph_Speed_Min,A321,),)</f>
        <v>0.78</v>
      </c>
      <c r="M321" s="213">
        <f>If(DPS_Weapon_Type="远程",$E321/60+$F321*2,$E321/60+$F321+$G321/2+$H321)</f>
        <v>0.08951310861</v>
      </c>
      <c r="N321" s="104">
        <f>IF(DPS_Graph_Tooltip_Speed=TRUE,IF($A321&lt;=DPS_Graph_Max,IF($A321&gt;=DPS_Graph_Speed_Min,1/M321,),),)</f>
        <v>11.17154812</v>
      </c>
      <c r="R321" s="104" t="str">
        <f>IF(DPS_Graph_Tooltip_Speed=TRUE,IF($E$8=$A321,1/$N$6,),)</f>
        <v/>
      </c>
    </row>
    <row r="322">
      <c r="A322" s="370">
        <v>0.79</v>
      </c>
      <c r="B322" s="213">
        <f>If(DPS_Weapon_Type="远程",($E322+1)/60+(ROUNDDOWN($F322*60+1,0)/60)*2,(ROUNDDOWN(($E322+1)+ROUNDDOWN($F322*60+1,0)+ROUNDDOWN($G322/2*60+1,0)+ROUNDDOWN($H322*60+1,0)+1,0))/60+If(DPS_ATK_TYPE="挥砍",1/60)+If(DPS_ATK_TYPE="挥砍/刺击",1/120))+DPS_Weapon_Randomization/60</f>
        <v>0.1383333333</v>
      </c>
      <c r="C322" s="104">
        <f>IF(DPS_Graph_True_Speed=TRUE,IF($A322&lt;=DPS_Graph_Max,IF($A322&gt;=DPS_Graph_Speed_Min,1/B322,),),)</f>
        <v>7.228915663</v>
      </c>
      <c r="D322" s="115" t="str">
        <f>IF(DPS_Graph_True_Speed=TRUE,IF($E$8=$A322,DPS_Attacks_P_Sec,),)</f>
        <v/>
      </c>
      <c r="E322" s="222">
        <f>ROUNDDOWN(MAX(2,IF(A322&gt;=0, DPS_Base_Wpn_Spd/(1+A322),DPS_Base_Wpn_Spd*(1+ABS(A322)))),0)</f>
        <v>2</v>
      </c>
      <c r="F322" s="232">
        <f>IF(A322&gt;=0, DPS_Base_Recoil/(1+A322),DPS_Base_Recoil)</f>
        <v>0.02793296089</v>
      </c>
      <c r="G322" s="377">
        <f t="shared" si="7"/>
        <v>0.7994771956</v>
      </c>
      <c r="H322" s="377">
        <f t="shared" si="8"/>
        <v>0.05934718101</v>
      </c>
      <c r="I322" s="104"/>
      <c r="J322" s="377">
        <f>MAX(0, Max(25,(DPS_Base_Range + ((DPS_Range_Stat) / 2))) / MIN(MAX(70, (70 * (1 + ($A322 / 3)))), 120))</f>
        <v>4.523181304</v>
      </c>
      <c r="K322" s="269">
        <f>IF(A322&lt;=DPS_Graph_Max,IF(A322&gt;=DPS_Graph_Speed_Min,A322,),)</f>
        <v>0.79</v>
      </c>
      <c r="M322" s="213">
        <f>If(DPS_Weapon_Type="远程",$E322/60+$F322*2,$E322/60+$F322+$G322/2+$H322)</f>
        <v>0.08919925512</v>
      </c>
      <c r="N322" s="104">
        <f>IF(DPS_Graph_Tooltip_Speed=TRUE,IF($A322&lt;=DPS_Graph_Max,IF($A322&gt;=DPS_Graph_Speed_Min,1/M322,),),)</f>
        <v>11.21085595</v>
      </c>
      <c r="R322" s="104" t="str">
        <f>IF(DPS_Graph_Tooltip_Speed=TRUE,IF($E$8=$A322,1/$N$6,),)</f>
        <v/>
      </c>
    </row>
    <row r="323">
      <c r="A323" s="370">
        <v>0.8</v>
      </c>
      <c r="B323" s="213">
        <f>If(DPS_Weapon_Type="远程",($E323+1)/60+(ROUNDDOWN($F323*60+1,0)/60)*2,(ROUNDDOWN(($E323+1)+ROUNDDOWN($F323*60+1,0)+ROUNDDOWN($G323/2*60+1,0)+ROUNDDOWN($H323*60+1,0)+1,0))/60+If(DPS_ATK_TYPE="挥砍",1/60)+If(DPS_ATK_TYPE="挥砍/刺击",1/120))+DPS_Weapon_Randomization/60</f>
        <v>0.1383333333</v>
      </c>
      <c r="C323" s="104">
        <f>IF(DPS_Graph_True_Speed=TRUE,IF($A323&lt;=DPS_Graph_Max,IF($A323&gt;=DPS_Graph_Speed_Min,1/B323,),),)</f>
        <v>7.228915663</v>
      </c>
      <c r="D323" s="115" t="str">
        <f>IF(DPS_Graph_True_Speed=TRUE,IF($E$8=$A323,DPS_Attacks_P_Sec,),)</f>
        <v/>
      </c>
      <c r="E323" s="222">
        <f>ROUNDDOWN(MAX(2,IF(A323&gt;=0, DPS_Base_Wpn_Spd/(1+A323),DPS_Base_Wpn_Spd*(1+ABS(A323)))),0)</f>
        <v>2</v>
      </c>
      <c r="F323" s="232">
        <f>IF(A323&gt;=0, DPS_Base_Recoil/(1+A323),DPS_Base_Recoil)</f>
        <v>0.02777777778</v>
      </c>
      <c r="G323" s="377">
        <f t="shared" si="7"/>
        <v>0.7966917293</v>
      </c>
      <c r="H323" s="377">
        <f t="shared" si="8"/>
        <v>0.05882352941</v>
      </c>
      <c r="I323" s="104"/>
      <c r="J323" s="377">
        <f>MAX(0, Max(25,(DPS_Base_Range + ((DPS_Range_Stat) / 2))) / MIN(MAX(70, (70 * (1 + ($A323 / 3)))), 120))</f>
        <v>4.511278195</v>
      </c>
      <c r="K323" s="269">
        <f>IF(A323&lt;=DPS_Graph_Max,IF(A323&gt;=DPS_Graph_Speed_Min,A323,),)</f>
        <v>0.8</v>
      </c>
      <c r="M323" s="213">
        <f>If(DPS_Weapon_Type="远程",$E323/60+$F323*2,$E323/60+$F323+$G323/2+$H323)</f>
        <v>0.08888888889</v>
      </c>
      <c r="N323" s="104">
        <f>IF(DPS_Graph_Tooltip_Speed=TRUE,IF($A323&lt;=DPS_Graph_Max,IF($A323&gt;=DPS_Graph_Speed_Min,1/M323,),),)</f>
        <v>11.25</v>
      </c>
      <c r="R323" s="104" t="str">
        <f>IF(DPS_Graph_Tooltip_Speed=TRUE,IF($E$8=$A323,1/$N$6,),)</f>
        <v/>
      </c>
    </row>
    <row r="324">
      <c r="A324" s="370">
        <v>0.81</v>
      </c>
      <c r="B324" s="213">
        <f>If(DPS_Weapon_Type="远程",($E324+1)/60+(ROUNDDOWN($F324*60+1,0)/60)*2,(ROUNDDOWN(($E324+1)+ROUNDDOWN($F324*60+1,0)+ROUNDDOWN($G324/2*60+1,0)+ROUNDDOWN($H324*60+1,0)+1,0))/60+If(DPS_ATK_TYPE="挥砍",1/60)+If(DPS_ATK_TYPE="挥砍/刺击",1/120))+DPS_Weapon_Randomization/60</f>
        <v>0.1383333333</v>
      </c>
      <c r="C324" s="104">
        <f>IF(DPS_Graph_True_Speed=TRUE,IF($A324&lt;=DPS_Graph_Max,IF($A324&gt;=DPS_Graph_Speed_Min,1/B324,),),)</f>
        <v>7.228915663</v>
      </c>
      <c r="D324" s="115" t="str">
        <f>IF(DPS_Graph_True_Speed=TRUE,IF($E$8=$A324,DPS_Attacks_P_Sec,),)</f>
        <v/>
      </c>
      <c r="E324" s="222">
        <f>ROUNDDOWN(MAX(2,IF(A324&gt;=0, DPS_Base_Wpn_Spd/(1+A324),DPS_Base_Wpn_Spd*(1+ABS(A324)))),0)</f>
        <v>2</v>
      </c>
      <c r="F324" s="232">
        <f>IF(A324&gt;=0, DPS_Base_Recoil/(1+A324),DPS_Base_Recoil)</f>
        <v>0.02762430939</v>
      </c>
      <c r="G324" s="377">
        <f t="shared" si="7"/>
        <v>0.7939156355</v>
      </c>
      <c r="H324" s="377">
        <f t="shared" si="8"/>
        <v>0.0583090379</v>
      </c>
      <c r="I324" s="104"/>
      <c r="J324" s="377">
        <f>MAX(0, Max(25,(DPS_Base_Range + ((DPS_Range_Stat) / 2))) / MIN(MAX(70, (70 * (1 + ($A324 / 3)))), 120))</f>
        <v>4.49943757</v>
      </c>
      <c r="K324" s="269">
        <f>IF(A324&lt;=DPS_Graph_Max,IF(A324&gt;=DPS_Graph_Speed_Min,A324,),)</f>
        <v>0.81</v>
      </c>
      <c r="M324" s="213">
        <f>If(DPS_Weapon_Type="远程",$E324/60+$F324*2,$E324/60+$F324+$G324/2+$H324)</f>
        <v>0.08858195212</v>
      </c>
      <c r="N324" s="104">
        <f>IF(DPS_Graph_Tooltip_Speed=TRUE,IF($A324&lt;=DPS_Graph_Max,IF($A324&gt;=DPS_Graph_Speed_Min,1/M324,),),)</f>
        <v>11.28898129</v>
      </c>
      <c r="R324" s="104" t="str">
        <f>IF(DPS_Graph_Tooltip_Speed=TRUE,IF($E$8=$A324,1/$N$6,),)</f>
        <v/>
      </c>
    </row>
    <row r="325">
      <c r="A325" s="370">
        <v>0.82</v>
      </c>
      <c r="B325" s="213">
        <f>If(DPS_Weapon_Type="远程",($E325+1)/60+(ROUNDDOWN($F325*60+1,0)/60)*2,(ROUNDDOWN(($E325+1)+ROUNDDOWN($F325*60+1,0)+ROUNDDOWN($G325/2*60+1,0)+ROUNDDOWN($H325*60+1,0)+1,0))/60+If(DPS_ATK_TYPE="挥砍",1/60)+If(DPS_ATK_TYPE="挥砍/刺击",1/120))+DPS_Weapon_Randomization/60</f>
        <v>0.1383333333</v>
      </c>
      <c r="C325" s="104">
        <f>IF(DPS_Graph_True_Speed=TRUE,IF($A325&lt;=DPS_Graph_Max,IF($A325&gt;=DPS_Graph_Speed_Min,1/B325,),),)</f>
        <v>7.228915663</v>
      </c>
      <c r="D325" s="115" t="str">
        <f>IF(DPS_Graph_True_Speed=TRUE,IF($E$8=$A325,DPS_Attacks_P_Sec,),)</f>
        <v/>
      </c>
      <c r="E325" s="222">
        <f>ROUNDDOWN(MAX(2,IF(A325&gt;=0, DPS_Base_Wpn_Spd/(1+A325),DPS_Base_Wpn_Spd*(1+ABS(A325)))),0)</f>
        <v>2</v>
      </c>
      <c r="F325" s="232">
        <f>IF(A325&gt;=0, DPS_Base_Recoil/(1+A325),DPS_Base_Recoil)</f>
        <v>0.02747252747</v>
      </c>
      <c r="G325" s="377">
        <f t="shared" si="7"/>
        <v>0.7911488407</v>
      </c>
      <c r="H325" s="377">
        <f t="shared" si="8"/>
        <v>0.05780346821</v>
      </c>
      <c r="I325" s="104"/>
      <c r="J325" s="377">
        <f>MAX(0, Max(25,(DPS_Base_Range + ((DPS_Range_Stat) / 2))) / MIN(MAX(70, (70 * (1 + ($A325 / 3)))), 120))</f>
        <v>4.487658938</v>
      </c>
      <c r="K325" s="269">
        <f>IF(A325&lt;=DPS_Graph_Max,IF(A325&gt;=DPS_Graph_Speed_Min,A325,),)</f>
        <v>0.82</v>
      </c>
      <c r="M325" s="213">
        <f>If(DPS_Weapon_Type="远程",$E325/60+$F325*2,$E325/60+$F325+$G325/2+$H325)</f>
        <v>0.08827838828</v>
      </c>
      <c r="N325" s="104">
        <f>IF(DPS_Graph_Tooltip_Speed=TRUE,IF($A325&lt;=DPS_Graph_Max,IF($A325&gt;=DPS_Graph_Speed_Min,1/M325,),),)</f>
        <v>11.32780083</v>
      </c>
      <c r="R325" s="104" t="str">
        <f>IF(DPS_Graph_Tooltip_Speed=TRUE,IF($E$8=$A325,1/$N$6,),)</f>
        <v/>
      </c>
    </row>
    <row r="326">
      <c r="A326" s="370">
        <v>0.83</v>
      </c>
      <c r="B326" s="213">
        <f>If(DPS_Weapon_Type="远程",($E326+1)/60+(ROUNDDOWN($F326*60+1,0)/60)*2,(ROUNDDOWN(($E326+1)+ROUNDDOWN($F326*60+1,0)+ROUNDDOWN($G326/2*60+1,0)+ROUNDDOWN($H326*60+1,0)+1,0))/60+If(DPS_ATK_TYPE="挥砍",1/60)+If(DPS_ATK_TYPE="挥砍/刺击",1/120))+DPS_Weapon_Randomization/60</f>
        <v>0.1383333333</v>
      </c>
      <c r="C326" s="104">
        <f>IF(DPS_Graph_True_Speed=TRUE,IF($A326&lt;=DPS_Graph_Max,IF($A326&gt;=DPS_Graph_Speed_Min,1/B326,),),)</f>
        <v>7.228915663</v>
      </c>
      <c r="D326" s="115" t="str">
        <f>IF(DPS_Graph_True_Speed=TRUE,IF($E$8=$A326,DPS_Attacks_P_Sec,),)</f>
        <v/>
      </c>
      <c r="E326" s="222">
        <f>ROUNDDOWN(MAX(2,IF(A326&gt;=0, DPS_Base_Wpn_Spd/(1+A326),DPS_Base_Wpn_Spd*(1+ABS(A326)))),0)</f>
        <v>2</v>
      </c>
      <c r="F326" s="232">
        <f>IF(A326&gt;=0, DPS_Base_Recoil/(1+A326),DPS_Base_Recoil)</f>
        <v>0.02732240437</v>
      </c>
      <c r="G326" s="377">
        <f t="shared" si="7"/>
        <v>0.7883912719</v>
      </c>
      <c r="H326" s="377">
        <f t="shared" si="8"/>
        <v>0.05730659026</v>
      </c>
      <c r="I326" s="104"/>
      <c r="J326" s="377">
        <f>MAX(0, Max(25,(DPS_Base_Range + ((DPS_Range_Stat) / 2))) / MIN(MAX(70, (70 * (1 + ($A326 / 3)))), 120))</f>
        <v>4.475941813</v>
      </c>
      <c r="K326" s="269">
        <f>IF(A326&lt;=DPS_Graph_Max,IF(A326&gt;=DPS_Graph_Speed_Min,A326,),)</f>
        <v>0.83</v>
      </c>
      <c r="M326" s="213">
        <f>If(DPS_Weapon_Type="远程",$E326/60+$F326*2,$E326/60+$F326+$G326/2+$H326)</f>
        <v>0.08797814208</v>
      </c>
      <c r="N326" s="104">
        <f>IF(DPS_Graph_Tooltip_Speed=TRUE,IF($A326&lt;=DPS_Graph_Max,IF($A326&gt;=DPS_Graph_Speed_Min,1/M326,),),)</f>
        <v>11.36645963</v>
      </c>
      <c r="R326" s="104" t="str">
        <f>IF(DPS_Graph_Tooltip_Speed=TRUE,IF($E$8=$A326,1/$N$6,),)</f>
        <v/>
      </c>
    </row>
    <row r="327">
      <c r="A327" s="370">
        <v>0.84</v>
      </c>
      <c r="B327" s="213">
        <f>If(DPS_Weapon_Type="远程",($E327+1)/60+(ROUNDDOWN($F327*60+1,0)/60)*2,(ROUNDDOWN(($E327+1)+ROUNDDOWN($F327*60+1,0)+ROUNDDOWN($G327/2*60+1,0)+ROUNDDOWN($H327*60+1,0)+1,0))/60+If(DPS_ATK_TYPE="挥砍",1/60)+If(DPS_ATK_TYPE="挥砍/刺击",1/120))+DPS_Weapon_Randomization/60</f>
        <v>0.1383333333</v>
      </c>
      <c r="C327" s="104">
        <f>IF(DPS_Graph_True_Speed=TRUE,IF($A327&lt;=DPS_Graph_Max,IF($A327&gt;=DPS_Graph_Speed_Min,1/B327,),),)</f>
        <v>7.228915663</v>
      </c>
      <c r="D327" s="115" t="str">
        <f>IF(DPS_Graph_True_Speed=TRUE,IF($E$8=$A327,DPS_Attacks_P_Sec,),)</f>
        <v/>
      </c>
      <c r="E327" s="222">
        <f>ROUNDDOWN(MAX(2,IF(A327&gt;=0, DPS_Base_Wpn_Spd/(1+A327),DPS_Base_Wpn_Spd*(1+ABS(A327)))),0)</f>
        <v>2</v>
      </c>
      <c r="F327" s="232">
        <f>IF(A327&gt;=0, DPS_Base_Recoil/(1+A327),DPS_Base_Recoil)</f>
        <v>0.02717391304</v>
      </c>
      <c r="G327" s="377">
        <f t="shared" si="7"/>
        <v>0.7856428571</v>
      </c>
      <c r="H327" s="377">
        <f t="shared" si="8"/>
        <v>0.05681818182</v>
      </c>
      <c r="I327" s="104"/>
      <c r="J327" s="377">
        <f>MAX(0, Max(25,(DPS_Base_Range + ((DPS_Range_Stat) / 2))) / MIN(MAX(70, (70 * (1 + ($A327 / 3)))), 120))</f>
        <v>4.464285714</v>
      </c>
      <c r="K327" s="269">
        <f>IF(A327&lt;=DPS_Graph_Max,IF(A327&gt;=DPS_Graph_Speed_Min,A327,),)</f>
        <v>0.84</v>
      </c>
      <c r="M327" s="213">
        <f>If(DPS_Weapon_Type="远程",$E327/60+$F327*2,$E327/60+$F327+$G327/2+$H327)</f>
        <v>0.08768115942</v>
      </c>
      <c r="N327" s="104">
        <f>IF(DPS_Graph_Tooltip_Speed=TRUE,IF($A327&lt;=DPS_Graph_Max,IF($A327&gt;=DPS_Graph_Speed_Min,1/M327,),),)</f>
        <v>11.40495868</v>
      </c>
      <c r="R327" s="104" t="str">
        <f>IF(DPS_Graph_Tooltip_Speed=TRUE,IF($E$8=$A327,1/$N$6,),)</f>
        <v/>
      </c>
    </row>
    <row r="328">
      <c r="A328" s="370">
        <v>0.85</v>
      </c>
      <c r="B328" s="213">
        <f>If(DPS_Weapon_Type="远程",($E328+1)/60+(ROUNDDOWN($F328*60+1,0)/60)*2,(ROUNDDOWN(($E328+1)+ROUNDDOWN($F328*60+1,0)+ROUNDDOWN($G328/2*60+1,0)+ROUNDDOWN($H328*60+1,0)+1,0))/60+If(DPS_ATK_TYPE="挥砍",1/60)+If(DPS_ATK_TYPE="挥砍/刺击",1/120))+DPS_Weapon_Randomization/60</f>
        <v>0.1383333333</v>
      </c>
      <c r="C328" s="104">
        <f>IF(DPS_Graph_True_Speed=TRUE,IF($A328&lt;=DPS_Graph_Max,IF($A328&gt;=DPS_Graph_Speed_Min,1/B328,),),)</f>
        <v>7.228915663</v>
      </c>
      <c r="D328" s="115" t="str">
        <f>IF(DPS_Graph_True_Speed=TRUE,IF($E$8=$A328,DPS_Attacks_P_Sec,),)</f>
        <v/>
      </c>
      <c r="E328" s="222">
        <f>ROUNDDOWN(MAX(2,IF(A328&gt;=0, DPS_Base_Wpn_Spd/(1+A328),DPS_Base_Wpn_Spd*(1+ABS(A328)))),0)</f>
        <v>2</v>
      </c>
      <c r="F328" s="232">
        <f>IF(A328&gt;=0, DPS_Base_Recoil/(1+A328),DPS_Base_Recoil)</f>
        <v>0.02702702703</v>
      </c>
      <c r="G328" s="377">
        <f t="shared" si="7"/>
        <v>0.782903525</v>
      </c>
      <c r="H328" s="377">
        <f t="shared" si="8"/>
        <v>0.05633802817</v>
      </c>
      <c r="I328" s="104"/>
      <c r="J328" s="377">
        <f>MAX(0, Max(25,(DPS_Base_Range + ((DPS_Range_Stat) / 2))) / MIN(MAX(70, (70 * (1 + ($A328 / 3)))), 120))</f>
        <v>4.452690167</v>
      </c>
      <c r="K328" s="269">
        <f>IF(A328&lt;=DPS_Graph_Max,IF(A328&gt;=DPS_Graph_Speed_Min,A328,),)</f>
        <v>0.85</v>
      </c>
      <c r="M328" s="213">
        <f>If(DPS_Weapon_Type="远程",$E328/60+$F328*2,$E328/60+$F328+$G328/2+$H328)</f>
        <v>0.08738738739</v>
      </c>
      <c r="N328" s="104">
        <f>IF(DPS_Graph_Tooltip_Speed=TRUE,IF($A328&lt;=DPS_Graph_Max,IF($A328&gt;=DPS_Graph_Speed_Min,1/M328,),),)</f>
        <v>11.44329897</v>
      </c>
      <c r="R328" s="104" t="str">
        <f>IF(DPS_Graph_Tooltip_Speed=TRUE,IF($E$8=$A328,1/$N$6,),)</f>
        <v/>
      </c>
    </row>
    <row r="329">
      <c r="A329" s="370">
        <v>0.86</v>
      </c>
      <c r="B329" s="213">
        <f>If(DPS_Weapon_Type="远程",($E329+1)/60+(ROUNDDOWN($F329*60+1,0)/60)*2,(ROUNDDOWN(($E329+1)+ROUNDDOWN($F329*60+1,0)+ROUNDDOWN($G329/2*60+1,0)+ROUNDDOWN($H329*60+1,0)+1,0))/60+If(DPS_ATK_TYPE="挥砍",1/60)+If(DPS_ATK_TYPE="挥砍/刺击",1/120))+DPS_Weapon_Randomization/60</f>
        <v>0.1383333333</v>
      </c>
      <c r="C329" s="104">
        <f>IF(DPS_Graph_True_Speed=TRUE,IF($A329&lt;=DPS_Graph_Max,IF($A329&gt;=DPS_Graph_Speed_Min,1/B329,),),)</f>
        <v>7.228915663</v>
      </c>
      <c r="D329" s="115" t="str">
        <f>IF(DPS_Graph_True_Speed=TRUE,IF($E$8=$A329,DPS_Attacks_P_Sec,),)</f>
        <v/>
      </c>
      <c r="E329" s="222">
        <f>ROUNDDOWN(MAX(2,IF(A329&gt;=0, DPS_Base_Wpn_Spd/(1+A329),DPS_Base_Wpn_Spd*(1+ABS(A329)))),0)</f>
        <v>2</v>
      </c>
      <c r="F329" s="232">
        <f>IF(A329&gt;=0, DPS_Base_Recoil/(1+A329),DPS_Base_Recoil)</f>
        <v>0.02688172043</v>
      </c>
      <c r="G329" s="377">
        <f t="shared" si="7"/>
        <v>0.780173205</v>
      </c>
      <c r="H329" s="377">
        <f t="shared" si="8"/>
        <v>0.05586592179</v>
      </c>
      <c r="I329" s="104"/>
      <c r="J329" s="377">
        <f>MAX(0, Max(25,(DPS_Base_Range + ((DPS_Range_Stat) / 2))) / MIN(MAX(70, (70 * (1 + ($A329 / 3)))), 120))</f>
        <v>4.4411547</v>
      </c>
      <c r="K329" s="269">
        <f>IF(A329&lt;=DPS_Graph_Max,IF(A329&gt;=DPS_Graph_Speed_Min,A329,),)</f>
        <v>0.86</v>
      </c>
      <c r="M329" s="213">
        <f>If(DPS_Weapon_Type="远程",$E329/60+$F329*2,$E329/60+$F329+$G329/2+$H329)</f>
        <v>0.08709677419</v>
      </c>
      <c r="N329" s="104">
        <f>IF(DPS_Graph_Tooltip_Speed=TRUE,IF($A329&lt;=DPS_Graph_Max,IF($A329&gt;=DPS_Graph_Speed_Min,1/M329,),),)</f>
        <v>11.48148148</v>
      </c>
      <c r="R329" s="104" t="str">
        <f>IF(DPS_Graph_Tooltip_Speed=TRUE,IF($E$8=$A329,1/$N$6,),)</f>
        <v/>
      </c>
    </row>
    <row r="330">
      <c r="A330" s="370">
        <v>0.87</v>
      </c>
      <c r="B330" s="213">
        <f>If(DPS_Weapon_Type="远程",($E330+1)/60+(ROUNDDOWN($F330*60+1,0)/60)*2,(ROUNDDOWN(($E330+1)+ROUNDDOWN($F330*60+1,0)+ROUNDDOWN($G330/2*60+1,0)+ROUNDDOWN($H330*60+1,0)+1,0))/60+If(DPS_ATK_TYPE="挥砍",1/60)+If(DPS_ATK_TYPE="挥砍/刺击",1/120))+DPS_Weapon_Randomization/60</f>
        <v>0.1383333333</v>
      </c>
      <c r="C330" s="104">
        <f>IF(DPS_Graph_True_Speed=TRUE,IF($A330&lt;=DPS_Graph_Max,IF($A330&gt;=DPS_Graph_Speed_Min,1/B330,),),)</f>
        <v>7.228915663</v>
      </c>
      <c r="D330" s="115" t="str">
        <f>IF(DPS_Graph_True_Speed=TRUE,IF($E$8=$A330,DPS_Attacks_P_Sec,),)</f>
        <v/>
      </c>
      <c r="E330" s="222">
        <f>ROUNDDOWN(MAX(2,IF(A330&gt;=0, DPS_Base_Wpn_Spd/(1+A330),DPS_Base_Wpn_Spd*(1+ABS(A330)))),0)</f>
        <v>2</v>
      </c>
      <c r="F330" s="232">
        <f>IF(A330&gt;=0, DPS_Base_Recoil/(1+A330),DPS_Base_Recoil)</f>
        <v>0.02673796791</v>
      </c>
      <c r="G330" s="377">
        <f t="shared" si="7"/>
        <v>0.7774518272</v>
      </c>
      <c r="H330" s="377">
        <f t="shared" si="8"/>
        <v>0.05540166205</v>
      </c>
      <c r="I330" s="104"/>
      <c r="J330" s="377">
        <f>MAX(0, Max(25,(DPS_Base_Range + ((DPS_Range_Stat) / 2))) / MIN(MAX(70, (70 * (1 + ($A330 / 3)))), 120))</f>
        <v>4.429678848</v>
      </c>
      <c r="K330" s="269">
        <f>IF(A330&lt;=DPS_Graph_Max,IF(A330&gt;=DPS_Graph_Speed_Min,A330,),)</f>
        <v>0.87</v>
      </c>
      <c r="M330" s="213">
        <f>If(DPS_Weapon_Type="远程",$E330/60+$F330*2,$E330/60+$F330+$G330/2+$H330)</f>
        <v>0.08680926916</v>
      </c>
      <c r="N330" s="104">
        <f>IF(DPS_Graph_Tooltip_Speed=TRUE,IF($A330&lt;=DPS_Graph_Max,IF($A330&gt;=DPS_Graph_Speed_Min,1/M330,),),)</f>
        <v>11.51950719</v>
      </c>
      <c r="R330" s="104" t="str">
        <f>IF(DPS_Graph_Tooltip_Speed=TRUE,IF($E$8=$A330,1/$N$6,),)</f>
        <v/>
      </c>
    </row>
    <row r="331">
      <c r="A331" s="370">
        <v>0.88</v>
      </c>
      <c r="B331" s="213">
        <f>If(DPS_Weapon_Type="远程",($E331+1)/60+(ROUNDDOWN($F331*60+1,0)/60)*2,(ROUNDDOWN(($E331+1)+ROUNDDOWN($F331*60+1,0)+ROUNDDOWN($G331/2*60+1,0)+ROUNDDOWN($H331*60+1,0)+1,0))/60+If(DPS_ATK_TYPE="挥砍",1/60)+If(DPS_ATK_TYPE="挥砍/刺击",1/120))+DPS_Weapon_Randomization/60</f>
        <v>0.1383333333</v>
      </c>
      <c r="C331" s="104">
        <f>IF(DPS_Graph_True_Speed=TRUE,IF($A331&lt;=DPS_Graph_Max,IF($A331&gt;=DPS_Graph_Speed_Min,1/B331,),),)</f>
        <v>7.228915663</v>
      </c>
      <c r="D331" s="115" t="str">
        <f>IF(DPS_Graph_True_Speed=TRUE,IF($E$8=$A331,DPS_Attacks_P_Sec,),)</f>
        <v/>
      </c>
      <c r="E331" s="222">
        <f>ROUNDDOWN(MAX(2,IF(A331&gt;=0, DPS_Base_Wpn_Spd/(1+A331),DPS_Base_Wpn_Spd*(1+ABS(A331)))),0)</f>
        <v>2</v>
      </c>
      <c r="F331" s="232">
        <f>IF(A331&gt;=0, DPS_Base_Recoil/(1+A331),DPS_Base_Recoil)</f>
        <v>0.02659574468</v>
      </c>
      <c r="G331" s="377">
        <f t="shared" si="7"/>
        <v>0.7747393225</v>
      </c>
      <c r="H331" s="377">
        <f t="shared" si="8"/>
        <v>0.05494505495</v>
      </c>
      <c r="I331" s="104"/>
      <c r="J331" s="377">
        <f>MAX(0, Max(25,(DPS_Base_Range + ((DPS_Range_Stat) / 2))) / MIN(MAX(70, (70 * (1 + ($A331 / 3)))), 120))</f>
        <v>4.41826215</v>
      </c>
      <c r="K331" s="269">
        <f>IF(A331&lt;=DPS_Graph_Max,IF(A331&gt;=DPS_Graph_Speed_Min,A331,),)</f>
        <v>0.88</v>
      </c>
      <c r="M331" s="213">
        <f>If(DPS_Weapon_Type="远程",$E331/60+$F331*2,$E331/60+$F331+$G331/2+$H331)</f>
        <v>0.0865248227</v>
      </c>
      <c r="N331" s="104">
        <f>IF(DPS_Graph_Tooltip_Speed=TRUE,IF($A331&lt;=DPS_Graph_Max,IF($A331&gt;=DPS_Graph_Speed_Min,1/M331,),),)</f>
        <v>11.55737705</v>
      </c>
      <c r="R331" s="104" t="str">
        <f>IF(DPS_Graph_Tooltip_Speed=TRUE,IF($E$8=$A331,1/$N$6,),)</f>
        <v/>
      </c>
    </row>
    <row r="332">
      <c r="A332" s="370">
        <v>0.89</v>
      </c>
      <c r="B332" s="213">
        <f>If(DPS_Weapon_Type="远程",($E332+1)/60+(ROUNDDOWN($F332*60+1,0)/60)*2,(ROUNDDOWN(($E332+1)+ROUNDDOWN($F332*60+1,0)+ROUNDDOWN($G332/2*60+1,0)+ROUNDDOWN($H332*60+1,0)+1,0))/60+If(DPS_ATK_TYPE="挥砍",1/60)+If(DPS_ATK_TYPE="挥砍/刺击",1/120))+DPS_Weapon_Randomization/60</f>
        <v>0.1383333333</v>
      </c>
      <c r="C332" s="104">
        <f>IF(DPS_Graph_True_Speed=TRUE,IF($A332&lt;=DPS_Graph_Max,IF($A332&gt;=DPS_Graph_Speed_Min,1/B332,),),)</f>
        <v>7.228915663</v>
      </c>
      <c r="D332" s="115" t="str">
        <f>IF(DPS_Graph_True_Speed=TRUE,IF($E$8=$A332,DPS_Attacks_P_Sec,),)</f>
        <v/>
      </c>
      <c r="E332" s="222">
        <f>ROUNDDOWN(MAX(2,IF(A332&gt;=0, DPS_Base_Wpn_Spd/(1+A332),DPS_Base_Wpn_Spd*(1+ABS(A332)))),0)</f>
        <v>2</v>
      </c>
      <c r="F332" s="232">
        <f>IF(A332&gt;=0, DPS_Base_Recoil/(1+A332),DPS_Base_Recoil)</f>
        <v>0.02645502646</v>
      </c>
      <c r="G332" s="377">
        <f t="shared" si="7"/>
        <v>0.7720356225</v>
      </c>
      <c r="H332" s="377">
        <f t="shared" si="8"/>
        <v>0.05449591281</v>
      </c>
      <c r="I332" s="104"/>
      <c r="J332" s="377">
        <f>MAX(0, Max(25,(DPS_Base_Range + ((DPS_Range_Stat) / 2))) / MIN(MAX(70, (70 * (1 + ($A332 / 3)))), 120))</f>
        <v>4.40690415</v>
      </c>
      <c r="K332" s="269">
        <f>IF(A332&lt;=DPS_Graph_Max,IF(A332&gt;=DPS_Graph_Speed_Min,A332,),)</f>
        <v>0.89</v>
      </c>
      <c r="M332" s="213">
        <f>If(DPS_Weapon_Type="远程",$E332/60+$F332*2,$E332/60+$F332+$G332/2+$H332)</f>
        <v>0.08624338624</v>
      </c>
      <c r="N332" s="104">
        <f>IF(DPS_Graph_Tooltip_Speed=TRUE,IF($A332&lt;=DPS_Graph_Max,IF($A332&gt;=DPS_Graph_Speed_Min,1/M332,),),)</f>
        <v>11.59509202</v>
      </c>
      <c r="R332" s="104" t="str">
        <f>IF(DPS_Graph_Tooltip_Speed=TRUE,IF($E$8=$A332,1/$N$6,),)</f>
        <v/>
      </c>
    </row>
    <row r="333">
      <c r="A333" s="370">
        <v>0.9</v>
      </c>
      <c r="B333" s="213">
        <f>If(DPS_Weapon_Type="远程",($E333+1)/60+(ROUNDDOWN($F333*60+1,0)/60)*2,(ROUNDDOWN(($E333+1)+ROUNDDOWN($F333*60+1,0)+ROUNDDOWN($G333/2*60+1,0)+ROUNDDOWN($H333*60+1,0)+1,0))/60+If(DPS_ATK_TYPE="挥砍",1/60)+If(DPS_ATK_TYPE="挥砍/刺击",1/120))+DPS_Weapon_Randomization/60</f>
        <v>0.1383333333</v>
      </c>
      <c r="C333" s="104">
        <f>IF(DPS_Graph_True_Speed=TRUE,IF($A333&lt;=DPS_Graph_Max,IF($A333&gt;=DPS_Graph_Speed_Min,1/B333,),),)</f>
        <v>7.228915663</v>
      </c>
      <c r="D333" s="115" t="str">
        <f>IF(DPS_Graph_True_Speed=TRUE,IF($E$8=$A333,DPS_Attacks_P_Sec,),)</f>
        <v/>
      </c>
      <c r="E333" s="222">
        <f>ROUNDDOWN(MAX(2,IF(A333&gt;=0, DPS_Base_Wpn_Spd/(1+A333),DPS_Base_Wpn_Spd*(1+ABS(A333)))),0)</f>
        <v>2</v>
      </c>
      <c r="F333" s="232">
        <f>IF(A333&gt;=0, DPS_Base_Recoil/(1+A333),DPS_Base_Recoil)</f>
        <v>0.02631578947</v>
      </c>
      <c r="G333" s="377">
        <f t="shared" si="7"/>
        <v>0.7693406593</v>
      </c>
      <c r="H333" s="377">
        <f t="shared" si="8"/>
        <v>0.05405405405</v>
      </c>
      <c r="I333" s="104"/>
      <c r="J333" s="377">
        <f>MAX(0, Max(25,(DPS_Base_Range + ((DPS_Range_Stat) / 2))) / MIN(MAX(70, (70 * (1 + ($A333 / 3)))), 120))</f>
        <v>4.395604396</v>
      </c>
      <c r="K333" s="269">
        <f>IF(A333&lt;=DPS_Graph_Max,IF(A333&gt;=DPS_Graph_Speed_Min,A333,),)</f>
        <v>0.9</v>
      </c>
      <c r="M333" s="213">
        <f>If(DPS_Weapon_Type="远程",$E333/60+$F333*2,$E333/60+$F333+$G333/2+$H333)</f>
        <v>0.08596491228</v>
      </c>
      <c r="N333" s="104">
        <f>IF(DPS_Graph_Tooltip_Speed=TRUE,IF($A333&lt;=DPS_Graph_Max,IF($A333&gt;=DPS_Graph_Speed_Min,1/M333,),),)</f>
        <v>11.63265306</v>
      </c>
      <c r="R333" s="104" t="str">
        <f>IF(DPS_Graph_Tooltip_Speed=TRUE,IF($E$8=$A333,1/$N$6,),)</f>
        <v/>
      </c>
    </row>
    <row r="334">
      <c r="A334" s="370">
        <v>0.91</v>
      </c>
      <c r="B334" s="213">
        <f>If(DPS_Weapon_Type="远程",($E334+1)/60+(ROUNDDOWN($F334*60+1,0)/60)*2,(ROUNDDOWN(($E334+1)+ROUNDDOWN($F334*60+1,0)+ROUNDDOWN($G334/2*60+1,0)+ROUNDDOWN($H334*60+1,0)+1,0))/60+If(DPS_ATK_TYPE="挥砍",1/60)+If(DPS_ATK_TYPE="挥砍/刺击",1/120))+DPS_Weapon_Randomization/60</f>
        <v>0.1383333333</v>
      </c>
      <c r="C334" s="104">
        <f>IF(DPS_Graph_True_Speed=TRUE,IF($A334&lt;=DPS_Graph_Max,IF($A334&gt;=DPS_Graph_Speed_Min,1/B334,),),)</f>
        <v>7.228915663</v>
      </c>
      <c r="D334" s="115" t="str">
        <f>IF(DPS_Graph_True_Speed=TRUE,IF($E$8=$A334,DPS_Attacks_P_Sec,),)</f>
        <v/>
      </c>
      <c r="E334" s="222">
        <f>ROUNDDOWN(MAX(2,IF(A334&gt;=0, DPS_Base_Wpn_Spd/(1+A334),DPS_Base_Wpn_Spd*(1+ABS(A334)))),0)</f>
        <v>2</v>
      </c>
      <c r="F334" s="232">
        <f>IF(A334&gt;=0, DPS_Base_Recoil/(1+A334),DPS_Base_Recoil)</f>
        <v>0.02617801047</v>
      </c>
      <c r="G334" s="377">
        <f t="shared" si="7"/>
        <v>0.7666543661</v>
      </c>
      <c r="H334" s="377">
        <f t="shared" si="8"/>
        <v>0.05361930295</v>
      </c>
      <c r="I334" s="104"/>
      <c r="J334" s="377">
        <f>MAX(0, Max(25,(DPS_Base_Range + ((DPS_Range_Stat) / 2))) / MIN(MAX(70, (70 * (1 + ($A334 / 3)))), 120))</f>
        <v>4.384362441</v>
      </c>
      <c r="K334" s="269">
        <f>IF(A334&lt;=DPS_Graph_Max,IF(A334&gt;=DPS_Graph_Speed_Min,A334,),)</f>
        <v>0.91</v>
      </c>
      <c r="M334" s="213">
        <f>If(DPS_Weapon_Type="远程",$E334/60+$F334*2,$E334/60+$F334+$G334/2+$H334)</f>
        <v>0.08568935428</v>
      </c>
      <c r="N334" s="104">
        <f>IF(DPS_Graph_Tooltip_Speed=TRUE,IF($A334&lt;=DPS_Graph_Max,IF($A334&gt;=DPS_Graph_Speed_Min,1/M334,),),)</f>
        <v>11.6700611</v>
      </c>
      <c r="R334" s="104" t="str">
        <f>IF(DPS_Graph_Tooltip_Speed=TRUE,IF($E$8=$A334,1/$N$6,),)</f>
        <v/>
      </c>
    </row>
    <row r="335">
      <c r="A335" s="370">
        <v>0.92</v>
      </c>
      <c r="B335" s="213">
        <f>If(DPS_Weapon_Type="远程",($E335+1)/60+(ROUNDDOWN($F335*60+1,0)/60)*2,(ROUNDDOWN(($E335+1)+ROUNDDOWN($F335*60+1,0)+ROUNDDOWN($G335/2*60+1,0)+ROUNDDOWN($H335*60+1,0)+1,0))/60+If(DPS_ATK_TYPE="挥砍",1/60)+If(DPS_ATK_TYPE="挥砍/刺击",1/120))+DPS_Weapon_Randomization/60</f>
        <v>0.1383333333</v>
      </c>
      <c r="C335" s="104">
        <f>IF(DPS_Graph_True_Speed=TRUE,IF($A335&lt;=DPS_Graph_Max,IF($A335&gt;=DPS_Graph_Speed_Min,1/B335,),),)</f>
        <v>7.228915663</v>
      </c>
      <c r="D335" s="115" t="str">
        <f>IF(DPS_Graph_True_Speed=TRUE,IF($E$8=$A335,DPS_Attacks_P_Sec,),)</f>
        <v/>
      </c>
      <c r="E335" s="222">
        <f>ROUNDDOWN(MAX(2,IF(A335&gt;=0, DPS_Base_Wpn_Spd/(1+A335),DPS_Base_Wpn_Spd*(1+ABS(A335)))),0)</f>
        <v>2</v>
      </c>
      <c r="F335" s="232">
        <f>IF(A335&gt;=0, DPS_Base_Recoil/(1+A335),DPS_Base_Recoil)</f>
        <v>0.02604166667</v>
      </c>
      <c r="G335" s="377">
        <f t="shared" si="7"/>
        <v>0.7639766764</v>
      </c>
      <c r="H335" s="377">
        <f t="shared" si="8"/>
        <v>0.05319148936</v>
      </c>
      <c r="I335" s="104"/>
      <c r="J335" s="377">
        <f>MAX(0, Max(25,(DPS_Base_Range + ((DPS_Range_Stat) / 2))) / MIN(MAX(70, (70 * (1 + ($A335 / 3)))), 120))</f>
        <v>4.373177843</v>
      </c>
      <c r="K335" s="269">
        <f>IF(A335&lt;=DPS_Graph_Max,IF(A335&gt;=DPS_Graph_Speed_Min,A335,),)</f>
        <v>0.92</v>
      </c>
      <c r="M335" s="213">
        <f>If(DPS_Weapon_Type="远程",$E335/60+$F335*2,$E335/60+$F335+$G335/2+$H335)</f>
        <v>0.08541666667</v>
      </c>
      <c r="N335" s="104">
        <f>IF(DPS_Graph_Tooltip_Speed=TRUE,IF($A335&lt;=DPS_Graph_Max,IF($A335&gt;=DPS_Graph_Speed_Min,1/M335,),),)</f>
        <v>11.70731707</v>
      </c>
      <c r="R335" s="104" t="str">
        <f>IF(DPS_Graph_Tooltip_Speed=TRUE,IF($E$8=$A335,1/$N$6,),)</f>
        <v/>
      </c>
    </row>
    <row r="336">
      <c r="A336" s="370">
        <v>0.93</v>
      </c>
      <c r="B336" s="213">
        <f>If(DPS_Weapon_Type="远程",($E336+1)/60+(ROUNDDOWN($F336*60+1,0)/60)*2,(ROUNDDOWN(($E336+1)+ROUNDDOWN($F336*60+1,0)+ROUNDDOWN($G336/2*60+1,0)+ROUNDDOWN($H336*60+1,0)+1,0))/60+If(DPS_ATK_TYPE="挥砍",1/60)+If(DPS_ATK_TYPE="挥砍/刺击",1/120))+DPS_Weapon_Randomization/60</f>
        <v>0.1383333333</v>
      </c>
      <c r="C336" s="104">
        <f>IF(DPS_Graph_True_Speed=TRUE,IF($A336&lt;=DPS_Graph_Max,IF($A336&gt;=DPS_Graph_Speed_Min,1/B336,),),)</f>
        <v>7.228915663</v>
      </c>
      <c r="D336" s="115" t="str">
        <f>IF(DPS_Graph_True_Speed=TRUE,IF($E$8=$A336,DPS_Attacks_P_Sec,),)</f>
        <v/>
      </c>
      <c r="E336" s="222">
        <f>ROUNDDOWN(MAX(2,IF(A336&gt;=0, DPS_Base_Wpn_Spd/(1+A336),DPS_Base_Wpn_Spd*(1+ABS(A336)))),0)</f>
        <v>2</v>
      </c>
      <c r="F336" s="232">
        <f>IF(A336&gt;=0, DPS_Base_Recoil/(1+A336),DPS_Base_Recoil)</f>
        <v>0.02590673575</v>
      </c>
      <c r="G336" s="377">
        <f t="shared" si="7"/>
        <v>0.7613075245</v>
      </c>
      <c r="H336" s="377">
        <f t="shared" si="8"/>
        <v>0.05277044855</v>
      </c>
      <c r="I336" s="104"/>
      <c r="J336" s="377">
        <f>MAX(0, Max(25,(DPS_Base_Range + ((DPS_Range_Stat) / 2))) / MIN(MAX(70, (70 * (1 + ($A336 / 3)))), 120))</f>
        <v>4.362050164</v>
      </c>
      <c r="K336" s="269">
        <f>IF(A336&lt;=DPS_Graph_Max,IF(A336&gt;=DPS_Graph_Speed_Min,A336,),)</f>
        <v>0.93</v>
      </c>
      <c r="M336" s="213">
        <f>If(DPS_Weapon_Type="远程",$E336/60+$F336*2,$E336/60+$F336+$G336/2+$H336)</f>
        <v>0.08514680484</v>
      </c>
      <c r="N336" s="104">
        <f>IF(DPS_Graph_Tooltip_Speed=TRUE,IF($A336&lt;=DPS_Graph_Max,IF($A336&gt;=DPS_Graph_Speed_Min,1/M336,),),)</f>
        <v>11.74442191</v>
      </c>
      <c r="R336" s="104" t="str">
        <f>IF(DPS_Graph_Tooltip_Speed=TRUE,IF($E$8=$A336,1/$N$6,),)</f>
        <v/>
      </c>
    </row>
    <row r="337">
      <c r="A337" s="370">
        <v>0.94</v>
      </c>
      <c r="B337" s="213">
        <f>If(DPS_Weapon_Type="远程",($E337+1)/60+(ROUNDDOWN($F337*60+1,0)/60)*2,(ROUNDDOWN(($E337+1)+ROUNDDOWN($F337*60+1,0)+ROUNDDOWN($G337/2*60+1,0)+ROUNDDOWN($H337*60+1,0)+1,0))/60+If(DPS_ATK_TYPE="挥砍",1/60)+If(DPS_ATK_TYPE="挥砍/刺击",1/120))+DPS_Weapon_Randomization/60</f>
        <v>0.1383333333</v>
      </c>
      <c r="C337" s="104">
        <f>IF(DPS_Graph_True_Speed=TRUE,IF($A337&lt;=DPS_Graph_Max,IF($A337&gt;=DPS_Graph_Speed_Min,1/B337,),),)</f>
        <v>7.228915663</v>
      </c>
      <c r="D337" s="115" t="str">
        <f>IF(DPS_Graph_True_Speed=TRUE,IF($E$8=$A337,DPS_Attacks_P_Sec,),)</f>
        <v/>
      </c>
      <c r="E337" s="222">
        <f>ROUNDDOWN(MAX(2,IF(A337&gt;=0, DPS_Base_Wpn_Spd/(1+A337),DPS_Base_Wpn_Spd*(1+ABS(A337)))),0)</f>
        <v>2</v>
      </c>
      <c r="F337" s="232">
        <f>IF(A337&gt;=0, DPS_Base_Recoil/(1+A337),DPS_Base_Recoil)</f>
        <v>0.02577319588</v>
      </c>
      <c r="G337" s="377">
        <f t="shared" si="7"/>
        <v>0.7586468455</v>
      </c>
      <c r="H337" s="377">
        <f t="shared" si="8"/>
        <v>0.05235602094</v>
      </c>
      <c r="I337" s="104"/>
      <c r="J337" s="377">
        <f>MAX(0, Max(25,(DPS_Base_Range + ((DPS_Range_Stat) / 2))) / MIN(MAX(70, (70 * (1 + ($A337 / 3)))), 120))</f>
        <v>4.35097897</v>
      </c>
      <c r="K337" s="269">
        <f>IF(A337&lt;=DPS_Graph_Max,IF(A337&gt;=DPS_Graph_Speed_Min,A337,),)</f>
        <v>0.94</v>
      </c>
      <c r="M337" s="213">
        <f>If(DPS_Weapon_Type="远程",$E337/60+$F337*2,$E337/60+$F337+$G337/2+$H337)</f>
        <v>0.08487972509</v>
      </c>
      <c r="N337" s="104">
        <f>IF(DPS_Graph_Tooltip_Speed=TRUE,IF($A337&lt;=DPS_Graph_Max,IF($A337&gt;=DPS_Graph_Speed_Min,1/M337,),),)</f>
        <v>11.78137652</v>
      </c>
      <c r="R337" s="104" t="str">
        <f>IF(DPS_Graph_Tooltip_Speed=TRUE,IF($E$8=$A337,1/$N$6,),)</f>
        <v/>
      </c>
    </row>
    <row r="338">
      <c r="A338" s="370">
        <v>0.95</v>
      </c>
      <c r="B338" s="213">
        <f>If(DPS_Weapon_Type="远程",($E338+1)/60+(ROUNDDOWN($F338*60+1,0)/60)*2,(ROUNDDOWN(($E338+1)+ROUNDDOWN($F338*60+1,0)+ROUNDDOWN($G338/2*60+1,0)+ROUNDDOWN($H338*60+1,0)+1,0))/60+If(DPS_ATK_TYPE="挥砍",1/60)+If(DPS_ATK_TYPE="挥砍/刺击",1/120))+DPS_Weapon_Randomization/60</f>
        <v>0.1383333333</v>
      </c>
      <c r="C338" s="104">
        <f>IF(DPS_Graph_True_Speed=TRUE,IF($A338&lt;=DPS_Graph_Max,IF($A338&gt;=DPS_Graph_Speed_Min,1/B338,),),)</f>
        <v>7.228915663</v>
      </c>
      <c r="D338" s="115" t="str">
        <f>IF(DPS_Graph_True_Speed=TRUE,IF($E$8=$A338,DPS_Attacks_P_Sec,),)</f>
        <v/>
      </c>
      <c r="E338" s="222">
        <f>ROUNDDOWN(MAX(2,IF(A338&gt;=0, DPS_Base_Wpn_Spd/(1+A338),DPS_Base_Wpn_Spd*(1+ABS(A338)))),0)</f>
        <v>2</v>
      </c>
      <c r="F338" s="232">
        <f>IF(A338&gt;=0, DPS_Base_Recoil/(1+A338),DPS_Base_Recoil)</f>
        <v>0.02564102564</v>
      </c>
      <c r="G338" s="377">
        <f t="shared" si="7"/>
        <v>0.755994575</v>
      </c>
      <c r="H338" s="377">
        <f t="shared" si="8"/>
        <v>0.05194805195</v>
      </c>
      <c r="I338" s="104"/>
      <c r="J338" s="377">
        <f>MAX(0, Max(25,(DPS_Base_Range + ((DPS_Range_Stat) / 2))) / MIN(MAX(70, (70 * (1 + ($A338 / 3)))), 120))</f>
        <v>4.339963834</v>
      </c>
      <c r="K338" s="269">
        <f>IF(A338&lt;=DPS_Graph_Max,IF(A338&gt;=DPS_Graph_Speed_Min,A338,),)</f>
        <v>0.95</v>
      </c>
      <c r="M338" s="213">
        <f>If(DPS_Weapon_Type="远程",$E338/60+$F338*2,$E338/60+$F338+$G338/2+$H338)</f>
        <v>0.08461538462</v>
      </c>
      <c r="N338" s="104">
        <f>IF(DPS_Graph_Tooltip_Speed=TRUE,IF($A338&lt;=DPS_Graph_Max,IF($A338&gt;=DPS_Graph_Speed_Min,1/M338,),),)</f>
        <v>11.81818182</v>
      </c>
      <c r="R338" s="104" t="str">
        <f>IF(DPS_Graph_Tooltip_Speed=TRUE,IF($E$8=$A338,1/$N$6,),)</f>
        <v/>
      </c>
    </row>
    <row r="339">
      <c r="A339" s="370">
        <v>0.96</v>
      </c>
      <c r="B339" s="213">
        <f>If(DPS_Weapon_Type="远程",($E339+1)/60+(ROUNDDOWN($F339*60+1,0)/60)*2,(ROUNDDOWN(($E339+1)+ROUNDDOWN($F339*60+1,0)+ROUNDDOWN($G339/2*60+1,0)+ROUNDDOWN($H339*60+1,0)+1,0))/60+If(DPS_ATK_TYPE="挥砍",1/60)+If(DPS_ATK_TYPE="挥砍/刺击",1/120))+DPS_Weapon_Randomization/60</f>
        <v>0.1383333333</v>
      </c>
      <c r="C339" s="104">
        <f>IF(DPS_Graph_True_Speed=TRUE,IF($A339&lt;=DPS_Graph_Max,IF($A339&gt;=DPS_Graph_Speed_Min,1/B339,),),)</f>
        <v>7.228915663</v>
      </c>
      <c r="D339" s="115" t="str">
        <f>IF(DPS_Graph_True_Speed=TRUE,IF($E$8=$A339,DPS_Attacks_P_Sec,),)</f>
        <v/>
      </c>
      <c r="E339" s="222">
        <f>ROUNDDOWN(MAX(2,IF(A339&gt;=0, DPS_Base_Wpn_Spd/(1+A339),DPS_Base_Wpn_Spd*(1+ABS(A339)))),0)</f>
        <v>2</v>
      </c>
      <c r="F339" s="232">
        <f>IF(A339&gt;=0, DPS_Base_Recoil/(1+A339),DPS_Base_Recoil)</f>
        <v>0.02551020408</v>
      </c>
      <c r="G339" s="377">
        <f t="shared" si="7"/>
        <v>0.7533506494</v>
      </c>
      <c r="H339" s="377">
        <f t="shared" si="8"/>
        <v>0.05154639175</v>
      </c>
      <c r="I339" s="104"/>
      <c r="J339" s="377">
        <f>MAX(0, Max(25,(DPS_Base_Range + ((DPS_Range_Stat) / 2))) / MIN(MAX(70, (70 * (1 + ($A339 / 3)))), 120))</f>
        <v>4.329004329</v>
      </c>
      <c r="K339" s="269">
        <f>IF(A339&lt;=DPS_Graph_Max,IF(A339&gt;=DPS_Graph_Speed_Min,A339,),)</f>
        <v>0.96</v>
      </c>
      <c r="M339" s="213">
        <f>If(DPS_Weapon_Type="远程",$E339/60+$F339*2,$E339/60+$F339+$G339/2+$H339)</f>
        <v>0.0843537415</v>
      </c>
      <c r="N339" s="104">
        <f>IF(DPS_Graph_Tooltip_Speed=TRUE,IF($A339&lt;=DPS_Graph_Max,IF($A339&gt;=DPS_Graph_Speed_Min,1/M339,),),)</f>
        <v>11.85483871</v>
      </c>
      <c r="R339" s="104" t="str">
        <f>IF(DPS_Graph_Tooltip_Speed=TRUE,IF($E$8=$A339,1/$N$6,),)</f>
        <v/>
      </c>
    </row>
    <row r="340">
      <c r="A340" s="370">
        <v>0.97</v>
      </c>
      <c r="B340" s="213">
        <f>If(DPS_Weapon_Type="远程",($E340+1)/60+(ROUNDDOWN($F340*60+1,0)/60)*2,(ROUNDDOWN(($E340+1)+ROUNDDOWN($F340*60+1,0)+ROUNDDOWN($G340/2*60+1,0)+ROUNDDOWN($H340*60+1,0)+1,0))/60+If(DPS_ATK_TYPE="挥砍",1/60)+If(DPS_ATK_TYPE="挥砍/刺击",1/120))+DPS_Weapon_Randomization/60</f>
        <v>0.1383333333</v>
      </c>
      <c r="C340" s="104">
        <f>IF(DPS_Graph_True_Speed=TRUE,IF($A340&lt;=DPS_Graph_Max,IF($A340&gt;=DPS_Graph_Speed_Min,1/B340,),),)</f>
        <v>7.228915663</v>
      </c>
      <c r="D340" s="115" t="str">
        <f>IF(DPS_Graph_True_Speed=TRUE,IF($E$8=$A340,DPS_Attacks_P_Sec,),)</f>
        <v/>
      </c>
      <c r="E340" s="222">
        <f>ROUNDDOWN(MAX(2,IF(A340&gt;=0, DPS_Base_Wpn_Spd/(1+A340),DPS_Base_Wpn_Spd*(1+ABS(A340)))),0)</f>
        <v>2</v>
      </c>
      <c r="F340" s="232">
        <f>IF(A340&gt;=0, DPS_Base_Recoil/(1+A340),DPS_Base_Recoil)</f>
        <v>0.02538071066</v>
      </c>
      <c r="G340" s="377">
        <f t="shared" si="7"/>
        <v>0.7507150054</v>
      </c>
      <c r="H340" s="377">
        <f t="shared" si="8"/>
        <v>0.05115089514</v>
      </c>
      <c r="I340" s="104"/>
      <c r="J340" s="377">
        <f>MAX(0, Max(25,(DPS_Base_Range + ((DPS_Range_Stat) / 2))) / MIN(MAX(70, (70 * (1 + ($A340 / 3)))), 120))</f>
        <v>4.318100036</v>
      </c>
      <c r="K340" s="269">
        <f>IF(A340&lt;=DPS_Graph_Max,IF(A340&gt;=DPS_Graph_Speed_Min,A340,),)</f>
        <v>0.97</v>
      </c>
      <c r="M340" s="213">
        <f>If(DPS_Weapon_Type="远程",$E340/60+$F340*2,$E340/60+$F340+$G340/2+$H340)</f>
        <v>0.08409475465</v>
      </c>
      <c r="N340" s="104">
        <f>IF(DPS_Graph_Tooltip_Speed=TRUE,IF($A340&lt;=DPS_Graph_Max,IF($A340&gt;=DPS_Graph_Speed_Min,1/M340,),),)</f>
        <v>11.89134809</v>
      </c>
      <c r="R340" s="104" t="str">
        <f>IF(DPS_Graph_Tooltip_Speed=TRUE,IF($E$8=$A340,1/$N$6,),)</f>
        <v/>
      </c>
    </row>
    <row r="341">
      <c r="A341" s="370">
        <v>0.98</v>
      </c>
      <c r="B341" s="213">
        <f>If(DPS_Weapon_Type="远程",($E341+1)/60+(ROUNDDOWN($F341*60+1,0)/60)*2,(ROUNDDOWN(($E341+1)+ROUNDDOWN($F341*60+1,0)+ROUNDDOWN($G341/2*60+1,0)+ROUNDDOWN($H341*60+1,0)+1,0))/60+If(DPS_ATK_TYPE="挥砍",1/60)+If(DPS_ATK_TYPE="挥砍/刺击",1/120))+DPS_Weapon_Randomization/60</f>
        <v>0.1383333333</v>
      </c>
      <c r="C341" s="104">
        <f>IF(DPS_Graph_True_Speed=TRUE,IF($A341&lt;=DPS_Graph_Max,IF($A341&gt;=DPS_Graph_Speed_Min,1/B341,),),)</f>
        <v>7.228915663</v>
      </c>
      <c r="D341" s="115" t="str">
        <f>IF(DPS_Graph_True_Speed=TRUE,IF($E$8=$A341,DPS_Attacks_P_Sec,),)</f>
        <v/>
      </c>
      <c r="E341" s="222">
        <f>ROUNDDOWN(MAX(2,IF(A341&gt;=0, DPS_Base_Wpn_Spd/(1+A341),DPS_Base_Wpn_Spd*(1+ABS(A341)))),0)</f>
        <v>2</v>
      </c>
      <c r="F341" s="232">
        <f>IF(A341&gt;=0, DPS_Base_Recoil/(1+A341),DPS_Base_Recoil)</f>
        <v>0.02525252525</v>
      </c>
      <c r="G341" s="377">
        <f t="shared" si="7"/>
        <v>0.7480875808</v>
      </c>
      <c r="H341" s="377">
        <f t="shared" si="8"/>
        <v>0.05076142132</v>
      </c>
      <c r="I341" s="104"/>
      <c r="J341" s="377">
        <f>MAX(0, Max(25,(DPS_Base_Range + ((DPS_Range_Stat) / 2))) / MIN(MAX(70, (70 * (1 + ($A341 / 3)))), 120))</f>
        <v>4.307250538</v>
      </c>
      <c r="K341" s="269">
        <f>IF(A341&lt;=DPS_Graph_Max,IF(A341&gt;=DPS_Graph_Speed_Min,A341,),)</f>
        <v>0.98</v>
      </c>
      <c r="M341" s="213">
        <f>If(DPS_Weapon_Type="远程",$E341/60+$F341*2,$E341/60+$F341+$G341/2+$H341)</f>
        <v>0.08383838384</v>
      </c>
      <c r="N341" s="104">
        <f>IF(DPS_Graph_Tooltip_Speed=TRUE,IF($A341&lt;=DPS_Graph_Max,IF($A341&gt;=DPS_Graph_Speed_Min,1/M341,),),)</f>
        <v>11.92771084</v>
      </c>
      <c r="R341" s="104" t="str">
        <f>IF(DPS_Graph_Tooltip_Speed=TRUE,IF($E$8=$A341,1/$N$6,),)</f>
        <v/>
      </c>
    </row>
    <row r="342">
      <c r="A342" s="370">
        <v>0.99</v>
      </c>
      <c r="B342" s="213">
        <f>If(DPS_Weapon_Type="远程",($E342+1)/60+(ROUNDDOWN($F342*60+1,0)/60)*2,(ROUNDDOWN(($E342+1)+ROUNDDOWN($F342*60+1,0)+ROUNDDOWN($G342/2*60+1,0)+ROUNDDOWN($H342*60+1,0)+1,0))/60+If(DPS_ATK_TYPE="挥砍",1/60)+If(DPS_ATK_TYPE="挥砍/刺击",1/120))+DPS_Weapon_Randomization/60</f>
        <v>0.1383333333</v>
      </c>
      <c r="C342" s="104">
        <f>IF(DPS_Graph_True_Speed=TRUE,IF($A342&lt;=DPS_Graph_Max,IF($A342&gt;=DPS_Graph_Speed_Min,1/B342,),),)</f>
        <v>7.228915663</v>
      </c>
      <c r="D342" s="115" t="str">
        <f>IF(DPS_Graph_True_Speed=TRUE,IF($E$8=$A342,DPS_Attacks_P_Sec,),)</f>
        <v/>
      </c>
      <c r="E342" s="222">
        <f>ROUNDDOWN(MAX(2,IF(A342&gt;=0, DPS_Base_Wpn_Spd/(1+A342),DPS_Base_Wpn_Spd*(1+ABS(A342)))),0)</f>
        <v>2</v>
      </c>
      <c r="F342" s="232">
        <f>IF(A342&gt;=0, DPS_Base_Recoil/(1+A342),DPS_Base_Recoil)</f>
        <v>0.02512562814</v>
      </c>
      <c r="G342" s="377">
        <f t="shared" si="7"/>
        <v>0.7454683136</v>
      </c>
      <c r="H342" s="377">
        <f t="shared" si="8"/>
        <v>0.05037783375</v>
      </c>
      <c r="I342" s="104"/>
      <c r="J342" s="377">
        <f>MAX(0, Max(25,(DPS_Base_Range + ((DPS_Range_Stat) / 2))) / MIN(MAX(70, (70 * (1 + ($A342 / 3)))), 120))</f>
        <v>4.296455424</v>
      </c>
      <c r="K342" s="269">
        <f>IF(A342&lt;=DPS_Graph_Max,IF(A342&gt;=DPS_Graph_Speed_Min,A342,),)</f>
        <v>0.99</v>
      </c>
      <c r="M342" s="213">
        <f>If(DPS_Weapon_Type="远程",$E342/60+$F342*2,$E342/60+$F342+$G342/2+$H342)</f>
        <v>0.08358458961</v>
      </c>
      <c r="N342" s="104">
        <f>IF(DPS_Graph_Tooltip_Speed=TRUE,IF($A342&lt;=DPS_Graph_Max,IF($A342&gt;=DPS_Graph_Speed_Min,1/M342,),),)</f>
        <v>11.96392786</v>
      </c>
      <c r="R342" s="104" t="str">
        <f>IF(DPS_Graph_Tooltip_Speed=TRUE,IF($E$8=$A342,1/$N$6,),)</f>
        <v/>
      </c>
    </row>
    <row r="343">
      <c r="A343" s="370">
        <v>1.0</v>
      </c>
      <c r="B343" s="213">
        <f>If(DPS_Weapon_Type="远程",($E343+1)/60+(ROUNDDOWN($F343*60+1,0)/60)*2,(ROUNDDOWN(($E343+1)+ROUNDDOWN($F343*60+1,0)+ROUNDDOWN($G343/2*60+1,0)+ROUNDDOWN($H343*60+1,0)+1,0))/60+If(DPS_ATK_TYPE="挥砍",1/60)+If(DPS_ATK_TYPE="挥砍/刺击",1/120))+DPS_Weapon_Randomization/60</f>
        <v>0.1383333333</v>
      </c>
      <c r="C343" s="104">
        <f>IF(DPS_Graph_True_Speed=TRUE,IF($A343&lt;=DPS_Graph_Max,IF($A343&gt;=DPS_Graph_Speed_Min,1/B343,),),)</f>
        <v>7.228915663</v>
      </c>
      <c r="D343" s="115" t="str">
        <f>IF(DPS_Graph_True_Speed=TRUE,IF($E$8=$A343,DPS_Attacks_P_Sec,),)</f>
        <v/>
      </c>
      <c r="E343" s="222">
        <f>ROUNDDOWN(MAX(2,IF(A343&gt;=0, DPS_Base_Wpn_Spd/(1+A343),DPS_Base_Wpn_Spd*(1+ABS(A343)))),0)</f>
        <v>2</v>
      </c>
      <c r="F343" s="232">
        <f>IF(A343&gt;=0, DPS_Base_Recoil/(1+A343),DPS_Base_Recoil)</f>
        <v>0.025</v>
      </c>
      <c r="G343" s="377">
        <f t="shared" si="7"/>
        <v>0.7428571429</v>
      </c>
      <c r="H343" s="377">
        <f t="shared" si="8"/>
        <v>0.05</v>
      </c>
      <c r="I343" s="104"/>
      <c r="J343" s="377">
        <f>MAX(0, Max(25,(DPS_Base_Range + ((DPS_Range_Stat) / 2))) / MIN(MAX(70, (70 * (1 + ($A343 / 3)))), 120))</f>
        <v>4.285714286</v>
      </c>
      <c r="K343" s="269">
        <f>IF(A343&lt;=DPS_Graph_Max,IF(A343&gt;=DPS_Graph_Speed_Min,A343,),)</f>
        <v>1</v>
      </c>
      <c r="M343" s="213">
        <f>If(DPS_Weapon_Type="远程",$E343/60+$F343*2,$E343/60+$F343+$G343/2+$H343)</f>
        <v>0.08333333333</v>
      </c>
      <c r="N343" s="104">
        <f>IF(DPS_Graph_Tooltip_Speed=TRUE,IF($A343&lt;=DPS_Graph_Max,IF($A343&gt;=DPS_Graph_Speed_Min,1/M343,),),)</f>
        <v>12</v>
      </c>
      <c r="R343" s="104" t="str">
        <f>IF(DPS_Graph_Tooltip_Speed=TRUE,IF($E$8=$A343,1/$N$6,),)</f>
        <v/>
      </c>
    </row>
    <row r="344">
      <c r="A344" s="370">
        <v>1.01</v>
      </c>
      <c r="B344" s="213">
        <f>If(DPS_Weapon_Type="远程",($E344+1)/60+(ROUNDDOWN($F344*60+1,0)/60)*2,(ROUNDDOWN(($E344+1)+ROUNDDOWN($F344*60+1,0)+ROUNDDOWN($G344/2*60+1,0)+ROUNDDOWN($H344*60+1,0)+1,0))/60+If(DPS_ATK_TYPE="挥砍",1/60)+If(DPS_ATK_TYPE="挥砍/刺击",1/120))+DPS_Weapon_Randomization/60</f>
        <v>0.1383333333</v>
      </c>
      <c r="C344" s="104">
        <f>IF(DPS_Graph_True_Speed=TRUE,IF($A344&lt;=DPS_Graph_Max,IF($A344&gt;=DPS_Graph_Speed_Min,1/B344,),),)</f>
        <v>7.228915663</v>
      </c>
      <c r="D344" s="115" t="str">
        <f>IF(DPS_Graph_True_Speed=TRUE,IF($E$8=$A344,DPS_Attacks_P_Sec,),)</f>
        <v/>
      </c>
      <c r="E344" s="222">
        <f>ROUNDDOWN(MAX(2,IF(A344&gt;=0, DPS_Base_Wpn_Spd/(1+A344),DPS_Base_Wpn_Spd*(1+ABS(A344)))),0)</f>
        <v>2</v>
      </c>
      <c r="F344" s="232">
        <f>IF(A344&gt;=0, DPS_Base_Recoil/(1+A344),DPS_Base_Recoil)</f>
        <v>0.02487562189</v>
      </c>
      <c r="G344" s="377">
        <f t="shared" si="7"/>
        <v>0.7402540078</v>
      </c>
      <c r="H344" s="377">
        <f t="shared" si="8"/>
        <v>0.04962779156</v>
      </c>
      <c r="I344" s="104"/>
      <c r="J344" s="377">
        <f>MAX(0, Max(25,(DPS_Base_Range + ((DPS_Range_Stat) / 2))) / MIN(MAX(70, (70 * (1 + ($A344 / 3)))), 120))</f>
        <v>4.275026719</v>
      </c>
      <c r="K344" s="269">
        <f>IF(A344&lt;=DPS_Graph_Max,IF(A344&gt;=DPS_Graph_Speed_Min,A344,),)</f>
        <v>1.01</v>
      </c>
      <c r="M344" s="213">
        <f>If(DPS_Weapon_Type="远程",$E344/60+$F344*2,$E344/60+$F344+$G344/2+$H344)</f>
        <v>0.08308457711</v>
      </c>
      <c r="N344" s="104">
        <f>IF(DPS_Graph_Tooltip_Speed=TRUE,IF($A344&lt;=DPS_Graph_Max,IF($A344&gt;=DPS_Graph_Speed_Min,1/M344,),),)</f>
        <v>12.03592814</v>
      </c>
      <c r="R344" s="104" t="str">
        <f>IF(DPS_Graph_Tooltip_Speed=TRUE,IF($E$8=$A344,1/$N$6,),)</f>
        <v/>
      </c>
    </row>
    <row r="345">
      <c r="A345" s="370">
        <v>1.02</v>
      </c>
      <c r="B345" s="213">
        <f>If(DPS_Weapon_Type="远程",($E345+1)/60+(ROUNDDOWN($F345*60+1,0)/60)*2,(ROUNDDOWN(($E345+1)+ROUNDDOWN($F345*60+1,0)+ROUNDDOWN($G345/2*60+1,0)+ROUNDDOWN($H345*60+1,0)+1,0))/60+If(DPS_ATK_TYPE="挥砍",1/60)+If(DPS_ATK_TYPE="挥砍/刺击",1/120))+DPS_Weapon_Randomization/60</f>
        <v>0.1383333333</v>
      </c>
      <c r="C345" s="104">
        <f>IF(DPS_Graph_True_Speed=TRUE,IF($A345&lt;=DPS_Graph_Max,IF($A345&gt;=DPS_Graph_Speed_Min,1/B345,),),)</f>
        <v>7.228915663</v>
      </c>
      <c r="D345" s="115" t="str">
        <f>IF(DPS_Graph_True_Speed=TRUE,IF($E$8=$A345,DPS_Attacks_P_Sec,),)</f>
        <v/>
      </c>
      <c r="E345" s="222">
        <f>ROUNDDOWN(MAX(2,IF(A345&gt;=0, DPS_Base_Wpn_Spd/(1+A345),DPS_Base_Wpn_Spd*(1+ABS(A345)))),0)</f>
        <v>2</v>
      </c>
      <c r="F345" s="232">
        <f>IF(A345&gt;=0, DPS_Base_Recoil/(1+A345),DPS_Base_Recoil)</f>
        <v>0.02475247525</v>
      </c>
      <c r="G345" s="377">
        <f t="shared" si="7"/>
        <v>0.7376588486</v>
      </c>
      <c r="H345" s="377">
        <f t="shared" si="8"/>
        <v>0.04926108374</v>
      </c>
      <c r="I345" s="104"/>
      <c r="J345" s="377">
        <f>MAX(0, Max(25,(DPS_Base_Range + ((DPS_Range_Stat) / 2))) / MIN(MAX(70, (70 * (1 + ($A345 / 3)))), 120))</f>
        <v>4.264392324</v>
      </c>
      <c r="K345" s="269">
        <f>IF(A345&lt;=DPS_Graph_Max,IF(A345&gt;=DPS_Graph_Speed_Min,A345,),)</f>
        <v>1.02</v>
      </c>
      <c r="M345" s="213">
        <f>If(DPS_Weapon_Type="远程",$E345/60+$F345*2,$E345/60+$F345+$G345/2+$H345)</f>
        <v>0.08283828383</v>
      </c>
      <c r="N345" s="104">
        <f>IF(DPS_Graph_Tooltip_Speed=TRUE,IF($A345&lt;=DPS_Graph_Max,IF($A345&gt;=DPS_Graph_Speed_Min,1/M345,),),)</f>
        <v>12.07171315</v>
      </c>
      <c r="R345" s="104" t="str">
        <f>IF(DPS_Graph_Tooltip_Speed=TRUE,IF($E$8=$A345,1/$N$6,),)</f>
        <v/>
      </c>
    </row>
    <row r="346">
      <c r="A346" s="370">
        <v>1.03</v>
      </c>
      <c r="B346" s="213">
        <f>If(DPS_Weapon_Type="远程",($E346+1)/60+(ROUNDDOWN($F346*60+1,0)/60)*2,(ROUNDDOWN(($E346+1)+ROUNDDOWN($F346*60+1,0)+ROUNDDOWN($G346/2*60+1,0)+ROUNDDOWN($H346*60+1,0)+1,0))/60+If(DPS_ATK_TYPE="挥砍",1/60)+If(DPS_ATK_TYPE="挥砍/刺击",1/120))+DPS_Weapon_Randomization/60</f>
        <v>0.1383333333</v>
      </c>
      <c r="C346" s="104">
        <f>IF(DPS_Graph_True_Speed=TRUE,IF($A346&lt;=DPS_Graph_Max,IF($A346&gt;=DPS_Graph_Speed_Min,1/B346,),),)</f>
        <v>7.228915663</v>
      </c>
      <c r="D346" s="115" t="str">
        <f>IF(DPS_Graph_True_Speed=TRUE,IF($E$8=$A346,DPS_Attacks_P_Sec,),)</f>
        <v/>
      </c>
      <c r="E346" s="222">
        <f>ROUNDDOWN(MAX(2,IF(A346&gt;=0, DPS_Base_Wpn_Spd/(1+A346),DPS_Base_Wpn_Spd*(1+ABS(A346)))),0)</f>
        <v>2</v>
      </c>
      <c r="F346" s="232">
        <f>IF(A346&gt;=0, DPS_Base_Recoil/(1+A346),DPS_Base_Recoil)</f>
        <v>0.02463054187</v>
      </c>
      <c r="G346" s="377">
        <f t="shared" si="7"/>
        <v>0.7350716058</v>
      </c>
      <c r="H346" s="377">
        <f t="shared" si="8"/>
        <v>0.0488997555</v>
      </c>
      <c r="I346" s="104"/>
      <c r="J346" s="377">
        <f>MAX(0, Max(25,(DPS_Base_Range + ((DPS_Range_Stat) / 2))) / MIN(MAX(70, (70 * (1 + ($A346 / 3)))), 120))</f>
        <v>4.253810705</v>
      </c>
      <c r="K346" s="269">
        <f>IF(A346&lt;=DPS_Graph_Max,IF(A346&gt;=DPS_Graph_Speed_Min,A346,),)</f>
        <v>1.03</v>
      </c>
      <c r="M346" s="213">
        <f>If(DPS_Weapon_Type="远程",$E346/60+$F346*2,$E346/60+$F346+$G346/2+$H346)</f>
        <v>0.08259441708</v>
      </c>
      <c r="N346" s="104">
        <f>IF(DPS_Graph_Tooltip_Speed=TRUE,IF($A346&lt;=DPS_Graph_Max,IF($A346&gt;=DPS_Graph_Speed_Min,1/M346,),),)</f>
        <v>12.10735586</v>
      </c>
      <c r="R346" s="104" t="str">
        <f>IF(DPS_Graph_Tooltip_Speed=TRUE,IF($E$8=$A346,1/$N$6,),)</f>
        <v/>
      </c>
    </row>
    <row r="347">
      <c r="A347" s="370">
        <v>1.04</v>
      </c>
      <c r="B347" s="213">
        <f>If(DPS_Weapon_Type="远程",($E347+1)/60+(ROUNDDOWN($F347*60+1,0)/60)*2,(ROUNDDOWN(($E347+1)+ROUNDDOWN($F347*60+1,0)+ROUNDDOWN($G347/2*60+1,0)+ROUNDDOWN($H347*60+1,0)+1,0))/60+If(DPS_ATK_TYPE="挥砍",1/60)+If(DPS_ATK_TYPE="挥砍/刺击",1/120))+DPS_Weapon_Randomization/60</f>
        <v>0.1383333333</v>
      </c>
      <c r="C347" s="104">
        <f>IF(DPS_Graph_True_Speed=TRUE,IF($A347&lt;=DPS_Graph_Max,IF($A347&gt;=DPS_Graph_Speed_Min,1/B347,),),)</f>
        <v>7.228915663</v>
      </c>
      <c r="D347" s="115" t="str">
        <f>IF(DPS_Graph_True_Speed=TRUE,IF($E$8=$A347,DPS_Attacks_P_Sec,),)</f>
        <v/>
      </c>
      <c r="E347" s="222">
        <f>ROUNDDOWN(MAX(2,IF(A347&gt;=0, DPS_Base_Wpn_Spd/(1+A347),DPS_Base_Wpn_Spd*(1+ABS(A347)))),0)</f>
        <v>2</v>
      </c>
      <c r="F347" s="232">
        <f>IF(A347&gt;=0, DPS_Base_Recoil/(1+A347),DPS_Base_Recoil)</f>
        <v>0.02450980392</v>
      </c>
      <c r="G347" s="377">
        <f t="shared" si="7"/>
        <v>0.7324922207</v>
      </c>
      <c r="H347" s="377">
        <f t="shared" si="8"/>
        <v>0.04854368932</v>
      </c>
      <c r="I347" s="104"/>
      <c r="J347" s="377">
        <f>MAX(0, Max(25,(DPS_Base_Range + ((DPS_Range_Stat) / 2))) / MIN(MAX(70, (70 * (1 + ($A347 / 3)))), 120))</f>
        <v>4.243281471</v>
      </c>
      <c r="K347" s="269">
        <f>IF(A347&lt;=DPS_Graph_Max,IF(A347&gt;=DPS_Graph_Speed_Min,A347,),)</f>
        <v>1.04</v>
      </c>
      <c r="M347" s="213">
        <f>If(DPS_Weapon_Type="远程",$E347/60+$F347*2,$E347/60+$F347+$G347/2+$H347)</f>
        <v>0.08235294118</v>
      </c>
      <c r="N347" s="104">
        <f>IF(DPS_Graph_Tooltip_Speed=TRUE,IF($A347&lt;=DPS_Graph_Max,IF($A347&gt;=DPS_Graph_Speed_Min,1/M347,),),)</f>
        <v>12.14285714</v>
      </c>
      <c r="R347" s="104" t="str">
        <f>IF(DPS_Graph_Tooltip_Speed=TRUE,IF($E$8=$A347,1/$N$6,),)</f>
        <v/>
      </c>
    </row>
    <row r="348">
      <c r="A348" s="370">
        <v>1.05</v>
      </c>
      <c r="B348" s="213">
        <f>If(DPS_Weapon_Type="远程",($E348+1)/60+(ROUNDDOWN($F348*60+1,0)/60)*2,(ROUNDDOWN(($E348+1)+ROUNDDOWN($F348*60+1,0)+ROUNDDOWN($G348/2*60+1,0)+ROUNDDOWN($H348*60+1,0)+1,0))/60+If(DPS_ATK_TYPE="挥砍",1/60)+If(DPS_ATK_TYPE="挥砍/刺击",1/120))+DPS_Weapon_Randomization/60</f>
        <v>0.1383333333</v>
      </c>
      <c r="C348" s="104">
        <f>IF(DPS_Graph_True_Speed=TRUE,IF($A348&lt;=DPS_Graph_Max,IF($A348&gt;=DPS_Graph_Speed_Min,1/B348,),),)</f>
        <v>7.228915663</v>
      </c>
      <c r="D348" s="115" t="str">
        <f>IF(DPS_Graph_True_Speed=TRUE,IF($E$8=$A348,DPS_Attacks_P_Sec,),)</f>
        <v/>
      </c>
      <c r="E348" s="222">
        <f>ROUNDDOWN(MAX(2,IF(A348&gt;=0, DPS_Base_Wpn_Spd/(1+A348),DPS_Base_Wpn_Spd*(1+ABS(A348)))),0)</f>
        <v>2</v>
      </c>
      <c r="F348" s="232">
        <f>IF(A348&gt;=0, DPS_Base_Recoil/(1+A348),DPS_Base_Recoil)</f>
        <v>0.0243902439</v>
      </c>
      <c r="G348" s="377">
        <f t="shared" si="7"/>
        <v>0.7299206349</v>
      </c>
      <c r="H348" s="377">
        <f t="shared" si="8"/>
        <v>0.04819277108</v>
      </c>
      <c r="I348" s="104"/>
      <c r="J348" s="377">
        <f>MAX(0, Max(25,(DPS_Base_Range + ((DPS_Range_Stat) / 2))) / MIN(MAX(70, (70 * (1 + ($A348 / 3)))), 120))</f>
        <v>4.232804233</v>
      </c>
      <c r="K348" s="269">
        <f>IF(A348&lt;=DPS_Graph_Max,IF(A348&gt;=DPS_Graph_Speed_Min,A348,),)</f>
        <v>1.05</v>
      </c>
      <c r="M348" s="213">
        <f>If(DPS_Weapon_Type="远程",$E348/60+$F348*2,$E348/60+$F348+$G348/2+$H348)</f>
        <v>0.08211382114</v>
      </c>
      <c r="N348" s="104">
        <f>IF(DPS_Graph_Tooltip_Speed=TRUE,IF($A348&lt;=DPS_Graph_Max,IF($A348&gt;=DPS_Graph_Speed_Min,1/M348,),),)</f>
        <v>12.17821782</v>
      </c>
      <c r="R348" s="104" t="str">
        <f>IF(DPS_Graph_Tooltip_Speed=TRUE,IF($E$8=$A348,1/$N$6,),)</f>
        <v/>
      </c>
    </row>
    <row r="349">
      <c r="A349" s="370">
        <v>1.06</v>
      </c>
      <c r="B349" s="213">
        <f>If(DPS_Weapon_Type="远程",($E349+1)/60+(ROUNDDOWN($F349*60+1,0)/60)*2,(ROUNDDOWN(($E349+1)+ROUNDDOWN($F349*60+1,0)+ROUNDDOWN($G349/2*60+1,0)+ROUNDDOWN($H349*60+1,0)+1,0))/60+If(DPS_ATK_TYPE="挥砍",1/60)+If(DPS_ATK_TYPE="挥砍/刺击",1/120))+DPS_Weapon_Randomization/60</f>
        <v>0.1383333333</v>
      </c>
      <c r="C349" s="104">
        <f>IF(DPS_Graph_True_Speed=TRUE,IF($A349&lt;=DPS_Graph_Max,IF($A349&gt;=DPS_Graph_Speed_Min,1/B349,),),)</f>
        <v>7.228915663</v>
      </c>
      <c r="D349" s="115" t="str">
        <f>IF(DPS_Graph_True_Speed=TRUE,IF($E$8=$A349,DPS_Attacks_P_Sec,),)</f>
        <v/>
      </c>
      <c r="E349" s="222">
        <f>ROUNDDOWN(MAX(2,IF(A349&gt;=0, DPS_Base_Wpn_Spd/(1+A349),DPS_Base_Wpn_Spd*(1+ABS(A349)))),0)</f>
        <v>2</v>
      </c>
      <c r="F349" s="232">
        <f>IF(A349&gt;=0, DPS_Base_Recoil/(1+A349),DPS_Base_Recoil)</f>
        <v>0.02427184466</v>
      </c>
      <c r="G349" s="377">
        <f t="shared" si="7"/>
        <v>0.727356791</v>
      </c>
      <c r="H349" s="377">
        <f t="shared" si="8"/>
        <v>0.04784688995</v>
      </c>
      <c r="I349" s="104"/>
      <c r="J349" s="377">
        <f>MAX(0, Max(25,(DPS_Base_Range + ((DPS_Range_Stat) / 2))) / MIN(MAX(70, (70 * (1 + ($A349 / 3)))), 120))</f>
        <v>4.222378607</v>
      </c>
      <c r="K349" s="269">
        <f>IF(A349&lt;=DPS_Graph_Max,IF(A349&gt;=DPS_Graph_Speed_Min,A349,),)</f>
        <v>1.06</v>
      </c>
      <c r="M349" s="213">
        <f>If(DPS_Weapon_Type="远程",$E349/60+$F349*2,$E349/60+$F349+$G349/2+$H349)</f>
        <v>0.08187702265</v>
      </c>
      <c r="N349" s="104">
        <f>IF(DPS_Graph_Tooltip_Speed=TRUE,IF($A349&lt;=DPS_Graph_Max,IF($A349&gt;=DPS_Graph_Speed_Min,1/M349,),),)</f>
        <v>12.21343874</v>
      </c>
      <c r="R349" s="104" t="str">
        <f>IF(DPS_Graph_Tooltip_Speed=TRUE,IF($E$8=$A349,1/$N$6,),)</f>
        <v/>
      </c>
    </row>
    <row r="350">
      <c r="A350" s="370">
        <v>1.07</v>
      </c>
      <c r="B350" s="213">
        <f>If(DPS_Weapon_Type="远程",($E350+1)/60+(ROUNDDOWN($F350*60+1,0)/60)*2,(ROUNDDOWN(($E350+1)+ROUNDDOWN($F350*60+1,0)+ROUNDDOWN($G350/2*60+1,0)+ROUNDDOWN($H350*60+1,0)+1,0))/60+If(DPS_ATK_TYPE="挥砍",1/60)+If(DPS_ATK_TYPE="挥砍/刺击",1/120))+DPS_Weapon_Randomization/60</f>
        <v>0.1383333333</v>
      </c>
      <c r="C350" s="104">
        <f>IF(DPS_Graph_True_Speed=TRUE,IF($A350&lt;=DPS_Graph_Max,IF($A350&gt;=DPS_Graph_Speed_Min,1/B350,),),)</f>
        <v>7.228915663</v>
      </c>
      <c r="D350" s="115" t="str">
        <f>IF(DPS_Graph_True_Speed=TRUE,IF($E$8=$A350,DPS_Attacks_P_Sec,),)</f>
        <v/>
      </c>
      <c r="E350" s="222">
        <f>ROUNDDOWN(MAX(2,IF(A350&gt;=0, DPS_Base_Wpn_Spd/(1+A350),DPS_Base_Wpn_Spd*(1+ABS(A350)))),0)</f>
        <v>2</v>
      </c>
      <c r="F350" s="232">
        <f>IF(A350&gt;=0, DPS_Base_Recoil/(1+A350),DPS_Base_Recoil)</f>
        <v>0.02415458937</v>
      </c>
      <c r="G350" s="377">
        <f t="shared" si="7"/>
        <v>0.7248006318</v>
      </c>
      <c r="H350" s="377">
        <f t="shared" si="8"/>
        <v>0.04750593824</v>
      </c>
      <c r="I350" s="104"/>
      <c r="J350" s="377">
        <f>MAX(0, Max(25,(DPS_Base_Range + ((DPS_Range_Stat) / 2))) / MIN(MAX(70, (70 * (1 + ($A350 / 3)))), 120))</f>
        <v>4.212004212</v>
      </c>
      <c r="K350" s="269">
        <f>IF(A350&lt;=DPS_Graph_Max,IF(A350&gt;=DPS_Graph_Speed_Min,A350,),)</f>
        <v>1.07</v>
      </c>
      <c r="M350" s="213">
        <f>If(DPS_Weapon_Type="远程",$E350/60+$F350*2,$E350/60+$F350+$G350/2+$H350)</f>
        <v>0.08164251208</v>
      </c>
      <c r="N350" s="104">
        <f>IF(DPS_Graph_Tooltip_Speed=TRUE,IF($A350&lt;=DPS_Graph_Max,IF($A350&gt;=DPS_Graph_Speed_Min,1/M350,),),)</f>
        <v>12.24852071</v>
      </c>
      <c r="R350" s="104" t="str">
        <f>IF(DPS_Graph_Tooltip_Speed=TRUE,IF($E$8=$A350,1/$N$6,),)</f>
        <v/>
      </c>
    </row>
    <row r="351">
      <c r="A351" s="370">
        <v>1.08</v>
      </c>
      <c r="B351" s="213">
        <f>If(DPS_Weapon_Type="远程",($E351+1)/60+(ROUNDDOWN($F351*60+1,0)/60)*2,(ROUNDDOWN(($E351+1)+ROUNDDOWN($F351*60+1,0)+ROUNDDOWN($G351/2*60+1,0)+ROUNDDOWN($H351*60+1,0)+1,0))/60+If(DPS_ATK_TYPE="挥砍",1/60)+If(DPS_ATK_TYPE="挥砍/刺击",1/120))+DPS_Weapon_Randomization/60</f>
        <v>0.1383333333</v>
      </c>
      <c r="C351" s="104">
        <f>IF(DPS_Graph_True_Speed=TRUE,IF($A351&lt;=DPS_Graph_Max,IF($A351&gt;=DPS_Graph_Speed_Min,1/B351,),),)</f>
        <v>7.228915663</v>
      </c>
      <c r="D351" s="115" t="str">
        <f>IF(DPS_Graph_True_Speed=TRUE,IF($E$8=$A351,DPS_Attacks_P_Sec,),)</f>
        <v/>
      </c>
      <c r="E351" s="222">
        <f>ROUNDDOWN(MAX(2,IF(A351&gt;=0, DPS_Base_Wpn_Spd/(1+A351),DPS_Base_Wpn_Spd*(1+ABS(A351)))),0)</f>
        <v>2</v>
      </c>
      <c r="F351" s="232">
        <f>IF(A351&gt;=0, DPS_Base_Recoil/(1+A351),DPS_Base_Recoil)</f>
        <v>0.02403846154</v>
      </c>
      <c r="G351" s="377">
        <f t="shared" si="7"/>
        <v>0.7222521008</v>
      </c>
      <c r="H351" s="377">
        <f t="shared" si="8"/>
        <v>0.04716981132</v>
      </c>
      <c r="I351" s="104"/>
      <c r="J351" s="377">
        <f>MAX(0, Max(25,(DPS_Base_Range + ((DPS_Range_Stat) / 2))) / MIN(MAX(70, (70 * (1 + ($A351 / 3)))), 120))</f>
        <v>4.201680672</v>
      </c>
      <c r="K351" s="269">
        <f>IF(A351&lt;=DPS_Graph_Max,IF(A351&gt;=DPS_Graph_Speed_Min,A351,),)</f>
        <v>1.08</v>
      </c>
      <c r="M351" s="213">
        <f>If(DPS_Weapon_Type="远程",$E351/60+$F351*2,$E351/60+$F351+$G351/2+$H351)</f>
        <v>0.08141025641</v>
      </c>
      <c r="N351" s="104">
        <f>IF(DPS_Graph_Tooltip_Speed=TRUE,IF($A351&lt;=DPS_Graph_Max,IF($A351&gt;=DPS_Graph_Speed_Min,1/M351,),),)</f>
        <v>12.28346457</v>
      </c>
      <c r="R351" s="104" t="str">
        <f>IF(DPS_Graph_Tooltip_Speed=TRUE,IF($E$8=$A351,1/$N$6,),)</f>
        <v/>
      </c>
    </row>
    <row r="352">
      <c r="A352" s="370">
        <v>1.09</v>
      </c>
      <c r="B352" s="213">
        <f>If(DPS_Weapon_Type="远程",($E352+1)/60+(ROUNDDOWN($F352*60+1,0)/60)*2,(ROUNDDOWN(($E352+1)+ROUNDDOWN($F352*60+1,0)+ROUNDDOWN($G352/2*60+1,0)+ROUNDDOWN($H352*60+1,0)+1,0))/60+If(DPS_ATK_TYPE="挥砍",1/60)+If(DPS_ATK_TYPE="挥砍/刺击",1/120))+DPS_Weapon_Randomization/60</f>
        <v>0.1383333333</v>
      </c>
      <c r="C352" s="104">
        <f>IF(DPS_Graph_True_Speed=TRUE,IF($A352&lt;=DPS_Graph_Max,IF($A352&gt;=DPS_Graph_Speed_Min,1/B352,),),)</f>
        <v>7.228915663</v>
      </c>
      <c r="D352" s="115" t="str">
        <f>IF(DPS_Graph_True_Speed=TRUE,IF($E$8=$A352,DPS_Attacks_P_Sec,),)</f>
        <v/>
      </c>
      <c r="E352" s="222">
        <f>ROUNDDOWN(MAX(2,IF(A352&gt;=0, DPS_Base_Wpn_Spd/(1+A352),DPS_Base_Wpn_Spd*(1+ABS(A352)))),0)</f>
        <v>2</v>
      </c>
      <c r="F352" s="232">
        <f>IF(A352&gt;=0, DPS_Base_Recoil/(1+A352),DPS_Base_Recoil)</f>
        <v>0.02392344498</v>
      </c>
      <c r="G352" s="377">
        <f t="shared" si="7"/>
        <v>0.7197111422</v>
      </c>
      <c r="H352" s="377">
        <f t="shared" si="8"/>
        <v>0.04683840749</v>
      </c>
      <c r="I352" s="104"/>
      <c r="J352" s="377">
        <f>MAX(0, Max(25,(DPS_Base_Range + ((DPS_Range_Stat) / 2))) / MIN(MAX(70, (70 * (1 + ($A352 / 3)))), 120))</f>
        <v>4.191407614</v>
      </c>
      <c r="K352" s="269">
        <f>IF(A352&lt;=DPS_Graph_Max,IF(A352&gt;=DPS_Graph_Speed_Min,A352,),)</f>
        <v>1.09</v>
      </c>
      <c r="M352" s="213">
        <f>If(DPS_Weapon_Type="远程",$E352/60+$F352*2,$E352/60+$F352+$G352/2+$H352)</f>
        <v>0.08118022329</v>
      </c>
      <c r="N352" s="104">
        <f>IF(DPS_Graph_Tooltip_Speed=TRUE,IF($A352&lt;=DPS_Graph_Max,IF($A352&gt;=DPS_Graph_Speed_Min,1/M352,),),)</f>
        <v>12.31827112</v>
      </c>
      <c r="R352" s="104" t="str">
        <f>IF(DPS_Graph_Tooltip_Speed=TRUE,IF($E$8=$A352,1/$N$6,),)</f>
        <v/>
      </c>
    </row>
    <row r="353">
      <c r="A353" s="370">
        <v>1.1</v>
      </c>
      <c r="B353" s="213">
        <f>If(DPS_Weapon_Type="远程",($E353+1)/60+(ROUNDDOWN($F353*60+1,0)/60)*2,(ROUNDDOWN(($E353+1)+ROUNDDOWN($F353*60+1,0)+ROUNDDOWN($G353/2*60+1,0)+ROUNDDOWN($H353*60+1,0)+1,0))/60+If(DPS_ATK_TYPE="挥砍",1/60)+If(DPS_ATK_TYPE="挥砍/刺击",1/120))+DPS_Weapon_Randomization/60</f>
        <v>0.1383333333</v>
      </c>
      <c r="C353" s="104">
        <f>IF(DPS_Graph_True_Speed=TRUE,IF($A353&lt;=DPS_Graph_Max,IF($A353&gt;=DPS_Graph_Speed_Min,1/B353,),),)</f>
        <v>7.228915663</v>
      </c>
      <c r="D353" s="115" t="str">
        <f>IF(DPS_Graph_True_Speed=TRUE,IF($E$8=$A353,DPS_Attacks_P_Sec,),)</f>
        <v/>
      </c>
      <c r="E353" s="222">
        <f>ROUNDDOWN(MAX(2,IF(A353&gt;=0, DPS_Base_Wpn_Spd/(1+A353),DPS_Base_Wpn_Spd*(1+ABS(A353)))),0)</f>
        <v>2</v>
      </c>
      <c r="F353" s="232">
        <f>IF(A353&gt;=0, DPS_Base_Recoil/(1+A353),DPS_Base_Recoil)</f>
        <v>0.02380952381</v>
      </c>
      <c r="G353" s="377">
        <f t="shared" si="7"/>
        <v>0.7171777003</v>
      </c>
      <c r="H353" s="377">
        <f t="shared" si="8"/>
        <v>0.04651162791</v>
      </c>
      <c r="I353" s="104"/>
      <c r="J353" s="377">
        <f>MAX(0, Max(25,(DPS_Base_Range + ((DPS_Range_Stat) / 2))) / MIN(MAX(70, (70 * (1 + ($A353 / 3)))), 120))</f>
        <v>4.181184669</v>
      </c>
      <c r="K353" s="269">
        <f>IF(A353&lt;=DPS_Graph_Max,IF(A353&gt;=DPS_Graph_Speed_Min,A353,),)</f>
        <v>1.1</v>
      </c>
      <c r="M353" s="213">
        <f>If(DPS_Weapon_Type="远程",$E353/60+$F353*2,$E353/60+$F353+$G353/2+$H353)</f>
        <v>0.08095238095</v>
      </c>
      <c r="N353" s="104">
        <f>IF(DPS_Graph_Tooltip_Speed=TRUE,IF($A353&lt;=DPS_Graph_Max,IF($A353&gt;=DPS_Graph_Speed_Min,1/M353,),),)</f>
        <v>12.35294118</v>
      </c>
      <c r="R353" s="104" t="str">
        <f>IF(DPS_Graph_Tooltip_Speed=TRUE,IF($E$8=$A353,1/$N$6,),)</f>
        <v/>
      </c>
    </row>
    <row r="354">
      <c r="A354" s="370">
        <v>1.11</v>
      </c>
      <c r="B354" s="213">
        <f>If(DPS_Weapon_Type="远程",($E354+1)/60+(ROUNDDOWN($F354*60+1,0)/60)*2,(ROUNDDOWN(($E354+1)+ROUNDDOWN($F354*60+1,0)+ROUNDDOWN($G354/2*60+1,0)+ROUNDDOWN($H354*60+1,0)+1,0))/60+If(DPS_ATK_TYPE="挥砍",1/60)+If(DPS_ATK_TYPE="挥砍/刺击",1/120))+DPS_Weapon_Randomization/60</f>
        <v>0.1383333333</v>
      </c>
      <c r="C354" s="104">
        <f>IF(DPS_Graph_True_Speed=TRUE,IF($A354&lt;=DPS_Graph_Max,IF($A354&gt;=DPS_Graph_Speed_Min,1/B354,),),)</f>
        <v>7.228915663</v>
      </c>
      <c r="D354" s="115" t="str">
        <f>IF(DPS_Graph_True_Speed=TRUE,IF($E$8=$A354,DPS_Attacks_P_Sec,),)</f>
        <v/>
      </c>
      <c r="E354" s="222">
        <f>ROUNDDOWN(MAX(2,IF(A354&gt;=0, DPS_Base_Wpn_Spd/(1+A354),DPS_Base_Wpn_Spd*(1+ABS(A354)))),0)</f>
        <v>2</v>
      </c>
      <c r="F354" s="232">
        <f>IF(A354&gt;=0, DPS_Base_Recoil/(1+A354),DPS_Base_Recoil)</f>
        <v>0.02369668246</v>
      </c>
      <c r="G354" s="377">
        <f t="shared" si="7"/>
        <v>0.7146517205</v>
      </c>
      <c r="H354" s="377">
        <f t="shared" si="8"/>
        <v>0.04618937644</v>
      </c>
      <c r="I354" s="104"/>
      <c r="J354" s="377">
        <f>MAX(0, Max(25,(DPS_Base_Range + ((DPS_Range_Stat) / 2))) / MIN(MAX(70, (70 * (1 + ($A354 / 3)))), 120))</f>
        <v>4.17101147</v>
      </c>
      <c r="K354" s="269">
        <f>IF(A354&lt;=DPS_Graph_Max,IF(A354&gt;=DPS_Graph_Speed_Min,A354,),)</f>
        <v>1.11</v>
      </c>
      <c r="M354" s="213">
        <f>If(DPS_Weapon_Type="远程",$E354/60+$F354*2,$E354/60+$F354+$G354/2+$H354)</f>
        <v>0.08072669826</v>
      </c>
      <c r="N354" s="104">
        <f>IF(DPS_Graph_Tooltip_Speed=TRUE,IF($A354&lt;=DPS_Graph_Max,IF($A354&gt;=DPS_Graph_Speed_Min,1/M354,),),)</f>
        <v>12.38747554</v>
      </c>
      <c r="R354" s="104" t="str">
        <f>IF(DPS_Graph_Tooltip_Speed=TRUE,IF($E$8=$A354,1/$N$6,),)</f>
        <v/>
      </c>
    </row>
    <row r="355">
      <c r="A355" s="370">
        <v>1.12</v>
      </c>
      <c r="B355" s="213">
        <f>If(DPS_Weapon_Type="远程",($E355+1)/60+(ROUNDDOWN($F355*60+1,0)/60)*2,(ROUNDDOWN(($E355+1)+ROUNDDOWN($F355*60+1,0)+ROUNDDOWN($G355/2*60+1,0)+ROUNDDOWN($H355*60+1,0)+1,0))/60+If(DPS_ATK_TYPE="挥砍",1/60)+If(DPS_ATK_TYPE="挥砍/刺击",1/120))+DPS_Weapon_Randomization/60</f>
        <v>0.1383333333</v>
      </c>
      <c r="C355" s="104">
        <f>IF(DPS_Graph_True_Speed=TRUE,IF($A355&lt;=DPS_Graph_Max,IF($A355&gt;=DPS_Graph_Speed_Min,1/B355,),),)</f>
        <v>7.228915663</v>
      </c>
      <c r="D355" s="115" t="str">
        <f>IF(DPS_Graph_True_Speed=TRUE,IF($E$8=$A355,DPS_Attacks_P_Sec,),)</f>
        <v/>
      </c>
      <c r="E355" s="222">
        <f>ROUNDDOWN(MAX(2,IF(A355&gt;=0, DPS_Base_Wpn_Spd/(1+A355),DPS_Base_Wpn_Spd*(1+ABS(A355)))),0)</f>
        <v>2</v>
      </c>
      <c r="F355" s="232">
        <f>IF(A355&gt;=0, DPS_Base_Recoil/(1+A355),DPS_Base_Recoil)</f>
        <v>0.02358490566</v>
      </c>
      <c r="G355" s="377">
        <f t="shared" si="7"/>
        <v>0.7121331484</v>
      </c>
      <c r="H355" s="377">
        <f t="shared" si="8"/>
        <v>0.04587155963</v>
      </c>
      <c r="I355" s="104"/>
      <c r="J355" s="377">
        <f>MAX(0, Max(25,(DPS_Base_Range + ((DPS_Range_Stat) / 2))) / MIN(MAX(70, (70 * (1 + ($A355 / 3)))), 120))</f>
        <v>4.160887656</v>
      </c>
      <c r="K355" s="269">
        <f>IF(A355&lt;=DPS_Graph_Max,IF(A355&gt;=DPS_Graph_Speed_Min,A355,),)</f>
        <v>1.12</v>
      </c>
      <c r="M355" s="213">
        <f>If(DPS_Weapon_Type="远程",$E355/60+$F355*2,$E355/60+$F355+$G355/2+$H355)</f>
        <v>0.08050314465</v>
      </c>
      <c r="N355" s="104">
        <f>IF(DPS_Graph_Tooltip_Speed=TRUE,IF($A355&lt;=DPS_Graph_Max,IF($A355&gt;=DPS_Graph_Speed_Min,1/M355,),),)</f>
        <v>12.421875</v>
      </c>
      <c r="R355" s="104" t="str">
        <f>IF(DPS_Graph_Tooltip_Speed=TRUE,IF($E$8=$A355,1/$N$6,),)</f>
        <v/>
      </c>
    </row>
    <row r="356">
      <c r="A356" s="370">
        <v>1.13</v>
      </c>
      <c r="B356" s="213">
        <f>If(DPS_Weapon_Type="远程",($E356+1)/60+(ROUNDDOWN($F356*60+1,0)/60)*2,(ROUNDDOWN(($E356+1)+ROUNDDOWN($F356*60+1,0)+ROUNDDOWN($G356/2*60+1,0)+ROUNDDOWN($H356*60+1,0)+1,0))/60+If(DPS_ATK_TYPE="挥砍",1/60)+If(DPS_ATK_TYPE="挥砍/刺击",1/120))+DPS_Weapon_Randomization/60</f>
        <v>0.1383333333</v>
      </c>
      <c r="C356" s="104">
        <f>IF(DPS_Graph_True_Speed=TRUE,IF($A356&lt;=DPS_Graph_Max,IF($A356&gt;=DPS_Graph_Speed_Min,1/B356,),),)</f>
        <v>7.228915663</v>
      </c>
      <c r="D356" s="115" t="str">
        <f>IF(DPS_Graph_True_Speed=TRUE,IF($E$8=$A356,DPS_Attacks_P_Sec,),)</f>
        <v/>
      </c>
      <c r="E356" s="222">
        <f>ROUNDDOWN(MAX(2,IF(A356&gt;=0, DPS_Base_Wpn_Spd/(1+A356),DPS_Base_Wpn_Spd*(1+ABS(A356)))),0)</f>
        <v>2</v>
      </c>
      <c r="F356" s="232">
        <f>IF(A356&gt;=0, DPS_Base_Recoil/(1+A356),DPS_Base_Recoil)</f>
        <v>0.0234741784</v>
      </c>
      <c r="G356" s="377">
        <f t="shared" si="7"/>
        <v>0.7096219301</v>
      </c>
      <c r="H356" s="377">
        <f t="shared" si="8"/>
        <v>0.04555808656</v>
      </c>
      <c r="I356" s="104"/>
      <c r="J356" s="377">
        <f>MAX(0, Max(25,(DPS_Base_Range + ((DPS_Range_Stat) / 2))) / MIN(MAX(70, (70 * (1 + ($A356 / 3)))), 120))</f>
        <v>4.150812868</v>
      </c>
      <c r="K356" s="269">
        <f>IF(A356&lt;=DPS_Graph_Max,IF(A356&gt;=DPS_Graph_Speed_Min,A356,),)</f>
        <v>1.13</v>
      </c>
      <c r="M356" s="213">
        <f>If(DPS_Weapon_Type="远程",$E356/60+$F356*2,$E356/60+$F356+$G356/2+$H356)</f>
        <v>0.08028169014</v>
      </c>
      <c r="N356" s="104">
        <f>IF(DPS_Graph_Tooltip_Speed=TRUE,IF($A356&lt;=DPS_Graph_Max,IF($A356&gt;=DPS_Graph_Speed_Min,1/M356,),),)</f>
        <v>12.45614035</v>
      </c>
      <c r="R356" s="104" t="str">
        <f>IF(DPS_Graph_Tooltip_Speed=TRUE,IF($E$8=$A356,1/$N$6,),)</f>
        <v/>
      </c>
    </row>
    <row r="357">
      <c r="A357" s="370">
        <v>1.14</v>
      </c>
      <c r="B357" s="213">
        <f>If(DPS_Weapon_Type="远程",($E357+1)/60+(ROUNDDOWN($F357*60+1,0)/60)*2,(ROUNDDOWN(($E357+1)+ROUNDDOWN($F357*60+1,0)+ROUNDDOWN($G357/2*60+1,0)+ROUNDDOWN($H357*60+1,0)+1,0))/60+If(DPS_ATK_TYPE="挥砍",1/60)+If(DPS_ATK_TYPE="挥砍/刺击",1/120))+DPS_Weapon_Randomization/60</f>
        <v>0.1383333333</v>
      </c>
      <c r="C357" s="104">
        <f>IF(DPS_Graph_True_Speed=TRUE,IF($A357&lt;=DPS_Graph_Max,IF($A357&gt;=DPS_Graph_Speed_Min,1/B357,),),)</f>
        <v>7.228915663</v>
      </c>
      <c r="D357" s="115" t="str">
        <f>IF(DPS_Graph_True_Speed=TRUE,IF($E$8=$A357,DPS_Attacks_P_Sec,),)</f>
        <v/>
      </c>
      <c r="E357" s="222">
        <f>ROUNDDOWN(MAX(2,IF(A357&gt;=0, DPS_Base_Wpn_Spd/(1+A357),DPS_Base_Wpn_Spd*(1+ABS(A357)))),0)</f>
        <v>2</v>
      </c>
      <c r="F357" s="232">
        <f>IF(A357&gt;=0, DPS_Base_Recoil/(1+A357),DPS_Base_Recoil)</f>
        <v>0.02336448598</v>
      </c>
      <c r="G357" s="377">
        <f t="shared" si="7"/>
        <v>0.7071180124</v>
      </c>
      <c r="H357" s="377">
        <f t="shared" si="8"/>
        <v>0.04524886878</v>
      </c>
      <c r="I357" s="104"/>
      <c r="J357" s="377">
        <f>MAX(0, Max(25,(DPS_Base_Range + ((DPS_Range_Stat) / 2))) / MIN(MAX(70, (70 * (1 + ($A357 / 3)))), 120))</f>
        <v>4.140786749</v>
      </c>
      <c r="K357" s="269">
        <f>IF(A357&lt;=DPS_Graph_Max,IF(A357&gt;=DPS_Graph_Speed_Min,A357,),)</f>
        <v>1.14</v>
      </c>
      <c r="M357" s="213">
        <f>If(DPS_Weapon_Type="远程",$E357/60+$F357*2,$E357/60+$F357+$G357/2+$H357)</f>
        <v>0.0800623053</v>
      </c>
      <c r="N357" s="104">
        <f>IF(DPS_Graph_Tooltip_Speed=TRUE,IF($A357&lt;=DPS_Graph_Max,IF($A357&gt;=DPS_Graph_Speed_Min,1/M357,),),)</f>
        <v>12.49027237</v>
      </c>
      <c r="R357" s="104" t="str">
        <f>IF(DPS_Graph_Tooltip_Speed=TRUE,IF($E$8=$A357,1/$N$6,),)</f>
        <v/>
      </c>
    </row>
    <row r="358">
      <c r="A358" s="370">
        <v>1.15</v>
      </c>
      <c r="B358" s="213">
        <f>If(DPS_Weapon_Type="远程",($E358+1)/60+(ROUNDDOWN($F358*60+1,0)/60)*2,(ROUNDDOWN(($E358+1)+ROUNDDOWN($F358*60+1,0)+ROUNDDOWN($G358/2*60+1,0)+ROUNDDOWN($H358*60+1,0)+1,0))/60+If(DPS_ATK_TYPE="挥砍",1/60)+If(DPS_ATK_TYPE="挥砍/刺击",1/120))+DPS_Weapon_Randomization/60</f>
        <v>0.1383333333</v>
      </c>
      <c r="C358" s="104">
        <f>IF(DPS_Graph_True_Speed=TRUE,IF($A358&lt;=DPS_Graph_Max,IF($A358&gt;=DPS_Graph_Speed_Min,1/B358,),),)</f>
        <v>7.228915663</v>
      </c>
      <c r="D358" s="115" t="str">
        <f>IF(DPS_Graph_True_Speed=TRUE,IF($E$8=$A358,DPS_Attacks_P_Sec,),)</f>
        <v/>
      </c>
      <c r="E358" s="222">
        <f>ROUNDDOWN(MAX(2,IF(A358&gt;=0, DPS_Base_Wpn_Spd/(1+A358),DPS_Base_Wpn_Spd*(1+ABS(A358)))),0)</f>
        <v>2</v>
      </c>
      <c r="F358" s="232">
        <f>IF(A358&gt;=0, DPS_Base_Recoil/(1+A358),DPS_Base_Recoil)</f>
        <v>0.02325581395</v>
      </c>
      <c r="G358" s="377">
        <f t="shared" si="7"/>
        <v>0.7046213425</v>
      </c>
      <c r="H358" s="377">
        <f t="shared" si="8"/>
        <v>0.04494382022</v>
      </c>
      <c r="I358" s="104"/>
      <c r="J358" s="377">
        <f>MAX(0, Max(25,(DPS_Base_Range + ((DPS_Range_Stat) / 2))) / MIN(MAX(70, (70 * (1 + ($A358 / 3)))), 120))</f>
        <v>4.13080895</v>
      </c>
      <c r="K358" s="269">
        <f>IF(A358&lt;=DPS_Graph_Max,IF(A358&gt;=DPS_Graph_Speed_Min,A358,),)</f>
        <v>1.15</v>
      </c>
      <c r="M358" s="213">
        <f>If(DPS_Weapon_Type="远程",$E358/60+$F358*2,$E358/60+$F358+$G358/2+$H358)</f>
        <v>0.07984496124</v>
      </c>
      <c r="N358" s="104">
        <f>IF(DPS_Graph_Tooltip_Speed=TRUE,IF($A358&lt;=DPS_Graph_Max,IF($A358&gt;=DPS_Graph_Speed_Min,1/M358,),),)</f>
        <v>12.52427184</v>
      </c>
      <c r="R358" s="104" t="str">
        <f>IF(DPS_Graph_Tooltip_Speed=TRUE,IF($E$8=$A358,1/$N$6,),)</f>
        <v/>
      </c>
    </row>
    <row r="359">
      <c r="A359" s="370">
        <v>1.16</v>
      </c>
      <c r="B359" s="213">
        <f>If(DPS_Weapon_Type="远程",($E359+1)/60+(ROUNDDOWN($F359*60+1,0)/60)*2,(ROUNDDOWN(($E359+1)+ROUNDDOWN($F359*60+1,0)+ROUNDDOWN($G359/2*60+1,0)+ROUNDDOWN($H359*60+1,0)+1,0))/60+If(DPS_ATK_TYPE="挥砍",1/60)+If(DPS_ATK_TYPE="挥砍/刺击",1/120))+DPS_Weapon_Randomization/60</f>
        <v>0.1383333333</v>
      </c>
      <c r="C359" s="104">
        <f>IF(DPS_Graph_True_Speed=TRUE,IF($A359&lt;=DPS_Graph_Max,IF($A359&gt;=DPS_Graph_Speed_Min,1/B359,),),)</f>
        <v>7.228915663</v>
      </c>
      <c r="D359" s="115" t="str">
        <f>IF(DPS_Graph_True_Speed=TRUE,IF($E$8=$A359,DPS_Attacks_P_Sec,),)</f>
        <v/>
      </c>
      <c r="E359" s="222">
        <f>ROUNDDOWN(MAX(2,IF(A359&gt;=0, DPS_Base_Wpn_Spd/(1+A359),DPS_Base_Wpn_Spd*(1+ABS(A359)))),0)</f>
        <v>2</v>
      </c>
      <c r="F359" s="232">
        <f>IF(A359&gt;=0, DPS_Base_Recoil/(1+A359),DPS_Base_Recoil)</f>
        <v>0.02314814815</v>
      </c>
      <c r="G359" s="377">
        <f t="shared" si="7"/>
        <v>0.7021318681</v>
      </c>
      <c r="H359" s="377">
        <f t="shared" si="8"/>
        <v>0.04464285714</v>
      </c>
      <c r="I359" s="104"/>
      <c r="J359" s="377">
        <f>MAX(0, Max(25,(DPS_Base_Range + ((DPS_Range_Stat) / 2))) / MIN(MAX(70, (70 * (1 + ($A359 / 3)))), 120))</f>
        <v>4.120879121</v>
      </c>
      <c r="K359" s="269">
        <f>IF(A359&lt;=DPS_Graph_Max,IF(A359&gt;=DPS_Graph_Speed_Min,A359,),)</f>
        <v>1.16</v>
      </c>
      <c r="M359" s="213">
        <f>If(DPS_Weapon_Type="远程",$E359/60+$F359*2,$E359/60+$F359+$G359/2+$H359)</f>
        <v>0.07962962963</v>
      </c>
      <c r="N359" s="104">
        <f>IF(DPS_Graph_Tooltip_Speed=TRUE,IF($A359&lt;=DPS_Graph_Max,IF($A359&gt;=DPS_Graph_Speed_Min,1/M359,),),)</f>
        <v>12.55813953</v>
      </c>
      <c r="R359" s="104" t="str">
        <f>IF(DPS_Graph_Tooltip_Speed=TRUE,IF($E$8=$A359,1/$N$6,),)</f>
        <v/>
      </c>
    </row>
    <row r="360">
      <c r="A360" s="370">
        <v>1.17</v>
      </c>
      <c r="B360" s="213">
        <f>If(DPS_Weapon_Type="远程",($E360+1)/60+(ROUNDDOWN($F360*60+1,0)/60)*2,(ROUNDDOWN(($E360+1)+ROUNDDOWN($F360*60+1,0)+ROUNDDOWN($G360/2*60+1,0)+ROUNDDOWN($H360*60+1,0)+1,0))/60+If(DPS_ATK_TYPE="挥砍",1/60)+If(DPS_ATK_TYPE="挥砍/刺击",1/120))+DPS_Weapon_Randomization/60</f>
        <v>0.1383333333</v>
      </c>
      <c r="C360" s="104">
        <f>IF(DPS_Graph_True_Speed=TRUE,IF($A360&lt;=DPS_Graph_Max,IF($A360&gt;=DPS_Graph_Speed_Min,1/B360,),),)</f>
        <v>7.228915663</v>
      </c>
      <c r="D360" s="115" t="str">
        <f>IF(DPS_Graph_True_Speed=TRUE,IF($E$8=$A360,DPS_Attacks_P_Sec,),)</f>
        <v/>
      </c>
      <c r="E360" s="222">
        <f>ROUNDDOWN(MAX(2,IF(A360&gt;=0, DPS_Base_Wpn_Spd/(1+A360),DPS_Base_Wpn_Spd*(1+ABS(A360)))),0)</f>
        <v>2</v>
      </c>
      <c r="F360" s="232">
        <f>IF(A360&gt;=0, DPS_Base_Recoil/(1+A360),DPS_Base_Recoil)</f>
        <v>0.02304147465</v>
      </c>
      <c r="G360" s="377">
        <f t="shared" si="7"/>
        <v>0.6996495375</v>
      </c>
      <c r="H360" s="377">
        <f t="shared" si="8"/>
        <v>0.044345898</v>
      </c>
      <c r="I360" s="104"/>
      <c r="J360" s="377">
        <f>MAX(0, Max(25,(DPS_Base_Range + ((DPS_Range_Stat) / 2))) / MIN(MAX(70, (70 * (1 + ($A360 / 3)))), 120))</f>
        <v>4.110996917</v>
      </c>
      <c r="K360" s="269">
        <f>IF(A360&lt;=DPS_Graph_Max,IF(A360&gt;=DPS_Graph_Speed_Min,A360,),)</f>
        <v>1.17</v>
      </c>
      <c r="M360" s="213">
        <f>If(DPS_Weapon_Type="远程",$E360/60+$F360*2,$E360/60+$F360+$G360/2+$H360)</f>
        <v>0.07941628264</v>
      </c>
      <c r="N360" s="104">
        <f>IF(DPS_Graph_Tooltip_Speed=TRUE,IF($A360&lt;=DPS_Graph_Max,IF($A360&gt;=DPS_Graph_Speed_Min,1/M360,),),)</f>
        <v>12.59187621</v>
      </c>
      <c r="R360" s="104" t="str">
        <f>IF(DPS_Graph_Tooltip_Speed=TRUE,IF($E$8=$A360,1/$N$6,),)</f>
        <v/>
      </c>
    </row>
    <row r="361">
      <c r="A361" s="370">
        <v>1.18</v>
      </c>
      <c r="B361" s="213">
        <f>If(DPS_Weapon_Type="远程",($E361+1)/60+(ROUNDDOWN($F361*60+1,0)/60)*2,(ROUNDDOWN(($E361+1)+ROUNDDOWN($F361*60+1,0)+ROUNDDOWN($G361/2*60+1,0)+ROUNDDOWN($H361*60+1,0)+1,0))/60+If(DPS_ATK_TYPE="挥砍",1/60)+If(DPS_ATK_TYPE="挥砍/刺击",1/120))+DPS_Weapon_Randomization/60</f>
        <v>0.1383333333</v>
      </c>
      <c r="C361" s="104">
        <f>IF(DPS_Graph_True_Speed=TRUE,IF($A361&lt;=DPS_Graph_Max,IF($A361&gt;=DPS_Graph_Speed_Min,1/B361,),),)</f>
        <v>7.228915663</v>
      </c>
      <c r="D361" s="115" t="str">
        <f>IF(DPS_Graph_True_Speed=TRUE,IF($E$8=$A361,DPS_Attacks_P_Sec,),)</f>
        <v/>
      </c>
      <c r="E361" s="222">
        <f>ROUNDDOWN(MAX(2,IF(A361&gt;=0, DPS_Base_Wpn_Spd/(1+A361),DPS_Base_Wpn_Spd*(1+ABS(A361)))),0)</f>
        <v>2</v>
      </c>
      <c r="F361" s="232">
        <f>IF(A361&gt;=0, DPS_Base_Recoil/(1+A361),DPS_Base_Recoil)</f>
        <v>0.02293577982</v>
      </c>
      <c r="G361" s="377">
        <f t="shared" si="7"/>
        <v>0.6971742994</v>
      </c>
      <c r="H361" s="377">
        <f t="shared" si="8"/>
        <v>0.04405286344</v>
      </c>
      <c r="I361" s="104"/>
      <c r="J361" s="377">
        <f>MAX(0, Max(25,(DPS_Base_Range + ((DPS_Range_Stat) / 2))) / MIN(MAX(70, (70 * (1 + ($A361 / 3)))), 120))</f>
        <v>4.101161996</v>
      </c>
      <c r="K361" s="269">
        <f>IF(A361&lt;=DPS_Graph_Max,IF(A361&gt;=DPS_Graph_Speed_Min,A361,),)</f>
        <v>1.18</v>
      </c>
      <c r="M361" s="213">
        <f>If(DPS_Weapon_Type="远程",$E361/60+$F361*2,$E361/60+$F361+$G361/2+$H361)</f>
        <v>0.07920489297</v>
      </c>
      <c r="N361" s="104">
        <f>IF(DPS_Graph_Tooltip_Speed=TRUE,IF($A361&lt;=DPS_Graph_Max,IF($A361&gt;=DPS_Graph_Speed_Min,1/M361,),),)</f>
        <v>12.62548263</v>
      </c>
      <c r="R361" s="104" t="str">
        <f>IF(DPS_Graph_Tooltip_Speed=TRUE,IF($E$8=$A361,1/$N$6,),)</f>
        <v/>
      </c>
    </row>
    <row r="362">
      <c r="A362" s="370">
        <v>1.19</v>
      </c>
      <c r="B362" s="213">
        <f>If(DPS_Weapon_Type="远程",($E362+1)/60+(ROUNDDOWN($F362*60+1,0)/60)*2,(ROUNDDOWN(($E362+1)+ROUNDDOWN($F362*60+1,0)+ROUNDDOWN($G362/2*60+1,0)+ROUNDDOWN($H362*60+1,0)+1,0))/60+If(DPS_ATK_TYPE="挥砍",1/60)+If(DPS_ATK_TYPE="挥砍/刺击",1/120))+DPS_Weapon_Randomization/60</f>
        <v>0.1383333333</v>
      </c>
      <c r="C362" s="104">
        <f>IF(DPS_Graph_True_Speed=TRUE,IF($A362&lt;=DPS_Graph_Max,IF($A362&gt;=DPS_Graph_Speed_Min,1/B362,),),)</f>
        <v>7.228915663</v>
      </c>
      <c r="D362" s="115" t="str">
        <f>IF(DPS_Graph_True_Speed=TRUE,IF($E$8=$A362,DPS_Attacks_P_Sec,),)</f>
        <v/>
      </c>
      <c r="E362" s="222">
        <f>ROUNDDOWN(MAX(2,IF(A362&gt;=0, DPS_Base_Wpn_Spd/(1+A362),DPS_Base_Wpn_Spd*(1+ABS(A362)))),0)</f>
        <v>2</v>
      </c>
      <c r="F362" s="232">
        <f>IF(A362&gt;=0, DPS_Base_Recoil/(1+A362),DPS_Base_Recoil)</f>
        <v>0.02283105023</v>
      </c>
      <c r="G362" s="377">
        <f t="shared" si="7"/>
        <v>0.694706103</v>
      </c>
      <c r="H362" s="377">
        <f t="shared" si="8"/>
        <v>0.04376367615</v>
      </c>
      <c r="I362" s="104"/>
      <c r="J362" s="377">
        <f>MAX(0, Max(25,(DPS_Base_Range + ((DPS_Range_Stat) / 2))) / MIN(MAX(70, (70 * (1 + ($A362 / 3)))), 120))</f>
        <v>4.09137402</v>
      </c>
      <c r="K362" s="269">
        <f>IF(A362&lt;=DPS_Graph_Max,IF(A362&gt;=DPS_Graph_Speed_Min,A362,),)</f>
        <v>1.19</v>
      </c>
      <c r="M362" s="213">
        <f>If(DPS_Weapon_Type="远程",$E362/60+$F362*2,$E362/60+$F362+$G362/2+$H362)</f>
        <v>0.07899543379</v>
      </c>
      <c r="N362" s="104">
        <f>IF(DPS_Graph_Tooltip_Speed=TRUE,IF($A362&lt;=DPS_Graph_Max,IF($A362&gt;=DPS_Graph_Speed_Min,1/M362,),),)</f>
        <v>12.65895954</v>
      </c>
      <c r="R362" s="104" t="str">
        <f>IF(DPS_Graph_Tooltip_Speed=TRUE,IF($E$8=$A362,1/$N$6,),)</f>
        <v/>
      </c>
    </row>
    <row r="363">
      <c r="A363" s="370">
        <v>1.2</v>
      </c>
      <c r="B363" s="213">
        <f>If(DPS_Weapon_Type="远程",($E363+1)/60+(ROUNDDOWN($F363*60+1,0)/60)*2,(ROUNDDOWN(($E363+1)+ROUNDDOWN($F363*60+1,0)+ROUNDDOWN($G363/2*60+1,0)+ROUNDDOWN($H363*60+1,0)+1,0))/60+If(DPS_ATK_TYPE="挥砍",1/60)+If(DPS_ATK_TYPE="挥砍/刺击",1/120))+DPS_Weapon_Randomization/60</f>
        <v>0.1383333333</v>
      </c>
      <c r="C363" s="104">
        <f>IF(DPS_Graph_True_Speed=TRUE,IF($A363&lt;=DPS_Graph_Max,IF($A363&gt;=DPS_Graph_Speed_Min,1/B363,),),)</f>
        <v>7.228915663</v>
      </c>
      <c r="D363" s="115" t="str">
        <f>IF(DPS_Graph_True_Speed=TRUE,IF($E$8=$A363,DPS_Attacks_P_Sec,),)</f>
        <v/>
      </c>
      <c r="E363" s="222">
        <f>ROUNDDOWN(MAX(2,IF(A363&gt;=0, DPS_Base_Wpn_Spd/(1+A363),DPS_Base_Wpn_Spd*(1+ABS(A363)))),0)</f>
        <v>2</v>
      </c>
      <c r="F363" s="232">
        <f>IF(A363&gt;=0, DPS_Base_Recoil/(1+A363),DPS_Base_Recoil)</f>
        <v>0.02272727273</v>
      </c>
      <c r="G363" s="377">
        <f t="shared" si="7"/>
        <v>0.692244898</v>
      </c>
      <c r="H363" s="377">
        <f t="shared" si="8"/>
        <v>0.04347826087</v>
      </c>
      <c r="I363" s="104"/>
      <c r="J363" s="377">
        <f>MAX(0, Max(25,(DPS_Base_Range + ((DPS_Range_Stat) / 2))) / MIN(MAX(70, (70 * (1 + ($A363 / 3)))), 120))</f>
        <v>4.081632653</v>
      </c>
      <c r="K363" s="269">
        <f>IF(A363&lt;=DPS_Graph_Max,IF(A363&gt;=DPS_Graph_Speed_Min,A363,),)</f>
        <v>1.2</v>
      </c>
      <c r="M363" s="213">
        <f>If(DPS_Weapon_Type="远程",$E363/60+$F363*2,$E363/60+$F363+$G363/2+$H363)</f>
        <v>0.07878787879</v>
      </c>
      <c r="N363" s="104">
        <f>IF(DPS_Graph_Tooltip_Speed=TRUE,IF($A363&lt;=DPS_Graph_Max,IF($A363&gt;=DPS_Graph_Speed_Min,1/M363,),),)</f>
        <v>12.69230769</v>
      </c>
      <c r="R363" s="104" t="str">
        <f>IF(DPS_Graph_Tooltip_Speed=TRUE,IF($E$8=$A363,1/$N$6,),)</f>
        <v/>
      </c>
    </row>
    <row r="364">
      <c r="A364" s="370">
        <v>1.21</v>
      </c>
      <c r="B364" s="213">
        <f>If(DPS_Weapon_Type="远程",($E364+1)/60+(ROUNDDOWN($F364*60+1,0)/60)*2,(ROUNDDOWN(($E364+1)+ROUNDDOWN($F364*60+1,0)+ROUNDDOWN($G364/2*60+1,0)+ROUNDDOWN($H364*60+1,0)+1,0))/60+If(DPS_ATK_TYPE="挥砍",1/60)+If(DPS_ATK_TYPE="挥砍/刺击",1/120))+DPS_Weapon_Randomization/60</f>
        <v>0.1383333333</v>
      </c>
      <c r="C364" s="104">
        <f>IF(DPS_Graph_True_Speed=TRUE,IF($A364&lt;=DPS_Graph_Max,IF($A364&gt;=DPS_Graph_Speed_Min,1/B364,),),)</f>
        <v>7.228915663</v>
      </c>
      <c r="D364" s="115" t="str">
        <f>IF(DPS_Graph_True_Speed=TRUE,IF($E$8=$A364,DPS_Attacks_P_Sec,),)</f>
        <v/>
      </c>
      <c r="E364" s="222">
        <f>ROUNDDOWN(MAX(2,IF(A364&gt;=0, DPS_Base_Wpn_Spd/(1+A364),DPS_Base_Wpn_Spd*(1+ABS(A364)))),0)</f>
        <v>2</v>
      </c>
      <c r="F364" s="232">
        <f>IF(A364&gt;=0, DPS_Base_Recoil/(1+A364),DPS_Base_Recoil)</f>
        <v>0.02262443439</v>
      </c>
      <c r="G364" s="377">
        <f t="shared" si="7"/>
        <v>0.6897906345</v>
      </c>
      <c r="H364" s="377">
        <f t="shared" si="8"/>
        <v>0.04319654428</v>
      </c>
      <c r="I364" s="104"/>
      <c r="J364" s="377">
        <f>MAX(0, Max(25,(DPS_Base_Range + ((DPS_Range_Stat) / 2))) / MIN(MAX(70, (70 * (1 + ($A364 / 3)))), 120))</f>
        <v>4.071937564</v>
      </c>
      <c r="K364" s="269">
        <f>IF(A364&lt;=DPS_Graph_Max,IF(A364&gt;=DPS_Graph_Speed_Min,A364,),)</f>
        <v>1.21</v>
      </c>
      <c r="M364" s="213">
        <f>If(DPS_Weapon_Type="远程",$E364/60+$F364*2,$E364/60+$F364+$G364/2+$H364)</f>
        <v>0.07858220211</v>
      </c>
      <c r="N364" s="104">
        <f>IF(DPS_Graph_Tooltip_Speed=TRUE,IF($A364&lt;=DPS_Graph_Max,IF($A364&gt;=DPS_Graph_Speed_Min,1/M364,),),)</f>
        <v>12.72552783</v>
      </c>
      <c r="R364" s="104" t="str">
        <f>IF(DPS_Graph_Tooltip_Speed=TRUE,IF($E$8=$A364,1/$N$6,),)</f>
        <v/>
      </c>
    </row>
    <row r="365">
      <c r="A365" s="370">
        <v>1.22</v>
      </c>
      <c r="B365" s="213">
        <f>If(DPS_Weapon_Type="远程",($E365+1)/60+(ROUNDDOWN($F365*60+1,0)/60)*2,(ROUNDDOWN(($E365+1)+ROUNDDOWN($F365*60+1,0)+ROUNDDOWN($G365/2*60+1,0)+ROUNDDOWN($H365*60+1,0)+1,0))/60+If(DPS_ATK_TYPE="挥砍",1/60)+If(DPS_ATK_TYPE="挥砍/刺击",1/120))+DPS_Weapon_Randomization/60</f>
        <v>0.1383333333</v>
      </c>
      <c r="C365" s="104">
        <f>IF(DPS_Graph_True_Speed=TRUE,IF($A365&lt;=DPS_Graph_Max,IF($A365&gt;=DPS_Graph_Speed_Min,1/B365,),),)</f>
        <v>7.228915663</v>
      </c>
      <c r="D365" s="115" t="str">
        <f>IF(DPS_Graph_True_Speed=TRUE,IF($E$8=$A365,DPS_Attacks_P_Sec,),)</f>
        <v/>
      </c>
      <c r="E365" s="222">
        <f>ROUNDDOWN(MAX(2,IF(A365&gt;=0, DPS_Base_Wpn_Spd/(1+A365),DPS_Base_Wpn_Spd*(1+ABS(A365)))),0)</f>
        <v>2</v>
      </c>
      <c r="F365" s="232">
        <f>IF(A365&gt;=0, DPS_Base_Recoil/(1+A365),DPS_Base_Recoil)</f>
        <v>0.02252252252</v>
      </c>
      <c r="G365" s="377">
        <f t="shared" si="7"/>
        <v>0.6873432634</v>
      </c>
      <c r="H365" s="377">
        <f t="shared" si="8"/>
        <v>0.04291845494</v>
      </c>
      <c r="I365" s="104"/>
      <c r="J365" s="377">
        <f>MAX(0, Max(25,(DPS_Base_Range + ((DPS_Range_Stat) / 2))) / MIN(MAX(70, (70 * (1 + ($A365 / 3)))), 120))</f>
        <v>4.062288422</v>
      </c>
      <c r="K365" s="269">
        <f>IF(A365&lt;=DPS_Graph_Max,IF(A365&gt;=DPS_Graph_Speed_Min,A365,),)</f>
        <v>1.22</v>
      </c>
      <c r="M365" s="213">
        <f>If(DPS_Weapon_Type="远程",$E365/60+$F365*2,$E365/60+$F365+$G365/2+$H365)</f>
        <v>0.07837837838</v>
      </c>
      <c r="N365" s="104">
        <f>IF(DPS_Graph_Tooltip_Speed=TRUE,IF($A365&lt;=DPS_Graph_Max,IF($A365&gt;=DPS_Graph_Speed_Min,1/M365,),),)</f>
        <v>12.75862069</v>
      </c>
      <c r="R365" s="104" t="str">
        <f>IF(DPS_Graph_Tooltip_Speed=TRUE,IF($E$8=$A365,1/$N$6,),)</f>
        <v/>
      </c>
    </row>
    <row r="366">
      <c r="A366" s="370">
        <v>1.23</v>
      </c>
      <c r="B366" s="213">
        <f>If(DPS_Weapon_Type="远程",($E366+1)/60+(ROUNDDOWN($F366*60+1,0)/60)*2,(ROUNDDOWN(($E366+1)+ROUNDDOWN($F366*60+1,0)+ROUNDDOWN($G366/2*60+1,0)+ROUNDDOWN($H366*60+1,0)+1,0))/60+If(DPS_ATK_TYPE="挥砍",1/60)+If(DPS_ATK_TYPE="挥砍/刺击",1/120))+DPS_Weapon_Randomization/60</f>
        <v>0.1383333333</v>
      </c>
      <c r="C366" s="104">
        <f>IF(DPS_Graph_True_Speed=TRUE,IF($A366&lt;=DPS_Graph_Max,IF($A366&gt;=DPS_Graph_Speed_Min,1/B366,),),)</f>
        <v>7.228915663</v>
      </c>
      <c r="D366" s="115" t="str">
        <f>IF(DPS_Graph_True_Speed=TRUE,IF($E$8=$A366,DPS_Attacks_P_Sec,),)</f>
        <v/>
      </c>
      <c r="E366" s="222">
        <f>ROUNDDOWN(MAX(2,IF(A366&gt;=0, DPS_Base_Wpn_Spd/(1+A366),DPS_Base_Wpn_Spd*(1+ABS(A366)))),0)</f>
        <v>2</v>
      </c>
      <c r="F366" s="232">
        <f>IF(A366&gt;=0, DPS_Base_Recoil/(1+A366),DPS_Base_Recoil)</f>
        <v>0.02242152466</v>
      </c>
      <c r="G366" s="377">
        <f t="shared" si="7"/>
        <v>0.6849027356</v>
      </c>
      <c r="H366" s="377">
        <f t="shared" si="8"/>
        <v>0.04264392324</v>
      </c>
      <c r="I366" s="104"/>
      <c r="J366" s="377">
        <f>MAX(0, Max(25,(DPS_Base_Range + ((DPS_Range_Stat) / 2))) / MIN(MAX(70, (70 * (1 + ($A366 / 3)))), 120))</f>
        <v>4.052684904</v>
      </c>
      <c r="K366" s="269">
        <f>IF(A366&lt;=DPS_Graph_Max,IF(A366&gt;=DPS_Graph_Speed_Min,A366,),)</f>
        <v>1.23</v>
      </c>
      <c r="M366" s="213">
        <f>If(DPS_Weapon_Type="远程",$E366/60+$F366*2,$E366/60+$F366+$G366/2+$H366)</f>
        <v>0.07817638266</v>
      </c>
      <c r="N366" s="104">
        <f>IF(DPS_Graph_Tooltip_Speed=TRUE,IF($A366&lt;=DPS_Graph_Max,IF($A366&gt;=DPS_Graph_Speed_Min,1/M366,),),)</f>
        <v>12.791587</v>
      </c>
      <c r="R366" s="104" t="str">
        <f>IF(DPS_Graph_Tooltip_Speed=TRUE,IF($E$8=$A366,1/$N$6,),)</f>
        <v/>
      </c>
    </row>
    <row r="367">
      <c r="A367" s="370">
        <v>1.24</v>
      </c>
      <c r="B367" s="213">
        <f>If(DPS_Weapon_Type="远程",($E367+1)/60+(ROUNDDOWN($F367*60+1,0)/60)*2,(ROUNDDOWN(($E367+1)+ROUNDDOWN($F367*60+1,0)+ROUNDDOWN($G367/2*60+1,0)+ROUNDDOWN($H367*60+1,0)+1,0))/60+If(DPS_ATK_TYPE="挥砍",1/60)+If(DPS_ATK_TYPE="挥砍/刺击",1/120))+DPS_Weapon_Randomization/60</f>
        <v>0.1383333333</v>
      </c>
      <c r="C367" s="104">
        <f>IF(DPS_Graph_True_Speed=TRUE,IF($A367&lt;=DPS_Graph_Max,IF($A367&gt;=DPS_Graph_Speed_Min,1/B367,),),)</f>
        <v>7.228915663</v>
      </c>
      <c r="D367" s="115" t="str">
        <f>IF(DPS_Graph_True_Speed=TRUE,IF($E$8=$A367,DPS_Attacks_P_Sec,),)</f>
        <v/>
      </c>
      <c r="E367" s="222">
        <f>ROUNDDOWN(MAX(2,IF(A367&gt;=0, DPS_Base_Wpn_Spd/(1+A367),DPS_Base_Wpn_Spd*(1+ABS(A367)))),0)</f>
        <v>2</v>
      </c>
      <c r="F367" s="232">
        <f>IF(A367&gt;=0, DPS_Base_Recoil/(1+A367),DPS_Base_Recoil)</f>
        <v>0.02232142857</v>
      </c>
      <c r="G367" s="377">
        <f t="shared" si="7"/>
        <v>0.6824690027</v>
      </c>
      <c r="H367" s="377">
        <f t="shared" si="8"/>
        <v>0.04237288136</v>
      </c>
      <c r="I367" s="104"/>
      <c r="J367" s="377">
        <f>MAX(0, Max(25,(DPS_Base_Range + ((DPS_Range_Stat) / 2))) / MIN(MAX(70, (70 * (1 + ($A367 / 3)))), 120))</f>
        <v>4.043126685</v>
      </c>
      <c r="K367" s="269">
        <f>IF(A367&lt;=DPS_Graph_Max,IF(A367&gt;=DPS_Graph_Speed_Min,A367,),)</f>
        <v>1.24</v>
      </c>
      <c r="M367" s="213">
        <f>If(DPS_Weapon_Type="远程",$E367/60+$F367*2,$E367/60+$F367+$G367/2+$H367)</f>
        <v>0.07797619048</v>
      </c>
      <c r="N367" s="104">
        <f>IF(DPS_Graph_Tooltip_Speed=TRUE,IF($A367&lt;=DPS_Graph_Max,IF($A367&gt;=DPS_Graph_Speed_Min,1/M367,),),)</f>
        <v>12.82442748</v>
      </c>
      <c r="R367" s="104" t="str">
        <f>IF(DPS_Graph_Tooltip_Speed=TRUE,IF($E$8=$A367,1/$N$6,),)</f>
        <v/>
      </c>
    </row>
    <row r="368">
      <c r="A368" s="370">
        <v>1.25</v>
      </c>
      <c r="B368" s="213">
        <f>If(DPS_Weapon_Type="远程",($E368+1)/60+(ROUNDDOWN($F368*60+1,0)/60)*2,(ROUNDDOWN(($E368+1)+ROUNDDOWN($F368*60+1,0)+ROUNDDOWN($G368/2*60+1,0)+ROUNDDOWN($H368*60+1,0)+1,0))/60+If(DPS_ATK_TYPE="挥砍",1/60)+If(DPS_ATK_TYPE="挥砍/刺击",1/120))+DPS_Weapon_Randomization/60</f>
        <v>0.1383333333</v>
      </c>
      <c r="C368" s="104">
        <f>IF(DPS_Graph_True_Speed=TRUE,IF($A368&lt;=DPS_Graph_Max,IF($A368&gt;=DPS_Graph_Speed_Min,1/B368,),),)</f>
        <v>7.228915663</v>
      </c>
      <c r="D368" s="115" t="str">
        <f>IF(DPS_Graph_True_Speed=TRUE,IF($E$8=$A368,DPS_Attacks_P_Sec,),)</f>
        <v/>
      </c>
      <c r="E368" s="222">
        <f>ROUNDDOWN(MAX(2,IF(A368&gt;=0, DPS_Base_Wpn_Spd/(1+A368),DPS_Base_Wpn_Spd*(1+ABS(A368)))),0)</f>
        <v>2</v>
      </c>
      <c r="F368" s="232">
        <f>IF(A368&gt;=0, DPS_Base_Recoil/(1+A368),DPS_Base_Recoil)</f>
        <v>0.02222222222</v>
      </c>
      <c r="G368" s="377">
        <f t="shared" si="7"/>
        <v>0.6800420168</v>
      </c>
      <c r="H368" s="377">
        <f t="shared" si="8"/>
        <v>0.04210526316</v>
      </c>
      <c r="I368" s="104"/>
      <c r="J368" s="377">
        <f>MAX(0, Max(25,(DPS_Base_Range + ((DPS_Range_Stat) / 2))) / MIN(MAX(70, (70 * (1 + ($A368 / 3)))), 120))</f>
        <v>4.033613445</v>
      </c>
      <c r="K368" s="269">
        <f>IF(A368&lt;=DPS_Graph_Max,IF(A368&gt;=DPS_Graph_Speed_Min,A368,),)</f>
        <v>1.25</v>
      </c>
      <c r="M368" s="213">
        <f>If(DPS_Weapon_Type="远程",$E368/60+$F368*2,$E368/60+$F368+$G368/2+$H368)</f>
        <v>0.07777777778</v>
      </c>
      <c r="N368" s="104">
        <f>IF(DPS_Graph_Tooltip_Speed=TRUE,IF($A368&lt;=DPS_Graph_Max,IF($A368&gt;=DPS_Graph_Speed_Min,1/M368,),),)</f>
        <v>12.85714286</v>
      </c>
      <c r="R368" s="104" t="str">
        <f>IF(DPS_Graph_Tooltip_Speed=TRUE,IF($E$8=$A368,1/$N$6,),)</f>
        <v/>
      </c>
    </row>
    <row r="369">
      <c r="A369" s="370">
        <v>1.26</v>
      </c>
      <c r="B369" s="213">
        <f>If(DPS_Weapon_Type="远程",($E369+1)/60+(ROUNDDOWN($F369*60+1,0)/60)*2,(ROUNDDOWN(($E369+1)+ROUNDDOWN($F369*60+1,0)+ROUNDDOWN($G369/2*60+1,0)+ROUNDDOWN($H369*60+1,0)+1,0))/60+If(DPS_ATK_TYPE="挥砍",1/60)+If(DPS_ATK_TYPE="挥砍/刺击",1/120))+DPS_Weapon_Randomization/60</f>
        <v>0.1383333333</v>
      </c>
      <c r="C369" s="104">
        <f>IF(DPS_Graph_True_Speed=TRUE,IF($A369&lt;=DPS_Graph_Max,IF($A369&gt;=DPS_Graph_Speed_Min,1/B369,),),)</f>
        <v>7.228915663</v>
      </c>
      <c r="D369" s="115" t="str">
        <f>IF(DPS_Graph_True_Speed=TRUE,IF($E$8=$A369,DPS_Attacks_P_Sec,),)</f>
        <v/>
      </c>
      <c r="E369" s="222">
        <f>ROUNDDOWN(MAX(2,IF(A369&gt;=0, DPS_Base_Wpn_Spd/(1+A369),DPS_Base_Wpn_Spd*(1+ABS(A369)))),0)</f>
        <v>2</v>
      </c>
      <c r="F369" s="232">
        <f>IF(A369&gt;=0, DPS_Base_Recoil/(1+A369),DPS_Base_Recoil)</f>
        <v>0.02212389381</v>
      </c>
      <c r="G369" s="377">
        <f t="shared" si="7"/>
        <v>0.6776217304</v>
      </c>
      <c r="H369" s="377">
        <f t="shared" si="8"/>
        <v>0.04184100418</v>
      </c>
      <c r="I369" s="104"/>
      <c r="J369" s="377">
        <f>MAX(0, Max(25,(DPS_Base_Range + ((DPS_Range_Stat) / 2))) / MIN(MAX(70, (70 * (1 + ($A369 / 3)))), 120))</f>
        <v>4.024144869</v>
      </c>
      <c r="K369" s="269">
        <f>IF(A369&lt;=DPS_Graph_Max,IF(A369&gt;=DPS_Graph_Speed_Min,A369,),)</f>
        <v>1.26</v>
      </c>
      <c r="M369" s="213">
        <f>If(DPS_Weapon_Type="远程",$E369/60+$F369*2,$E369/60+$F369+$G369/2+$H369)</f>
        <v>0.07758112094</v>
      </c>
      <c r="N369" s="104">
        <f>IF(DPS_Graph_Tooltip_Speed=TRUE,IF($A369&lt;=DPS_Graph_Max,IF($A369&gt;=DPS_Graph_Speed_Min,1/M369,),),)</f>
        <v>12.88973384</v>
      </c>
      <c r="R369" s="104" t="str">
        <f>IF(DPS_Graph_Tooltip_Speed=TRUE,IF($E$8=$A369,1/$N$6,),)</f>
        <v/>
      </c>
    </row>
    <row r="370">
      <c r="A370" s="370">
        <v>1.27</v>
      </c>
      <c r="B370" s="213">
        <f>If(DPS_Weapon_Type="远程",($E370+1)/60+(ROUNDDOWN($F370*60+1,0)/60)*2,(ROUNDDOWN(($E370+1)+ROUNDDOWN($F370*60+1,0)+ROUNDDOWN($G370/2*60+1,0)+ROUNDDOWN($H370*60+1,0)+1,0))/60+If(DPS_ATK_TYPE="挥砍",1/60)+If(DPS_ATK_TYPE="挥砍/刺击",1/120))+DPS_Weapon_Randomization/60</f>
        <v>0.1383333333</v>
      </c>
      <c r="C370" s="104">
        <f>IF(DPS_Graph_True_Speed=TRUE,IF($A370&lt;=DPS_Graph_Max,IF($A370&gt;=DPS_Graph_Speed_Min,1/B370,),),)</f>
        <v>7.228915663</v>
      </c>
      <c r="D370" s="115" t="str">
        <f>IF(DPS_Graph_True_Speed=TRUE,IF($E$8=$A370,DPS_Attacks_P_Sec,),)</f>
        <v/>
      </c>
      <c r="E370" s="222">
        <f>ROUNDDOWN(MAX(2,IF(A370&gt;=0, DPS_Base_Wpn_Spd/(1+A370),DPS_Base_Wpn_Spd*(1+ABS(A370)))),0)</f>
        <v>2</v>
      </c>
      <c r="F370" s="232">
        <f>IF(A370&gt;=0, DPS_Base_Recoil/(1+A370),DPS_Base_Recoil)</f>
        <v>0.02202643172</v>
      </c>
      <c r="G370" s="377">
        <f t="shared" si="7"/>
        <v>0.6752080964</v>
      </c>
      <c r="H370" s="377">
        <f t="shared" si="8"/>
        <v>0.04158004158</v>
      </c>
      <c r="I370" s="104"/>
      <c r="J370" s="377">
        <f>MAX(0, Max(25,(DPS_Base_Range + ((DPS_Range_Stat) / 2))) / MIN(MAX(70, (70 * (1 + ($A370 / 3)))), 120))</f>
        <v>4.014720642</v>
      </c>
      <c r="K370" s="269">
        <f>IF(A370&lt;=DPS_Graph_Max,IF(A370&gt;=DPS_Graph_Speed_Min,A370,),)</f>
        <v>1.27</v>
      </c>
      <c r="M370" s="213">
        <f>If(DPS_Weapon_Type="远程",$E370/60+$F370*2,$E370/60+$F370+$G370/2+$H370)</f>
        <v>0.07738619677</v>
      </c>
      <c r="N370" s="104">
        <f>IF(DPS_Graph_Tooltip_Speed=TRUE,IF($A370&lt;=DPS_Graph_Max,IF($A370&gt;=DPS_Graph_Speed_Min,1/M370,),),)</f>
        <v>12.92220114</v>
      </c>
      <c r="R370" s="104" t="str">
        <f>IF(DPS_Graph_Tooltip_Speed=TRUE,IF($E$8=$A370,1/$N$6,),)</f>
        <v/>
      </c>
    </row>
    <row r="371">
      <c r="A371" s="370">
        <v>1.28</v>
      </c>
      <c r="B371" s="213">
        <f>If(DPS_Weapon_Type="远程",($E371+1)/60+(ROUNDDOWN($F371*60+1,0)/60)*2,(ROUNDDOWN(($E371+1)+ROUNDDOWN($F371*60+1,0)+ROUNDDOWN($G371/2*60+1,0)+ROUNDDOWN($H371*60+1,0)+1,0))/60+If(DPS_ATK_TYPE="挥砍",1/60)+If(DPS_ATK_TYPE="挥砍/刺击",1/120))+DPS_Weapon_Randomization/60</f>
        <v>0.1383333333</v>
      </c>
      <c r="C371" s="104">
        <f>IF(DPS_Graph_True_Speed=TRUE,IF($A371&lt;=DPS_Graph_Max,IF($A371&gt;=DPS_Graph_Speed_Min,1/B371,),),)</f>
        <v>7.228915663</v>
      </c>
      <c r="D371" s="115" t="str">
        <f>IF(DPS_Graph_True_Speed=TRUE,IF($E$8=$A371,DPS_Attacks_P_Sec,),)</f>
        <v/>
      </c>
      <c r="E371" s="222">
        <f>ROUNDDOWN(MAX(2,IF(A371&gt;=0, DPS_Base_Wpn_Spd/(1+A371),DPS_Base_Wpn_Spd*(1+ABS(A371)))),0)</f>
        <v>2</v>
      </c>
      <c r="F371" s="232">
        <f>IF(A371&gt;=0, DPS_Base_Recoil/(1+A371),DPS_Base_Recoil)</f>
        <v>0.02192982456</v>
      </c>
      <c r="G371" s="377">
        <f t="shared" si="7"/>
        <v>0.6728010681</v>
      </c>
      <c r="H371" s="377">
        <f t="shared" si="8"/>
        <v>0.04132231405</v>
      </c>
      <c r="I371" s="104"/>
      <c r="J371" s="377">
        <f>MAX(0, Max(25,(DPS_Base_Range + ((DPS_Range_Stat) / 2))) / MIN(MAX(70, (70 * (1 + ($A371 / 3)))), 120))</f>
        <v>4.005340454</v>
      </c>
      <c r="K371" s="269">
        <f>IF(A371&lt;=DPS_Graph_Max,IF(A371&gt;=DPS_Graph_Speed_Min,A371,),)</f>
        <v>1.28</v>
      </c>
      <c r="M371" s="213">
        <f>If(DPS_Weapon_Type="远程",$E371/60+$F371*2,$E371/60+$F371+$G371/2+$H371)</f>
        <v>0.07719298246</v>
      </c>
      <c r="N371" s="104">
        <f>IF(DPS_Graph_Tooltip_Speed=TRUE,IF($A371&lt;=DPS_Graph_Max,IF($A371&gt;=DPS_Graph_Speed_Min,1/M371,),),)</f>
        <v>12.95454545</v>
      </c>
      <c r="R371" s="104" t="str">
        <f>IF(DPS_Graph_Tooltip_Speed=TRUE,IF($E$8=$A371,1/$N$6,),)</f>
        <v/>
      </c>
    </row>
    <row r="372">
      <c r="A372" s="370">
        <v>1.29</v>
      </c>
      <c r="B372" s="213">
        <f>If(DPS_Weapon_Type="远程",($E372+1)/60+(ROUNDDOWN($F372*60+1,0)/60)*2,(ROUNDDOWN(($E372+1)+ROUNDDOWN($F372*60+1,0)+ROUNDDOWN($G372/2*60+1,0)+ROUNDDOWN($H372*60+1,0)+1,0))/60+If(DPS_ATK_TYPE="挥砍",1/60)+If(DPS_ATK_TYPE="挥砍/刺击",1/120))+DPS_Weapon_Randomization/60</f>
        <v>0.1383333333</v>
      </c>
      <c r="C372" s="104">
        <f>IF(DPS_Graph_True_Speed=TRUE,IF($A372&lt;=DPS_Graph_Max,IF($A372&gt;=DPS_Graph_Speed_Min,1/B372,),),)</f>
        <v>7.228915663</v>
      </c>
      <c r="D372" s="115" t="str">
        <f>IF(DPS_Graph_True_Speed=TRUE,IF($E$8=$A372,DPS_Attacks_P_Sec,),)</f>
        <v/>
      </c>
      <c r="E372" s="222">
        <f>ROUNDDOWN(MAX(2,IF(A372&gt;=0, DPS_Base_Wpn_Spd/(1+A372),DPS_Base_Wpn_Spd*(1+ABS(A372)))),0)</f>
        <v>2</v>
      </c>
      <c r="F372" s="232">
        <f>IF(A372&gt;=0, DPS_Base_Recoil/(1+A372),DPS_Base_Recoil)</f>
        <v>0.02183406114</v>
      </c>
      <c r="G372" s="377">
        <f t="shared" si="7"/>
        <v>0.6704005994</v>
      </c>
      <c r="H372" s="377">
        <f t="shared" si="8"/>
        <v>0.04106776181</v>
      </c>
      <c r="I372" s="104"/>
      <c r="J372" s="377">
        <f>MAX(0, Max(25,(DPS_Base_Range + ((DPS_Range_Stat) / 2))) / MIN(MAX(70, (70 * (1 + ($A372 / 3)))), 120))</f>
        <v>3.996003996</v>
      </c>
      <c r="K372" s="269">
        <f>IF(A372&lt;=DPS_Graph_Max,IF(A372&gt;=DPS_Graph_Speed_Min,A372,),)</f>
        <v>1.29</v>
      </c>
      <c r="M372" s="213">
        <f>If(DPS_Weapon_Type="远程",$E372/60+$F372*2,$E372/60+$F372+$G372/2+$H372)</f>
        <v>0.0770014556</v>
      </c>
      <c r="N372" s="104">
        <f>IF(DPS_Graph_Tooltip_Speed=TRUE,IF($A372&lt;=DPS_Graph_Max,IF($A372&gt;=DPS_Graph_Speed_Min,1/M372,),),)</f>
        <v>12.98676749</v>
      </c>
      <c r="R372" s="104" t="str">
        <f>IF(DPS_Graph_Tooltip_Speed=TRUE,IF($E$8=$A372,1/$N$6,),)</f>
        <v/>
      </c>
    </row>
    <row r="373">
      <c r="A373" s="370">
        <v>1.3</v>
      </c>
      <c r="B373" s="213">
        <f>If(DPS_Weapon_Type="远程",($E373+1)/60+(ROUNDDOWN($F373*60+1,0)/60)*2,(ROUNDDOWN(($E373+1)+ROUNDDOWN($F373*60+1,0)+ROUNDDOWN($G373/2*60+1,0)+ROUNDDOWN($H373*60+1,0)+1,0))/60+If(DPS_ATK_TYPE="挥砍",1/60)+If(DPS_ATK_TYPE="挥砍/刺击",1/120))+DPS_Weapon_Randomization/60</f>
        <v>0.1383333333</v>
      </c>
      <c r="C373" s="104">
        <f>IF(DPS_Graph_True_Speed=TRUE,IF($A373&lt;=DPS_Graph_Max,IF($A373&gt;=DPS_Graph_Speed_Min,1/B373,),),)</f>
        <v>7.228915663</v>
      </c>
      <c r="D373" s="115" t="str">
        <f>IF(DPS_Graph_True_Speed=TRUE,IF($E$8=$A373,DPS_Attacks_P_Sec,),)</f>
        <v/>
      </c>
      <c r="E373" s="222">
        <f>ROUNDDOWN(MAX(2,IF(A373&gt;=0, DPS_Base_Wpn_Spd/(1+A373),DPS_Base_Wpn_Spd*(1+ABS(A373)))),0)</f>
        <v>2</v>
      </c>
      <c r="F373" s="232">
        <f>IF(A373&gt;=0, DPS_Base_Recoil/(1+A373),DPS_Base_Recoil)</f>
        <v>0.02173913043</v>
      </c>
      <c r="G373" s="377">
        <f t="shared" si="7"/>
        <v>0.6680066445</v>
      </c>
      <c r="H373" s="377">
        <f t="shared" si="8"/>
        <v>0.04081632653</v>
      </c>
      <c r="I373" s="104"/>
      <c r="J373" s="377">
        <f>MAX(0, Max(25,(DPS_Base_Range + ((DPS_Range_Stat) / 2))) / MIN(MAX(70, (70 * (1 + ($A373 / 3)))), 120))</f>
        <v>3.986710963</v>
      </c>
      <c r="K373" s="269">
        <f>IF(A373&lt;=DPS_Graph_Max,IF(A373&gt;=DPS_Graph_Speed_Min,A373,),)</f>
        <v>1.3</v>
      </c>
      <c r="M373" s="213">
        <f>If(DPS_Weapon_Type="远程",$E373/60+$F373*2,$E373/60+$F373+$G373/2+$H373)</f>
        <v>0.0768115942</v>
      </c>
      <c r="N373" s="104">
        <f>IF(DPS_Graph_Tooltip_Speed=TRUE,IF($A373&lt;=DPS_Graph_Max,IF($A373&gt;=DPS_Graph_Speed_Min,1/M373,),),)</f>
        <v>13.01886792</v>
      </c>
      <c r="R373" s="104" t="str">
        <f>IF(DPS_Graph_Tooltip_Speed=TRUE,IF($E$8=$A373,1/$N$6,),)</f>
        <v/>
      </c>
    </row>
    <row r="374">
      <c r="A374" s="370">
        <v>1.31</v>
      </c>
      <c r="B374" s="213">
        <f>If(DPS_Weapon_Type="远程",($E374+1)/60+(ROUNDDOWN($F374*60+1,0)/60)*2,(ROUNDDOWN(($E374+1)+ROUNDDOWN($F374*60+1,0)+ROUNDDOWN($G374/2*60+1,0)+ROUNDDOWN($H374*60+1,0)+1,0))/60+If(DPS_ATK_TYPE="挥砍",1/60)+If(DPS_ATK_TYPE="挥砍/刺击",1/120))+DPS_Weapon_Randomization/60</f>
        <v>0.1383333333</v>
      </c>
      <c r="C374" s="104">
        <f>IF(DPS_Graph_True_Speed=TRUE,IF($A374&lt;=DPS_Graph_Max,IF($A374&gt;=DPS_Graph_Speed_Min,1/B374,),),)</f>
        <v>7.228915663</v>
      </c>
      <c r="D374" s="115" t="str">
        <f>IF(DPS_Graph_True_Speed=TRUE,IF($E$8=$A374,DPS_Attacks_P_Sec,),)</f>
        <v/>
      </c>
      <c r="E374" s="222">
        <f>ROUNDDOWN(MAX(2,IF(A374&gt;=0, DPS_Base_Wpn_Spd/(1+A374),DPS_Base_Wpn_Spd*(1+ABS(A374)))),0)</f>
        <v>2</v>
      </c>
      <c r="F374" s="232">
        <f>IF(A374&gt;=0, DPS_Base_Recoil/(1+A374),DPS_Base_Recoil)</f>
        <v>0.02164502165</v>
      </c>
      <c r="G374" s="377">
        <f t="shared" si="7"/>
        <v>0.6656191581</v>
      </c>
      <c r="H374" s="377">
        <f t="shared" si="8"/>
        <v>0.04056795132</v>
      </c>
      <c r="I374" s="104"/>
      <c r="J374" s="377">
        <f>MAX(0, Max(25,(DPS_Base_Range + ((DPS_Range_Stat) / 2))) / MIN(MAX(70, (70 * (1 + ($A374 / 3)))), 120))</f>
        <v>3.977461054</v>
      </c>
      <c r="K374" s="269">
        <f>IF(A374&lt;=DPS_Graph_Max,IF(A374&gt;=DPS_Graph_Speed_Min,A374,),)</f>
        <v>1.31</v>
      </c>
      <c r="M374" s="213">
        <f>If(DPS_Weapon_Type="远程",$E374/60+$F374*2,$E374/60+$F374+$G374/2+$H374)</f>
        <v>0.07662337662</v>
      </c>
      <c r="N374" s="104">
        <f>IF(DPS_Graph_Tooltip_Speed=TRUE,IF($A374&lt;=DPS_Graph_Max,IF($A374&gt;=DPS_Graph_Speed_Min,1/M374,),),)</f>
        <v>13.05084746</v>
      </c>
      <c r="R374" s="104" t="str">
        <f>IF(DPS_Graph_Tooltip_Speed=TRUE,IF($E$8=$A374,1/$N$6,),)</f>
        <v/>
      </c>
    </row>
    <row r="375">
      <c r="A375" s="370">
        <v>1.32</v>
      </c>
      <c r="B375" s="213">
        <f>If(DPS_Weapon_Type="远程",($E375+1)/60+(ROUNDDOWN($F375*60+1,0)/60)*2,(ROUNDDOWN(($E375+1)+ROUNDDOWN($F375*60+1,0)+ROUNDDOWN($G375/2*60+1,0)+ROUNDDOWN($H375*60+1,0)+1,0))/60+If(DPS_ATK_TYPE="挥砍",1/60)+If(DPS_ATK_TYPE="挥砍/刺击",1/120))+DPS_Weapon_Randomization/60</f>
        <v>0.1383333333</v>
      </c>
      <c r="C375" s="104">
        <f>IF(DPS_Graph_True_Speed=TRUE,IF($A375&lt;=DPS_Graph_Max,IF($A375&gt;=DPS_Graph_Speed_Min,1/B375,),),)</f>
        <v>7.228915663</v>
      </c>
      <c r="D375" s="115" t="str">
        <f>IF(DPS_Graph_True_Speed=TRUE,IF($E$8=$A375,DPS_Attacks_P_Sec,),)</f>
        <v/>
      </c>
      <c r="E375" s="222">
        <f>ROUNDDOWN(MAX(2,IF(A375&gt;=0, DPS_Base_Wpn_Spd/(1+A375),DPS_Base_Wpn_Spd*(1+ABS(A375)))),0)</f>
        <v>2</v>
      </c>
      <c r="F375" s="232">
        <f>IF(A375&gt;=0, DPS_Base_Recoil/(1+A375),DPS_Base_Recoil)</f>
        <v>0.02155172414</v>
      </c>
      <c r="G375" s="377">
        <f t="shared" si="7"/>
        <v>0.6632380952</v>
      </c>
      <c r="H375" s="377">
        <f t="shared" si="8"/>
        <v>0.04032258065</v>
      </c>
      <c r="I375" s="104"/>
      <c r="J375" s="377">
        <f>MAX(0, Max(25,(DPS_Base_Range + ((DPS_Range_Stat) / 2))) / MIN(MAX(70, (70 * (1 + ($A375 / 3)))), 120))</f>
        <v>3.968253968</v>
      </c>
      <c r="K375" s="269">
        <f>IF(A375&lt;=DPS_Graph_Max,IF(A375&gt;=DPS_Graph_Speed_Min,A375,),)</f>
        <v>1.32</v>
      </c>
      <c r="M375" s="213">
        <f>If(DPS_Weapon_Type="远程",$E375/60+$F375*2,$E375/60+$F375+$G375/2+$H375)</f>
        <v>0.07643678161</v>
      </c>
      <c r="N375" s="104">
        <f>IF(DPS_Graph_Tooltip_Speed=TRUE,IF($A375&lt;=DPS_Graph_Max,IF($A375&gt;=DPS_Graph_Speed_Min,1/M375,),),)</f>
        <v>13.08270677</v>
      </c>
      <c r="R375" s="104" t="str">
        <f>IF(DPS_Graph_Tooltip_Speed=TRUE,IF($E$8=$A375,1/$N$6,),)</f>
        <v/>
      </c>
    </row>
    <row r="376">
      <c r="A376" s="370">
        <v>1.33</v>
      </c>
      <c r="B376" s="213">
        <f>If(DPS_Weapon_Type="远程",($E376+1)/60+(ROUNDDOWN($F376*60+1,0)/60)*2,(ROUNDDOWN(($E376+1)+ROUNDDOWN($F376*60+1,0)+ROUNDDOWN($G376/2*60+1,0)+ROUNDDOWN($H376*60+1,0)+1,0))/60+If(DPS_ATK_TYPE="挥砍",1/60)+If(DPS_ATK_TYPE="挥砍/刺击",1/120))+DPS_Weapon_Randomization/60</f>
        <v>0.1383333333</v>
      </c>
      <c r="C376" s="104">
        <f>IF(DPS_Graph_True_Speed=TRUE,IF($A376&lt;=DPS_Graph_Max,IF($A376&gt;=DPS_Graph_Speed_Min,1/B376,),),)</f>
        <v>7.228915663</v>
      </c>
      <c r="D376" s="115" t="str">
        <f>IF(DPS_Graph_True_Speed=TRUE,IF($E$8=$A376,DPS_Attacks_P_Sec,),)</f>
        <v/>
      </c>
      <c r="E376" s="222">
        <f>ROUNDDOWN(MAX(2,IF(A376&gt;=0, DPS_Base_Wpn_Spd/(1+A376),DPS_Base_Wpn_Spd*(1+ABS(A376)))),0)</f>
        <v>2</v>
      </c>
      <c r="F376" s="232">
        <f>IF(A376&gt;=0, DPS_Base_Recoil/(1+A376),DPS_Base_Recoil)</f>
        <v>0.02145922747</v>
      </c>
      <c r="G376" s="377">
        <f t="shared" si="7"/>
        <v>0.6608634114</v>
      </c>
      <c r="H376" s="377">
        <f t="shared" si="8"/>
        <v>0.04008016032</v>
      </c>
      <c r="I376" s="104"/>
      <c r="J376" s="377">
        <f>MAX(0, Max(25,(DPS_Base_Range + ((DPS_Range_Stat) / 2))) / MIN(MAX(70, (70 * (1 + ($A376 / 3)))), 120))</f>
        <v>3.959089409</v>
      </c>
      <c r="K376" s="269">
        <f>IF(A376&lt;=DPS_Graph_Max,IF(A376&gt;=DPS_Graph_Speed_Min,A376,),)</f>
        <v>1.33</v>
      </c>
      <c r="M376" s="213">
        <f>If(DPS_Weapon_Type="远程",$E376/60+$F376*2,$E376/60+$F376+$G376/2+$H376)</f>
        <v>0.07625178827</v>
      </c>
      <c r="N376" s="104">
        <f>IF(DPS_Graph_Tooltip_Speed=TRUE,IF($A376&lt;=DPS_Graph_Max,IF($A376&gt;=DPS_Graph_Speed_Min,1/M376,),),)</f>
        <v>13.11444653</v>
      </c>
      <c r="R376" s="104" t="str">
        <f>IF(DPS_Graph_Tooltip_Speed=TRUE,IF($E$8=$A376,1/$N$6,),)</f>
        <v/>
      </c>
    </row>
    <row r="377">
      <c r="A377" s="370">
        <v>1.34</v>
      </c>
      <c r="B377" s="213">
        <f>If(DPS_Weapon_Type="远程",($E377+1)/60+(ROUNDDOWN($F377*60+1,0)/60)*2,(ROUNDDOWN(($E377+1)+ROUNDDOWN($F377*60+1,0)+ROUNDDOWN($G377/2*60+1,0)+ROUNDDOWN($H377*60+1,0)+1,0))/60+If(DPS_ATK_TYPE="挥砍",1/60)+If(DPS_ATK_TYPE="挥砍/刺击",1/120))+DPS_Weapon_Randomization/60</f>
        <v>0.1383333333</v>
      </c>
      <c r="C377" s="104">
        <f>IF(DPS_Graph_True_Speed=TRUE,IF($A377&lt;=DPS_Graph_Max,IF($A377&gt;=DPS_Graph_Speed_Min,1/B377,),),)</f>
        <v>7.228915663</v>
      </c>
      <c r="D377" s="115" t="str">
        <f>IF(DPS_Graph_True_Speed=TRUE,IF($E$8=$A377,DPS_Attacks_P_Sec,),)</f>
        <v/>
      </c>
      <c r="E377" s="222">
        <f>ROUNDDOWN(MAX(2,IF(A377&gt;=0, DPS_Base_Wpn_Spd/(1+A377),DPS_Base_Wpn_Spd*(1+ABS(A377)))),0)</f>
        <v>2</v>
      </c>
      <c r="F377" s="232">
        <f>IF(A377&gt;=0, DPS_Base_Recoil/(1+A377),DPS_Base_Recoil)</f>
        <v>0.02136752137</v>
      </c>
      <c r="G377" s="377">
        <f t="shared" si="7"/>
        <v>0.6584950625</v>
      </c>
      <c r="H377" s="377">
        <f t="shared" si="8"/>
        <v>0.03984063745</v>
      </c>
      <c r="I377" s="104"/>
      <c r="J377" s="377">
        <f>MAX(0, Max(25,(DPS_Base_Range + ((DPS_Range_Stat) / 2))) / MIN(MAX(70, (70 * (1 + ($A377 / 3)))), 120))</f>
        <v>3.949967084</v>
      </c>
      <c r="K377" s="269">
        <f>IF(A377&lt;=DPS_Graph_Max,IF(A377&gt;=DPS_Graph_Speed_Min,A377,),)</f>
        <v>1.34</v>
      </c>
      <c r="M377" s="213">
        <f>If(DPS_Weapon_Type="远程",$E377/60+$F377*2,$E377/60+$F377+$G377/2+$H377)</f>
        <v>0.07606837607</v>
      </c>
      <c r="N377" s="104">
        <f>IF(DPS_Graph_Tooltip_Speed=TRUE,IF($A377&lt;=DPS_Graph_Max,IF($A377&gt;=DPS_Graph_Speed_Min,1/M377,),),)</f>
        <v>13.14606742</v>
      </c>
      <c r="R377" s="104" t="str">
        <f>IF(DPS_Graph_Tooltip_Speed=TRUE,IF($E$8=$A377,1/$N$6,),)</f>
        <v/>
      </c>
    </row>
    <row r="378">
      <c r="A378" s="370">
        <v>1.35</v>
      </c>
      <c r="B378" s="213">
        <f>If(DPS_Weapon_Type="远程",($E378+1)/60+(ROUNDDOWN($F378*60+1,0)/60)*2,(ROUNDDOWN(($E378+1)+ROUNDDOWN($F378*60+1,0)+ROUNDDOWN($G378/2*60+1,0)+ROUNDDOWN($H378*60+1,0)+1,0))/60+If(DPS_ATK_TYPE="挥砍",1/60)+If(DPS_ATK_TYPE="挥砍/刺击",1/120))+DPS_Weapon_Randomization/60</f>
        <v>0.1383333333</v>
      </c>
      <c r="C378" s="104">
        <f>IF(DPS_Graph_True_Speed=TRUE,IF($A378&lt;=DPS_Graph_Max,IF($A378&gt;=DPS_Graph_Speed_Min,1/B378,),),)</f>
        <v>7.228915663</v>
      </c>
      <c r="D378" s="115" t="str">
        <f>IF(DPS_Graph_True_Speed=TRUE,IF($E$8=$A378,DPS_Attacks_P_Sec,),)</f>
        <v/>
      </c>
      <c r="E378" s="222">
        <f>ROUNDDOWN(MAX(2,IF(A378&gt;=0, DPS_Base_Wpn_Spd/(1+A378),DPS_Base_Wpn_Spd*(1+ABS(A378)))),0)</f>
        <v>2</v>
      </c>
      <c r="F378" s="232">
        <f>IF(A378&gt;=0, DPS_Base_Recoil/(1+A378),DPS_Base_Recoil)</f>
        <v>0.02127659574</v>
      </c>
      <c r="G378" s="377">
        <f t="shared" si="7"/>
        <v>0.6561330049</v>
      </c>
      <c r="H378" s="377">
        <f t="shared" si="8"/>
        <v>0.0396039604</v>
      </c>
      <c r="I378" s="104"/>
      <c r="J378" s="377">
        <f>MAX(0, Max(25,(DPS_Base_Range + ((DPS_Range_Stat) / 2))) / MIN(MAX(70, (70 * (1 + ($A378 / 3)))), 120))</f>
        <v>3.9408867</v>
      </c>
      <c r="K378" s="269">
        <f>IF(A378&lt;=DPS_Graph_Max,IF(A378&gt;=DPS_Graph_Speed_Min,A378,),)</f>
        <v>1.35</v>
      </c>
      <c r="M378" s="213">
        <f>If(DPS_Weapon_Type="远程",$E378/60+$F378*2,$E378/60+$F378+$G378/2+$H378)</f>
        <v>0.07588652482</v>
      </c>
      <c r="N378" s="104">
        <f>IF(DPS_Graph_Tooltip_Speed=TRUE,IF($A378&lt;=DPS_Graph_Max,IF($A378&gt;=DPS_Graph_Speed_Min,1/M378,),),)</f>
        <v>13.17757009</v>
      </c>
      <c r="R378" s="104" t="str">
        <f>IF(DPS_Graph_Tooltip_Speed=TRUE,IF($E$8=$A378,1/$N$6,),)</f>
        <v/>
      </c>
    </row>
    <row r="379">
      <c r="A379" s="370">
        <v>1.36</v>
      </c>
      <c r="B379" s="213">
        <f>If(DPS_Weapon_Type="远程",($E379+1)/60+(ROUNDDOWN($F379*60+1,0)/60)*2,(ROUNDDOWN(($E379+1)+ROUNDDOWN($F379*60+1,0)+ROUNDDOWN($G379/2*60+1,0)+ROUNDDOWN($H379*60+1,0)+1,0))/60+If(DPS_ATK_TYPE="挥砍",1/60)+If(DPS_ATK_TYPE="挥砍/刺击",1/120))+DPS_Weapon_Randomization/60</f>
        <v>0.1383333333</v>
      </c>
      <c r="C379" s="104">
        <f>IF(DPS_Graph_True_Speed=TRUE,IF($A379&lt;=DPS_Graph_Max,IF($A379&gt;=DPS_Graph_Speed_Min,1/B379,),),)</f>
        <v>7.228915663</v>
      </c>
      <c r="D379" s="115" t="str">
        <f>IF(DPS_Graph_True_Speed=TRUE,IF($E$8=$A379,DPS_Attacks_P_Sec,),)</f>
        <v/>
      </c>
      <c r="E379" s="222">
        <f>ROUNDDOWN(MAX(2,IF(A379&gt;=0, DPS_Base_Wpn_Spd/(1+A379),DPS_Base_Wpn_Spd*(1+ABS(A379)))),0)</f>
        <v>2</v>
      </c>
      <c r="F379" s="232">
        <f>IF(A379&gt;=0, DPS_Base_Recoil/(1+A379),DPS_Base_Recoil)</f>
        <v>0.02118644068</v>
      </c>
      <c r="G379" s="377">
        <f t="shared" si="7"/>
        <v>0.6537771953</v>
      </c>
      <c r="H379" s="377">
        <f t="shared" si="8"/>
        <v>0.03937007874</v>
      </c>
      <c r="I379" s="104"/>
      <c r="J379" s="377">
        <f>MAX(0, Max(25,(DPS_Base_Range + ((DPS_Range_Stat) / 2))) / MIN(MAX(70, (70 * (1 + ($A379 / 3)))), 120))</f>
        <v>3.931847969</v>
      </c>
      <c r="K379" s="269">
        <f>IF(A379&lt;=DPS_Graph_Max,IF(A379&gt;=DPS_Graph_Speed_Min,A379,),)</f>
        <v>1.36</v>
      </c>
      <c r="M379" s="213">
        <f>If(DPS_Weapon_Type="远程",$E379/60+$F379*2,$E379/60+$F379+$G379/2+$H379)</f>
        <v>0.07570621469</v>
      </c>
      <c r="N379" s="104">
        <f>IF(DPS_Graph_Tooltip_Speed=TRUE,IF($A379&lt;=DPS_Graph_Max,IF($A379&gt;=DPS_Graph_Speed_Min,1/M379,),),)</f>
        <v>13.20895522</v>
      </c>
      <c r="R379" s="104" t="str">
        <f>IF(DPS_Graph_Tooltip_Speed=TRUE,IF($E$8=$A379,1/$N$6,),)</f>
        <v/>
      </c>
    </row>
    <row r="380">
      <c r="A380" s="370">
        <v>1.37</v>
      </c>
      <c r="B380" s="213">
        <f>If(DPS_Weapon_Type="远程",($E380+1)/60+(ROUNDDOWN($F380*60+1,0)/60)*2,(ROUNDDOWN(($E380+1)+ROUNDDOWN($F380*60+1,0)+ROUNDDOWN($G380/2*60+1,0)+ROUNDDOWN($H380*60+1,0)+1,0))/60+If(DPS_ATK_TYPE="挥砍",1/60)+If(DPS_ATK_TYPE="挥砍/刺击",1/120))+DPS_Weapon_Randomization/60</f>
        <v>0.1383333333</v>
      </c>
      <c r="C380" s="104">
        <f>IF(DPS_Graph_True_Speed=TRUE,IF($A380&lt;=DPS_Graph_Max,IF($A380&gt;=DPS_Graph_Speed_Min,1/B380,),),)</f>
        <v>7.228915663</v>
      </c>
      <c r="D380" s="115" t="str">
        <f>IF(DPS_Graph_True_Speed=TRUE,IF($E$8=$A380,DPS_Attacks_P_Sec,),)</f>
        <v/>
      </c>
      <c r="E380" s="222">
        <f>ROUNDDOWN(MAX(2,IF(A380&gt;=0, DPS_Base_Wpn_Spd/(1+A380),DPS_Base_Wpn_Spd*(1+ABS(A380)))),0)</f>
        <v>2</v>
      </c>
      <c r="F380" s="232">
        <f>IF(A380&gt;=0, DPS_Base_Recoil/(1+A380),DPS_Base_Recoil)</f>
        <v>0.02109704641</v>
      </c>
      <c r="G380" s="377">
        <f t="shared" si="7"/>
        <v>0.6514275907</v>
      </c>
      <c r="H380" s="377">
        <f t="shared" si="8"/>
        <v>0.03913894325</v>
      </c>
      <c r="I380" s="104"/>
      <c r="J380" s="377">
        <f>MAX(0, Max(25,(DPS_Base_Range + ((DPS_Range_Stat) / 2))) / MIN(MAX(70, (70 * (1 + ($A380 / 3)))), 120))</f>
        <v>3.922850605</v>
      </c>
      <c r="K380" s="269">
        <f>IF(A380&lt;=DPS_Graph_Max,IF(A380&gt;=DPS_Graph_Speed_Min,A380,),)</f>
        <v>1.37</v>
      </c>
      <c r="M380" s="213">
        <f>If(DPS_Weapon_Type="远程",$E380/60+$F380*2,$E380/60+$F380+$G380/2+$H380)</f>
        <v>0.07552742616</v>
      </c>
      <c r="N380" s="104">
        <f>IF(DPS_Graph_Tooltip_Speed=TRUE,IF($A380&lt;=DPS_Graph_Max,IF($A380&gt;=DPS_Graph_Speed_Min,1/M380,),),)</f>
        <v>13.24022346</v>
      </c>
      <c r="R380" s="104" t="str">
        <f>IF(DPS_Graph_Tooltip_Speed=TRUE,IF($E$8=$A380,1/$N$6,),)</f>
        <v/>
      </c>
    </row>
    <row r="381">
      <c r="A381" s="370">
        <v>1.38</v>
      </c>
      <c r="B381" s="213">
        <f>If(DPS_Weapon_Type="远程",($E381+1)/60+(ROUNDDOWN($F381*60+1,0)/60)*2,(ROUNDDOWN(($E381+1)+ROUNDDOWN($F381*60+1,0)+ROUNDDOWN($G381/2*60+1,0)+ROUNDDOWN($H381*60+1,0)+1,0))/60+If(DPS_ATK_TYPE="挥砍",1/60)+If(DPS_ATK_TYPE="挥砍/刺击",1/120))+DPS_Weapon_Randomization/60</f>
        <v>0.1383333333</v>
      </c>
      <c r="C381" s="104">
        <f>IF(DPS_Graph_True_Speed=TRUE,IF($A381&lt;=DPS_Graph_Max,IF($A381&gt;=DPS_Graph_Speed_Min,1/B381,),),)</f>
        <v>7.228915663</v>
      </c>
      <c r="D381" s="115" t="str">
        <f>IF(DPS_Graph_True_Speed=TRUE,IF($E$8=$A381,DPS_Attacks_P_Sec,),)</f>
        <v/>
      </c>
      <c r="E381" s="222">
        <f>ROUNDDOWN(MAX(2,IF(A381&gt;=0, DPS_Base_Wpn_Spd/(1+A381),DPS_Base_Wpn_Spd*(1+ABS(A381)))),0)</f>
        <v>2</v>
      </c>
      <c r="F381" s="232">
        <f>IF(A381&gt;=0, DPS_Base_Recoil/(1+A381),DPS_Base_Recoil)</f>
        <v>0.02100840336</v>
      </c>
      <c r="G381" s="377">
        <f t="shared" si="7"/>
        <v>0.6490841487</v>
      </c>
      <c r="H381" s="377">
        <f t="shared" si="8"/>
        <v>0.03891050584</v>
      </c>
      <c r="I381" s="104"/>
      <c r="J381" s="377">
        <f>MAX(0, Max(25,(DPS_Base_Range + ((DPS_Range_Stat) / 2))) / MIN(MAX(70, (70 * (1 + ($A381 / 3)))), 120))</f>
        <v>3.913894325</v>
      </c>
      <c r="K381" s="269">
        <f>IF(A381&lt;=DPS_Graph_Max,IF(A381&gt;=DPS_Graph_Speed_Min,A381,),)</f>
        <v>1.38</v>
      </c>
      <c r="M381" s="213">
        <f>If(DPS_Weapon_Type="远程",$E381/60+$F381*2,$E381/60+$F381+$G381/2+$H381)</f>
        <v>0.07535014006</v>
      </c>
      <c r="N381" s="104">
        <f>IF(DPS_Graph_Tooltip_Speed=TRUE,IF($A381&lt;=DPS_Graph_Max,IF($A381&gt;=DPS_Graph_Speed_Min,1/M381,),),)</f>
        <v>13.27137546</v>
      </c>
      <c r="R381" s="104" t="str">
        <f>IF(DPS_Graph_Tooltip_Speed=TRUE,IF($E$8=$A381,1/$N$6,),)</f>
        <v/>
      </c>
    </row>
    <row r="382">
      <c r="A382" s="370">
        <v>1.39</v>
      </c>
      <c r="B382" s="213">
        <f>If(DPS_Weapon_Type="远程",($E382+1)/60+(ROUNDDOWN($F382*60+1,0)/60)*2,(ROUNDDOWN(($E382+1)+ROUNDDOWN($F382*60+1,0)+ROUNDDOWN($G382/2*60+1,0)+ROUNDDOWN($H382*60+1,0)+1,0))/60+If(DPS_ATK_TYPE="挥砍",1/60)+If(DPS_ATK_TYPE="挥砍/刺击",1/120))+DPS_Weapon_Randomization/60</f>
        <v>0.1383333333</v>
      </c>
      <c r="C382" s="104">
        <f>IF(DPS_Graph_True_Speed=TRUE,IF($A382&lt;=DPS_Graph_Max,IF($A382&gt;=DPS_Graph_Speed_Min,1/B382,),),)</f>
        <v>7.228915663</v>
      </c>
      <c r="D382" s="115" t="str">
        <f>IF(DPS_Graph_True_Speed=TRUE,IF($E$8=$A382,DPS_Attacks_P_Sec,),)</f>
        <v/>
      </c>
      <c r="E382" s="222">
        <f>ROUNDDOWN(MAX(2,IF(A382&gt;=0, DPS_Base_Wpn_Spd/(1+A382),DPS_Base_Wpn_Spd*(1+ABS(A382)))),0)</f>
        <v>2</v>
      </c>
      <c r="F382" s="232">
        <f>IF(A382&gt;=0, DPS_Base_Recoil/(1+A382),DPS_Base_Recoil)</f>
        <v>0.02092050209</v>
      </c>
      <c r="G382" s="377">
        <f t="shared" si="7"/>
        <v>0.6467468272</v>
      </c>
      <c r="H382" s="377">
        <f t="shared" si="8"/>
        <v>0.03868471954</v>
      </c>
      <c r="I382" s="104"/>
      <c r="J382" s="377">
        <f>MAX(0, Max(25,(DPS_Base_Range + ((DPS_Range_Stat) / 2))) / MIN(MAX(70, (70 * (1 + ($A382 / 3)))), 120))</f>
        <v>3.904978848</v>
      </c>
      <c r="K382" s="269">
        <f>IF(A382&lt;=DPS_Graph_Max,IF(A382&gt;=DPS_Graph_Speed_Min,A382,),)</f>
        <v>1.39</v>
      </c>
      <c r="M382" s="213">
        <f>If(DPS_Weapon_Type="远程",$E382/60+$F382*2,$E382/60+$F382+$G382/2+$H382)</f>
        <v>0.07517433752</v>
      </c>
      <c r="N382" s="104">
        <f>IF(DPS_Graph_Tooltip_Speed=TRUE,IF($A382&lt;=DPS_Graph_Max,IF($A382&gt;=DPS_Graph_Speed_Min,1/M382,),),)</f>
        <v>13.30241187</v>
      </c>
      <c r="R382" s="104" t="str">
        <f>IF(DPS_Graph_Tooltip_Speed=TRUE,IF($E$8=$A382,1/$N$6,),)</f>
        <v/>
      </c>
    </row>
    <row r="383">
      <c r="A383" s="370">
        <v>1.4</v>
      </c>
      <c r="B383" s="213">
        <f>If(DPS_Weapon_Type="远程",($E383+1)/60+(ROUNDDOWN($F383*60+1,0)/60)*2,(ROUNDDOWN(($E383+1)+ROUNDDOWN($F383*60+1,0)+ROUNDDOWN($G383/2*60+1,0)+ROUNDDOWN($H383*60+1,0)+1,0))/60+If(DPS_ATK_TYPE="挥砍",1/60)+If(DPS_ATK_TYPE="挥砍/刺击",1/120))+DPS_Weapon_Randomization/60</f>
        <v>0.1383333333</v>
      </c>
      <c r="C383" s="104">
        <f>IF(DPS_Graph_True_Speed=TRUE,IF($A383&lt;=DPS_Graph_Max,IF($A383&gt;=DPS_Graph_Speed_Min,1/B383,),),)</f>
        <v>7.228915663</v>
      </c>
      <c r="D383" s="115" t="str">
        <f>IF(DPS_Graph_True_Speed=TRUE,IF($E$8=$A383,DPS_Attacks_P_Sec,),)</f>
        <v/>
      </c>
      <c r="E383" s="222">
        <f>ROUNDDOWN(MAX(2,IF(A383&gt;=0, DPS_Base_Wpn_Spd/(1+A383),DPS_Base_Wpn_Spd*(1+ABS(A383)))),0)</f>
        <v>2</v>
      </c>
      <c r="F383" s="232">
        <f>IF(A383&gt;=0, DPS_Base_Recoil/(1+A383),DPS_Base_Recoil)</f>
        <v>0.02083333333</v>
      </c>
      <c r="G383" s="377">
        <f t="shared" si="7"/>
        <v>0.6444155844</v>
      </c>
      <c r="H383" s="377">
        <f t="shared" si="8"/>
        <v>0.03846153846</v>
      </c>
      <c r="I383" s="104"/>
      <c r="J383" s="377">
        <f>MAX(0, Max(25,(DPS_Base_Range + ((DPS_Range_Stat) / 2))) / MIN(MAX(70, (70 * (1 + ($A383 / 3)))), 120))</f>
        <v>3.896103896</v>
      </c>
      <c r="K383" s="269">
        <f>IF(A383&lt;=DPS_Graph_Max,IF(A383&gt;=DPS_Graph_Speed_Min,A383,),)</f>
        <v>1.4</v>
      </c>
      <c r="M383" s="213">
        <f>If(DPS_Weapon_Type="远程",$E383/60+$F383*2,$E383/60+$F383+$G383/2+$H383)</f>
        <v>0.075</v>
      </c>
      <c r="N383" s="104">
        <f>IF(DPS_Graph_Tooltip_Speed=TRUE,IF($A383&lt;=DPS_Graph_Max,IF($A383&gt;=DPS_Graph_Speed_Min,1/M383,),),)</f>
        <v>13.33333333</v>
      </c>
      <c r="R383" s="104" t="str">
        <f>IF(DPS_Graph_Tooltip_Speed=TRUE,IF($E$8=$A383,1/$N$6,),)</f>
        <v/>
      </c>
    </row>
    <row r="384">
      <c r="A384" s="370">
        <v>1.41</v>
      </c>
      <c r="B384" s="213">
        <f>If(DPS_Weapon_Type="远程",($E384+1)/60+(ROUNDDOWN($F384*60+1,0)/60)*2,(ROUNDDOWN(($E384+1)+ROUNDDOWN($F384*60+1,0)+ROUNDDOWN($G384/2*60+1,0)+ROUNDDOWN($H384*60+1,0)+1,0))/60+If(DPS_ATK_TYPE="挥砍",1/60)+If(DPS_ATK_TYPE="挥砍/刺击",1/120))+DPS_Weapon_Randomization/60</f>
        <v>0.1383333333</v>
      </c>
      <c r="C384" s="104">
        <f>IF(DPS_Graph_True_Speed=TRUE,IF($A384&lt;=DPS_Graph_Max,IF($A384&gt;=DPS_Graph_Speed_Min,1/B384,),),)</f>
        <v>7.228915663</v>
      </c>
      <c r="D384" s="115" t="str">
        <f>IF(DPS_Graph_True_Speed=TRUE,IF($E$8=$A384,DPS_Attacks_P_Sec,),)</f>
        <v/>
      </c>
      <c r="E384" s="222">
        <f>ROUNDDOWN(MAX(2,IF(A384&gt;=0, DPS_Base_Wpn_Spd/(1+A384),DPS_Base_Wpn_Spd*(1+ABS(A384)))),0)</f>
        <v>2</v>
      </c>
      <c r="F384" s="232">
        <f>IF(A384&gt;=0, DPS_Base_Recoil/(1+A384),DPS_Base_Recoil)</f>
        <v>0.02074688797</v>
      </c>
      <c r="G384" s="377">
        <f t="shared" si="7"/>
        <v>0.642090379</v>
      </c>
      <c r="H384" s="377">
        <f t="shared" si="8"/>
        <v>0.03824091778</v>
      </c>
      <c r="I384" s="104"/>
      <c r="J384" s="377">
        <f>MAX(0, Max(25,(DPS_Base_Range + ((DPS_Range_Stat) / 2))) / MIN(MAX(70, (70 * (1 + ($A384 / 3)))), 120))</f>
        <v>3.887269193</v>
      </c>
      <c r="K384" s="269">
        <f>IF(A384&lt;=DPS_Graph_Max,IF(A384&gt;=DPS_Graph_Speed_Min,A384,),)</f>
        <v>1.41</v>
      </c>
      <c r="M384" s="213">
        <f>If(DPS_Weapon_Type="远程",$E384/60+$F384*2,$E384/60+$F384+$G384/2+$H384)</f>
        <v>0.07482710927</v>
      </c>
      <c r="N384" s="104">
        <f>IF(DPS_Graph_Tooltip_Speed=TRUE,IF($A384&lt;=DPS_Graph_Max,IF($A384&gt;=DPS_Graph_Speed_Min,1/M384,),),)</f>
        <v>13.36414048</v>
      </c>
      <c r="R384" s="104" t="str">
        <f>IF(DPS_Graph_Tooltip_Speed=TRUE,IF($E$8=$A384,1/$N$6,),)</f>
        <v/>
      </c>
    </row>
    <row r="385">
      <c r="A385" s="370">
        <v>1.42</v>
      </c>
      <c r="B385" s="213">
        <f>If(DPS_Weapon_Type="远程",($E385+1)/60+(ROUNDDOWN($F385*60+1,0)/60)*2,(ROUNDDOWN(($E385+1)+ROUNDDOWN($F385*60+1,0)+ROUNDDOWN($G385/2*60+1,0)+ROUNDDOWN($H385*60+1,0)+1,0))/60+If(DPS_ATK_TYPE="挥砍",1/60)+If(DPS_ATK_TYPE="挥砍/刺击",1/120))+DPS_Weapon_Randomization/60</f>
        <v>0.1383333333</v>
      </c>
      <c r="C385" s="104">
        <f>IF(DPS_Graph_True_Speed=TRUE,IF($A385&lt;=DPS_Graph_Max,IF($A385&gt;=DPS_Graph_Speed_Min,1/B385,),),)</f>
        <v>7.228915663</v>
      </c>
      <c r="D385" s="115" t="str">
        <f>IF(DPS_Graph_True_Speed=TRUE,IF($E$8=$A385,DPS_Attacks_P_Sec,),)</f>
        <v/>
      </c>
      <c r="E385" s="222">
        <f>ROUNDDOWN(MAX(2,IF(A385&gt;=0, DPS_Base_Wpn_Spd/(1+A385),DPS_Base_Wpn_Spd*(1+ABS(A385)))),0)</f>
        <v>2</v>
      </c>
      <c r="F385" s="232">
        <f>IF(A385&gt;=0, DPS_Base_Recoil/(1+A385),DPS_Base_Recoil)</f>
        <v>0.02066115702</v>
      </c>
      <c r="G385" s="377">
        <f t="shared" si="7"/>
        <v>0.63977117</v>
      </c>
      <c r="H385" s="377">
        <f t="shared" si="8"/>
        <v>0.03802281369</v>
      </c>
      <c r="I385" s="104"/>
      <c r="J385" s="377">
        <f>MAX(0, Max(25,(DPS_Base_Range + ((DPS_Range_Stat) / 2))) / MIN(MAX(70, (70 * (1 + ($A385 / 3)))), 120))</f>
        <v>3.878474467</v>
      </c>
      <c r="K385" s="269">
        <f>IF(A385&lt;=DPS_Graph_Max,IF(A385&gt;=DPS_Graph_Speed_Min,A385,),)</f>
        <v>1.42</v>
      </c>
      <c r="M385" s="213">
        <f>If(DPS_Weapon_Type="远程",$E385/60+$F385*2,$E385/60+$F385+$G385/2+$H385)</f>
        <v>0.07465564738</v>
      </c>
      <c r="N385" s="104">
        <f>IF(DPS_Graph_Tooltip_Speed=TRUE,IF($A385&lt;=DPS_Graph_Max,IF($A385&gt;=DPS_Graph_Speed_Min,1/M385,),),)</f>
        <v>13.39483395</v>
      </c>
      <c r="R385" s="104" t="str">
        <f>IF(DPS_Graph_Tooltip_Speed=TRUE,IF($E$8=$A385,1/$N$6,),)</f>
        <v/>
      </c>
    </row>
    <row r="386">
      <c r="A386" s="370">
        <v>1.43</v>
      </c>
      <c r="B386" s="213">
        <f>If(DPS_Weapon_Type="远程",($E386+1)/60+(ROUNDDOWN($F386*60+1,0)/60)*2,(ROUNDDOWN(($E386+1)+ROUNDDOWN($F386*60+1,0)+ROUNDDOWN($G386/2*60+1,0)+ROUNDDOWN($H386*60+1,0)+1,0))/60+If(DPS_ATK_TYPE="挥砍",1/60)+If(DPS_ATK_TYPE="挥砍/刺击",1/120))+DPS_Weapon_Randomization/60</f>
        <v>0.1383333333</v>
      </c>
      <c r="C386" s="104">
        <f>IF(DPS_Graph_True_Speed=TRUE,IF($A386&lt;=DPS_Graph_Max,IF($A386&gt;=DPS_Graph_Speed_Min,1/B386,),),)</f>
        <v>7.228915663</v>
      </c>
      <c r="D386" s="115" t="str">
        <f>IF(DPS_Graph_True_Speed=TRUE,IF($E$8=$A386,DPS_Attacks_P_Sec,),)</f>
        <v/>
      </c>
      <c r="E386" s="222">
        <f>ROUNDDOWN(MAX(2,IF(A386&gt;=0, DPS_Base_Wpn_Spd/(1+A386),DPS_Base_Wpn_Spd*(1+ABS(A386)))),0)</f>
        <v>2</v>
      </c>
      <c r="F386" s="232">
        <f>IF(A386&gt;=0, DPS_Base_Recoil/(1+A386),DPS_Base_Recoil)</f>
        <v>0.02057613169</v>
      </c>
      <c r="G386" s="377">
        <f t="shared" si="7"/>
        <v>0.6374579168</v>
      </c>
      <c r="H386" s="377">
        <f t="shared" si="8"/>
        <v>0.03780718336</v>
      </c>
      <c r="I386" s="104"/>
      <c r="J386" s="377">
        <f>MAX(0, Max(25,(DPS_Base_Range + ((DPS_Range_Stat) / 2))) / MIN(MAX(70, (70 * (1 + ($A386 / 3)))), 120))</f>
        <v>3.869719445</v>
      </c>
      <c r="K386" s="269">
        <f>IF(A386&lt;=DPS_Graph_Max,IF(A386&gt;=DPS_Graph_Speed_Min,A386,),)</f>
        <v>1.43</v>
      </c>
      <c r="M386" s="213">
        <f>If(DPS_Weapon_Type="远程",$E386/60+$F386*2,$E386/60+$F386+$G386/2+$H386)</f>
        <v>0.07448559671</v>
      </c>
      <c r="N386" s="104">
        <f>IF(DPS_Graph_Tooltip_Speed=TRUE,IF($A386&lt;=DPS_Graph_Max,IF($A386&gt;=DPS_Graph_Speed_Min,1/M386,),),)</f>
        <v>13.42541436</v>
      </c>
      <c r="R386" s="104" t="str">
        <f>IF(DPS_Graph_Tooltip_Speed=TRUE,IF($E$8=$A386,1/$N$6,),)</f>
        <v/>
      </c>
    </row>
    <row r="387">
      <c r="A387" s="370">
        <v>1.44</v>
      </c>
      <c r="B387" s="213">
        <f>If(DPS_Weapon_Type="远程",($E387+1)/60+(ROUNDDOWN($F387*60+1,0)/60)*2,(ROUNDDOWN(($E387+1)+ROUNDDOWN($F387*60+1,0)+ROUNDDOWN($G387/2*60+1,0)+ROUNDDOWN($H387*60+1,0)+1,0))/60+If(DPS_ATK_TYPE="挥砍",1/60)+If(DPS_ATK_TYPE="挥砍/刺击",1/120))+DPS_Weapon_Randomization/60</f>
        <v>0.1383333333</v>
      </c>
      <c r="C387" s="104">
        <f>IF(DPS_Graph_True_Speed=TRUE,IF($A387&lt;=DPS_Graph_Max,IF($A387&gt;=DPS_Graph_Speed_Min,1/B387,),),)</f>
        <v>7.228915663</v>
      </c>
      <c r="D387" s="115" t="str">
        <f>IF(DPS_Graph_True_Speed=TRUE,IF($E$8=$A387,DPS_Attacks_P_Sec,),)</f>
        <v/>
      </c>
      <c r="E387" s="222">
        <f>ROUNDDOWN(MAX(2,IF(A387&gt;=0, DPS_Base_Wpn_Spd/(1+A387),DPS_Base_Wpn_Spd*(1+ABS(A387)))),0)</f>
        <v>2</v>
      </c>
      <c r="F387" s="232">
        <f>IF(A387&gt;=0, DPS_Base_Recoil/(1+A387),DPS_Base_Recoil)</f>
        <v>0.02049180328</v>
      </c>
      <c r="G387" s="377">
        <f t="shared" si="7"/>
        <v>0.6351505792</v>
      </c>
      <c r="H387" s="377">
        <f t="shared" si="8"/>
        <v>0.03759398496</v>
      </c>
      <c r="I387" s="104"/>
      <c r="J387" s="377">
        <f>MAX(0, Max(25,(DPS_Base_Range + ((DPS_Range_Stat) / 2))) / MIN(MAX(70, (70 * (1 + ($A387 / 3)))), 120))</f>
        <v>3.861003861</v>
      </c>
      <c r="K387" s="269">
        <f>IF(A387&lt;=DPS_Graph_Max,IF(A387&gt;=DPS_Graph_Speed_Min,A387,),)</f>
        <v>1.44</v>
      </c>
      <c r="M387" s="213">
        <f>If(DPS_Weapon_Type="远程",$E387/60+$F387*2,$E387/60+$F387+$G387/2+$H387)</f>
        <v>0.07431693989</v>
      </c>
      <c r="N387" s="104">
        <f>IF(DPS_Graph_Tooltip_Speed=TRUE,IF($A387&lt;=DPS_Graph_Max,IF($A387&gt;=DPS_Graph_Speed_Min,1/M387,),),)</f>
        <v>13.45588235</v>
      </c>
      <c r="R387" s="104" t="str">
        <f>IF(DPS_Graph_Tooltip_Speed=TRUE,IF($E$8=$A387,1/$N$6,),)</f>
        <v/>
      </c>
    </row>
    <row r="388">
      <c r="A388" s="370">
        <v>1.45</v>
      </c>
      <c r="B388" s="213">
        <f>If(DPS_Weapon_Type="远程",($E388+1)/60+(ROUNDDOWN($F388*60+1,0)/60)*2,(ROUNDDOWN(($E388+1)+ROUNDDOWN($F388*60+1,0)+ROUNDDOWN($G388/2*60+1,0)+ROUNDDOWN($H388*60+1,0)+1,0))/60+If(DPS_ATK_TYPE="挥砍",1/60)+If(DPS_ATK_TYPE="挥砍/刺击",1/120))+DPS_Weapon_Randomization/60</f>
        <v>0.1383333333</v>
      </c>
      <c r="C388" s="104">
        <f>IF(DPS_Graph_True_Speed=TRUE,IF($A388&lt;=DPS_Graph_Max,IF($A388&gt;=DPS_Graph_Speed_Min,1/B388,),),)</f>
        <v>7.228915663</v>
      </c>
      <c r="D388" s="115" t="str">
        <f>IF(DPS_Graph_True_Speed=TRUE,IF($E$8=$A388,DPS_Attacks_P_Sec,),)</f>
        <v/>
      </c>
      <c r="E388" s="222">
        <f>ROUNDDOWN(MAX(2,IF(A388&gt;=0, DPS_Base_Wpn_Spd/(1+A388),DPS_Base_Wpn_Spd*(1+ABS(A388)))),0)</f>
        <v>2</v>
      </c>
      <c r="F388" s="232">
        <f>IF(A388&gt;=0, DPS_Base_Recoil/(1+A388),DPS_Base_Recoil)</f>
        <v>0.02040816327</v>
      </c>
      <c r="G388" s="377">
        <f t="shared" si="7"/>
        <v>0.6328491172</v>
      </c>
      <c r="H388" s="377">
        <f t="shared" si="8"/>
        <v>0.03738317757</v>
      </c>
      <c r="I388" s="104"/>
      <c r="J388" s="377">
        <f>MAX(0, Max(25,(DPS_Base_Range + ((DPS_Range_Stat) / 2))) / MIN(MAX(70, (70 * (1 + ($A388 / 3)))), 120))</f>
        <v>3.852327448</v>
      </c>
      <c r="K388" s="269">
        <f>IF(A388&lt;=DPS_Graph_Max,IF(A388&gt;=DPS_Graph_Speed_Min,A388,),)</f>
        <v>1.45</v>
      </c>
      <c r="M388" s="213">
        <f>If(DPS_Weapon_Type="远程",$E388/60+$F388*2,$E388/60+$F388+$G388/2+$H388)</f>
        <v>0.07414965986</v>
      </c>
      <c r="N388" s="104">
        <f>IF(DPS_Graph_Tooltip_Speed=TRUE,IF($A388&lt;=DPS_Graph_Max,IF($A388&gt;=DPS_Graph_Speed_Min,1/M388,),),)</f>
        <v>13.48623853</v>
      </c>
      <c r="R388" s="104" t="str">
        <f>IF(DPS_Graph_Tooltip_Speed=TRUE,IF($E$8=$A388,1/$N$6,),)</f>
        <v/>
      </c>
    </row>
    <row r="389">
      <c r="A389" s="370">
        <v>1.46</v>
      </c>
      <c r="B389" s="213">
        <f>If(DPS_Weapon_Type="远程",($E389+1)/60+(ROUNDDOWN($F389*60+1,0)/60)*2,(ROUNDDOWN(($E389+1)+ROUNDDOWN($F389*60+1,0)+ROUNDDOWN($G389/2*60+1,0)+ROUNDDOWN($H389*60+1,0)+1,0))/60+If(DPS_ATK_TYPE="挥砍",1/60)+If(DPS_ATK_TYPE="挥砍/刺击",1/120))+DPS_Weapon_Randomization/60</f>
        <v>0.1383333333</v>
      </c>
      <c r="C389" s="104">
        <f>IF(DPS_Graph_True_Speed=TRUE,IF($A389&lt;=DPS_Graph_Max,IF($A389&gt;=DPS_Graph_Speed_Min,1/B389,),),)</f>
        <v>7.228915663</v>
      </c>
      <c r="D389" s="115" t="str">
        <f>IF(DPS_Graph_True_Speed=TRUE,IF($E$8=$A389,DPS_Attacks_P_Sec,),)</f>
        <v/>
      </c>
      <c r="E389" s="222">
        <f>ROUNDDOWN(MAX(2,IF(A389&gt;=0, DPS_Base_Wpn_Spd/(1+A389),DPS_Base_Wpn_Spd*(1+ABS(A389)))),0)</f>
        <v>2</v>
      </c>
      <c r="F389" s="232">
        <f>IF(A389&gt;=0, DPS_Base_Recoil/(1+A389),DPS_Base_Recoil)</f>
        <v>0.02032520325</v>
      </c>
      <c r="G389" s="377">
        <f t="shared" si="7"/>
        <v>0.6305534914</v>
      </c>
      <c r="H389" s="377">
        <f t="shared" si="8"/>
        <v>0.03717472119</v>
      </c>
      <c r="I389" s="104"/>
      <c r="J389" s="377">
        <f>MAX(0, Max(25,(DPS_Base_Range + ((DPS_Range_Stat) / 2))) / MIN(MAX(70, (70 * (1 + ($A389 / 3)))), 120))</f>
        <v>3.843689942</v>
      </c>
      <c r="K389" s="269">
        <f>IF(A389&lt;=DPS_Graph_Max,IF(A389&gt;=DPS_Graph_Speed_Min,A389,),)</f>
        <v>1.46</v>
      </c>
      <c r="M389" s="213">
        <f>If(DPS_Weapon_Type="远程",$E389/60+$F389*2,$E389/60+$F389+$G389/2+$H389)</f>
        <v>0.07398373984</v>
      </c>
      <c r="N389" s="104">
        <f>IF(DPS_Graph_Tooltip_Speed=TRUE,IF($A389&lt;=DPS_Graph_Max,IF($A389&gt;=DPS_Graph_Speed_Min,1/M389,),),)</f>
        <v>13.51648352</v>
      </c>
      <c r="R389" s="104" t="str">
        <f>IF(DPS_Graph_Tooltip_Speed=TRUE,IF($E$8=$A389,1/$N$6,),)</f>
        <v/>
      </c>
    </row>
    <row r="390">
      <c r="A390" s="370">
        <v>1.47</v>
      </c>
      <c r="B390" s="213">
        <f>If(DPS_Weapon_Type="远程",($E390+1)/60+(ROUNDDOWN($F390*60+1,0)/60)*2,(ROUNDDOWN(($E390+1)+ROUNDDOWN($F390*60+1,0)+ROUNDDOWN($G390/2*60+1,0)+ROUNDDOWN($H390*60+1,0)+1,0))/60+If(DPS_ATK_TYPE="挥砍",1/60)+If(DPS_ATK_TYPE="挥砍/刺击",1/120))+DPS_Weapon_Randomization/60</f>
        <v>0.1383333333</v>
      </c>
      <c r="C390" s="104">
        <f>IF(DPS_Graph_True_Speed=TRUE,IF($A390&lt;=DPS_Graph_Max,IF($A390&gt;=DPS_Graph_Speed_Min,1/B390,),),)</f>
        <v>7.228915663</v>
      </c>
      <c r="D390" s="115" t="str">
        <f>IF(DPS_Graph_True_Speed=TRUE,IF($E$8=$A390,DPS_Attacks_P_Sec,),)</f>
        <v/>
      </c>
      <c r="E390" s="222">
        <f>ROUNDDOWN(MAX(2,IF(A390&gt;=0, DPS_Base_Wpn_Spd/(1+A390),DPS_Base_Wpn_Spd*(1+ABS(A390)))),0)</f>
        <v>2</v>
      </c>
      <c r="F390" s="232">
        <f>IF(A390&gt;=0, DPS_Base_Recoil/(1+A390),DPS_Base_Recoil)</f>
        <v>0.02024291498</v>
      </c>
      <c r="G390" s="377">
        <f t="shared" si="7"/>
        <v>0.6282636625</v>
      </c>
      <c r="H390" s="377">
        <f t="shared" si="8"/>
        <v>0.03696857671</v>
      </c>
      <c r="I390" s="104"/>
      <c r="J390" s="377">
        <f>MAX(0, Max(25,(DPS_Base_Range + ((DPS_Range_Stat) / 2))) / MIN(MAX(70, (70 * (1 + ($A390 / 3)))), 120))</f>
        <v>3.835091083</v>
      </c>
      <c r="K390" s="269">
        <f>IF(A390&lt;=DPS_Graph_Max,IF(A390&gt;=DPS_Graph_Speed_Min,A390,),)</f>
        <v>1.47</v>
      </c>
      <c r="M390" s="213">
        <f>If(DPS_Weapon_Type="远程",$E390/60+$F390*2,$E390/60+$F390+$G390/2+$H390)</f>
        <v>0.07381916329</v>
      </c>
      <c r="N390" s="104">
        <f>IF(DPS_Graph_Tooltip_Speed=TRUE,IF($A390&lt;=DPS_Graph_Max,IF($A390&gt;=DPS_Graph_Speed_Min,1/M390,),),)</f>
        <v>13.54661792</v>
      </c>
      <c r="R390" s="104" t="str">
        <f>IF(DPS_Graph_Tooltip_Speed=TRUE,IF($E$8=$A390,1/$N$6,),)</f>
        <v/>
      </c>
    </row>
    <row r="391">
      <c r="A391" s="370">
        <v>1.48</v>
      </c>
      <c r="B391" s="213">
        <f>If(DPS_Weapon_Type="远程",($E391+1)/60+(ROUNDDOWN($F391*60+1,0)/60)*2,(ROUNDDOWN(($E391+1)+ROUNDDOWN($F391*60+1,0)+ROUNDDOWN($G391/2*60+1,0)+ROUNDDOWN($H391*60+1,0)+1,0))/60+If(DPS_ATK_TYPE="挥砍",1/60)+If(DPS_ATK_TYPE="挥砍/刺击",1/120))+DPS_Weapon_Randomization/60</f>
        <v>0.1383333333</v>
      </c>
      <c r="C391" s="104">
        <f>IF(DPS_Graph_True_Speed=TRUE,IF($A391&lt;=DPS_Graph_Max,IF($A391&gt;=DPS_Graph_Speed_Min,1/B391,),),)</f>
        <v>7.228915663</v>
      </c>
      <c r="D391" s="115" t="str">
        <f>IF(DPS_Graph_True_Speed=TRUE,IF($E$8=$A391,DPS_Attacks_P_Sec,),)</f>
        <v/>
      </c>
      <c r="E391" s="222">
        <f>ROUNDDOWN(MAX(2,IF(A391&gt;=0, DPS_Base_Wpn_Spd/(1+A391),DPS_Base_Wpn_Spd*(1+ABS(A391)))),0)</f>
        <v>2</v>
      </c>
      <c r="F391" s="232">
        <f>IF(A391&gt;=0, DPS_Base_Recoil/(1+A391),DPS_Base_Recoil)</f>
        <v>0.02016129032</v>
      </c>
      <c r="G391" s="377">
        <f t="shared" si="7"/>
        <v>0.6259795918</v>
      </c>
      <c r="H391" s="377">
        <f t="shared" si="8"/>
        <v>0.03676470588</v>
      </c>
      <c r="I391" s="104"/>
      <c r="J391" s="377">
        <f>MAX(0, Max(25,(DPS_Base_Range + ((DPS_Range_Stat) / 2))) / MIN(MAX(70, (70 * (1 + ($A391 / 3)))), 120))</f>
        <v>3.826530612</v>
      </c>
      <c r="K391" s="269">
        <f>IF(A391&lt;=DPS_Graph_Max,IF(A391&gt;=DPS_Graph_Speed_Min,A391,),)</f>
        <v>1.48</v>
      </c>
      <c r="M391" s="213">
        <f>If(DPS_Weapon_Type="远程",$E391/60+$F391*2,$E391/60+$F391+$G391/2+$H391)</f>
        <v>0.07365591398</v>
      </c>
      <c r="N391" s="104">
        <f>IF(DPS_Graph_Tooltip_Speed=TRUE,IF($A391&lt;=DPS_Graph_Max,IF($A391&gt;=DPS_Graph_Speed_Min,1/M391,),),)</f>
        <v>13.57664234</v>
      </c>
      <c r="R391" s="104" t="str">
        <f>IF(DPS_Graph_Tooltip_Speed=TRUE,IF($E$8=$A391,1/$N$6,),)</f>
        <v/>
      </c>
    </row>
    <row r="392">
      <c r="A392" s="370">
        <v>1.49</v>
      </c>
      <c r="B392" s="213">
        <f>If(DPS_Weapon_Type="远程",($E392+1)/60+(ROUNDDOWN($F392*60+1,0)/60)*2,(ROUNDDOWN(($E392+1)+ROUNDDOWN($F392*60+1,0)+ROUNDDOWN($G392/2*60+1,0)+ROUNDDOWN($H392*60+1,0)+1,0))/60+If(DPS_ATK_TYPE="挥砍",1/60)+If(DPS_ATK_TYPE="挥砍/刺击",1/120))+DPS_Weapon_Randomization/60</f>
        <v>0.1383333333</v>
      </c>
      <c r="C392" s="104">
        <f>IF(DPS_Graph_True_Speed=TRUE,IF($A392&lt;=DPS_Graph_Max,IF($A392&gt;=DPS_Graph_Speed_Min,1/B392,),),)</f>
        <v>7.228915663</v>
      </c>
      <c r="D392" s="115" t="str">
        <f>IF(DPS_Graph_True_Speed=TRUE,IF($E$8=$A392,DPS_Attacks_P_Sec,),)</f>
        <v/>
      </c>
      <c r="E392" s="222">
        <f>ROUNDDOWN(MAX(2,IF(A392&gt;=0, DPS_Base_Wpn_Spd/(1+A392),DPS_Base_Wpn_Spd*(1+ABS(A392)))),0)</f>
        <v>2</v>
      </c>
      <c r="F392" s="232">
        <f>IF(A392&gt;=0, DPS_Base_Recoil/(1+A392),DPS_Base_Recoil)</f>
        <v>0.02008032129</v>
      </c>
      <c r="G392" s="377">
        <f t="shared" si="7"/>
        <v>0.6237012409</v>
      </c>
      <c r="H392" s="377">
        <f t="shared" si="8"/>
        <v>0.0365630713</v>
      </c>
      <c r="I392" s="104"/>
      <c r="J392" s="377">
        <f>MAX(0, Max(25,(DPS_Base_Range + ((DPS_Range_Stat) / 2))) / MIN(MAX(70, (70 * (1 + ($A392 / 3)))), 120))</f>
        <v>3.818008272</v>
      </c>
      <c r="K392" s="269">
        <f>IF(A392&lt;=DPS_Graph_Max,IF(A392&gt;=DPS_Graph_Speed_Min,A392,),)</f>
        <v>1.49</v>
      </c>
      <c r="M392" s="213">
        <f>If(DPS_Weapon_Type="远程",$E392/60+$F392*2,$E392/60+$F392+$G392/2+$H392)</f>
        <v>0.0734939759</v>
      </c>
      <c r="N392" s="104">
        <f>IF(DPS_Graph_Tooltip_Speed=TRUE,IF($A392&lt;=DPS_Graph_Max,IF($A392&gt;=DPS_Graph_Speed_Min,1/M392,),),)</f>
        <v>13.60655738</v>
      </c>
      <c r="R392" s="104" t="str">
        <f>IF(DPS_Graph_Tooltip_Speed=TRUE,IF($E$8=$A392,1/$N$6,),)</f>
        <v/>
      </c>
    </row>
    <row r="393">
      <c r="A393" s="370">
        <v>1.5</v>
      </c>
      <c r="B393" s="213">
        <f>If(DPS_Weapon_Type="远程",($E393+1)/60+(ROUNDDOWN($F393*60+1,0)/60)*2,(ROUNDDOWN(($E393+1)+ROUNDDOWN($F393*60+1,0)+ROUNDDOWN($G393/2*60+1,0)+ROUNDDOWN($H393*60+1,0)+1,0))/60+If(DPS_ATK_TYPE="挥砍",1/60)+If(DPS_ATK_TYPE="挥砍/刺击",1/120))+DPS_Weapon_Randomization/60</f>
        <v>0.1383333333</v>
      </c>
      <c r="C393" s="104">
        <f>IF(DPS_Graph_True_Speed=TRUE,IF($A393&lt;=DPS_Graph_Max,IF($A393&gt;=DPS_Graph_Speed_Min,1/B393,),),)</f>
        <v>7.228915663</v>
      </c>
      <c r="D393" s="115" t="str">
        <f>IF(DPS_Graph_True_Speed=TRUE,IF($E$8=$A393,DPS_Attacks_P_Sec,),)</f>
        <v/>
      </c>
      <c r="E393" s="222">
        <f>ROUNDDOWN(MAX(2,IF(A393&gt;=0, DPS_Base_Wpn_Spd/(1+A393),DPS_Base_Wpn_Spd*(1+ABS(A393)))),0)</f>
        <v>2</v>
      </c>
      <c r="F393" s="232">
        <f>IF(A393&gt;=0, DPS_Base_Recoil/(1+A393),DPS_Base_Recoil)</f>
        <v>0.02</v>
      </c>
      <c r="G393" s="377">
        <f t="shared" si="7"/>
        <v>0.6214285714</v>
      </c>
      <c r="H393" s="377">
        <f t="shared" si="8"/>
        <v>0.03636363636</v>
      </c>
      <c r="I393" s="104"/>
      <c r="J393" s="377">
        <f>MAX(0, Max(25,(DPS_Base_Range + ((DPS_Range_Stat) / 2))) / MIN(MAX(70, (70 * (1 + ($A393 / 3)))), 120))</f>
        <v>3.80952381</v>
      </c>
      <c r="K393" s="269">
        <f>IF(A393&lt;=DPS_Graph_Max,IF(A393&gt;=DPS_Graph_Speed_Min,A393,),)</f>
        <v>1.5</v>
      </c>
      <c r="M393" s="213">
        <f>If(DPS_Weapon_Type="远程",$E393/60+$F393*2,$E393/60+$F393+$G393/2+$H393)</f>
        <v>0.07333333333</v>
      </c>
      <c r="N393" s="104">
        <f>IF(DPS_Graph_Tooltip_Speed=TRUE,IF($A393&lt;=DPS_Graph_Max,IF($A393&gt;=DPS_Graph_Speed_Min,1/M393,),),)</f>
        <v>13.63636364</v>
      </c>
      <c r="R393" s="104" t="str">
        <f>IF(DPS_Graph_Tooltip_Speed=TRUE,IF($E$8=$A393,1/$N$6,),)</f>
        <v/>
      </c>
    </row>
    <row r="394">
      <c r="A394" s="370">
        <v>1.51</v>
      </c>
      <c r="B394" s="213">
        <f>If(DPS_Weapon_Type="远程",($E394+1)/60+(ROUNDDOWN($F394*60+1,0)/60)*2,(ROUNDDOWN(($E394+1)+ROUNDDOWN($F394*60+1,0)+ROUNDDOWN($G394/2*60+1,0)+ROUNDDOWN($H394*60+1,0)+1,0))/60+If(DPS_ATK_TYPE="挥砍",1/60)+If(DPS_ATK_TYPE="挥砍/刺击",1/120))+DPS_Weapon_Randomization/60</f>
        <v>0.1383333333</v>
      </c>
      <c r="C394" s="104">
        <f>IF(DPS_Graph_True_Speed=TRUE,IF($A394&lt;=DPS_Graph_Max,IF($A394&gt;=DPS_Graph_Speed_Min,1/B394,),),)</f>
        <v>7.228915663</v>
      </c>
      <c r="D394" s="115" t="str">
        <f>IF(DPS_Graph_True_Speed=TRUE,IF($E$8=$A394,DPS_Attacks_P_Sec,),)</f>
        <v/>
      </c>
      <c r="E394" s="222">
        <f>ROUNDDOWN(MAX(2,IF(A394&gt;=0, DPS_Base_Wpn_Spd/(1+A394),DPS_Base_Wpn_Spd*(1+ABS(A394)))),0)</f>
        <v>2</v>
      </c>
      <c r="F394" s="232">
        <f>IF(A394&gt;=0, DPS_Base_Recoil/(1+A394),DPS_Base_Recoil)</f>
        <v>0.01992031873</v>
      </c>
      <c r="G394" s="377">
        <f t="shared" si="7"/>
        <v>0.6191615458</v>
      </c>
      <c r="H394" s="377">
        <f t="shared" si="8"/>
        <v>0.03616636528</v>
      </c>
      <c r="I394" s="104"/>
      <c r="J394" s="377">
        <f>MAX(0, Max(25,(DPS_Base_Range + ((DPS_Range_Stat) / 2))) / MIN(MAX(70, (70 * (1 + ($A394 / 3)))), 120))</f>
        <v>3.801076972</v>
      </c>
      <c r="K394" s="269">
        <f>IF(A394&lt;=DPS_Graph_Max,IF(A394&gt;=DPS_Graph_Speed_Min,A394,),)</f>
        <v>1.51</v>
      </c>
      <c r="M394" s="213">
        <f>If(DPS_Weapon_Type="远程",$E394/60+$F394*2,$E394/60+$F394+$G394/2+$H394)</f>
        <v>0.07317397078</v>
      </c>
      <c r="N394" s="104">
        <f>IF(DPS_Graph_Tooltip_Speed=TRUE,IF($A394&lt;=DPS_Graph_Max,IF($A394&gt;=DPS_Graph_Speed_Min,1/M394,),),)</f>
        <v>13.66606171</v>
      </c>
      <c r="R394" s="104" t="str">
        <f>IF(DPS_Graph_Tooltip_Speed=TRUE,IF($E$8=$A394,1/$N$6,),)</f>
        <v/>
      </c>
    </row>
    <row r="395">
      <c r="A395" s="370">
        <v>1.52</v>
      </c>
      <c r="B395" s="213">
        <f>If(DPS_Weapon_Type="远程",($E395+1)/60+(ROUNDDOWN($F395*60+1,0)/60)*2,(ROUNDDOWN(($E395+1)+ROUNDDOWN($F395*60+1,0)+ROUNDDOWN($G395/2*60+1,0)+ROUNDDOWN($H395*60+1,0)+1,0))/60+If(DPS_ATK_TYPE="挥砍",1/60)+If(DPS_ATK_TYPE="挥砍/刺击",1/120))+DPS_Weapon_Randomization/60</f>
        <v>0.1383333333</v>
      </c>
      <c r="C395" s="104">
        <f>IF(DPS_Graph_True_Speed=TRUE,IF($A395&lt;=DPS_Graph_Max,IF($A395&gt;=DPS_Graph_Speed_Min,1/B395,),),)</f>
        <v>7.228915663</v>
      </c>
      <c r="D395" s="115" t="str">
        <f>IF(DPS_Graph_True_Speed=TRUE,IF($E$8=$A395,DPS_Attacks_P_Sec,),)</f>
        <v/>
      </c>
      <c r="E395" s="222">
        <f>ROUNDDOWN(MAX(2,IF(A395&gt;=0, DPS_Base_Wpn_Spd/(1+A395),DPS_Base_Wpn_Spd*(1+ABS(A395)))),0)</f>
        <v>2</v>
      </c>
      <c r="F395" s="232">
        <f>IF(A395&gt;=0, DPS_Base_Recoil/(1+A395),DPS_Base_Recoil)</f>
        <v>0.01984126984</v>
      </c>
      <c r="G395" s="377">
        <f t="shared" si="7"/>
        <v>0.6169001264</v>
      </c>
      <c r="H395" s="377">
        <f t="shared" si="8"/>
        <v>0.03597122302</v>
      </c>
      <c r="I395" s="104"/>
      <c r="J395" s="377">
        <f>MAX(0, Max(25,(DPS_Base_Range + ((DPS_Range_Stat) / 2))) / MIN(MAX(70, (70 * (1 + ($A395 / 3)))), 120))</f>
        <v>3.792667509</v>
      </c>
      <c r="K395" s="269">
        <f>IF(A395&lt;=DPS_Graph_Max,IF(A395&gt;=DPS_Graph_Speed_Min,A395,),)</f>
        <v>1.52</v>
      </c>
      <c r="M395" s="213">
        <f>If(DPS_Weapon_Type="远程",$E395/60+$F395*2,$E395/60+$F395+$G395/2+$H395)</f>
        <v>0.07301587302</v>
      </c>
      <c r="N395" s="104">
        <f>IF(DPS_Graph_Tooltip_Speed=TRUE,IF($A395&lt;=DPS_Graph_Max,IF($A395&gt;=DPS_Graph_Speed_Min,1/M395,),),)</f>
        <v>13.69565217</v>
      </c>
      <c r="R395" s="104" t="str">
        <f>IF(DPS_Graph_Tooltip_Speed=TRUE,IF($E$8=$A395,1/$N$6,),)</f>
        <v/>
      </c>
    </row>
    <row r="396">
      <c r="A396" s="370">
        <v>1.53</v>
      </c>
      <c r="B396" s="213">
        <f>If(DPS_Weapon_Type="远程",($E396+1)/60+(ROUNDDOWN($F396*60+1,0)/60)*2,(ROUNDDOWN(($E396+1)+ROUNDDOWN($F396*60+1,0)+ROUNDDOWN($G396/2*60+1,0)+ROUNDDOWN($H396*60+1,0)+1,0))/60+If(DPS_ATK_TYPE="挥砍",1/60)+If(DPS_ATK_TYPE="挥砍/刺击",1/120))+DPS_Weapon_Randomization/60</f>
        <v>0.1383333333</v>
      </c>
      <c r="C396" s="104">
        <f>IF(DPS_Graph_True_Speed=TRUE,IF($A396&lt;=DPS_Graph_Max,IF($A396&gt;=DPS_Graph_Speed_Min,1/B396,),),)</f>
        <v>7.228915663</v>
      </c>
      <c r="D396" s="115" t="str">
        <f>IF(DPS_Graph_True_Speed=TRUE,IF($E$8=$A396,DPS_Attacks_P_Sec,),)</f>
        <v/>
      </c>
      <c r="E396" s="222">
        <f>ROUNDDOWN(MAX(2,IF(A396&gt;=0, DPS_Base_Wpn_Spd/(1+A396),DPS_Base_Wpn_Spd*(1+ABS(A396)))),0)</f>
        <v>2</v>
      </c>
      <c r="F396" s="232">
        <f>IF(A396&gt;=0, DPS_Base_Recoil/(1+A396),DPS_Base_Recoil)</f>
        <v>0.01976284585</v>
      </c>
      <c r="G396" s="377">
        <f t="shared" si="7"/>
        <v>0.6146442763</v>
      </c>
      <c r="H396" s="377">
        <f t="shared" si="8"/>
        <v>0.03577817531</v>
      </c>
      <c r="I396" s="104"/>
      <c r="J396" s="377">
        <f>MAX(0, Max(25,(DPS_Base_Range + ((DPS_Range_Stat) / 2))) / MIN(MAX(70, (70 * (1 + ($A396 / 3)))), 120))</f>
        <v>3.784295175</v>
      </c>
      <c r="K396" s="269">
        <f>IF(A396&lt;=DPS_Graph_Max,IF(A396&gt;=DPS_Graph_Speed_Min,A396,),)</f>
        <v>1.53</v>
      </c>
      <c r="M396" s="213">
        <f>If(DPS_Weapon_Type="远程",$E396/60+$F396*2,$E396/60+$F396+$G396/2+$H396)</f>
        <v>0.07285902503</v>
      </c>
      <c r="N396" s="104">
        <f>IF(DPS_Graph_Tooltip_Speed=TRUE,IF($A396&lt;=DPS_Graph_Max,IF($A396&gt;=DPS_Graph_Speed_Min,1/M396,),),)</f>
        <v>13.72513562</v>
      </c>
      <c r="R396" s="104" t="str">
        <f>IF(DPS_Graph_Tooltip_Speed=TRUE,IF($E$8=$A396,1/$N$6,),)</f>
        <v/>
      </c>
    </row>
    <row r="397">
      <c r="A397" s="370">
        <v>1.54</v>
      </c>
      <c r="B397" s="213">
        <f>If(DPS_Weapon_Type="远程",($E397+1)/60+(ROUNDDOWN($F397*60+1,0)/60)*2,(ROUNDDOWN(($E397+1)+ROUNDDOWN($F397*60+1,0)+ROUNDDOWN($G397/2*60+1,0)+ROUNDDOWN($H397*60+1,0)+1,0))/60+If(DPS_ATK_TYPE="挥砍",1/60)+If(DPS_ATK_TYPE="挥砍/刺击",1/120))+DPS_Weapon_Randomization/60</f>
        <v>0.1383333333</v>
      </c>
      <c r="C397" s="104">
        <f>IF(DPS_Graph_True_Speed=TRUE,IF($A397&lt;=DPS_Graph_Max,IF($A397&gt;=DPS_Graph_Speed_Min,1/B397,),),)</f>
        <v>7.228915663</v>
      </c>
      <c r="D397" s="115" t="str">
        <f>IF(DPS_Graph_True_Speed=TRUE,IF($E$8=$A397,DPS_Attacks_P_Sec,),)</f>
        <v/>
      </c>
      <c r="E397" s="222">
        <f>ROUNDDOWN(MAX(2,IF(A397&gt;=0, DPS_Base_Wpn_Spd/(1+A397),DPS_Base_Wpn_Spd*(1+ABS(A397)))),0)</f>
        <v>2</v>
      </c>
      <c r="F397" s="232">
        <f>IF(A397&gt;=0, DPS_Base_Recoil/(1+A397),DPS_Base_Recoil)</f>
        <v>0.01968503937</v>
      </c>
      <c r="G397" s="377">
        <f t="shared" si="7"/>
        <v>0.6123939585</v>
      </c>
      <c r="H397" s="377">
        <f t="shared" si="8"/>
        <v>0.03558718861</v>
      </c>
      <c r="I397" s="104"/>
      <c r="J397" s="377">
        <f>MAX(0, Max(25,(DPS_Base_Range + ((DPS_Range_Stat) / 2))) / MIN(MAX(70, (70 * (1 + ($A397 / 3)))), 120))</f>
        <v>3.775959723</v>
      </c>
      <c r="K397" s="269">
        <f>IF(A397&lt;=DPS_Graph_Max,IF(A397&gt;=DPS_Graph_Speed_Min,A397,),)</f>
        <v>1.54</v>
      </c>
      <c r="M397" s="213">
        <f>If(DPS_Weapon_Type="远程",$E397/60+$F397*2,$E397/60+$F397+$G397/2+$H397)</f>
        <v>0.07270341207</v>
      </c>
      <c r="N397" s="104">
        <f>IF(DPS_Graph_Tooltip_Speed=TRUE,IF($A397&lt;=DPS_Graph_Max,IF($A397&gt;=DPS_Graph_Speed_Min,1/M397,),),)</f>
        <v>13.75451264</v>
      </c>
      <c r="R397" s="104" t="str">
        <f>IF(DPS_Graph_Tooltip_Speed=TRUE,IF($E$8=$A397,1/$N$6,),)</f>
        <v/>
      </c>
    </row>
    <row r="398">
      <c r="A398" s="370">
        <v>1.55</v>
      </c>
      <c r="B398" s="213">
        <f>If(DPS_Weapon_Type="远程",($E398+1)/60+(ROUNDDOWN($F398*60+1,0)/60)*2,(ROUNDDOWN(($E398+1)+ROUNDDOWN($F398*60+1,0)+ROUNDDOWN($G398/2*60+1,0)+ROUNDDOWN($H398*60+1,0)+1,0))/60+If(DPS_ATK_TYPE="挥砍",1/60)+If(DPS_ATK_TYPE="挥砍/刺击",1/120))+DPS_Weapon_Randomization/60</f>
        <v>0.1383333333</v>
      </c>
      <c r="C398" s="104">
        <f>IF(DPS_Graph_True_Speed=TRUE,IF($A398&lt;=DPS_Graph_Max,IF($A398&gt;=DPS_Graph_Speed_Min,1/B398,),),)</f>
        <v>7.228915663</v>
      </c>
      <c r="D398" s="115" t="str">
        <f>IF(DPS_Graph_True_Speed=TRUE,IF($E$8=$A398,DPS_Attacks_P_Sec,),)</f>
        <v/>
      </c>
      <c r="E398" s="222">
        <f>ROUNDDOWN(MAX(2,IF(A398&gt;=0, DPS_Base_Wpn_Spd/(1+A398),DPS_Base_Wpn_Spd*(1+ABS(A398)))),0)</f>
        <v>2</v>
      </c>
      <c r="F398" s="232">
        <f>IF(A398&gt;=0, DPS_Base_Recoil/(1+A398),DPS_Base_Recoil)</f>
        <v>0.01960784314</v>
      </c>
      <c r="G398" s="377">
        <f t="shared" si="7"/>
        <v>0.6101491366</v>
      </c>
      <c r="H398" s="377">
        <f t="shared" si="8"/>
        <v>0.03539823009</v>
      </c>
      <c r="I398" s="104"/>
      <c r="J398" s="377">
        <f>MAX(0, Max(25,(DPS_Base_Range + ((DPS_Range_Stat) / 2))) / MIN(MAX(70, (70 * (1 + ($A398 / 3)))), 120))</f>
        <v>3.767660911</v>
      </c>
      <c r="K398" s="269">
        <f>IF(A398&lt;=DPS_Graph_Max,IF(A398&gt;=DPS_Graph_Speed_Min,A398,),)</f>
        <v>1.55</v>
      </c>
      <c r="M398" s="213">
        <f>If(DPS_Weapon_Type="远程",$E398/60+$F398*2,$E398/60+$F398+$G398/2+$H398)</f>
        <v>0.07254901961</v>
      </c>
      <c r="N398" s="104">
        <f>IF(DPS_Graph_Tooltip_Speed=TRUE,IF($A398&lt;=DPS_Graph_Max,IF($A398&gt;=DPS_Graph_Speed_Min,1/M398,),),)</f>
        <v>13.78378378</v>
      </c>
      <c r="R398" s="104" t="str">
        <f>IF(DPS_Graph_Tooltip_Speed=TRUE,IF($E$8=$A398,1/$N$6,),)</f>
        <v/>
      </c>
    </row>
    <row r="399">
      <c r="A399" s="370">
        <v>1.56</v>
      </c>
      <c r="B399" s="213">
        <f>If(DPS_Weapon_Type="远程",($E399+1)/60+(ROUNDDOWN($F399*60+1,0)/60)*2,(ROUNDDOWN(($E399+1)+ROUNDDOWN($F399*60+1,0)+ROUNDDOWN($G399/2*60+1,0)+ROUNDDOWN($H399*60+1,0)+1,0))/60+If(DPS_ATK_TYPE="挥砍",1/60)+If(DPS_ATK_TYPE="挥砍/刺击",1/120))+DPS_Weapon_Randomization/60</f>
        <v>0.1383333333</v>
      </c>
      <c r="C399" s="104">
        <f>IF(DPS_Graph_True_Speed=TRUE,IF($A399&lt;=DPS_Graph_Max,IF($A399&gt;=DPS_Graph_Speed_Min,1/B399,),),)</f>
        <v>7.228915663</v>
      </c>
      <c r="D399" s="115" t="str">
        <f>IF(DPS_Graph_True_Speed=TRUE,IF($E$8=$A399,DPS_Attacks_P_Sec,),)</f>
        <v/>
      </c>
      <c r="E399" s="222">
        <f>ROUNDDOWN(MAX(2,IF(A399&gt;=0, DPS_Base_Wpn_Spd/(1+A399),DPS_Base_Wpn_Spd*(1+ABS(A399)))),0)</f>
        <v>2</v>
      </c>
      <c r="F399" s="232">
        <f>IF(A399&gt;=0, DPS_Base_Recoil/(1+A399),DPS_Base_Recoil)</f>
        <v>0.01953125</v>
      </c>
      <c r="G399" s="377">
        <f t="shared" si="7"/>
        <v>0.6079097744</v>
      </c>
      <c r="H399" s="377">
        <f t="shared" si="8"/>
        <v>0.03521126761</v>
      </c>
      <c r="I399" s="104"/>
      <c r="J399" s="377">
        <f>MAX(0, Max(25,(DPS_Base_Range + ((DPS_Range_Stat) / 2))) / MIN(MAX(70, (70 * (1 + ($A399 / 3)))), 120))</f>
        <v>3.759398496</v>
      </c>
      <c r="K399" s="269">
        <f>IF(A399&lt;=DPS_Graph_Max,IF(A399&gt;=DPS_Graph_Speed_Min,A399,),)</f>
        <v>1.56</v>
      </c>
      <c r="M399" s="213">
        <f>If(DPS_Weapon_Type="远程",$E399/60+$F399*2,$E399/60+$F399+$G399/2+$H399)</f>
        <v>0.07239583333</v>
      </c>
      <c r="N399" s="104">
        <f>IF(DPS_Graph_Tooltip_Speed=TRUE,IF($A399&lt;=DPS_Graph_Max,IF($A399&gt;=DPS_Graph_Speed_Min,1/M399,),),)</f>
        <v>13.81294964</v>
      </c>
      <c r="R399" s="104" t="str">
        <f>IF(DPS_Graph_Tooltip_Speed=TRUE,IF($E$8=$A399,1/$N$6,),)</f>
        <v/>
      </c>
    </row>
    <row r="400">
      <c r="A400" s="370">
        <v>1.57</v>
      </c>
      <c r="B400" s="213">
        <f>If(DPS_Weapon_Type="远程",($E400+1)/60+(ROUNDDOWN($F400*60+1,0)/60)*2,(ROUNDDOWN(($E400+1)+ROUNDDOWN($F400*60+1,0)+ROUNDDOWN($G400/2*60+1,0)+ROUNDDOWN($H400*60+1,0)+1,0))/60+If(DPS_ATK_TYPE="挥砍",1/60)+If(DPS_ATK_TYPE="挥砍/刺击",1/120))+DPS_Weapon_Randomization/60</f>
        <v>0.1383333333</v>
      </c>
      <c r="C400" s="104">
        <f>IF(DPS_Graph_True_Speed=TRUE,IF($A400&lt;=DPS_Graph_Max,IF($A400&gt;=DPS_Graph_Speed_Min,1/B400,),),)</f>
        <v>7.228915663</v>
      </c>
      <c r="D400" s="115" t="str">
        <f>IF(DPS_Graph_True_Speed=TRUE,IF($E$8=$A400,DPS_Attacks_P_Sec,),)</f>
        <v/>
      </c>
      <c r="E400" s="222">
        <f>ROUNDDOWN(MAX(2,IF(A400&gt;=0, DPS_Base_Wpn_Spd/(1+A400),DPS_Base_Wpn_Spd*(1+ABS(A400)))),0)</f>
        <v>2</v>
      </c>
      <c r="F400" s="232">
        <f>IF(A400&gt;=0, DPS_Base_Recoil/(1+A400),DPS_Base_Recoil)</f>
        <v>0.01945525292</v>
      </c>
      <c r="G400" s="377">
        <f t="shared" si="7"/>
        <v>0.6056758362</v>
      </c>
      <c r="H400" s="377">
        <f t="shared" si="8"/>
        <v>0.0350262697</v>
      </c>
      <c r="I400" s="104"/>
      <c r="J400" s="377">
        <f>MAX(0, Max(25,(DPS_Base_Range + ((DPS_Range_Stat) / 2))) / MIN(MAX(70, (70 * (1 + ($A400 / 3)))), 120))</f>
        <v>3.751172241</v>
      </c>
      <c r="K400" s="269">
        <f>IF(A400&lt;=DPS_Graph_Max,IF(A400&gt;=DPS_Graph_Speed_Min,A400,),)</f>
        <v>1.57</v>
      </c>
      <c r="M400" s="213">
        <f>If(DPS_Weapon_Type="远程",$E400/60+$F400*2,$E400/60+$F400+$G400/2+$H400)</f>
        <v>0.07224383917</v>
      </c>
      <c r="N400" s="104">
        <f>IF(DPS_Graph_Tooltip_Speed=TRUE,IF($A400&lt;=DPS_Graph_Max,IF($A400&gt;=DPS_Graph_Speed_Min,1/M400,),),)</f>
        <v>13.84201077</v>
      </c>
      <c r="R400" s="104" t="str">
        <f>IF(DPS_Graph_Tooltip_Speed=TRUE,IF($E$8=$A400,1/$N$6,),)</f>
        <v/>
      </c>
    </row>
    <row r="401">
      <c r="A401" s="370">
        <v>1.58</v>
      </c>
      <c r="B401" s="213">
        <f>If(DPS_Weapon_Type="远程",($E401+1)/60+(ROUNDDOWN($F401*60+1,0)/60)*2,(ROUNDDOWN(($E401+1)+ROUNDDOWN($F401*60+1,0)+ROUNDDOWN($G401/2*60+1,0)+ROUNDDOWN($H401*60+1,0)+1,0))/60+If(DPS_ATK_TYPE="挥砍",1/60)+If(DPS_ATK_TYPE="挥砍/刺击",1/120))+DPS_Weapon_Randomization/60</f>
        <v>0.1383333333</v>
      </c>
      <c r="C401" s="104">
        <f>IF(DPS_Graph_True_Speed=TRUE,IF($A401&lt;=DPS_Graph_Max,IF($A401&gt;=DPS_Graph_Speed_Min,1/B401,),),)</f>
        <v>7.228915663</v>
      </c>
      <c r="D401" s="115" t="str">
        <f>IF(DPS_Graph_True_Speed=TRUE,IF($E$8=$A401,DPS_Attacks_P_Sec,),)</f>
        <v/>
      </c>
      <c r="E401" s="222">
        <f>ROUNDDOWN(MAX(2,IF(A401&gt;=0, DPS_Base_Wpn_Spd/(1+A401),DPS_Base_Wpn_Spd*(1+ABS(A401)))),0)</f>
        <v>2</v>
      </c>
      <c r="F401" s="232">
        <f>IF(A401&gt;=0, DPS_Base_Recoil/(1+A401),DPS_Base_Recoil)</f>
        <v>0.01937984496</v>
      </c>
      <c r="G401" s="377">
        <f t="shared" si="7"/>
        <v>0.6034472863</v>
      </c>
      <c r="H401" s="377">
        <f t="shared" si="8"/>
        <v>0.03484320557</v>
      </c>
      <c r="I401" s="104"/>
      <c r="J401" s="377">
        <f>MAX(0, Max(25,(DPS_Base_Range + ((DPS_Range_Stat) / 2))) / MIN(MAX(70, (70 * (1 + ($A401 / 3)))), 120))</f>
        <v>3.742981909</v>
      </c>
      <c r="K401" s="269">
        <f>IF(A401&lt;=DPS_Graph_Max,IF(A401&gt;=DPS_Graph_Speed_Min,A401,),)</f>
        <v>1.58</v>
      </c>
      <c r="M401" s="213">
        <f>If(DPS_Weapon_Type="远程",$E401/60+$F401*2,$E401/60+$F401+$G401/2+$H401)</f>
        <v>0.07209302326</v>
      </c>
      <c r="N401" s="104">
        <f>IF(DPS_Graph_Tooltip_Speed=TRUE,IF($A401&lt;=DPS_Graph_Max,IF($A401&gt;=DPS_Graph_Speed_Min,1/M401,),),)</f>
        <v>13.87096774</v>
      </c>
      <c r="R401" s="104" t="str">
        <f>IF(DPS_Graph_Tooltip_Speed=TRUE,IF($E$8=$A401,1/$N$6,),)</f>
        <v/>
      </c>
    </row>
    <row r="402">
      <c r="A402" s="370">
        <v>1.59</v>
      </c>
      <c r="B402" s="213">
        <f>If(DPS_Weapon_Type="远程",($E402+1)/60+(ROUNDDOWN($F402*60+1,0)/60)*2,(ROUNDDOWN(($E402+1)+ROUNDDOWN($F402*60+1,0)+ROUNDDOWN($G402/2*60+1,0)+ROUNDDOWN($H402*60+1,0)+1,0))/60+If(DPS_ATK_TYPE="挥砍",1/60)+If(DPS_ATK_TYPE="挥砍/刺击",1/120))+DPS_Weapon_Randomization/60</f>
        <v>0.1383333333</v>
      </c>
      <c r="C402" s="104">
        <f>IF(DPS_Graph_True_Speed=TRUE,IF($A402&lt;=DPS_Graph_Max,IF($A402&gt;=DPS_Graph_Speed_Min,1/B402,),),)</f>
        <v>7.228915663</v>
      </c>
      <c r="D402" s="115" t="str">
        <f>IF(DPS_Graph_True_Speed=TRUE,IF($E$8=$A402,DPS_Attacks_P_Sec,),)</f>
        <v/>
      </c>
      <c r="E402" s="222">
        <f>ROUNDDOWN(MAX(2,IF(A402&gt;=0, DPS_Base_Wpn_Spd/(1+A402),DPS_Base_Wpn_Spd*(1+ABS(A402)))),0)</f>
        <v>2</v>
      </c>
      <c r="F402" s="232">
        <f>IF(A402&gt;=0, DPS_Base_Recoil/(1+A402),DPS_Base_Recoil)</f>
        <v>0.01930501931</v>
      </c>
      <c r="G402" s="377">
        <f t="shared" si="7"/>
        <v>0.6012240896</v>
      </c>
      <c r="H402" s="377">
        <f t="shared" si="8"/>
        <v>0.03466204506</v>
      </c>
      <c r="I402" s="104"/>
      <c r="J402" s="377">
        <f>MAX(0, Max(25,(DPS_Base_Range + ((DPS_Range_Stat) / 2))) / MIN(MAX(70, (70 * (1 + ($A402 / 3)))), 120))</f>
        <v>3.734827264</v>
      </c>
      <c r="K402" s="269">
        <f>IF(A402&lt;=DPS_Graph_Max,IF(A402&gt;=DPS_Graph_Speed_Min,A402,),)</f>
        <v>1.59</v>
      </c>
      <c r="M402" s="213">
        <f>If(DPS_Weapon_Type="远程",$E402/60+$F402*2,$E402/60+$F402+$G402/2+$H402)</f>
        <v>0.07194337194</v>
      </c>
      <c r="N402" s="104">
        <f>IF(DPS_Graph_Tooltip_Speed=TRUE,IF($A402&lt;=DPS_Graph_Max,IF($A402&gt;=DPS_Graph_Speed_Min,1/M402,),),)</f>
        <v>13.89982111</v>
      </c>
      <c r="R402" s="104" t="str">
        <f>IF(DPS_Graph_Tooltip_Speed=TRUE,IF($E$8=$A402,1/$N$6,),)</f>
        <v/>
      </c>
    </row>
    <row r="403">
      <c r="A403" s="370">
        <v>1.6</v>
      </c>
      <c r="B403" s="213">
        <f>If(DPS_Weapon_Type="远程",($E403+1)/60+(ROUNDDOWN($F403*60+1,0)/60)*2,(ROUNDDOWN(($E403+1)+ROUNDDOWN($F403*60+1,0)+ROUNDDOWN($G403/2*60+1,0)+ROUNDDOWN($H403*60+1,0)+1,0))/60+If(DPS_ATK_TYPE="挥砍",1/60)+If(DPS_ATK_TYPE="挥砍/刺击",1/120))+DPS_Weapon_Randomization/60</f>
        <v>0.1383333333</v>
      </c>
      <c r="C403" s="104">
        <f>IF(DPS_Graph_True_Speed=TRUE,IF($A403&lt;=DPS_Graph_Max,IF($A403&gt;=DPS_Graph_Speed_Min,1/B403,),),)</f>
        <v>7.228915663</v>
      </c>
      <c r="D403" s="115" t="str">
        <f>IF(DPS_Graph_True_Speed=TRUE,IF($E$8=$A403,DPS_Attacks_P_Sec,),)</f>
        <v/>
      </c>
      <c r="E403" s="222">
        <f>ROUNDDOWN(MAX(2,IF(A403&gt;=0, DPS_Base_Wpn_Spd/(1+A403),DPS_Base_Wpn_Spd*(1+ABS(A403)))),0)</f>
        <v>2</v>
      </c>
      <c r="F403" s="232">
        <f>IF(A403&gt;=0, DPS_Base_Recoil/(1+A403),DPS_Base_Recoil)</f>
        <v>0.01923076923</v>
      </c>
      <c r="G403" s="377">
        <f t="shared" si="7"/>
        <v>0.5990062112</v>
      </c>
      <c r="H403" s="377">
        <f t="shared" si="8"/>
        <v>0.03448275862</v>
      </c>
      <c r="I403" s="104"/>
      <c r="J403" s="377">
        <f>MAX(0, Max(25,(DPS_Base_Range + ((DPS_Range_Stat) / 2))) / MIN(MAX(70, (70 * (1 + ($A403 / 3)))), 120))</f>
        <v>3.726708075</v>
      </c>
      <c r="K403" s="269">
        <f>IF(A403&lt;=DPS_Graph_Max,IF(A403&gt;=DPS_Graph_Speed_Min,A403,),)</f>
        <v>1.6</v>
      </c>
      <c r="M403" s="213">
        <f>If(DPS_Weapon_Type="远程",$E403/60+$F403*2,$E403/60+$F403+$G403/2+$H403)</f>
        <v>0.07179487179</v>
      </c>
      <c r="N403" s="104">
        <f>IF(DPS_Graph_Tooltip_Speed=TRUE,IF($A403&lt;=DPS_Graph_Max,IF($A403&gt;=DPS_Graph_Speed_Min,1/M403,),),)</f>
        <v>13.92857143</v>
      </c>
      <c r="R403" s="104" t="str">
        <f>IF(DPS_Graph_Tooltip_Speed=TRUE,IF($E$8=$A403,1/$N$6,),)</f>
        <v/>
      </c>
    </row>
    <row r="404">
      <c r="A404" s="370">
        <v>1.61</v>
      </c>
      <c r="B404" s="213">
        <f>If(DPS_Weapon_Type="远程",($E404+1)/60+(ROUNDDOWN($F404*60+1,0)/60)*2,(ROUNDDOWN(($E404+1)+ROUNDDOWN($F404*60+1,0)+ROUNDDOWN($G404/2*60+1,0)+ROUNDDOWN($H404*60+1,0)+1,0))/60+If(DPS_ATK_TYPE="挥砍",1/60)+If(DPS_ATK_TYPE="挥砍/刺击",1/120))+DPS_Weapon_Randomization/60</f>
        <v>0.1383333333</v>
      </c>
      <c r="C404" s="104">
        <f>IF(DPS_Graph_True_Speed=TRUE,IF($A404&lt;=DPS_Graph_Max,IF($A404&gt;=DPS_Graph_Speed_Min,1/B404,),),)</f>
        <v>7.228915663</v>
      </c>
      <c r="D404" s="115" t="str">
        <f>IF(DPS_Graph_True_Speed=TRUE,IF($E$8=$A404,DPS_Attacks_P_Sec,),)</f>
        <v/>
      </c>
      <c r="E404" s="222">
        <f>ROUNDDOWN(MAX(2,IF(A404&gt;=0, DPS_Base_Wpn_Spd/(1+A404),DPS_Base_Wpn_Spd*(1+ABS(A404)))),0)</f>
        <v>2</v>
      </c>
      <c r="F404" s="232">
        <f>IF(A404&gt;=0, DPS_Base_Recoil/(1+A404),DPS_Base_Recoil)</f>
        <v>0.01915708812</v>
      </c>
      <c r="G404" s="377">
        <f t="shared" si="7"/>
        <v>0.5967936164</v>
      </c>
      <c r="H404" s="377">
        <f t="shared" si="8"/>
        <v>0.03430531732</v>
      </c>
      <c r="I404" s="104"/>
      <c r="J404" s="377">
        <f>MAX(0, Max(25,(DPS_Base_Range + ((DPS_Range_Stat) / 2))) / MIN(MAX(70, (70 * (1 + ($A404 / 3)))), 120))</f>
        <v>3.718624109</v>
      </c>
      <c r="K404" s="269">
        <f>IF(A404&lt;=DPS_Graph_Max,IF(A404&gt;=DPS_Graph_Speed_Min,A404,),)</f>
        <v>1.61</v>
      </c>
      <c r="M404" s="213">
        <f>If(DPS_Weapon_Type="远程",$E404/60+$F404*2,$E404/60+$F404+$G404/2+$H404)</f>
        <v>0.07164750958</v>
      </c>
      <c r="N404" s="104">
        <f>IF(DPS_Graph_Tooltip_Speed=TRUE,IF($A404&lt;=DPS_Graph_Max,IF($A404&gt;=DPS_Graph_Speed_Min,1/M404,),),)</f>
        <v>13.95721925</v>
      </c>
      <c r="R404" s="104" t="str">
        <f>IF(DPS_Graph_Tooltip_Speed=TRUE,IF($E$8=$A404,1/$N$6,),)</f>
        <v/>
      </c>
    </row>
    <row r="405">
      <c r="A405" s="370">
        <v>1.62</v>
      </c>
      <c r="B405" s="213">
        <f>If(DPS_Weapon_Type="远程",($E405+1)/60+(ROUNDDOWN($F405*60+1,0)/60)*2,(ROUNDDOWN(($E405+1)+ROUNDDOWN($F405*60+1,0)+ROUNDDOWN($G405/2*60+1,0)+ROUNDDOWN($H405*60+1,0)+1,0))/60+If(DPS_ATK_TYPE="挥砍",1/60)+If(DPS_ATK_TYPE="挥砍/刺击",1/120))+DPS_Weapon_Randomization/60</f>
        <v>0.1383333333</v>
      </c>
      <c r="C405" s="104">
        <f>IF(DPS_Graph_True_Speed=TRUE,IF($A405&lt;=DPS_Graph_Max,IF($A405&gt;=DPS_Graph_Speed_Min,1/B405,),),)</f>
        <v>7.228915663</v>
      </c>
      <c r="D405" s="115" t="str">
        <f>IF(DPS_Graph_True_Speed=TRUE,IF($E$8=$A405,DPS_Attacks_P_Sec,),)</f>
        <v/>
      </c>
      <c r="E405" s="222">
        <f>ROUNDDOWN(MAX(2,IF(A405&gt;=0, DPS_Base_Wpn_Spd/(1+A405),DPS_Base_Wpn_Spd*(1+ABS(A405)))),0)</f>
        <v>2</v>
      </c>
      <c r="F405" s="232">
        <f>IF(A405&gt;=0, DPS_Base_Recoil/(1+A405),DPS_Base_Recoil)</f>
        <v>0.01908396947</v>
      </c>
      <c r="G405" s="377">
        <f t="shared" si="7"/>
        <v>0.5945862709</v>
      </c>
      <c r="H405" s="377">
        <f t="shared" si="8"/>
        <v>0.03412969283</v>
      </c>
      <c r="I405" s="104"/>
      <c r="J405" s="377">
        <f>MAX(0, Max(25,(DPS_Base_Range + ((DPS_Range_Stat) / 2))) / MIN(MAX(70, (70 * (1 + ($A405 / 3)))), 120))</f>
        <v>3.710575139</v>
      </c>
      <c r="K405" s="269">
        <f>IF(A405&lt;=DPS_Graph_Max,IF(A405&gt;=DPS_Graph_Speed_Min,A405,),)</f>
        <v>1.62</v>
      </c>
      <c r="M405" s="213">
        <f>If(DPS_Weapon_Type="远程",$E405/60+$F405*2,$E405/60+$F405+$G405/2+$H405)</f>
        <v>0.07150127226</v>
      </c>
      <c r="N405" s="104">
        <f>IF(DPS_Graph_Tooltip_Speed=TRUE,IF($A405&lt;=DPS_Graph_Max,IF($A405&gt;=DPS_Graph_Speed_Min,1/M405,),),)</f>
        <v>13.98576512</v>
      </c>
      <c r="R405" s="104" t="str">
        <f>IF(DPS_Graph_Tooltip_Speed=TRUE,IF($E$8=$A405,1/$N$6,),)</f>
        <v/>
      </c>
    </row>
    <row r="406">
      <c r="A406" s="370">
        <v>1.63</v>
      </c>
      <c r="B406" s="213">
        <f>If(DPS_Weapon_Type="远程",($E406+1)/60+(ROUNDDOWN($F406*60+1,0)/60)*2,(ROUNDDOWN(($E406+1)+ROUNDDOWN($F406*60+1,0)+ROUNDDOWN($G406/2*60+1,0)+ROUNDDOWN($H406*60+1,0)+1,0))/60+If(DPS_ATK_TYPE="挥砍",1/60)+If(DPS_ATK_TYPE="挥砍/刺击",1/120))+DPS_Weapon_Randomization/60</f>
        <v>0.1383333333</v>
      </c>
      <c r="C406" s="104">
        <f>IF(DPS_Graph_True_Speed=TRUE,IF($A406&lt;=DPS_Graph_Max,IF($A406&gt;=DPS_Graph_Speed_Min,1/B406,),),)</f>
        <v>7.228915663</v>
      </c>
      <c r="D406" s="115" t="str">
        <f>IF(DPS_Graph_True_Speed=TRUE,IF($E$8=$A406,DPS_Attacks_P_Sec,),)</f>
        <v/>
      </c>
      <c r="E406" s="222">
        <f>ROUNDDOWN(MAX(2,IF(A406&gt;=0, DPS_Base_Wpn_Spd/(1+A406),DPS_Base_Wpn_Spd*(1+ABS(A406)))),0)</f>
        <v>2</v>
      </c>
      <c r="F406" s="232">
        <f>IF(A406&gt;=0, DPS_Base_Recoil/(1+A406),DPS_Base_Recoil)</f>
        <v>0.01901140684</v>
      </c>
      <c r="G406" s="377">
        <f t="shared" si="7"/>
        <v>0.5923841407</v>
      </c>
      <c r="H406" s="377">
        <f t="shared" si="8"/>
        <v>0.03395585739</v>
      </c>
      <c r="I406" s="104"/>
      <c r="J406" s="377">
        <f>MAX(0, Max(25,(DPS_Base_Range + ((DPS_Range_Stat) / 2))) / MIN(MAX(70, (70 * (1 + ($A406 / 3)))), 120))</f>
        <v>3.702560938</v>
      </c>
      <c r="K406" s="269">
        <f>IF(A406&lt;=DPS_Graph_Max,IF(A406&gt;=DPS_Graph_Speed_Min,A406,),)</f>
        <v>1.63</v>
      </c>
      <c r="M406" s="213">
        <f>If(DPS_Weapon_Type="远程",$E406/60+$F406*2,$E406/60+$F406+$G406/2+$H406)</f>
        <v>0.07135614702</v>
      </c>
      <c r="N406" s="104">
        <f>IF(DPS_Graph_Tooltip_Speed=TRUE,IF($A406&lt;=DPS_Graph_Max,IF($A406&gt;=DPS_Graph_Speed_Min,1/M406,),),)</f>
        <v>14.01420959</v>
      </c>
      <c r="R406" s="104" t="str">
        <f>IF(DPS_Graph_Tooltip_Speed=TRUE,IF($E$8=$A406,1/$N$6,),)</f>
        <v/>
      </c>
    </row>
    <row r="407">
      <c r="A407" s="370">
        <v>1.64</v>
      </c>
      <c r="B407" s="213">
        <f>If(DPS_Weapon_Type="远程",($E407+1)/60+(ROUNDDOWN($F407*60+1,0)/60)*2,(ROUNDDOWN(($E407+1)+ROUNDDOWN($F407*60+1,0)+ROUNDDOWN($G407/2*60+1,0)+ROUNDDOWN($H407*60+1,0)+1,0))/60+If(DPS_ATK_TYPE="挥砍",1/60)+If(DPS_ATK_TYPE="挥砍/刺击",1/120))+DPS_Weapon_Randomization/60</f>
        <v>0.1383333333</v>
      </c>
      <c r="C407" s="104">
        <f>IF(DPS_Graph_True_Speed=TRUE,IF($A407&lt;=DPS_Graph_Max,IF($A407&gt;=DPS_Graph_Speed_Min,1/B407,),),)</f>
        <v>7.228915663</v>
      </c>
      <c r="D407" s="115" t="str">
        <f>IF(DPS_Graph_True_Speed=TRUE,IF($E$8=$A407,DPS_Attacks_P_Sec,),)</f>
        <v/>
      </c>
      <c r="E407" s="222">
        <f>ROUNDDOWN(MAX(2,IF(A407&gt;=0, DPS_Base_Wpn_Spd/(1+A407),DPS_Base_Wpn_Spd*(1+ABS(A407)))),0)</f>
        <v>2</v>
      </c>
      <c r="F407" s="232">
        <f>IF(A407&gt;=0, DPS_Base_Recoil/(1+A407),DPS_Base_Recoil)</f>
        <v>0.01893939394</v>
      </c>
      <c r="G407" s="377">
        <f t="shared" si="7"/>
        <v>0.5901871921</v>
      </c>
      <c r="H407" s="377">
        <f t="shared" si="8"/>
        <v>0.03378378378</v>
      </c>
      <c r="I407" s="104"/>
      <c r="J407" s="377">
        <f>MAX(0, Max(25,(DPS_Base_Range + ((DPS_Range_Stat) / 2))) / MIN(MAX(70, (70 * (1 + ($A407 / 3)))), 120))</f>
        <v>3.694581281</v>
      </c>
      <c r="K407" s="269">
        <f>IF(A407&lt;=DPS_Graph_Max,IF(A407&gt;=DPS_Graph_Speed_Min,A407,),)</f>
        <v>1.64</v>
      </c>
      <c r="M407" s="213">
        <f>If(DPS_Weapon_Type="远程",$E407/60+$F407*2,$E407/60+$F407+$G407/2+$H407)</f>
        <v>0.07121212121</v>
      </c>
      <c r="N407" s="104">
        <f>IF(DPS_Graph_Tooltip_Speed=TRUE,IF($A407&lt;=DPS_Graph_Max,IF($A407&gt;=DPS_Graph_Speed_Min,1/M407,),),)</f>
        <v>14.04255319</v>
      </c>
      <c r="R407" s="104" t="str">
        <f>IF(DPS_Graph_Tooltip_Speed=TRUE,IF($E$8=$A407,1/$N$6,),)</f>
        <v/>
      </c>
    </row>
    <row r="408">
      <c r="A408" s="370">
        <v>1.65</v>
      </c>
      <c r="B408" s="213">
        <f>If(DPS_Weapon_Type="远程",($E408+1)/60+(ROUNDDOWN($F408*60+1,0)/60)*2,(ROUNDDOWN(($E408+1)+ROUNDDOWN($F408*60+1,0)+ROUNDDOWN($G408/2*60+1,0)+ROUNDDOWN($H408*60+1,0)+1,0))/60+If(DPS_ATK_TYPE="挥砍",1/60)+If(DPS_ATK_TYPE="挥砍/刺击",1/120))+DPS_Weapon_Randomization/60</f>
        <v>0.1383333333</v>
      </c>
      <c r="C408" s="104">
        <f>IF(DPS_Graph_True_Speed=TRUE,IF($A408&lt;=DPS_Graph_Max,IF($A408&gt;=DPS_Graph_Speed_Min,1/B408,),),)</f>
        <v>7.228915663</v>
      </c>
      <c r="D408" s="115" t="str">
        <f>IF(DPS_Graph_True_Speed=TRUE,IF($E$8=$A408,DPS_Attacks_P_Sec,),)</f>
        <v/>
      </c>
      <c r="E408" s="222">
        <f>ROUNDDOWN(MAX(2,IF(A408&gt;=0, DPS_Base_Wpn_Spd/(1+A408),DPS_Base_Wpn_Spd*(1+ABS(A408)))),0)</f>
        <v>2</v>
      </c>
      <c r="F408" s="232">
        <f>IF(A408&gt;=0, DPS_Base_Recoil/(1+A408),DPS_Base_Recoil)</f>
        <v>0.01886792453</v>
      </c>
      <c r="G408" s="377">
        <f t="shared" si="7"/>
        <v>0.5879953917</v>
      </c>
      <c r="H408" s="377">
        <f t="shared" si="8"/>
        <v>0.03361344538</v>
      </c>
      <c r="I408" s="104"/>
      <c r="J408" s="377">
        <f>MAX(0, Max(25,(DPS_Base_Range + ((DPS_Range_Stat) / 2))) / MIN(MAX(70, (70 * (1 + ($A408 / 3)))), 120))</f>
        <v>3.686635945</v>
      </c>
      <c r="K408" s="269">
        <f>IF(A408&lt;=DPS_Graph_Max,IF(A408&gt;=DPS_Graph_Speed_Min,A408,),)</f>
        <v>1.65</v>
      </c>
      <c r="M408" s="213">
        <f>If(DPS_Weapon_Type="远程",$E408/60+$F408*2,$E408/60+$F408+$G408/2+$H408)</f>
        <v>0.07106918239</v>
      </c>
      <c r="N408" s="104">
        <f>IF(DPS_Graph_Tooltip_Speed=TRUE,IF($A408&lt;=DPS_Graph_Max,IF($A408&gt;=DPS_Graph_Speed_Min,1/M408,),),)</f>
        <v>14.07079646</v>
      </c>
      <c r="R408" s="104" t="str">
        <f>IF(DPS_Graph_Tooltip_Speed=TRUE,IF($E$8=$A408,1/$N$6,),)</f>
        <v/>
      </c>
    </row>
    <row r="409">
      <c r="A409" s="370">
        <v>1.66</v>
      </c>
      <c r="B409" s="213">
        <f>If(DPS_Weapon_Type="远程",($E409+1)/60+(ROUNDDOWN($F409*60+1,0)/60)*2,(ROUNDDOWN(($E409+1)+ROUNDDOWN($F409*60+1,0)+ROUNDDOWN($G409/2*60+1,0)+ROUNDDOWN($H409*60+1,0)+1,0))/60+If(DPS_ATK_TYPE="挥砍",1/60)+If(DPS_ATK_TYPE="挥砍/刺击",1/120))+DPS_Weapon_Randomization/60</f>
        <v>0.1383333333</v>
      </c>
      <c r="C409" s="104">
        <f>IF(DPS_Graph_True_Speed=TRUE,IF($A409&lt;=DPS_Graph_Max,IF($A409&gt;=DPS_Graph_Speed_Min,1/B409,),),)</f>
        <v>7.228915663</v>
      </c>
      <c r="D409" s="115" t="str">
        <f>IF(DPS_Graph_True_Speed=TRUE,IF($E$8=$A409,DPS_Attacks_P_Sec,),)</f>
        <v/>
      </c>
      <c r="E409" s="222">
        <f>ROUNDDOWN(MAX(2,IF(A409&gt;=0, DPS_Base_Wpn_Spd/(1+A409),DPS_Base_Wpn_Spd*(1+ABS(A409)))),0)</f>
        <v>2</v>
      </c>
      <c r="F409" s="232">
        <f>IF(A409&gt;=0, DPS_Base_Recoil/(1+A409),DPS_Base_Recoil)</f>
        <v>0.01879699248</v>
      </c>
      <c r="G409" s="377">
        <f t="shared" si="7"/>
        <v>0.5858087063</v>
      </c>
      <c r="H409" s="377">
        <f t="shared" si="8"/>
        <v>0.03344481605</v>
      </c>
      <c r="I409" s="104"/>
      <c r="J409" s="377">
        <f>MAX(0, Max(25,(DPS_Base_Range + ((DPS_Range_Stat) / 2))) / MIN(MAX(70, (70 * (1 + ($A409 / 3)))), 120))</f>
        <v>3.678724709</v>
      </c>
      <c r="K409" s="269">
        <f>IF(A409&lt;=DPS_Graph_Max,IF(A409&gt;=DPS_Graph_Speed_Min,A409,),)</f>
        <v>1.66</v>
      </c>
      <c r="M409" s="213">
        <f>If(DPS_Weapon_Type="远程",$E409/60+$F409*2,$E409/60+$F409+$G409/2+$H409)</f>
        <v>0.0709273183</v>
      </c>
      <c r="N409" s="104">
        <f>IF(DPS_Graph_Tooltip_Speed=TRUE,IF($A409&lt;=DPS_Graph_Max,IF($A409&gt;=DPS_Graph_Speed_Min,1/M409,),),)</f>
        <v>14.09893993</v>
      </c>
      <c r="R409" s="104" t="str">
        <f>IF(DPS_Graph_Tooltip_Speed=TRUE,IF($E$8=$A409,1/$N$6,),)</f>
        <v/>
      </c>
    </row>
    <row r="410">
      <c r="A410" s="370">
        <v>1.67</v>
      </c>
      <c r="B410" s="213">
        <f>If(DPS_Weapon_Type="远程",($E410+1)/60+(ROUNDDOWN($F410*60+1,0)/60)*2,(ROUNDDOWN(($E410+1)+ROUNDDOWN($F410*60+1,0)+ROUNDDOWN($G410/2*60+1,0)+ROUNDDOWN($H410*60+1,0)+1,0))/60+If(DPS_ATK_TYPE="挥砍",1/60)+If(DPS_ATK_TYPE="挥砍/刺击",1/120))+DPS_Weapon_Randomization/60</f>
        <v>0.1383333333</v>
      </c>
      <c r="C410" s="104">
        <f>IF(DPS_Graph_True_Speed=TRUE,IF($A410&lt;=DPS_Graph_Max,IF($A410&gt;=DPS_Graph_Speed_Min,1/B410,),),)</f>
        <v>7.228915663</v>
      </c>
      <c r="D410" s="115" t="str">
        <f>IF(DPS_Graph_True_Speed=TRUE,IF($E$8=$A410,DPS_Attacks_P_Sec,),)</f>
        <v/>
      </c>
      <c r="E410" s="222">
        <f>ROUNDDOWN(MAX(2,IF(A410&gt;=0, DPS_Base_Wpn_Spd/(1+A410),DPS_Base_Wpn_Spd*(1+ABS(A410)))),0)</f>
        <v>2</v>
      </c>
      <c r="F410" s="232">
        <f>IF(A410&gt;=0, DPS_Base_Recoil/(1+A410),DPS_Base_Recoil)</f>
        <v>0.01872659176</v>
      </c>
      <c r="G410" s="377">
        <f t="shared" si="7"/>
        <v>0.5836271031</v>
      </c>
      <c r="H410" s="377">
        <f t="shared" si="8"/>
        <v>0.03327787022</v>
      </c>
      <c r="I410" s="104"/>
      <c r="J410" s="377">
        <f>MAX(0, Max(25,(DPS_Base_Range + ((DPS_Range_Stat) / 2))) / MIN(MAX(70, (70 * (1 + ($A410 / 3)))), 120))</f>
        <v>3.670847354</v>
      </c>
      <c r="K410" s="269">
        <f>IF(A410&lt;=DPS_Graph_Max,IF(A410&gt;=DPS_Graph_Speed_Min,A410,),)</f>
        <v>1.67</v>
      </c>
      <c r="M410" s="213">
        <f>If(DPS_Weapon_Type="远程",$E410/60+$F410*2,$E410/60+$F410+$G410/2+$H410)</f>
        <v>0.07078651685</v>
      </c>
      <c r="N410" s="104">
        <f>IF(DPS_Graph_Tooltip_Speed=TRUE,IF($A410&lt;=DPS_Graph_Max,IF($A410&gt;=DPS_Graph_Speed_Min,1/M410,),),)</f>
        <v>14.12698413</v>
      </c>
      <c r="R410" s="104" t="str">
        <f>IF(DPS_Graph_Tooltip_Speed=TRUE,IF($E$8=$A410,1/$N$6,),)</f>
        <v/>
      </c>
    </row>
    <row r="411">
      <c r="A411" s="370">
        <v>1.68</v>
      </c>
      <c r="B411" s="213">
        <f>If(DPS_Weapon_Type="远程",($E411+1)/60+(ROUNDDOWN($F411*60+1,0)/60)*2,(ROUNDDOWN(($E411+1)+ROUNDDOWN($F411*60+1,0)+ROUNDDOWN($G411/2*60+1,0)+ROUNDDOWN($H411*60+1,0)+1,0))/60+If(DPS_ATK_TYPE="挥砍",1/60)+If(DPS_ATK_TYPE="挥砍/刺击",1/120))+DPS_Weapon_Randomization/60</f>
        <v>0.1383333333</v>
      </c>
      <c r="C411" s="104">
        <f>IF(DPS_Graph_True_Speed=TRUE,IF($A411&lt;=DPS_Graph_Max,IF($A411&gt;=DPS_Graph_Speed_Min,1/B411,),),)</f>
        <v>7.228915663</v>
      </c>
      <c r="D411" s="115" t="str">
        <f>IF(DPS_Graph_True_Speed=TRUE,IF($E$8=$A411,DPS_Attacks_P_Sec,),)</f>
        <v/>
      </c>
      <c r="E411" s="222">
        <f>ROUNDDOWN(MAX(2,IF(A411&gt;=0, DPS_Base_Wpn_Spd/(1+A411),DPS_Base_Wpn_Spd*(1+ABS(A411)))),0)</f>
        <v>2</v>
      </c>
      <c r="F411" s="232">
        <f>IF(A411&gt;=0, DPS_Base_Recoil/(1+A411),DPS_Base_Recoil)</f>
        <v>0.01865671642</v>
      </c>
      <c r="G411" s="377">
        <f t="shared" si="7"/>
        <v>0.5814505495</v>
      </c>
      <c r="H411" s="377">
        <f t="shared" si="8"/>
        <v>0.03311258278</v>
      </c>
      <c r="I411" s="104"/>
      <c r="J411" s="377">
        <f>MAX(0, Max(25,(DPS_Base_Range + ((DPS_Range_Stat) / 2))) / MIN(MAX(70, (70 * (1 + ($A411 / 3)))), 120))</f>
        <v>3.663003663</v>
      </c>
      <c r="K411" s="269">
        <f>IF(A411&lt;=DPS_Graph_Max,IF(A411&gt;=DPS_Graph_Speed_Min,A411,),)</f>
        <v>1.68</v>
      </c>
      <c r="M411" s="213">
        <f>If(DPS_Weapon_Type="远程",$E411/60+$F411*2,$E411/60+$F411+$G411/2+$H411)</f>
        <v>0.07064676617</v>
      </c>
      <c r="N411" s="104">
        <f>IF(DPS_Graph_Tooltip_Speed=TRUE,IF($A411&lt;=DPS_Graph_Max,IF($A411&gt;=DPS_Graph_Speed_Min,1/M411,),),)</f>
        <v>14.15492958</v>
      </c>
      <c r="R411" s="104" t="str">
        <f>IF(DPS_Graph_Tooltip_Speed=TRUE,IF($E$8=$A411,1/$N$6,),)</f>
        <v/>
      </c>
    </row>
    <row r="412">
      <c r="A412" s="370">
        <v>1.69</v>
      </c>
      <c r="B412" s="213">
        <f>If(DPS_Weapon_Type="远程",($E412+1)/60+(ROUNDDOWN($F412*60+1,0)/60)*2,(ROUNDDOWN(($E412+1)+ROUNDDOWN($F412*60+1,0)+ROUNDDOWN($G412/2*60+1,0)+ROUNDDOWN($H412*60+1,0)+1,0))/60+If(DPS_ATK_TYPE="挥砍",1/60)+If(DPS_ATK_TYPE="挥砍/刺击",1/120))+DPS_Weapon_Randomization/60</f>
        <v>0.1383333333</v>
      </c>
      <c r="C412" s="104">
        <f>IF(DPS_Graph_True_Speed=TRUE,IF($A412&lt;=DPS_Graph_Max,IF($A412&gt;=DPS_Graph_Speed_Min,1/B412,),),)</f>
        <v>7.228915663</v>
      </c>
      <c r="D412" s="115" t="str">
        <f>IF(DPS_Graph_True_Speed=TRUE,IF($E$8=$A412,DPS_Attacks_P_Sec,),)</f>
        <v/>
      </c>
      <c r="E412" s="222">
        <f>ROUNDDOWN(MAX(2,IF(A412&gt;=0, DPS_Base_Wpn_Spd/(1+A412),DPS_Base_Wpn_Spd*(1+ABS(A412)))),0)</f>
        <v>2</v>
      </c>
      <c r="F412" s="232">
        <f>IF(A412&gt;=0, DPS_Base_Recoil/(1+A412),DPS_Base_Recoil)</f>
        <v>0.01858736059</v>
      </c>
      <c r="G412" s="377">
        <f t="shared" si="7"/>
        <v>0.5792790131</v>
      </c>
      <c r="H412" s="377">
        <f t="shared" si="8"/>
        <v>0.03294892916</v>
      </c>
      <c r="I412" s="104"/>
      <c r="J412" s="377">
        <f>MAX(0, Max(25,(DPS_Base_Range + ((DPS_Range_Stat) / 2))) / MIN(MAX(70, (70 * (1 + ($A412 / 3)))), 120))</f>
        <v>3.655193421</v>
      </c>
      <c r="K412" s="269">
        <f>IF(A412&lt;=DPS_Graph_Max,IF(A412&gt;=DPS_Graph_Speed_Min,A412,),)</f>
        <v>1.69</v>
      </c>
      <c r="M412" s="213">
        <f>If(DPS_Weapon_Type="远程",$E412/60+$F412*2,$E412/60+$F412+$G412/2+$H412)</f>
        <v>0.07050805452</v>
      </c>
      <c r="N412" s="104">
        <f>IF(DPS_Graph_Tooltip_Speed=TRUE,IF($A412&lt;=DPS_Graph_Max,IF($A412&gt;=DPS_Graph_Speed_Min,1/M412,),),)</f>
        <v>14.1827768</v>
      </c>
      <c r="R412" s="104" t="str">
        <f>IF(DPS_Graph_Tooltip_Speed=TRUE,IF($E$8=$A412,1/$N$6,),)</f>
        <v/>
      </c>
    </row>
    <row r="413">
      <c r="A413" s="370">
        <v>1.7</v>
      </c>
      <c r="B413" s="213">
        <f>If(DPS_Weapon_Type="远程",($E413+1)/60+(ROUNDDOWN($F413*60+1,0)/60)*2,(ROUNDDOWN(($E413+1)+ROUNDDOWN($F413*60+1,0)+ROUNDDOWN($G413/2*60+1,0)+ROUNDDOWN($H413*60+1,0)+1,0))/60+If(DPS_ATK_TYPE="挥砍",1/60)+If(DPS_ATK_TYPE="挥砍/刺击",1/120))+DPS_Weapon_Randomization/60</f>
        <v>0.1383333333</v>
      </c>
      <c r="C413" s="104">
        <f>IF(DPS_Graph_True_Speed=TRUE,IF($A413&lt;=DPS_Graph_Max,IF($A413&gt;=DPS_Graph_Speed_Min,1/B413,),),)</f>
        <v>7.228915663</v>
      </c>
      <c r="D413" s="115" t="str">
        <f>IF(DPS_Graph_True_Speed=TRUE,IF($E$8=$A413,DPS_Attacks_P_Sec,),)</f>
        <v/>
      </c>
      <c r="E413" s="222">
        <f>ROUNDDOWN(MAX(2,IF(A413&gt;=0, DPS_Base_Wpn_Spd/(1+A413),DPS_Base_Wpn_Spd*(1+ABS(A413)))),0)</f>
        <v>2</v>
      </c>
      <c r="F413" s="232">
        <f>IF(A413&gt;=0, DPS_Base_Recoil/(1+A413),DPS_Base_Recoil)</f>
        <v>0.01851851852</v>
      </c>
      <c r="G413" s="377">
        <f t="shared" si="7"/>
        <v>0.577112462</v>
      </c>
      <c r="H413" s="377">
        <f t="shared" si="8"/>
        <v>0.03278688525</v>
      </c>
      <c r="I413" s="104"/>
      <c r="J413" s="377">
        <f>MAX(0, Max(25,(DPS_Base_Range + ((DPS_Range_Stat) / 2))) / MIN(MAX(70, (70 * (1 + ($A413 / 3)))), 120))</f>
        <v>3.647416413</v>
      </c>
      <c r="K413" s="269">
        <f>IF(A413&lt;=DPS_Graph_Max,IF(A413&gt;=DPS_Graph_Speed_Min,A413,),)</f>
        <v>1.7</v>
      </c>
      <c r="M413" s="213">
        <f>If(DPS_Weapon_Type="远程",$E413/60+$F413*2,$E413/60+$F413+$G413/2+$H413)</f>
        <v>0.07037037037</v>
      </c>
      <c r="N413" s="104">
        <f>IF(DPS_Graph_Tooltip_Speed=TRUE,IF($A413&lt;=DPS_Graph_Max,IF($A413&gt;=DPS_Graph_Speed_Min,1/M413,),),)</f>
        <v>14.21052632</v>
      </c>
      <c r="R413" s="104" t="str">
        <f>IF(DPS_Graph_Tooltip_Speed=TRUE,IF($E$8=$A413,1/$N$6,),)</f>
        <v/>
      </c>
    </row>
    <row r="414">
      <c r="A414" s="370">
        <v>1.71</v>
      </c>
      <c r="B414" s="213">
        <f>If(DPS_Weapon_Type="远程",($E414+1)/60+(ROUNDDOWN($F414*60+1,0)/60)*2,(ROUNDDOWN(($E414+1)+ROUNDDOWN($F414*60+1,0)+ROUNDDOWN($G414/2*60+1,0)+ROUNDDOWN($H414*60+1,0)+1,0))/60+If(DPS_ATK_TYPE="挥砍",1/60)+If(DPS_ATK_TYPE="挥砍/刺击",1/120))+DPS_Weapon_Randomization/60</f>
        <v>0.1383333333</v>
      </c>
      <c r="C414" s="104">
        <f>IF(DPS_Graph_True_Speed=TRUE,IF($A414&lt;=DPS_Graph_Max,IF($A414&gt;=DPS_Graph_Speed_Min,1/B414,),),)</f>
        <v>7.228915663</v>
      </c>
      <c r="D414" s="115" t="str">
        <f>IF(DPS_Graph_True_Speed=TRUE,IF($E$8=$A414,DPS_Attacks_P_Sec,),)</f>
        <v/>
      </c>
      <c r="E414" s="222">
        <f>ROUNDDOWN(MAX(2,IF(A414&gt;=0, DPS_Base_Wpn_Spd/(1+A414),DPS_Base_Wpn_Spd*(1+ABS(A414)))),0)</f>
        <v>2</v>
      </c>
      <c r="F414" s="232">
        <f>IF(A414&gt;=0, DPS_Base_Recoil/(1+A414),DPS_Base_Recoil)</f>
        <v>0.0184501845</v>
      </c>
      <c r="G414" s="377">
        <f t="shared" si="7"/>
        <v>0.5749508644</v>
      </c>
      <c r="H414" s="377">
        <f t="shared" si="8"/>
        <v>0.03262642741</v>
      </c>
      <c r="I414" s="104"/>
      <c r="J414" s="377">
        <f>MAX(0, Max(25,(DPS_Base_Range + ((DPS_Range_Stat) / 2))) / MIN(MAX(70, (70 * (1 + ($A414 / 3)))), 120))</f>
        <v>3.639672429</v>
      </c>
      <c r="K414" s="269">
        <f>IF(A414&lt;=DPS_Graph_Max,IF(A414&gt;=DPS_Graph_Speed_Min,A414,),)</f>
        <v>1.71</v>
      </c>
      <c r="M414" s="213">
        <f>If(DPS_Weapon_Type="远程",$E414/60+$F414*2,$E414/60+$F414+$G414/2+$H414)</f>
        <v>0.07023370234</v>
      </c>
      <c r="N414" s="104">
        <f>IF(DPS_Graph_Tooltip_Speed=TRUE,IF($A414&lt;=DPS_Graph_Max,IF($A414&gt;=DPS_Graph_Speed_Min,1/M414,),),)</f>
        <v>14.23817863</v>
      </c>
      <c r="R414" s="104" t="str">
        <f>IF(DPS_Graph_Tooltip_Speed=TRUE,IF($E$8=$A414,1/$N$6,),)</f>
        <v/>
      </c>
    </row>
    <row r="415">
      <c r="A415" s="370">
        <v>1.72</v>
      </c>
      <c r="B415" s="213">
        <f>If(DPS_Weapon_Type="远程",($E415+1)/60+(ROUNDDOWN($F415*60+1,0)/60)*2,(ROUNDDOWN(($E415+1)+ROUNDDOWN($F415*60+1,0)+ROUNDDOWN($G415/2*60+1,0)+ROUNDDOWN($H415*60+1,0)+1,0))/60+If(DPS_ATK_TYPE="挥砍",1/60)+If(DPS_ATK_TYPE="挥砍/刺击",1/120))+DPS_Weapon_Randomization/60</f>
        <v>0.1383333333</v>
      </c>
      <c r="C415" s="104">
        <f>IF(DPS_Graph_True_Speed=TRUE,IF($A415&lt;=DPS_Graph_Max,IF($A415&gt;=DPS_Graph_Speed_Min,1/B415,),),)</f>
        <v>7.228915663</v>
      </c>
      <c r="D415" s="115" t="str">
        <f>IF(DPS_Graph_True_Speed=TRUE,IF($E$8=$A415,DPS_Attacks_P_Sec,),)</f>
        <v/>
      </c>
      <c r="E415" s="222">
        <f>ROUNDDOWN(MAX(2,IF(A415&gt;=0, DPS_Base_Wpn_Spd/(1+A415),DPS_Base_Wpn_Spd*(1+ABS(A415)))),0)</f>
        <v>2</v>
      </c>
      <c r="F415" s="232">
        <f>IF(A415&gt;=0, DPS_Base_Recoil/(1+A415),DPS_Base_Recoil)</f>
        <v>0.01838235294</v>
      </c>
      <c r="G415" s="377">
        <f t="shared" si="7"/>
        <v>0.5727941889</v>
      </c>
      <c r="H415" s="377">
        <f t="shared" si="8"/>
        <v>0.03246753247</v>
      </c>
      <c r="I415" s="104"/>
      <c r="J415" s="377">
        <f>MAX(0, Max(25,(DPS_Base_Range + ((DPS_Range_Stat) / 2))) / MIN(MAX(70, (70 * (1 + ($A415 / 3)))), 120))</f>
        <v>3.631961259</v>
      </c>
      <c r="K415" s="269">
        <f>IF(A415&lt;=DPS_Graph_Max,IF(A415&gt;=DPS_Graph_Speed_Min,A415,),)</f>
        <v>1.72</v>
      </c>
      <c r="M415" s="213">
        <f>If(DPS_Weapon_Type="远程",$E415/60+$F415*2,$E415/60+$F415+$G415/2+$H415)</f>
        <v>0.07009803922</v>
      </c>
      <c r="N415" s="104">
        <f>IF(DPS_Graph_Tooltip_Speed=TRUE,IF($A415&lt;=DPS_Graph_Max,IF($A415&gt;=DPS_Graph_Speed_Min,1/M415,),),)</f>
        <v>14.26573427</v>
      </c>
      <c r="R415" s="104" t="str">
        <f>IF(DPS_Graph_Tooltip_Speed=TRUE,IF($E$8=$A415,1/$N$6,),)</f>
        <v/>
      </c>
    </row>
    <row r="416">
      <c r="A416" s="370">
        <v>1.73</v>
      </c>
      <c r="B416" s="213">
        <f>If(DPS_Weapon_Type="远程",($E416+1)/60+(ROUNDDOWN($F416*60+1,0)/60)*2,(ROUNDDOWN(($E416+1)+ROUNDDOWN($F416*60+1,0)+ROUNDDOWN($G416/2*60+1,0)+ROUNDDOWN($H416*60+1,0)+1,0))/60+If(DPS_ATK_TYPE="挥砍",1/60)+If(DPS_ATK_TYPE="挥砍/刺击",1/120))+DPS_Weapon_Randomization/60</f>
        <v>0.1383333333</v>
      </c>
      <c r="C416" s="104">
        <f>IF(DPS_Graph_True_Speed=TRUE,IF($A416&lt;=DPS_Graph_Max,IF($A416&gt;=DPS_Graph_Speed_Min,1/B416,),),)</f>
        <v>7.228915663</v>
      </c>
      <c r="D416" s="115" t="str">
        <f>IF(DPS_Graph_True_Speed=TRUE,IF($E$8=$A416,DPS_Attacks_P_Sec,),)</f>
        <v/>
      </c>
      <c r="E416" s="222">
        <f>ROUNDDOWN(MAX(2,IF(A416&gt;=0, DPS_Base_Wpn_Spd/(1+A416),DPS_Base_Wpn_Spd*(1+ABS(A416)))),0)</f>
        <v>2</v>
      </c>
      <c r="F416" s="232">
        <f>IF(A416&gt;=0, DPS_Base_Recoil/(1+A416),DPS_Base_Recoil)</f>
        <v>0.01831501832</v>
      </c>
      <c r="G416" s="377">
        <f t="shared" si="7"/>
        <v>0.5706424041</v>
      </c>
      <c r="H416" s="377">
        <f t="shared" si="8"/>
        <v>0.03231017771</v>
      </c>
      <c r="I416" s="104"/>
      <c r="J416" s="377">
        <f>MAX(0, Max(25,(DPS_Base_Range + ((DPS_Range_Stat) / 2))) / MIN(MAX(70, (70 * (1 + ($A416 / 3)))), 120))</f>
        <v>3.624282694</v>
      </c>
      <c r="K416" s="269">
        <f>IF(A416&lt;=DPS_Graph_Max,IF(A416&gt;=DPS_Graph_Speed_Min,A416,),)</f>
        <v>1.73</v>
      </c>
      <c r="M416" s="213">
        <f>If(DPS_Weapon_Type="远程",$E416/60+$F416*2,$E416/60+$F416+$G416/2+$H416)</f>
        <v>0.06996336996</v>
      </c>
      <c r="N416" s="104">
        <f>IF(DPS_Graph_Tooltip_Speed=TRUE,IF($A416&lt;=DPS_Graph_Max,IF($A416&gt;=DPS_Graph_Speed_Min,1/M416,),),)</f>
        <v>14.29319372</v>
      </c>
      <c r="R416" s="104" t="str">
        <f>IF(DPS_Graph_Tooltip_Speed=TRUE,IF($E$8=$A416,1/$N$6,),)</f>
        <v/>
      </c>
    </row>
    <row r="417">
      <c r="A417" s="370">
        <v>1.74</v>
      </c>
      <c r="B417" s="213">
        <f>If(DPS_Weapon_Type="远程",($E417+1)/60+(ROUNDDOWN($F417*60+1,0)/60)*2,(ROUNDDOWN(($E417+1)+ROUNDDOWN($F417*60+1,0)+ROUNDDOWN($G417/2*60+1,0)+ROUNDDOWN($H417*60+1,0)+1,0))/60+If(DPS_ATK_TYPE="挥砍",1/60)+If(DPS_ATK_TYPE="挥砍/刺击",1/120))+DPS_Weapon_Randomization/60</f>
        <v>0.1383333333</v>
      </c>
      <c r="C417" s="104">
        <f>IF(DPS_Graph_True_Speed=TRUE,IF($A417&lt;=DPS_Graph_Max,IF($A417&gt;=DPS_Graph_Speed_Min,1/B417,),),)</f>
        <v>7.228915663</v>
      </c>
      <c r="D417" s="115" t="str">
        <f>IF(DPS_Graph_True_Speed=TRUE,IF($E$8=$A417,DPS_Attacks_P_Sec,),)</f>
        <v/>
      </c>
      <c r="E417" s="222">
        <f>ROUNDDOWN(MAX(2,IF(A417&gt;=0, DPS_Base_Wpn_Spd/(1+A417),DPS_Base_Wpn_Spd*(1+ABS(A417)))),0)</f>
        <v>2</v>
      </c>
      <c r="F417" s="232">
        <f>IF(A417&gt;=0, DPS_Base_Recoil/(1+A417),DPS_Base_Recoil)</f>
        <v>0.01824817518</v>
      </c>
      <c r="G417" s="377">
        <f t="shared" si="7"/>
        <v>0.5684954792</v>
      </c>
      <c r="H417" s="377">
        <f t="shared" si="8"/>
        <v>0.03215434084</v>
      </c>
      <c r="I417" s="104"/>
      <c r="J417" s="377">
        <f>MAX(0, Max(25,(DPS_Base_Range + ((DPS_Range_Stat) / 2))) / MIN(MAX(70, (70 * (1 + ($A417 / 3)))), 120))</f>
        <v>3.616636528</v>
      </c>
      <c r="K417" s="269">
        <f>IF(A417&lt;=DPS_Graph_Max,IF(A417&gt;=DPS_Graph_Speed_Min,A417,),)</f>
        <v>1.74</v>
      </c>
      <c r="M417" s="213">
        <f>If(DPS_Weapon_Type="远程",$E417/60+$F417*2,$E417/60+$F417+$G417/2+$H417)</f>
        <v>0.0698296837</v>
      </c>
      <c r="N417" s="104">
        <f>IF(DPS_Graph_Tooltip_Speed=TRUE,IF($A417&lt;=DPS_Graph_Max,IF($A417&gt;=DPS_Graph_Speed_Min,1/M417,),),)</f>
        <v>14.32055749</v>
      </c>
      <c r="R417" s="104" t="str">
        <f>IF(DPS_Graph_Tooltip_Speed=TRUE,IF($E$8=$A417,1/$N$6,),)</f>
        <v/>
      </c>
    </row>
    <row r="418">
      <c r="A418" s="370">
        <v>1.75</v>
      </c>
      <c r="B418" s="213">
        <f>If(DPS_Weapon_Type="远程",($E418+1)/60+(ROUNDDOWN($F418*60+1,0)/60)*2,(ROUNDDOWN(($E418+1)+ROUNDDOWN($F418*60+1,0)+ROUNDDOWN($G418/2*60+1,0)+ROUNDDOWN($H418*60+1,0)+1,0))/60+If(DPS_ATK_TYPE="挥砍",1/60)+If(DPS_ATK_TYPE="挥砍/刺击",1/120))+DPS_Weapon_Randomization/60</f>
        <v>0.1383333333</v>
      </c>
      <c r="C418" s="104">
        <f>IF(DPS_Graph_True_Speed=TRUE,IF($A418&lt;=DPS_Graph_Max,IF($A418&gt;=DPS_Graph_Speed_Min,1/B418,),),)</f>
        <v>7.228915663</v>
      </c>
      <c r="D418" s="115" t="str">
        <f>IF(DPS_Graph_True_Speed=TRUE,IF($E$8=$A418,DPS_Attacks_P_Sec,),)</f>
        <v/>
      </c>
      <c r="E418" s="222">
        <f>ROUNDDOWN(MAX(2,IF(A418&gt;=0, DPS_Base_Wpn_Spd/(1+A418),DPS_Base_Wpn_Spd*(1+ABS(A418)))),0)</f>
        <v>2</v>
      </c>
      <c r="F418" s="232">
        <f>IF(A418&gt;=0, DPS_Base_Recoil/(1+A418),DPS_Base_Recoil)</f>
        <v>0.01818181818</v>
      </c>
      <c r="G418" s="377">
        <f t="shared" si="7"/>
        <v>0.5663533835</v>
      </c>
      <c r="H418" s="377">
        <f t="shared" si="8"/>
        <v>0.032</v>
      </c>
      <c r="I418" s="104"/>
      <c r="J418" s="377">
        <f>MAX(0, Max(25,(DPS_Base_Range + ((DPS_Range_Stat) / 2))) / MIN(MAX(70, (70 * (1 + ($A418 / 3)))), 120))</f>
        <v>3.609022556</v>
      </c>
      <c r="K418" s="269">
        <f>IF(A418&lt;=DPS_Graph_Max,IF(A418&gt;=DPS_Graph_Speed_Min,A418,),)</f>
        <v>1.75</v>
      </c>
      <c r="M418" s="213">
        <f>If(DPS_Weapon_Type="远程",$E418/60+$F418*2,$E418/60+$F418+$G418/2+$H418)</f>
        <v>0.0696969697</v>
      </c>
      <c r="N418" s="104">
        <f>IF(DPS_Graph_Tooltip_Speed=TRUE,IF($A418&lt;=DPS_Graph_Max,IF($A418&gt;=DPS_Graph_Speed_Min,1/M418,),),)</f>
        <v>14.34782609</v>
      </c>
      <c r="R418" s="104" t="str">
        <f>IF(DPS_Graph_Tooltip_Speed=TRUE,IF($E$8=$A418,1/$N$6,),)</f>
        <v/>
      </c>
    </row>
    <row r="419">
      <c r="A419" s="370">
        <v>1.76</v>
      </c>
      <c r="B419" s="213">
        <f>If(DPS_Weapon_Type="远程",($E419+1)/60+(ROUNDDOWN($F419*60+1,0)/60)*2,(ROUNDDOWN(($E419+1)+ROUNDDOWN($F419*60+1,0)+ROUNDDOWN($G419/2*60+1,0)+ROUNDDOWN($H419*60+1,0)+1,0))/60+If(DPS_ATK_TYPE="挥砍",1/60)+If(DPS_ATK_TYPE="挥砍/刺击",1/120))+DPS_Weapon_Randomization/60</f>
        <v>0.1383333333</v>
      </c>
      <c r="C419" s="104">
        <f>IF(DPS_Graph_True_Speed=TRUE,IF($A419&lt;=DPS_Graph_Max,IF($A419&gt;=DPS_Graph_Speed_Min,1/B419,),),)</f>
        <v>7.228915663</v>
      </c>
      <c r="D419" s="115" t="str">
        <f>IF(DPS_Graph_True_Speed=TRUE,IF($E$8=$A419,DPS_Attacks_P_Sec,),)</f>
        <v/>
      </c>
      <c r="E419" s="222">
        <f>ROUNDDOWN(MAX(2,IF(A419&gt;=0, DPS_Base_Wpn_Spd/(1+A419),DPS_Base_Wpn_Spd*(1+ABS(A419)))),0)</f>
        <v>2</v>
      </c>
      <c r="F419" s="232">
        <f>IF(A419&gt;=0, DPS_Base_Recoil/(1+A419),DPS_Base_Recoil)</f>
        <v>0.01811594203</v>
      </c>
      <c r="G419" s="377">
        <f t="shared" si="7"/>
        <v>0.5642160864</v>
      </c>
      <c r="H419" s="377">
        <f t="shared" si="8"/>
        <v>0.03184713376</v>
      </c>
      <c r="I419" s="104"/>
      <c r="J419" s="377">
        <f>MAX(0, Max(25,(DPS_Base_Range + ((DPS_Range_Stat) / 2))) / MIN(MAX(70, (70 * (1 + ($A419 / 3)))), 120))</f>
        <v>3.601440576</v>
      </c>
      <c r="K419" s="269">
        <f>IF(A419&lt;=DPS_Graph_Max,IF(A419&gt;=DPS_Graph_Speed_Min,A419,),)</f>
        <v>1.76</v>
      </c>
      <c r="M419" s="213">
        <f>If(DPS_Weapon_Type="远程",$E419/60+$F419*2,$E419/60+$F419+$G419/2+$H419)</f>
        <v>0.06956521739</v>
      </c>
      <c r="N419" s="104">
        <f>IF(DPS_Graph_Tooltip_Speed=TRUE,IF($A419&lt;=DPS_Graph_Max,IF($A419&gt;=DPS_Graph_Speed_Min,1/M419,),),)</f>
        <v>14.375</v>
      </c>
      <c r="R419" s="104" t="str">
        <f>IF(DPS_Graph_Tooltip_Speed=TRUE,IF($E$8=$A419,1/$N$6,),)</f>
        <v/>
      </c>
    </row>
    <row r="420">
      <c r="A420" s="370">
        <v>1.77</v>
      </c>
      <c r="B420" s="213">
        <f>If(DPS_Weapon_Type="远程",($E420+1)/60+(ROUNDDOWN($F420*60+1,0)/60)*2,(ROUNDDOWN(($E420+1)+ROUNDDOWN($F420*60+1,0)+ROUNDDOWN($G420/2*60+1,0)+ROUNDDOWN($H420*60+1,0)+1,0))/60+If(DPS_ATK_TYPE="挥砍",1/60)+If(DPS_ATK_TYPE="挥砍/刺击",1/120))+DPS_Weapon_Randomization/60</f>
        <v>0.1383333333</v>
      </c>
      <c r="C420" s="104">
        <f>IF(DPS_Graph_True_Speed=TRUE,IF($A420&lt;=DPS_Graph_Max,IF($A420&gt;=DPS_Graph_Speed_Min,1/B420,),),)</f>
        <v>7.228915663</v>
      </c>
      <c r="D420" s="115" t="str">
        <f>IF(DPS_Graph_True_Speed=TRUE,IF($E$8=$A420,DPS_Attacks_P_Sec,),)</f>
        <v/>
      </c>
      <c r="E420" s="222">
        <f>ROUNDDOWN(MAX(2,IF(A420&gt;=0, DPS_Base_Wpn_Spd/(1+A420),DPS_Base_Wpn_Spd*(1+ABS(A420)))),0)</f>
        <v>2</v>
      </c>
      <c r="F420" s="232">
        <f>IF(A420&gt;=0, DPS_Base_Recoil/(1+A420),DPS_Base_Recoil)</f>
        <v>0.01805054152</v>
      </c>
      <c r="G420" s="377">
        <f t="shared" si="7"/>
        <v>0.562083558</v>
      </c>
      <c r="H420" s="377">
        <f t="shared" si="8"/>
        <v>0.03169572108</v>
      </c>
      <c r="I420" s="104"/>
      <c r="J420" s="377">
        <f>MAX(0, Max(25,(DPS_Base_Range + ((DPS_Range_Stat) / 2))) / MIN(MAX(70, (70 * (1 + ($A420 / 3)))), 120))</f>
        <v>3.593890386</v>
      </c>
      <c r="K420" s="269">
        <f>IF(A420&lt;=DPS_Graph_Max,IF(A420&gt;=DPS_Graph_Speed_Min,A420,),)</f>
        <v>1.77</v>
      </c>
      <c r="M420" s="213">
        <f>If(DPS_Weapon_Type="远程",$E420/60+$F420*2,$E420/60+$F420+$G420/2+$H420)</f>
        <v>0.06943441637</v>
      </c>
      <c r="N420" s="104">
        <f>IF(DPS_Graph_Tooltip_Speed=TRUE,IF($A420&lt;=DPS_Graph_Max,IF($A420&gt;=DPS_Graph_Speed_Min,1/M420,),),)</f>
        <v>14.40207972</v>
      </c>
      <c r="R420" s="104" t="str">
        <f>IF(DPS_Graph_Tooltip_Speed=TRUE,IF($E$8=$A420,1/$N$6,),)</f>
        <v/>
      </c>
    </row>
    <row r="421">
      <c r="A421" s="370">
        <v>1.78</v>
      </c>
      <c r="B421" s="213">
        <f>If(DPS_Weapon_Type="远程",($E421+1)/60+(ROUNDDOWN($F421*60+1,0)/60)*2,(ROUNDDOWN(($E421+1)+ROUNDDOWN($F421*60+1,0)+ROUNDDOWN($G421/2*60+1,0)+ROUNDDOWN($H421*60+1,0)+1,0))/60+If(DPS_ATK_TYPE="挥砍",1/60)+If(DPS_ATK_TYPE="挥砍/刺击",1/120))+DPS_Weapon_Randomization/60</f>
        <v>0.1383333333</v>
      </c>
      <c r="C421" s="104">
        <f>IF(DPS_Graph_True_Speed=TRUE,IF($A421&lt;=DPS_Graph_Max,IF($A421&gt;=DPS_Graph_Speed_Min,1/B421,),),)</f>
        <v>7.228915663</v>
      </c>
      <c r="D421" s="115" t="str">
        <f>IF(DPS_Graph_True_Speed=TRUE,IF($E$8=$A421,DPS_Attacks_P_Sec,),)</f>
        <v/>
      </c>
      <c r="E421" s="222">
        <f>ROUNDDOWN(MAX(2,IF(A421&gt;=0, DPS_Base_Wpn_Spd/(1+A421),DPS_Base_Wpn_Spd*(1+ABS(A421)))),0)</f>
        <v>2</v>
      </c>
      <c r="F421" s="232">
        <f>IF(A421&gt;=0, DPS_Base_Recoil/(1+A421),DPS_Base_Recoil)</f>
        <v>0.01798561151</v>
      </c>
      <c r="G421" s="377">
        <f t="shared" si="7"/>
        <v>0.5599557681</v>
      </c>
      <c r="H421" s="377">
        <f t="shared" si="8"/>
        <v>0.03154574132</v>
      </c>
      <c r="I421" s="104"/>
      <c r="J421" s="377">
        <f>MAX(0, Max(25,(DPS_Base_Range + ((DPS_Range_Stat) / 2))) / MIN(MAX(70, (70 * (1 + ($A421 / 3)))), 120))</f>
        <v>3.586371787</v>
      </c>
      <c r="K421" s="269">
        <f>IF(A421&lt;=DPS_Graph_Max,IF(A421&gt;=DPS_Graph_Speed_Min,A421,),)</f>
        <v>1.78</v>
      </c>
      <c r="M421" s="213">
        <f>If(DPS_Weapon_Type="远程",$E421/60+$F421*2,$E421/60+$F421+$G421/2+$H421)</f>
        <v>0.06930455635</v>
      </c>
      <c r="N421" s="104">
        <f>IF(DPS_Graph_Tooltip_Speed=TRUE,IF($A421&lt;=DPS_Graph_Max,IF($A421&gt;=DPS_Graph_Speed_Min,1/M421,),),)</f>
        <v>14.42906574</v>
      </c>
      <c r="R421" s="104" t="str">
        <f>IF(DPS_Graph_Tooltip_Speed=TRUE,IF($E$8=$A421,1/$N$6,),)</f>
        <v/>
      </c>
    </row>
    <row r="422">
      <c r="A422" s="370">
        <v>1.79</v>
      </c>
      <c r="B422" s="213">
        <f>If(DPS_Weapon_Type="远程",($E422+1)/60+(ROUNDDOWN($F422*60+1,0)/60)*2,(ROUNDDOWN(($E422+1)+ROUNDDOWN($F422*60+1,0)+ROUNDDOWN($G422/2*60+1,0)+ROUNDDOWN($H422*60+1,0)+1,0))/60+If(DPS_ATK_TYPE="挥砍",1/60)+If(DPS_ATK_TYPE="挥砍/刺击",1/120))+DPS_Weapon_Randomization/60</f>
        <v>0.1383333333</v>
      </c>
      <c r="C422" s="104">
        <f>IF(DPS_Graph_True_Speed=TRUE,IF($A422&lt;=DPS_Graph_Max,IF($A422&gt;=DPS_Graph_Speed_Min,1/B422,),),)</f>
        <v>7.228915663</v>
      </c>
      <c r="D422" s="115" t="str">
        <f>IF(DPS_Graph_True_Speed=TRUE,IF($E$8=$A422,DPS_Attacks_P_Sec,),)</f>
        <v/>
      </c>
      <c r="E422" s="222">
        <f>ROUNDDOWN(MAX(2,IF(A422&gt;=0, DPS_Base_Wpn_Spd/(1+A422),DPS_Base_Wpn_Spd*(1+ABS(A422)))),0)</f>
        <v>2</v>
      </c>
      <c r="F422" s="232">
        <f>IF(A422&gt;=0, DPS_Base_Recoil/(1+A422),DPS_Base_Recoil)</f>
        <v>0.01792114695</v>
      </c>
      <c r="G422" s="377">
        <f t="shared" si="7"/>
        <v>0.5578326871</v>
      </c>
      <c r="H422" s="377">
        <f t="shared" si="8"/>
        <v>0.03139717425</v>
      </c>
      <c r="I422" s="104"/>
      <c r="J422" s="377">
        <f>MAX(0, Max(25,(DPS_Base_Range + ((DPS_Range_Stat) / 2))) / MIN(MAX(70, (70 * (1 + ($A422 / 3)))), 120))</f>
        <v>3.578884581</v>
      </c>
      <c r="K422" s="269">
        <f>IF(A422&lt;=DPS_Graph_Max,IF(A422&gt;=DPS_Graph_Speed_Min,A422,),)</f>
        <v>1.79</v>
      </c>
      <c r="M422" s="213">
        <f>If(DPS_Weapon_Type="远程",$E422/60+$F422*2,$E422/60+$F422+$G422/2+$H422)</f>
        <v>0.06917562724</v>
      </c>
      <c r="N422" s="104">
        <f>IF(DPS_Graph_Tooltip_Speed=TRUE,IF($A422&lt;=DPS_Graph_Max,IF($A422&gt;=DPS_Graph_Speed_Min,1/M422,),),)</f>
        <v>14.45595855</v>
      </c>
      <c r="R422" s="104" t="str">
        <f>IF(DPS_Graph_Tooltip_Speed=TRUE,IF($E$8=$A422,1/$N$6,),)</f>
        <v/>
      </c>
    </row>
    <row r="423">
      <c r="A423" s="370">
        <v>1.8</v>
      </c>
      <c r="B423" s="213">
        <f>If(DPS_Weapon_Type="远程",($E423+1)/60+(ROUNDDOWN($F423*60+1,0)/60)*2,(ROUNDDOWN(($E423+1)+ROUNDDOWN($F423*60+1,0)+ROUNDDOWN($G423/2*60+1,0)+ROUNDDOWN($H423*60+1,0)+1,0))/60+If(DPS_ATK_TYPE="挥砍",1/60)+If(DPS_ATK_TYPE="挥砍/刺击",1/120))+DPS_Weapon_Randomization/60</f>
        <v>0.1383333333</v>
      </c>
      <c r="C423" s="104">
        <f>IF(DPS_Graph_True_Speed=TRUE,IF($A423&lt;=DPS_Graph_Max,IF($A423&gt;=DPS_Graph_Speed_Min,1/B423,),),)</f>
        <v>7.228915663</v>
      </c>
      <c r="D423" s="115" t="str">
        <f>IF(DPS_Graph_True_Speed=TRUE,IF($E$8=$A423,DPS_Attacks_P_Sec,),)</f>
        <v/>
      </c>
      <c r="E423" s="222">
        <f>ROUNDDOWN(MAX(2,IF(A423&gt;=0, DPS_Base_Wpn_Spd/(1+A423),DPS_Base_Wpn_Spd*(1+ABS(A423)))),0)</f>
        <v>2</v>
      </c>
      <c r="F423" s="232">
        <f>IF(A423&gt;=0, DPS_Base_Recoil/(1+A423),DPS_Base_Recoil)</f>
        <v>0.01785714286</v>
      </c>
      <c r="G423" s="377">
        <f t="shared" si="7"/>
        <v>0.5557142857</v>
      </c>
      <c r="H423" s="377">
        <f t="shared" si="8"/>
        <v>0.03125</v>
      </c>
      <c r="I423" s="104"/>
      <c r="J423" s="377">
        <f>MAX(0, Max(25,(DPS_Base_Range + ((DPS_Range_Stat) / 2))) / MIN(MAX(70, (70 * (1 + ($A423 / 3)))), 120))</f>
        <v>3.571428571</v>
      </c>
      <c r="K423" s="269">
        <f>IF(A423&lt;=DPS_Graph_Max,IF(A423&gt;=DPS_Graph_Speed_Min,A423,),)</f>
        <v>1.8</v>
      </c>
      <c r="M423" s="213">
        <f>If(DPS_Weapon_Type="远程",$E423/60+$F423*2,$E423/60+$F423+$G423/2+$H423)</f>
        <v>0.06904761905</v>
      </c>
      <c r="N423" s="104">
        <f>IF(DPS_Graph_Tooltip_Speed=TRUE,IF($A423&lt;=DPS_Graph_Max,IF($A423&gt;=DPS_Graph_Speed_Min,1/M423,),),)</f>
        <v>14.48275862</v>
      </c>
      <c r="R423" s="104" t="str">
        <f>IF(DPS_Graph_Tooltip_Speed=TRUE,IF($E$8=$A423,1/$N$6,),)</f>
        <v/>
      </c>
    </row>
    <row r="424">
      <c r="A424" s="370">
        <v>1.81</v>
      </c>
      <c r="B424" s="213">
        <f>If(DPS_Weapon_Type="远程",($E424+1)/60+(ROUNDDOWN($F424*60+1,0)/60)*2,(ROUNDDOWN(($E424+1)+ROUNDDOWN($F424*60+1,0)+ROUNDDOWN($G424/2*60+1,0)+ROUNDDOWN($H424*60+1,0)+1,0))/60+If(DPS_ATK_TYPE="挥砍",1/60)+If(DPS_ATK_TYPE="挥砍/刺击",1/120))+DPS_Weapon_Randomization/60</f>
        <v>0.1383333333</v>
      </c>
      <c r="C424" s="104">
        <f>IF(DPS_Graph_True_Speed=TRUE,IF($A424&lt;=DPS_Graph_Max,IF($A424&gt;=DPS_Graph_Speed_Min,1/B424,),),)</f>
        <v>7.228915663</v>
      </c>
      <c r="D424" s="115" t="str">
        <f>IF(DPS_Graph_True_Speed=TRUE,IF($E$8=$A424,DPS_Attacks_P_Sec,),)</f>
        <v/>
      </c>
      <c r="E424" s="222">
        <f>ROUNDDOWN(MAX(2,IF(A424&gt;=0, DPS_Base_Wpn_Spd/(1+A424),DPS_Base_Wpn_Spd*(1+ABS(A424)))),0)</f>
        <v>2</v>
      </c>
      <c r="F424" s="232">
        <f>IF(A424&gt;=0, DPS_Base_Recoil/(1+A424),DPS_Base_Recoil)</f>
        <v>0.01779359431</v>
      </c>
      <c r="G424" s="377">
        <f t="shared" si="7"/>
        <v>0.5536005346</v>
      </c>
      <c r="H424" s="377">
        <f t="shared" si="8"/>
        <v>0.03110419907</v>
      </c>
      <c r="I424" s="104"/>
      <c r="J424" s="377">
        <f>MAX(0, Max(25,(DPS_Base_Range + ((DPS_Range_Stat) / 2))) / MIN(MAX(70, (70 * (1 + ($A424 / 3)))), 120))</f>
        <v>3.564003564</v>
      </c>
      <c r="K424" s="269">
        <f>IF(A424&lt;=DPS_Graph_Max,IF(A424&gt;=DPS_Graph_Speed_Min,A424,),)</f>
        <v>1.81</v>
      </c>
      <c r="M424" s="213">
        <f>If(DPS_Weapon_Type="远程",$E424/60+$F424*2,$E424/60+$F424+$G424/2+$H424)</f>
        <v>0.06892052195</v>
      </c>
      <c r="N424" s="104">
        <f>IF(DPS_Graph_Tooltip_Speed=TRUE,IF($A424&lt;=DPS_Graph_Max,IF($A424&gt;=DPS_Graph_Speed_Min,1/M424,),),)</f>
        <v>14.50946644</v>
      </c>
      <c r="R424" s="104" t="str">
        <f>IF(DPS_Graph_Tooltip_Speed=TRUE,IF($E$8=$A424,1/$N$6,),)</f>
        <v/>
      </c>
    </row>
    <row r="425">
      <c r="A425" s="370">
        <v>1.82</v>
      </c>
      <c r="B425" s="213">
        <f>If(DPS_Weapon_Type="远程",($E425+1)/60+(ROUNDDOWN($F425*60+1,0)/60)*2,(ROUNDDOWN(($E425+1)+ROUNDDOWN($F425*60+1,0)+ROUNDDOWN($G425/2*60+1,0)+ROUNDDOWN($H425*60+1,0)+1,0))/60+If(DPS_ATK_TYPE="挥砍",1/60)+If(DPS_ATK_TYPE="挥砍/刺击",1/120))+DPS_Weapon_Randomization/60</f>
        <v>0.1383333333</v>
      </c>
      <c r="C425" s="104">
        <f>IF(DPS_Graph_True_Speed=TRUE,IF($A425&lt;=DPS_Graph_Max,IF($A425&gt;=DPS_Graph_Speed_Min,1/B425,),),)</f>
        <v>7.228915663</v>
      </c>
      <c r="D425" s="115" t="str">
        <f>IF(DPS_Graph_True_Speed=TRUE,IF($E$8=$A425,DPS_Attacks_P_Sec,),)</f>
        <v/>
      </c>
      <c r="E425" s="222">
        <f>ROUNDDOWN(MAX(2,IF(A425&gt;=0, DPS_Base_Wpn_Spd/(1+A425),DPS_Base_Wpn_Spd*(1+ABS(A425)))),0)</f>
        <v>2</v>
      </c>
      <c r="F425" s="232">
        <f>IF(A425&gt;=0, DPS_Base_Recoil/(1+A425),DPS_Base_Recoil)</f>
        <v>0.01773049645</v>
      </c>
      <c r="G425" s="377">
        <f t="shared" si="7"/>
        <v>0.5514914049</v>
      </c>
      <c r="H425" s="377">
        <f t="shared" si="8"/>
        <v>0.03095975232</v>
      </c>
      <c r="I425" s="104"/>
      <c r="J425" s="377">
        <f>MAX(0, Max(25,(DPS_Base_Range + ((DPS_Range_Stat) / 2))) / MIN(MAX(70, (70 * (1 + ($A425 / 3)))), 120))</f>
        <v>3.556609366</v>
      </c>
      <c r="K425" s="269">
        <f>IF(A425&lt;=DPS_Graph_Max,IF(A425&gt;=DPS_Graph_Speed_Min,A425,),)</f>
        <v>1.82</v>
      </c>
      <c r="M425" s="213">
        <f>If(DPS_Weapon_Type="远程",$E425/60+$F425*2,$E425/60+$F425+$G425/2+$H425)</f>
        <v>0.06879432624</v>
      </c>
      <c r="N425" s="104">
        <f>IF(DPS_Graph_Tooltip_Speed=TRUE,IF($A425&lt;=DPS_Graph_Max,IF($A425&gt;=DPS_Graph_Speed_Min,1/M425,),),)</f>
        <v>14.53608247</v>
      </c>
      <c r="R425" s="104" t="str">
        <f>IF(DPS_Graph_Tooltip_Speed=TRUE,IF($E$8=$A425,1/$N$6,),)</f>
        <v/>
      </c>
    </row>
    <row r="426">
      <c r="A426" s="370">
        <v>1.83</v>
      </c>
      <c r="B426" s="213">
        <f>If(DPS_Weapon_Type="远程",($E426+1)/60+(ROUNDDOWN($F426*60+1,0)/60)*2,(ROUNDDOWN(($E426+1)+ROUNDDOWN($F426*60+1,0)+ROUNDDOWN($G426/2*60+1,0)+ROUNDDOWN($H426*60+1,0)+1,0))/60+If(DPS_ATK_TYPE="挥砍",1/60)+If(DPS_ATK_TYPE="挥砍/刺击",1/120))+DPS_Weapon_Randomization/60</f>
        <v>0.1383333333</v>
      </c>
      <c r="C426" s="104">
        <f>IF(DPS_Graph_True_Speed=TRUE,IF($A426&lt;=DPS_Graph_Max,IF($A426&gt;=DPS_Graph_Speed_Min,1/B426,),),)</f>
        <v>7.228915663</v>
      </c>
      <c r="D426" s="115" t="str">
        <f>IF(DPS_Graph_True_Speed=TRUE,IF($E$8=$A426,DPS_Attacks_P_Sec,),)</f>
        <v/>
      </c>
      <c r="E426" s="222">
        <f>ROUNDDOWN(MAX(2,IF(A426&gt;=0, DPS_Base_Wpn_Spd/(1+A426),DPS_Base_Wpn_Spd*(1+ABS(A426)))),0)</f>
        <v>2</v>
      </c>
      <c r="F426" s="232">
        <f>IF(A426&gt;=0, DPS_Base_Recoil/(1+A426),DPS_Base_Recoil)</f>
        <v>0.01766784452</v>
      </c>
      <c r="G426" s="377">
        <f t="shared" si="7"/>
        <v>0.5493868678</v>
      </c>
      <c r="H426" s="377">
        <f t="shared" si="8"/>
        <v>0.03081664099</v>
      </c>
      <c r="I426" s="104"/>
      <c r="J426" s="377">
        <f>MAX(0, Max(25,(DPS_Base_Range + ((DPS_Range_Stat) / 2))) / MIN(MAX(70, (70 * (1 + ($A426 / 3)))), 120))</f>
        <v>3.549245785</v>
      </c>
      <c r="K426" s="269">
        <f>IF(A426&lt;=DPS_Graph_Max,IF(A426&gt;=DPS_Graph_Speed_Min,A426,),)</f>
        <v>1.83</v>
      </c>
      <c r="M426" s="213">
        <f>If(DPS_Weapon_Type="远程",$E426/60+$F426*2,$E426/60+$F426+$G426/2+$H426)</f>
        <v>0.06866902238</v>
      </c>
      <c r="N426" s="104">
        <f>IF(DPS_Graph_Tooltip_Speed=TRUE,IF($A426&lt;=DPS_Graph_Max,IF($A426&gt;=DPS_Graph_Speed_Min,1/M426,),),)</f>
        <v>14.5626072</v>
      </c>
      <c r="R426" s="104" t="str">
        <f>IF(DPS_Graph_Tooltip_Speed=TRUE,IF($E$8=$A426,1/$N$6,),)</f>
        <v/>
      </c>
    </row>
    <row r="427">
      <c r="A427" s="370">
        <v>1.84</v>
      </c>
      <c r="B427" s="213">
        <f>If(DPS_Weapon_Type="远程",($E427+1)/60+(ROUNDDOWN($F427*60+1,0)/60)*2,(ROUNDDOWN(($E427+1)+ROUNDDOWN($F427*60+1,0)+ROUNDDOWN($G427/2*60+1,0)+ROUNDDOWN($H427*60+1,0)+1,0))/60+If(DPS_ATK_TYPE="挥砍",1/60)+If(DPS_ATK_TYPE="挥砍/刺击",1/120))+DPS_Weapon_Randomization/60</f>
        <v>0.1383333333</v>
      </c>
      <c r="C427" s="104">
        <f>IF(DPS_Graph_True_Speed=TRUE,IF($A427&lt;=DPS_Graph_Max,IF($A427&gt;=DPS_Graph_Speed_Min,1/B427,),),)</f>
        <v>7.228915663</v>
      </c>
      <c r="D427" s="115" t="str">
        <f>IF(DPS_Graph_True_Speed=TRUE,IF($E$8=$A427,DPS_Attacks_P_Sec,),)</f>
        <v/>
      </c>
      <c r="E427" s="222">
        <f>ROUNDDOWN(MAX(2,IF(A427&gt;=0, DPS_Base_Wpn_Spd/(1+A427),DPS_Base_Wpn_Spd*(1+ABS(A427)))),0)</f>
        <v>2</v>
      </c>
      <c r="F427" s="232">
        <f>IF(A427&gt;=0, DPS_Base_Recoil/(1+A427),DPS_Base_Recoil)</f>
        <v>0.0176056338</v>
      </c>
      <c r="G427" s="377">
        <f t="shared" si="7"/>
        <v>0.5472868949</v>
      </c>
      <c r="H427" s="377">
        <f t="shared" si="8"/>
        <v>0.03067484663</v>
      </c>
      <c r="I427" s="104"/>
      <c r="J427" s="377">
        <f>MAX(0, Max(25,(DPS_Base_Range + ((DPS_Range_Stat) / 2))) / MIN(MAX(70, (70 * (1 + ($A427 / 3)))), 120))</f>
        <v>3.541912633</v>
      </c>
      <c r="K427" s="269">
        <f>IF(A427&lt;=DPS_Graph_Max,IF(A427&gt;=DPS_Graph_Speed_Min,A427,),)</f>
        <v>1.84</v>
      </c>
      <c r="M427" s="213">
        <f>If(DPS_Weapon_Type="远程",$E427/60+$F427*2,$E427/60+$F427+$G427/2+$H427)</f>
        <v>0.06854460094</v>
      </c>
      <c r="N427" s="104">
        <f>IF(DPS_Graph_Tooltip_Speed=TRUE,IF($A427&lt;=DPS_Graph_Max,IF($A427&gt;=DPS_Graph_Speed_Min,1/M427,),),)</f>
        <v>14.5890411</v>
      </c>
      <c r="R427" s="104" t="str">
        <f>IF(DPS_Graph_Tooltip_Speed=TRUE,IF($E$8=$A427,1/$N$6,),)</f>
        <v/>
      </c>
    </row>
    <row r="428">
      <c r="A428" s="370">
        <v>1.85</v>
      </c>
      <c r="B428" s="213">
        <f>If(DPS_Weapon_Type="远程",($E428+1)/60+(ROUNDDOWN($F428*60+1,0)/60)*2,(ROUNDDOWN(($E428+1)+ROUNDDOWN($F428*60+1,0)+ROUNDDOWN($G428/2*60+1,0)+ROUNDDOWN($H428*60+1,0)+1,0))/60+If(DPS_ATK_TYPE="挥砍",1/60)+If(DPS_ATK_TYPE="挥砍/刺击",1/120))+DPS_Weapon_Randomization/60</f>
        <v>0.1383333333</v>
      </c>
      <c r="C428" s="104">
        <f>IF(DPS_Graph_True_Speed=TRUE,IF($A428&lt;=DPS_Graph_Max,IF($A428&gt;=DPS_Graph_Speed_Min,1/B428,),),)</f>
        <v>7.228915663</v>
      </c>
      <c r="D428" s="115" t="str">
        <f>IF(DPS_Graph_True_Speed=TRUE,IF($E$8=$A428,DPS_Attacks_P_Sec,),)</f>
        <v/>
      </c>
      <c r="E428" s="222">
        <f>ROUNDDOWN(MAX(2,IF(A428&gt;=0, DPS_Base_Wpn_Spd/(1+A428),DPS_Base_Wpn_Spd*(1+ABS(A428)))),0)</f>
        <v>2</v>
      </c>
      <c r="F428" s="232">
        <f>IF(A428&gt;=0, DPS_Base_Recoil/(1+A428),DPS_Base_Recoil)</f>
        <v>0.01754385965</v>
      </c>
      <c r="G428" s="377">
        <f t="shared" si="7"/>
        <v>0.545191458</v>
      </c>
      <c r="H428" s="377">
        <f t="shared" si="8"/>
        <v>0.03053435115</v>
      </c>
      <c r="I428" s="104"/>
      <c r="J428" s="377">
        <f>MAX(0, Max(25,(DPS_Base_Range + ((DPS_Range_Stat) / 2))) / MIN(MAX(70, (70 * (1 + ($A428 / 3)))), 120))</f>
        <v>3.53460972</v>
      </c>
      <c r="K428" s="269">
        <f>IF(A428&lt;=DPS_Graph_Max,IF(A428&gt;=DPS_Graph_Speed_Min,A428,),)</f>
        <v>1.85</v>
      </c>
      <c r="M428" s="213">
        <f>If(DPS_Weapon_Type="远程",$E428/60+$F428*2,$E428/60+$F428+$G428/2+$H428)</f>
        <v>0.06842105263</v>
      </c>
      <c r="N428" s="104">
        <f>IF(DPS_Graph_Tooltip_Speed=TRUE,IF($A428&lt;=DPS_Graph_Max,IF($A428&gt;=DPS_Graph_Speed_Min,1/M428,),),)</f>
        <v>14.61538462</v>
      </c>
      <c r="R428" s="104" t="str">
        <f>IF(DPS_Graph_Tooltip_Speed=TRUE,IF($E$8=$A428,1/$N$6,),)</f>
        <v/>
      </c>
    </row>
    <row r="429">
      <c r="A429" s="370">
        <v>1.86</v>
      </c>
      <c r="B429" s="213">
        <f>If(DPS_Weapon_Type="远程",($E429+1)/60+(ROUNDDOWN($F429*60+1,0)/60)*2,(ROUNDDOWN(($E429+1)+ROUNDDOWN($F429*60+1,0)+ROUNDDOWN($G429/2*60+1,0)+ROUNDDOWN($H429*60+1,0)+1,0))/60+If(DPS_ATK_TYPE="挥砍",1/60)+If(DPS_ATK_TYPE="挥砍/刺击",1/120))+DPS_Weapon_Randomization/60</f>
        <v>0.1383333333</v>
      </c>
      <c r="C429" s="104">
        <f>IF(DPS_Graph_True_Speed=TRUE,IF($A429&lt;=DPS_Graph_Max,IF($A429&gt;=DPS_Graph_Speed_Min,1/B429,),),)</f>
        <v>7.228915663</v>
      </c>
      <c r="D429" s="115" t="str">
        <f>IF(DPS_Graph_True_Speed=TRUE,IF($E$8=$A429,DPS_Attacks_P_Sec,),)</f>
        <v/>
      </c>
      <c r="E429" s="222">
        <f>ROUNDDOWN(MAX(2,IF(A429&gt;=0, DPS_Base_Wpn_Spd/(1+A429),DPS_Base_Wpn_Spd*(1+ABS(A429)))),0)</f>
        <v>2</v>
      </c>
      <c r="F429" s="232">
        <f>IF(A429&gt;=0, DPS_Base_Recoil/(1+A429),DPS_Base_Recoil)</f>
        <v>0.01748251748</v>
      </c>
      <c r="G429" s="377">
        <f t="shared" si="7"/>
        <v>0.5431005291</v>
      </c>
      <c r="H429" s="377">
        <f t="shared" si="8"/>
        <v>0.03039513678</v>
      </c>
      <c r="I429" s="104"/>
      <c r="J429" s="377">
        <f>MAX(0, Max(25,(DPS_Base_Range + ((DPS_Range_Stat) / 2))) / MIN(MAX(70, (70 * (1 + ($A429 / 3)))), 120))</f>
        <v>3.527336861</v>
      </c>
      <c r="K429" s="269">
        <f>IF(A429&lt;=DPS_Graph_Max,IF(A429&gt;=DPS_Graph_Speed_Min,A429,),)</f>
        <v>1.86</v>
      </c>
      <c r="M429" s="213">
        <f>If(DPS_Weapon_Type="远程",$E429/60+$F429*2,$E429/60+$F429+$G429/2+$H429)</f>
        <v>0.0682983683</v>
      </c>
      <c r="N429" s="104">
        <f>IF(DPS_Graph_Tooltip_Speed=TRUE,IF($A429&lt;=DPS_Graph_Max,IF($A429&gt;=DPS_Graph_Speed_Min,1/M429,),),)</f>
        <v>14.64163823</v>
      </c>
      <c r="R429" s="104" t="str">
        <f>IF(DPS_Graph_Tooltip_Speed=TRUE,IF($E$8=$A429,1/$N$6,),)</f>
        <v/>
      </c>
    </row>
    <row r="430">
      <c r="A430" s="370">
        <v>1.87</v>
      </c>
      <c r="B430" s="213">
        <f>If(DPS_Weapon_Type="远程",($E430+1)/60+(ROUNDDOWN($F430*60+1,0)/60)*2,(ROUNDDOWN(($E430+1)+ROUNDDOWN($F430*60+1,0)+ROUNDDOWN($G430/2*60+1,0)+ROUNDDOWN($H430*60+1,0)+1,0))/60+If(DPS_ATK_TYPE="挥砍",1/60)+If(DPS_ATK_TYPE="挥砍/刺击",1/120))+DPS_Weapon_Randomization/60</f>
        <v>0.1383333333</v>
      </c>
      <c r="C430" s="104">
        <f>IF(DPS_Graph_True_Speed=TRUE,IF($A430&lt;=DPS_Graph_Max,IF($A430&gt;=DPS_Graph_Speed_Min,1/B430,),),)</f>
        <v>7.228915663</v>
      </c>
      <c r="D430" s="115" t="str">
        <f>IF(DPS_Graph_True_Speed=TRUE,IF($E$8=$A430,DPS_Attacks_P_Sec,),)</f>
        <v/>
      </c>
      <c r="E430" s="222">
        <f>ROUNDDOWN(MAX(2,IF(A430&gt;=0, DPS_Base_Wpn_Spd/(1+A430),DPS_Base_Wpn_Spd*(1+ABS(A430)))),0)</f>
        <v>2</v>
      </c>
      <c r="F430" s="232">
        <f>IF(A430&gt;=0, DPS_Base_Recoil/(1+A430),DPS_Base_Recoil)</f>
        <v>0.01742160279</v>
      </c>
      <c r="G430" s="377">
        <f t="shared" si="7"/>
        <v>0.5410140804</v>
      </c>
      <c r="H430" s="377">
        <f t="shared" si="8"/>
        <v>0.03025718608</v>
      </c>
      <c r="I430" s="104"/>
      <c r="J430" s="377">
        <f>MAX(0, Max(25,(DPS_Base_Range + ((DPS_Range_Stat) / 2))) / MIN(MAX(70, (70 * (1 + ($A430 / 3)))), 120))</f>
        <v>3.520093869</v>
      </c>
      <c r="K430" s="269">
        <f>IF(A430&lt;=DPS_Graph_Max,IF(A430&gt;=DPS_Graph_Speed_Min,A430,),)</f>
        <v>1.87</v>
      </c>
      <c r="M430" s="213">
        <f>If(DPS_Weapon_Type="远程",$E430/60+$F430*2,$E430/60+$F430+$G430/2+$H430)</f>
        <v>0.06817653891</v>
      </c>
      <c r="N430" s="104">
        <f>IF(DPS_Graph_Tooltip_Speed=TRUE,IF($A430&lt;=DPS_Graph_Max,IF($A430&gt;=DPS_Graph_Speed_Min,1/M430,),),)</f>
        <v>14.66780239</v>
      </c>
      <c r="R430" s="104" t="str">
        <f>IF(DPS_Graph_Tooltip_Speed=TRUE,IF($E$8=$A430,1/$N$6,),)</f>
        <v/>
      </c>
    </row>
    <row r="431">
      <c r="A431" s="370">
        <v>1.88</v>
      </c>
      <c r="B431" s="213">
        <f>If(DPS_Weapon_Type="远程",($E431+1)/60+(ROUNDDOWN($F431*60+1,0)/60)*2,(ROUNDDOWN(($E431+1)+ROUNDDOWN($F431*60+1,0)+ROUNDDOWN($G431/2*60+1,0)+ROUNDDOWN($H431*60+1,0)+1,0))/60+If(DPS_ATK_TYPE="挥砍",1/60)+If(DPS_ATK_TYPE="挥砍/刺击",1/120))+DPS_Weapon_Randomization/60</f>
        <v>0.1383333333</v>
      </c>
      <c r="C431" s="104">
        <f>IF(DPS_Graph_True_Speed=TRUE,IF($A431&lt;=DPS_Graph_Max,IF($A431&gt;=DPS_Graph_Speed_Min,1/B431,),),)</f>
        <v>7.228915663</v>
      </c>
      <c r="D431" s="115" t="str">
        <f>IF(DPS_Graph_True_Speed=TRUE,IF($E$8=$A431,DPS_Attacks_P_Sec,),)</f>
        <v/>
      </c>
      <c r="E431" s="222">
        <f>ROUNDDOWN(MAX(2,IF(A431&gt;=0, DPS_Base_Wpn_Spd/(1+A431),DPS_Base_Wpn_Spd*(1+ABS(A431)))),0)</f>
        <v>2</v>
      </c>
      <c r="F431" s="232">
        <f>IF(A431&gt;=0, DPS_Base_Recoil/(1+A431),DPS_Base_Recoil)</f>
        <v>0.01736111111</v>
      </c>
      <c r="G431" s="377">
        <f t="shared" si="7"/>
        <v>0.5389320843</v>
      </c>
      <c r="H431" s="377">
        <f t="shared" si="8"/>
        <v>0.03012048193</v>
      </c>
      <c r="I431" s="104"/>
      <c r="J431" s="377">
        <f>MAX(0, Max(25,(DPS_Base_Range + ((DPS_Range_Stat) / 2))) / MIN(MAX(70, (70 * (1 + ($A431 / 3)))), 120))</f>
        <v>3.512880562</v>
      </c>
      <c r="K431" s="269">
        <f>IF(A431&lt;=DPS_Graph_Max,IF(A431&gt;=DPS_Graph_Speed_Min,A431,),)</f>
        <v>1.88</v>
      </c>
      <c r="M431" s="213">
        <f>If(DPS_Weapon_Type="远程",$E431/60+$F431*2,$E431/60+$F431+$G431/2+$H431)</f>
        <v>0.06805555556</v>
      </c>
      <c r="N431" s="104">
        <f>IF(DPS_Graph_Tooltip_Speed=TRUE,IF($A431&lt;=DPS_Graph_Max,IF($A431&gt;=DPS_Graph_Speed_Min,1/M431,),),)</f>
        <v>14.69387755</v>
      </c>
      <c r="R431" s="104" t="str">
        <f>IF(DPS_Graph_Tooltip_Speed=TRUE,IF($E$8=$A431,1/$N$6,),)</f>
        <v/>
      </c>
    </row>
    <row r="432">
      <c r="A432" s="370">
        <v>1.89</v>
      </c>
      <c r="B432" s="213">
        <f>If(DPS_Weapon_Type="远程",($E432+1)/60+(ROUNDDOWN($F432*60+1,0)/60)*2,(ROUNDDOWN(($E432+1)+ROUNDDOWN($F432*60+1,0)+ROUNDDOWN($G432/2*60+1,0)+ROUNDDOWN($H432*60+1,0)+1,0))/60+If(DPS_ATK_TYPE="挥砍",1/60)+If(DPS_ATK_TYPE="挥砍/刺击",1/120))+DPS_Weapon_Randomization/60</f>
        <v>0.1383333333</v>
      </c>
      <c r="C432" s="104">
        <f>IF(DPS_Graph_True_Speed=TRUE,IF($A432&lt;=DPS_Graph_Max,IF($A432&gt;=DPS_Graph_Speed_Min,1/B432,),),)</f>
        <v>7.228915663</v>
      </c>
      <c r="D432" s="115" t="str">
        <f>IF(DPS_Graph_True_Speed=TRUE,IF($E$8=$A432,DPS_Attacks_P_Sec,),)</f>
        <v/>
      </c>
      <c r="E432" s="222">
        <f>ROUNDDOWN(MAX(2,IF(A432&gt;=0, DPS_Base_Wpn_Spd/(1+A432),DPS_Base_Wpn_Spd*(1+ABS(A432)))),0)</f>
        <v>2</v>
      </c>
      <c r="F432" s="232">
        <f>IF(A432&gt;=0, DPS_Base_Recoil/(1+A432),DPS_Base_Recoil)</f>
        <v>0.01730103806</v>
      </c>
      <c r="G432" s="377">
        <f t="shared" si="7"/>
        <v>0.5368545136</v>
      </c>
      <c r="H432" s="377">
        <f t="shared" si="8"/>
        <v>0.0299850075</v>
      </c>
      <c r="I432" s="104"/>
      <c r="J432" s="377">
        <f>MAX(0, Max(25,(DPS_Base_Range + ((DPS_Range_Stat) / 2))) / MIN(MAX(70, (70 * (1 + ($A432 / 3)))), 120))</f>
        <v>3.505696757</v>
      </c>
      <c r="K432" s="269">
        <f>IF(A432&lt;=DPS_Graph_Max,IF(A432&gt;=DPS_Graph_Speed_Min,A432,),)</f>
        <v>1.89</v>
      </c>
      <c r="M432" s="213">
        <f>If(DPS_Weapon_Type="远程",$E432/60+$F432*2,$E432/60+$F432+$G432/2+$H432)</f>
        <v>0.06793540946</v>
      </c>
      <c r="N432" s="104">
        <f>IF(DPS_Graph_Tooltip_Speed=TRUE,IF($A432&lt;=DPS_Graph_Max,IF($A432&gt;=DPS_Graph_Speed_Min,1/M432,),),)</f>
        <v>14.71986418</v>
      </c>
      <c r="R432" s="104" t="str">
        <f>IF(DPS_Graph_Tooltip_Speed=TRUE,IF($E$8=$A432,1/$N$6,),)</f>
        <v/>
      </c>
    </row>
    <row r="433">
      <c r="A433" s="370">
        <v>1.9</v>
      </c>
      <c r="B433" s="213">
        <f>If(DPS_Weapon_Type="远程",($E433+1)/60+(ROUNDDOWN($F433*60+1,0)/60)*2,(ROUNDDOWN(($E433+1)+ROUNDDOWN($F433*60+1,0)+ROUNDDOWN($G433/2*60+1,0)+ROUNDDOWN($H433*60+1,0)+1,0))/60+If(DPS_ATK_TYPE="挥砍",1/60)+If(DPS_ATK_TYPE="挥砍/刺击",1/120))+DPS_Weapon_Randomization/60</f>
        <v>0.1383333333</v>
      </c>
      <c r="C433" s="104">
        <f>IF(DPS_Graph_True_Speed=TRUE,IF($A433&lt;=DPS_Graph_Max,IF($A433&gt;=DPS_Graph_Speed_Min,1/B433,),),)</f>
        <v>7.228915663</v>
      </c>
      <c r="D433" s="115" t="str">
        <f>IF(DPS_Graph_True_Speed=TRUE,IF($E$8=$A433,DPS_Attacks_P_Sec,),)</f>
        <v/>
      </c>
      <c r="E433" s="222">
        <f>ROUNDDOWN(MAX(2,IF(A433&gt;=0, DPS_Base_Wpn_Spd/(1+A433),DPS_Base_Wpn_Spd*(1+ABS(A433)))),0)</f>
        <v>2</v>
      </c>
      <c r="F433" s="232">
        <f>IF(A433&gt;=0, DPS_Base_Recoil/(1+A433),DPS_Base_Recoil)</f>
        <v>0.01724137931</v>
      </c>
      <c r="G433" s="377">
        <f t="shared" si="7"/>
        <v>0.5347813411</v>
      </c>
      <c r="H433" s="377">
        <f t="shared" si="8"/>
        <v>0.02985074627</v>
      </c>
      <c r="I433" s="104"/>
      <c r="J433" s="377">
        <f>MAX(0, Max(25,(DPS_Base_Range + ((DPS_Range_Stat) / 2))) / MIN(MAX(70, (70 * (1 + ($A433 / 3)))), 120))</f>
        <v>3.498542274</v>
      </c>
      <c r="K433" s="269">
        <f>IF(A433&lt;=DPS_Graph_Max,IF(A433&gt;=DPS_Graph_Speed_Min,A433,),)</f>
        <v>1.9</v>
      </c>
      <c r="M433" s="213">
        <f>If(DPS_Weapon_Type="远程",$E433/60+$F433*2,$E433/60+$F433+$G433/2+$H433)</f>
        <v>0.06781609195</v>
      </c>
      <c r="N433" s="104">
        <f>IF(DPS_Graph_Tooltip_Speed=TRUE,IF($A433&lt;=DPS_Graph_Max,IF($A433&gt;=DPS_Graph_Speed_Min,1/M433,),),)</f>
        <v>14.74576271</v>
      </c>
      <c r="R433" s="104" t="str">
        <f>IF(DPS_Graph_Tooltip_Speed=TRUE,IF($E$8=$A433,1/$N$6,),)</f>
        <v/>
      </c>
    </row>
    <row r="434">
      <c r="A434" s="370">
        <v>1.91</v>
      </c>
      <c r="B434" s="213">
        <f>If(DPS_Weapon_Type="远程",($E434+1)/60+(ROUNDDOWN($F434*60+1,0)/60)*2,(ROUNDDOWN(($E434+1)+ROUNDDOWN($F434*60+1,0)+ROUNDDOWN($G434/2*60+1,0)+ROUNDDOWN($H434*60+1,0)+1,0))/60+If(DPS_ATK_TYPE="挥砍",1/60)+If(DPS_ATK_TYPE="挥砍/刺击",1/120))+DPS_Weapon_Randomization/60</f>
        <v>0.1383333333</v>
      </c>
      <c r="C434" s="104">
        <f>IF(DPS_Graph_True_Speed=TRUE,IF($A434&lt;=DPS_Graph_Max,IF($A434&gt;=DPS_Graph_Speed_Min,1/B434,),),)</f>
        <v>7.228915663</v>
      </c>
      <c r="D434" s="115" t="str">
        <f>IF(DPS_Graph_True_Speed=TRUE,IF($E$8=$A434,DPS_Attacks_P_Sec,),)</f>
        <v/>
      </c>
      <c r="E434" s="222">
        <f>ROUNDDOWN(MAX(2,IF(A434&gt;=0, DPS_Base_Wpn_Spd/(1+A434),DPS_Base_Wpn_Spd*(1+ABS(A434)))),0)</f>
        <v>2</v>
      </c>
      <c r="F434" s="232">
        <f>IF(A434&gt;=0, DPS_Base_Recoil/(1+A434),DPS_Base_Recoil)</f>
        <v>0.01718213058</v>
      </c>
      <c r="G434" s="377">
        <f t="shared" si="7"/>
        <v>0.53371254</v>
      </c>
      <c r="H434" s="377">
        <f t="shared" si="8"/>
        <v>0.02971768202</v>
      </c>
      <c r="I434" s="104"/>
      <c r="J434" s="377">
        <f>MAX(0, Max(25,(DPS_Base_Range + ((DPS_Range_Stat) / 2))) / MIN(MAX(70, (70 * (1 + ($A434 / 3)))), 120))</f>
        <v>3.491416933</v>
      </c>
      <c r="K434" s="269">
        <f>IF(A434&lt;=DPS_Graph_Max,IF(A434&gt;=DPS_Graph_Speed_Min,A434,),)</f>
        <v>1.91</v>
      </c>
      <c r="M434" s="213">
        <f>If(DPS_Weapon_Type="远程",$E434/60+$F434*2,$E434/60+$F434+$G434/2+$H434)</f>
        <v>0.0676975945</v>
      </c>
      <c r="N434" s="104">
        <f>IF(DPS_Graph_Tooltip_Speed=TRUE,IF($A434&lt;=DPS_Graph_Max,IF($A434&gt;=DPS_Graph_Speed_Min,1/M434,),),)</f>
        <v>14.7715736</v>
      </c>
      <c r="R434" s="104" t="str">
        <f>IF(DPS_Graph_Tooltip_Speed=TRUE,IF($E$8=$A434,1/$N$6,),)</f>
        <v/>
      </c>
    </row>
    <row r="435">
      <c r="A435" s="370">
        <v>1.92</v>
      </c>
      <c r="B435" s="213">
        <f>If(DPS_Weapon_Type="远程",($E435+1)/60+(ROUNDDOWN($F435*60+1,0)/60)*2,(ROUNDDOWN(($E435+1)+ROUNDDOWN($F435*60+1,0)+ROUNDDOWN($G435/2*60+1,0)+ROUNDDOWN($H435*60+1,0)+1,0))/60+If(DPS_ATK_TYPE="挥砍",1/60)+If(DPS_ATK_TYPE="挥砍/刺击",1/120))+DPS_Weapon_Randomization/60</f>
        <v>0.1383333333</v>
      </c>
      <c r="C435" s="104">
        <f>IF(DPS_Graph_True_Speed=TRUE,IF($A435&lt;=DPS_Graph_Max,IF($A435&gt;=DPS_Graph_Speed_Min,1/B435,),),)</f>
        <v>7.228915663</v>
      </c>
      <c r="D435" s="115" t="str">
        <f>IF(DPS_Graph_True_Speed=TRUE,IF($E$8=$A435,DPS_Attacks_P_Sec,),)</f>
        <v/>
      </c>
      <c r="E435" s="222">
        <f>ROUNDDOWN(MAX(2,IF(A435&gt;=0, DPS_Base_Wpn_Spd/(1+A435),DPS_Base_Wpn_Spd*(1+ABS(A435)))),0)</f>
        <v>2</v>
      </c>
      <c r="F435" s="232">
        <f>IF(A435&gt;=0, DPS_Base_Recoil/(1+A435),DPS_Base_Recoil)</f>
        <v>0.01712328767</v>
      </c>
      <c r="G435" s="377">
        <f t="shared" si="7"/>
        <v>0.5326480836</v>
      </c>
      <c r="H435" s="377">
        <f t="shared" si="8"/>
        <v>0.02958579882</v>
      </c>
      <c r="I435" s="104"/>
      <c r="J435" s="377">
        <f>MAX(0, Max(25,(DPS_Base_Range + ((DPS_Range_Stat) / 2))) / MIN(MAX(70, (70 * (1 + ($A435 / 3)))), 120))</f>
        <v>3.484320557</v>
      </c>
      <c r="K435" s="269">
        <f>IF(A435&lt;=DPS_Graph_Max,IF(A435&gt;=DPS_Graph_Speed_Min,A435,),)</f>
        <v>1.92</v>
      </c>
      <c r="M435" s="213">
        <f>If(DPS_Weapon_Type="远程",$E435/60+$F435*2,$E435/60+$F435+$G435/2+$H435)</f>
        <v>0.06757990868</v>
      </c>
      <c r="N435" s="104">
        <f>IF(DPS_Graph_Tooltip_Speed=TRUE,IF($A435&lt;=DPS_Graph_Max,IF($A435&gt;=DPS_Graph_Speed_Min,1/M435,),),)</f>
        <v>14.7972973</v>
      </c>
      <c r="R435" s="104" t="str">
        <f>IF(DPS_Graph_Tooltip_Speed=TRUE,IF($E$8=$A435,1/$N$6,),)</f>
        <v/>
      </c>
    </row>
    <row r="436">
      <c r="A436" s="370">
        <v>1.93</v>
      </c>
      <c r="B436" s="213">
        <f>If(DPS_Weapon_Type="远程",($E436+1)/60+(ROUNDDOWN($F436*60+1,0)/60)*2,(ROUNDDOWN(($E436+1)+ROUNDDOWN($F436*60+1,0)+ROUNDDOWN($G436/2*60+1,0)+ROUNDDOWN($H436*60+1,0)+1,0))/60+If(DPS_ATK_TYPE="挥砍",1/60)+If(DPS_ATK_TYPE="挥砍/刺击",1/120))+DPS_Weapon_Randomization/60</f>
        <v>0.1383333333</v>
      </c>
      <c r="C436" s="104">
        <f>IF(DPS_Graph_True_Speed=TRUE,IF($A436&lt;=DPS_Graph_Max,IF($A436&gt;=DPS_Graph_Speed_Min,1/B436,),),)</f>
        <v>7.228915663</v>
      </c>
      <c r="D436" s="115" t="str">
        <f>IF(DPS_Graph_True_Speed=TRUE,IF($E$8=$A436,DPS_Attacks_P_Sec,),)</f>
        <v/>
      </c>
      <c r="E436" s="222">
        <f>ROUNDDOWN(MAX(2,IF(A436&gt;=0, DPS_Base_Wpn_Spd/(1+A436),DPS_Base_Wpn_Spd*(1+ABS(A436)))),0)</f>
        <v>2</v>
      </c>
      <c r="F436" s="232">
        <f>IF(A436&gt;=0, DPS_Base_Recoil/(1+A436),DPS_Base_Recoil)</f>
        <v>0.01706484642</v>
      </c>
      <c r="G436" s="377">
        <f t="shared" si="7"/>
        <v>0.5315879455</v>
      </c>
      <c r="H436" s="377">
        <f t="shared" si="8"/>
        <v>0.029455081</v>
      </c>
      <c r="I436" s="104"/>
      <c r="J436" s="377">
        <f>MAX(0, Max(25,(DPS_Base_Range + ((DPS_Range_Stat) / 2))) / MIN(MAX(70, (70 * (1 + ($A436 / 3)))), 120))</f>
        <v>3.47725297</v>
      </c>
      <c r="K436" s="269">
        <f>IF(A436&lt;=DPS_Graph_Max,IF(A436&gt;=DPS_Graph_Speed_Min,A436,),)</f>
        <v>1.93</v>
      </c>
      <c r="M436" s="213">
        <f>If(DPS_Weapon_Type="远程",$E436/60+$F436*2,$E436/60+$F436+$G436/2+$H436)</f>
        <v>0.06746302617</v>
      </c>
      <c r="N436" s="104">
        <f>IF(DPS_Graph_Tooltip_Speed=TRUE,IF($A436&lt;=DPS_Graph_Max,IF($A436&gt;=DPS_Graph_Speed_Min,1/M436,),),)</f>
        <v>14.82293423</v>
      </c>
      <c r="R436" s="104" t="str">
        <f>IF(DPS_Graph_Tooltip_Speed=TRUE,IF($E$8=$A436,1/$N$6,),)</f>
        <v/>
      </c>
    </row>
    <row r="437">
      <c r="A437" s="370">
        <v>1.94</v>
      </c>
      <c r="B437" s="213">
        <f>If(DPS_Weapon_Type="远程",($E437+1)/60+(ROUNDDOWN($F437*60+1,0)/60)*2,(ROUNDDOWN(($E437+1)+ROUNDDOWN($F437*60+1,0)+ROUNDDOWN($G437/2*60+1,0)+ROUNDDOWN($H437*60+1,0)+1,0))/60+If(DPS_ATK_TYPE="挥砍",1/60)+If(DPS_ATK_TYPE="挥砍/刺击",1/120))+DPS_Weapon_Randomization/60</f>
        <v>0.1383333333</v>
      </c>
      <c r="C437" s="104">
        <f>IF(DPS_Graph_True_Speed=TRUE,IF($A437&lt;=DPS_Graph_Max,IF($A437&gt;=DPS_Graph_Speed_Min,1/B437,),),)</f>
        <v>7.228915663</v>
      </c>
      <c r="D437" s="115" t="str">
        <f>IF(DPS_Graph_True_Speed=TRUE,IF($E$8=$A437,DPS_Attacks_P_Sec,),)</f>
        <v/>
      </c>
      <c r="E437" s="222">
        <f>ROUNDDOWN(MAX(2,IF(A437&gt;=0, DPS_Base_Wpn_Spd/(1+A437),DPS_Base_Wpn_Spd*(1+ABS(A437)))),0)</f>
        <v>2</v>
      </c>
      <c r="F437" s="232">
        <f>IF(A437&gt;=0, DPS_Base_Recoil/(1+A437),DPS_Base_Recoil)</f>
        <v>0.01700680272</v>
      </c>
      <c r="G437" s="377">
        <f t="shared" si="7"/>
        <v>0.5305320995</v>
      </c>
      <c r="H437" s="377">
        <f t="shared" si="8"/>
        <v>0.0293255132</v>
      </c>
      <c r="I437" s="104"/>
      <c r="J437" s="377">
        <f>MAX(0, Max(25,(DPS_Base_Range + ((DPS_Range_Stat) / 2))) / MIN(MAX(70, (70 * (1 + ($A437 / 3)))), 120))</f>
        <v>3.470213997</v>
      </c>
      <c r="K437" s="269">
        <f>IF(A437&lt;=DPS_Graph_Max,IF(A437&gt;=DPS_Graph_Speed_Min,A437,),)</f>
        <v>1.94</v>
      </c>
      <c r="M437" s="213">
        <f>If(DPS_Weapon_Type="远程",$E437/60+$F437*2,$E437/60+$F437+$G437/2+$H437)</f>
        <v>0.06734693878</v>
      </c>
      <c r="N437" s="104">
        <f>IF(DPS_Graph_Tooltip_Speed=TRUE,IF($A437&lt;=DPS_Graph_Max,IF($A437&gt;=DPS_Graph_Speed_Min,1/M437,),),)</f>
        <v>14.84848485</v>
      </c>
      <c r="R437" s="104" t="str">
        <f>IF(DPS_Graph_Tooltip_Speed=TRUE,IF($E$8=$A437,1/$N$6,),)</f>
        <v/>
      </c>
    </row>
    <row r="438">
      <c r="A438" s="370">
        <v>1.95</v>
      </c>
      <c r="B438" s="213">
        <f>If(DPS_Weapon_Type="远程",($E438+1)/60+(ROUNDDOWN($F438*60+1,0)/60)*2,(ROUNDDOWN(($E438+1)+ROUNDDOWN($F438*60+1,0)+ROUNDDOWN($G438/2*60+1,0)+ROUNDDOWN($H438*60+1,0)+1,0))/60+If(DPS_ATK_TYPE="挥砍",1/60)+If(DPS_ATK_TYPE="挥砍/刺击",1/120))+DPS_Weapon_Randomization/60</f>
        <v>0.1383333333</v>
      </c>
      <c r="C438" s="104">
        <f>IF(DPS_Graph_True_Speed=TRUE,IF($A438&lt;=DPS_Graph_Max,IF($A438&gt;=DPS_Graph_Speed_Min,1/B438,),),)</f>
        <v>7.228915663</v>
      </c>
      <c r="D438" s="115" t="str">
        <f>IF(DPS_Graph_True_Speed=TRUE,IF($E$8=$A438,DPS_Attacks_P_Sec,),)</f>
        <v/>
      </c>
      <c r="E438" s="222">
        <f>ROUNDDOWN(MAX(2,IF(A438&gt;=0, DPS_Base_Wpn_Spd/(1+A438),DPS_Base_Wpn_Spd*(1+ABS(A438)))),0)</f>
        <v>2</v>
      </c>
      <c r="F438" s="232">
        <f>IF(A438&gt;=0, DPS_Base_Recoil/(1+A438),DPS_Base_Recoil)</f>
        <v>0.01694915254</v>
      </c>
      <c r="G438" s="377">
        <f t="shared" si="7"/>
        <v>0.5294805195</v>
      </c>
      <c r="H438" s="377">
        <f t="shared" si="8"/>
        <v>0.02919708029</v>
      </c>
      <c r="I438" s="104"/>
      <c r="J438" s="377">
        <f>MAX(0, Max(25,(DPS_Base_Range + ((DPS_Range_Stat) / 2))) / MIN(MAX(70, (70 * (1 + ($A438 / 3)))), 120))</f>
        <v>3.463203463</v>
      </c>
      <c r="K438" s="269">
        <f>IF(A438&lt;=DPS_Graph_Max,IF(A438&gt;=DPS_Graph_Speed_Min,A438,),)</f>
        <v>1.95</v>
      </c>
      <c r="M438" s="213">
        <f>If(DPS_Weapon_Type="远程",$E438/60+$F438*2,$E438/60+$F438+$G438/2+$H438)</f>
        <v>0.06723163842</v>
      </c>
      <c r="N438" s="104">
        <f>IF(DPS_Graph_Tooltip_Speed=TRUE,IF($A438&lt;=DPS_Graph_Max,IF($A438&gt;=DPS_Graph_Speed_Min,1/M438,),),)</f>
        <v>14.87394958</v>
      </c>
      <c r="R438" s="104" t="str">
        <f>IF(DPS_Graph_Tooltip_Speed=TRUE,IF($E$8=$A438,1/$N$6,),)</f>
        <v/>
      </c>
    </row>
    <row r="439">
      <c r="A439" s="370">
        <v>1.96</v>
      </c>
      <c r="B439" s="213">
        <f>If(DPS_Weapon_Type="远程",($E439+1)/60+(ROUNDDOWN($F439*60+1,0)/60)*2,(ROUNDDOWN(($E439+1)+ROUNDDOWN($F439*60+1,0)+ROUNDDOWN($G439/2*60+1,0)+ROUNDDOWN($H439*60+1,0)+1,0))/60+If(DPS_ATK_TYPE="挥砍",1/60)+If(DPS_ATK_TYPE="挥砍/刺击",1/120))+DPS_Weapon_Randomization/60</f>
        <v>0.1383333333</v>
      </c>
      <c r="C439" s="104">
        <f>IF(DPS_Graph_True_Speed=TRUE,IF($A439&lt;=DPS_Graph_Max,IF($A439&gt;=DPS_Graph_Speed_Min,1/B439,),),)</f>
        <v>7.228915663</v>
      </c>
      <c r="D439" s="115" t="str">
        <f>IF(DPS_Graph_True_Speed=TRUE,IF($E$8=$A439,DPS_Attacks_P_Sec,),)</f>
        <v/>
      </c>
      <c r="E439" s="222">
        <f>ROUNDDOWN(MAX(2,IF(A439&gt;=0, DPS_Base_Wpn_Spd/(1+A439),DPS_Base_Wpn_Spd*(1+ABS(A439)))),0)</f>
        <v>2</v>
      </c>
      <c r="F439" s="232">
        <f>IF(A439&gt;=0, DPS_Base_Recoil/(1+A439),DPS_Base_Recoil)</f>
        <v>0.01689189189</v>
      </c>
      <c r="G439" s="377">
        <f t="shared" si="7"/>
        <v>0.5284331797</v>
      </c>
      <c r="H439" s="377">
        <f t="shared" si="8"/>
        <v>0.02906976744</v>
      </c>
      <c r="I439" s="104"/>
      <c r="J439" s="377">
        <f>MAX(0, Max(25,(DPS_Base_Range + ((DPS_Range_Stat) / 2))) / MIN(MAX(70, (70 * (1 + ($A439 / 3)))), 120))</f>
        <v>3.456221198</v>
      </c>
      <c r="K439" s="269">
        <f>IF(A439&lt;=DPS_Graph_Max,IF(A439&gt;=DPS_Graph_Speed_Min,A439,),)</f>
        <v>1.96</v>
      </c>
      <c r="M439" s="213">
        <f>If(DPS_Weapon_Type="远程",$E439/60+$F439*2,$E439/60+$F439+$G439/2+$H439)</f>
        <v>0.06711711712</v>
      </c>
      <c r="N439" s="104">
        <f>IF(DPS_Graph_Tooltip_Speed=TRUE,IF($A439&lt;=DPS_Graph_Max,IF($A439&gt;=DPS_Graph_Speed_Min,1/M439,),),)</f>
        <v>14.89932886</v>
      </c>
      <c r="R439" s="104" t="str">
        <f>IF(DPS_Graph_Tooltip_Speed=TRUE,IF($E$8=$A439,1/$N$6,),)</f>
        <v/>
      </c>
    </row>
    <row r="440">
      <c r="A440" s="370">
        <v>1.97</v>
      </c>
      <c r="B440" s="213">
        <f>If(DPS_Weapon_Type="远程",($E440+1)/60+(ROUNDDOWN($F440*60+1,0)/60)*2,(ROUNDDOWN(($E440+1)+ROUNDDOWN($F440*60+1,0)+ROUNDDOWN($G440/2*60+1,0)+ROUNDDOWN($H440*60+1,0)+1,0))/60+If(DPS_ATK_TYPE="挥砍",1/60)+If(DPS_ATK_TYPE="挥砍/刺击",1/120))+DPS_Weapon_Randomization/60</f>
        <v>0.1383333333</v>
      </c>
      <c r="C440" s="104">
        <f>IF(DPS_Graph_True_Speed=TRUE,IF($A440&lt;=DPS_Graph_Max,IF($A440&gt;=DPS_Graph_Speed_Min,1/B440,),),)</f>
        <v>7.228915663</v>
      </c>
      <c r="D440" s="115" t="str">
        <f>IF(DPS_Graph_True_Speed=TRUE,IF($E$8=$A440,DPS_Attacks_P_Sec,),)</f>
        <v/>
      </c>
      <c r="E440" s="222">
        <f>ROUNDDOWN(MAX(2,IF(A440&gt;=0, DPS_Base_Wpn_Spd/(1+A440),DPS_Base_Wpn_Spd*(1+ABS(A440)))),0)</f>
        <v>2</v>
      </c>
      <c r="F440" s="232">
        <f>IF(A440&gt;=0, DPS_Base_Recoil/(1+A440),DPS_Base_Recoil)</f>
        <v>0.01683501684</v>
      </c>
      <c r="G440" s="377">
        <f t="shared" si="7"/>
        <v>0.5273900546</v>
      </c>
      <c r="H440" s="377">
        <f t="shared" si="8"/>
        <v>0.02894356006</v>
      </c>
      <c r="I440" s="104"/>
      <c r="J440" s="377">
        <f>MAX(0, Max(25,(DPS_Base_Range + ((DPS_Range_Stat) / 2))) / MIN(MAX(70, (70 * (1 + ($A440 / 3)))), 120))</f>
        <v>3.449267031</v>
      </c>
      <c r="K440" s="269">
        <f>IF(A440&lt;=DPS_Graph_Max,IF(A440&gt;=DPS_Graph_Speed_Min,A440,),)</f>
        <v>1.97</v>
      </c>
      <c r="M440" s="213">
        <f>If(DPS_Weapon_Type="远程",$E440/60+$F440*2,$E440/60+$F440+$G440/2+$H440)</f>
        <v>0.067003367</v>
      </c>
      <c r="N440" s="104">
        <f>IF(DPS_Graph_Tooltip_Speed=TRUE,IF($A440&lt;=DPS_Graph_Max,IF($A440&gt;=DPS_Graph_Speed_Min,1/M440,),),)</f>
        <v>14.92462312</v>
      </c>
      <c r="R440" s="104" t="str">
        <f>IF(DPS_Graph_Tooltip_Speed=TRUE,IF($E$8=$A440,1/$N$6,),)</f>
        <v/>
      </c>
    </row>
    <row r="441">
      <c r="A441" s="370">
        <v>1.98</v>
      </c>
      <c r="B441" s="213">
        <f>If(DPS_Weapon_Type="远程",($E441+1)/60+(ROUNDDOWN($F441*60+1,0)/60)*2,(ROUNDDOWN(($E441+1)+ROUNDDOWN($F441*60+1,0)+ROUNDDOWN($G441/2*60+1,0)+ROUNDDOWN($H441*60+1,0)+1,0))/60+If(DPS_ATK_TYPE="挥砍",1/60)+If(DPS_ATK_TYPE="挥砍/刺击",1/120))+DPS_Weapon_Randomization/60</f>
        <v>0.1383333333</v>
      </c>
      <c r="C441" s="104">
        <f>IF(DPS_Graph_True_Speed=TRUE,IF($A441&lt;=DPS_Graph_Max,IF($A441&gt;=DPS_Graph_Speed_Min,1/B441,),),)</f>
        <v>7.228915663</v>
      </c>
      <c r="D441" s="115" t="str">
        <f>IF(DPS_Graph_True_Speed=TRUE,IF($E$8=$A441,DPS_Attacks_P_Sec,),)</f>
        <v/>
      </c>
      <c r="E441" s="222">
        <f>ROUNDDOWN(MAX(2,IF(A441&gt;=0, DPS_Base_Wpn_Spd/(1+A441),DPS_Base_Wpn_Spd*(1+ABS(A441)))),0)</f>
        <v>2</v>
      </c>
      <c r="F441" s="232">
        <f>IF(A441&gt;=0, DPS_Base_Recoil/(1+A441),DPS_Base_Recoil)</f>
        <v>0.01677852349</v>
      </c>
      <c r="G441" s="377">
        <f t="shared" si="7"/>
        <v>0.5263511188</v>
      </c>
      <c r="H441" s="377">
        <f t="shared" si="8"/>
        <v>0.0288184438</v>
      </c>
      <c r="I441" s="104"/>
      <c r="J441" s="377">
        <f>MAX(0, Max(25,(DPS_Base_Range + ((DPS_Range_Stat) / 2))) / MIN(MAX(70, (70 * (1 + ($A441 / 3)))), 120))</f>
        <v>3.442340792</v>
      </c>
      <c r="K441" s="269">
        <f>IF(A441&lt;=DPS_Graph_Max,IF(A441&gt;=DPS_Graph_Speed_Min,A441,),)</f>
        <v>1.98</v>
      </c>
      <c r="M441" s="213">
        <f>If(DPS_Weapon_Type="远程",$E441/60+$F441*2,$E441/60+$F441+$G441/2+$H441)</f>
        <v>0.06689038031</v>
      </c>
      <c r="N441" s="104">
        <f>IF(DPS_Graph_Tooltip_Speed=TRUE,IF($A441&lt;=DPS_Graph_Max,IF($A441&gt;=DPS_Graph_Speed_Min,1/M441,),),)</f>
        <v>14.94983278</v>
      </c>
      <c r="R441" s="104" t="str">
        <f>IF(DPS_Graph_Tooltip_Speed=TRUE,IF($E$8=$A441,1/$N$6,),)</f>
        <v/>
      </c>
    </row>
    <row r="442">
      <c r="A442" s="370">
        <v>1.99</v>
      </c>
      <c r="B442" s="213">
        <f>If(DPS_Weapon_Type="远程",($E442+1)/60+(ROUNDDOWN($F442*60+1,0)/60)*2,(ROUNDDOWN(($E442+1)+ROUNDDOWN($F442*60+1,0)+ROUNDDOWN($G442/2*60+1,0)+ROUNDDOWN($H442*60+1,0)+1,0))/60+If(DPS_ATK_TYPE="挥砍",1/60)+If(DPS_ATK_TYPE="挥砍/刺击",1/120))+DPS_Weapon_Randomization/60</f>
        <v>0.1383333333</v>
      </c>
      <c r="C442" s="104">
        <f>IF(DPS_Graph_True_Speed=TRUE,IF($A442&lt;=DPS_Graph_Max,IF($A442&gt;=DPS_Graph_Speed_Min,1/B442,),),)</f>
        <v>7.228915663</v>
      </c>
      <c r="D442" s="115" t="str">
        <f>IF(DPS_Graph_True_Speed=TRUE,IF($E$8=$A442,DPS_Attacks_P_Sec,),)</f>
        <v/>
      </c>
      <c r="E442" s="222">
        <f>ROUNDDOWN(MAX(2,IF(A442&gt;=0, DPS_Base_Wpn_Spd/(1+A442),DPS_Base_Wpn_Spd*(1+ABS(A442)))),0)</f>
        <v>2</v>
      </c>
      <c r="F442" s="232">
        <f>IF(A442&gt;=0, DPS_Base_Recoil/(1+A442),DPS_Base_Recoil)</f>
        <v>0.01672240803</v>
      </c>
      <c r="G442" s="377">
        <f t="shared" si="7"/>
        <v>0.525316347</v>
      </c>
      <c r="H442" s="377">
        <f t="shared" si="8"/>
        <v>0.02869440459</v>
      </c>
      <c r="I442" s="104"/>
      <c r="J442" s="377">
        <f>MAX(0, Max(25,(DPS_Base_Range + ((DPS_Range_Stat) / 2))) / MIN(MAX(70, (70 * (1 + ($A442 / 3)))), 120))</f>
        <v>3.435442313</v>
      </c>
      <c r="K442" s="269">
        <f>IF(A442&lt;=DPS_Graph_Max,IF(A442&gt;=DPS_Graph_Speed_Min,A442,),)</f>
        <v>1.99</v>
      </c>
      <c r="M442" s="213">
        <f>If(DPS_Weapon_Type="远程",$E442/60+$F442*2,$E442/60+$F442+$G442/2+$H442)</f>
        <v>0.06677814939</v>
      </c>
      <c r="N442" s="104">
        <f>IF(DPS_Graph_Tooltip_Speed=TRUE,IF($A442&lt;=DPS_Graph_Max,IF($A442&gt;=DPS_Graph_Speed_Min,1/M442,),),)</f>
        <v>14.97495826</v>
      </c>
      <c r="R442" s="104" t="str">
        <f>IF(DPS_Graph_Tooltip_Speed=TRUE,IF($E$8=$A442,1/$N$6,),)</f>
        <v/>
      </c>
    </row>
    <row r="443">
      <c r="A443" s="370">
        <v>2.0</v>
      </c>
      <c r="B443" s="213">
        <f>If(DPS_Weapon_Type="远程",($E443+1)/60+(ROUNDDOWN($F443*60+1,0)/60)*2,(ROUNDDOWN(($E443+1)+ROUNDDOWN($F443*60+1,0)+ROUNDDOWN($G443/2*60+1,0)+ROUNDDOWN($H443*60+1,0)+1,0))/60+If(DPS_ATK_TYPE="挥砍",1/60)+If(DPS_ATK_TYPE="挥砍/刺击",1/120))+DPS_Weapon_Randomization/60</f>
        <v>0.1383333333</v>
      </c>
      <c r="C443" s="104">
        <f>IF(DPS_Graph_True_Speed=TRUE,IF($A443&lt;=DPS_Graph_Max,IF($A443&gt;=DPS_Graph_Speed_Min,1/B443,),),)</f>
        <v>7.228915663</v>
      </c>
      <c r="D443" s="115" t="str">
        <f>IF(DPS_Graph_True_Speed=TRUE,IF($E$8=$A443,DPS_Attacks_P_Sec,),)</f>
        <v/>
      </c>
      <c r="E443" s="222">
        <f>ROUNDDOWN(MAX(2,IF(A443&gt;=0, DPS_Base_Wpn_Spd/(1+A443),DPS_Base_Wpn_Spd*(1+ABS(A443)))),0)</f>
        <v>2</v>
      </c>
      <c r="F443" s="232">
        <f>IF(A443&gt;=0, DPS_Base_Recoil/(1+A443),DPS_Base_Recoil)</f>
        <v>0.01666666667</v>
      </c>
      <c r="G443" s="377">
        <f t="shared" si="7"/>
        <v>0.5242857143</v>
      </c>
      <c r="H443" s="377">
        <f t="shared" si="8"/>
        <v>0.02857142857</v>
      </c>
      <c r="I443" s="104"/>
      <c r="J443" s="377">
        <f>MAX(0, Max(25,(DPS_Base_Range + ((DPS_Range_Stat) / 2))) / MIN(MAX(70, (70 * (1 + ($A443 / 3)))), 120))</f>
        <v>3.428571429</v>
      </c>
      <c r="K443" s="269">
        <f>IF(A443&lt;=DPS_Graph_Max,IF(A443&gt;=DPS_Graph_Speed_Min,A443,),)</f>
        <v>2</v>
      </c>
      <c r="M443" s="213">
        <f>If(DPS_Weapon_Type="远程",$E443/60+$F443*2,$E443/60+$F443+$G443/2+$H443)</f>
        <v>0.06666666667</v>
      </c>
      <c r="N443" s="104">
        <f>IF(DPS_Graph_Tooltip_Speed=TRUE,IF($A443&lt;=DPS_Graph_Max,IF($A443&gt;=DPS_Graph_Speed_Min,1/M443,),),)</f>
        <v>15</v>
      </c>
      <c r="R443" s="104" t="str">
        <f>IF(DPS_Graph_Tooltip_Speed=TRUE,IF($E$8=$A443,1/$N$6,),)</f>
        <v/>
      </c>
    </row>
    <row r="444">
      <c r="A444" s="370">
        <v>2.01</v>
      </c>
      <c r="B444" s="213">
        <f>If(DPS_Weapon_Type="远程",($E444+1)/60+(ROUNDDOWN($F444*60+1,0)/60)*2,(ROUNDDOWN(($E444+1)+ROUNDDOWN($F444*60+1,0)+ROUNDDOWN($G444/2*60+1,0)+ROUNDDOWN($H444*60+1,0)+1,0))/60+If(DPS_ATK_TYPE="挥砍",1/60)+If(DPS_ATK_TYPE="挥砍/刺击",1/120))+DPS_Weapon_Randomization/60</f>
        <v>0.105</v>
      </c>
      <c r="C444" s="104">
        <f>IF(DPS_Graph_True_Speed=TRUE,IF($A444&lt;=DPS_Graph_Max,IF($A444&gt;=DPS_Graph_Speed_Min,1/B444,),),)</f>
        <v>9.523809524</v>
      </c>
      <c r="D444" s="115" t="str">
        <f>IF(DPS_Graph_True_Speed=TRUE,IF($E$8=$A444,DPS_Attacks_P_Sec,),)</f>
        <v/>
      </c>
      <c r="E444" s="222">
        <f>ROUNDDOWN(MAX(2,IF(A444&gt;=0, DPS_Base_Wpn_Spd/(1+A444),DPS_Base_Wpn_Spd*(1+ABS(A444)))),0)</f>
        <v>2</v>
      </c>
      <c r="F444" s="232">
        <f>IF(A444&gt;=0, DPS_Base_Recoil/(1+A444),DPS_Base_Recoil)</f>
        <v>0.01661129568</v>
      </c>
      <c r="G444" s="377">
        <f t="shared" si="7"/>
        <v>0.5232591959</v>
      </c>
      <c r="H444" s="377">
        <f t="shared" si="8"/>
        <v>0.02844950213</v>
      </c>
      <c r="I444" s="104"/>
      <c r="J444" s="377">
        <f>MAX(0, Max(25,(DPS_Base_Range + ((DPS_Range_Stat) / 2))) / MIN(MAX(70, (70 * (1 + ($A444 / 3)))), 120))</f>
        <v>3.421727973</v>
      </c>
      <c r="K444" s="269">
        <f>IF(A444&lt;=DPS_Graph_Max,IF(A444&gt;=DPS_Graph_Speed_Min,A444,),)</f>
        <v>2.01</v>
      </c>
      <c r="M444" s="213">
        <f>If(DPS_Weapon_Type="远程",$E444/60+$F444*2,$E444/60+$F444+$G444/2+$H444)</f>
        <v>0.0665559247</v>
      </c>
      <c r="N444" s="104">
        <f>IF(DPS_Graph_Tooltip_Speed=TRUE,IF($A444&lt;=DPS_Graph_Max,IF($A444&gt;=DPS_Graph_Speed_Min,1/M444,),),)</f>
        <v>15.0249584</v>
      </c>
      <c r="R444" s="104" t="str">
        <f>IF(DPS_Graph_Tooltip_Speed=TRUE,IF($E$8=$A444,1/$N$6,),)</f>
        <v/>
      </c>
    </row>
    <row r="445">
      <c r="A445" s="370">
        <v>2.02</v>
      </c>
      <c r="B445" s="213">
        <f>If(DPS_Weapon_Type="远程",($E445+1)/60+(ROUNDDOWN($F445*60+1,0)/60)*2,(ROUNDDOWN(($E445+1)+ROUNDDOWN($F445*60+1,0)+ROUNDDOWN($G445/2*60+1,0)+ROUNDDOWN($H445*60+1,0)+1,0))/60+If(DPS_ATK_TYPE="挥砍",1/60)+If(DPS_ATK_TYPE="挥砍/刺击",1/120))+DPS_Weapon_Randomization/60</f>
        <v>0.105</v>
      </c>
      <c r="C445" s="104">
        <f>IF(DPS_Graph_True_Speed=TRUE,IF($A445&lt;=DPS_Graph_Max,IF($A445&gt;=DPS_Graph_Speed_Min,1/B445,),),)</f>
        <v>9.523809524</v>
      </c>
      <c r="D445" s="115" t="str">
        <f>IF(DPS_Graph_True_Speed=TRUE,IF($E$8=$A445,DPS_Attacks_P_Sec,),)</f>
        <v/>
      </c>
      <c r="E445" s="222">
        <f>ROUNDDOWN(MAX(2,IF(A445&gt;=0, DPS_Base_Wpn_Spd/(1+A445),DPS_Base_Wpn_Spd*(1+ABS(A445)))),0)</f>
        <v>2</v>
      </c>
      <c r="F445" s="232">
        <f>IF(A445&gt;=0, DPS_Base_Recoil/(1+A445),DPS_Base_Recoil)</f>
        <v>0.01655629139</v>
      </c>
      <c r="G445" s="377">
        <f t="shared" si="7"/>
        <v>0.5222367672</v>
      </c>
      <c r="H445" s="377">
        <f t="shared" si="8"/>
        <v>0.0283286119</v>
      </c>
      <c r="I445" s="104"/>
      <c r="J445" s="377">
        <f>MAX(0, Max(25,(DPS_Base_Range + ((DPS_Range_Stat) / 2))) / MIN(MAX(70, (70 * (1 + ($A445 / 3)))), 120))</f>
        <v>3.414911781</v>
      </c>
      <c r="K445" s="269">
        <f>IF(A445&lt;=DPS_Graph_Max,IF(A445&gt;=DPS_Graph_Speed_Min,A445,),)</f>
        <v>2.02</v>
      </c>
      <c r="M445" s="213">
        <f>If(DPS_Weapon_Type="远程",$E445/60+$F445*2,$E445/60+$F445+$G445/2+$H445)</f>
        <v>0.06644591611</v>
      </c>
      <c r="N445" s="104">
        <f>IF(DPS_Graph_Tooltip_Speed=TRUE,IF($A445&lt;=DPS_Graph_Max,IF($A445&gt;=DPS_Graph_Speed_Min,1/M445,),),)</f>
        <v>15.04983389</v>
      </c>
      <c r="R445" s="104" t="str">
        <f>IF(DPS_Graph_Tooltip_Speed=TRUE,IF($E$8=$A445,1/$N$6,),)</f>
        <v/>
      </c>
    </row>
    <row r="446">
      <c r="A446" s="370">
        <v>2.03</v>
      </c>
      <c r="B446" s="213">
        <f>If(DPS_Weapon_Type="远程",($E446+1)/60+(ROUNDDOWN($F446*60+1,0)/60)*2,(ROUNDDOWN(($E446+1)+ROUNDDOWN($F446*60+1,0)+ROUNDDOWN($G446/2*60+1,0)+ROUNDDOWN($H446*60+1,0)+1,0))/60+If(DPS_ATK_TYPE="挥砍",1/60)+If(DPS_ATK_TYPE="挥砍/刺击",1/120))+DPS_Weapon_Randomization/60</f>
        <v>0.105</v>
      </c>
      <c r="C446" s="104">
        <f>IF(DPS_Graph_True_Speed=TRUE,IF($A446&lt;=DPS_Graph_Max,IF($A446&gt;=DPS_Graph_Speed_Min,1/B446,),),)</f>
        <v>9.523809524</v>
      </c>
      <c r="D446" s="115" t="str">
        <f>IF(DPS_Graph_True_Speed=TRUE,IF($E$8=$A446,DPS_Attacks_P_Sec,),)</f>
        <v/>
      </c>
      <c r="E446" s="222">
        <f>ROUNDDOWN(MAX(2,IF(A446&gt;=0, DPS_Base_Wpn_Spd/(1+A446),DPS_Base_Wpn_Spd*(1+ABS(A446)))),0)</f>
        <v>2</v>
      </c>
      <c r="F446" s="232">
        <f>IF(A446&gt;=0, DPS_Base_Recoil/(1+A446),DPS_Base_Recoil)</f>
        <v>0.01650165017</v>
      </c>
      <c r="G446" s="377">
        <f t="shared" si="7"/>
        <v>0.5212184039</v>
      </c>
      <c r="H446" s="377">
        <f t="shared" si="8"/>
        <v>0.02820874471</v>
      </c>
      <c r="I446" s="104"/>
      <c r="J446" s="377">
        <f>MAX(0, Max(25,(DPS_Base_Range + ((DPS_Range_Stat) / 2))) / MIN(MAX(70, (70 * (1 + ($A446 / 3)))), 120))</f>
        <v>3.408122692</v>
      </c>
      <c r="K446" s="269">
        <f>IF(A446&lt;=DPS_Graph_Max,IF(A446&gt;=DPS_Graph_Speed_Min,A446,),)</f>
        <v>2.03</v>
      </c>
      <c r="M446" s="213">
        <f>If(DPS_Weapon_Type="远程",$E446/60+$F446*2,$E446/60+$F446+$G446/2+$H446)</f>
        <v>0.06633663366</v>
      </c>
      <c r="N446" s="104">
        <f>IF(DPS_Graph_Tooltip_Speed=TRUE,IF($A446&lt;=DPS_Graph_Max,IF($A446&gt;=DPS_Graph_Speed_Min,1/M446,),),)</f>
        <v>15.07462687</v>
      </c>
      <c r="R446" s="104" t="str">
        <f>IF(DPS_Graph_Tooltip_Speed=TRUE,IF($E$8=$A446,1/$N$6,),)</f>
        <v/>
      </c>
    </row>
    <row r="447">
      <c r="A447" s="370">
        <v>2.04</v>
      </c>
      <c r="B447" s="213">
        <f>If(DPS_Weapon_Type="远程",($E447+1)/60+(ROUNDDOWN($F447*60+1,0)/60)*2,(ROUNDDOWN(($E447+1)+ROUNDDOWN($F447*60+1,0)+ROUNDDOWN($G447/2*60+1,0)+ROUNDDOWN($H447*60+1,0)+1,0))/60+If(DPS_ATK_TYPE="挥砍",1/60)+If(DPS_ATK_TYPE="挥砍/刺击",1/120))+DPS_Weapon_Randomization/60</f>
        <v>0.105</v>
      </c>
      <c r="C447" s="104">
        <f>IF(DPS_Graph_True_Speed=TRUE,IF($A447&lt;=DPS_Graph_Max,IF($A447&gt;=DPS_Graph_Speed_Min,1/B447,),),)</f>
        <v>9.523809524</v>
      </c>
      <c r="D447" s="115" t="str">
        <f>IF(DPS_Graph_True_Speed=TRUE,IF($E$8=$A447,DPS_Attacks_P_Sec,),)</f>
        <v/>
      </c>
      <c r="E447" s="222">
        <f>ROUNDDOWN(MAX(2,IF(A447&gt;=0, DPS_Base_Wpn_Spd/(1+A447),DPS_Base_Wpn_Spd*(1+ABS(A447)))),0)</f>
        <v>2</v>
      </c>
      <c r="F447" s="232">
        <f>IF(A447&gt;=0, DPS_Base_Recoil/(1+A447),DPS_Base_Recoil)</f>
        <v>0.01644736842</v>
      </c>
      <c r="G447" s="377">
        <f t="shared" si="7"/>
        <v>0.5202040816</v>
      </c>
      <c r="H447" s="377">
        <f t="shared" si="8"/>
        <v>0.02808988764</v>
      </c>
      <c r="I447" s="104"/>
      <c r="J447" s="377">
        <f>MAX(0, Max(25,(DPS_Base_Range + ((DPS_Range_Stat) / 2))) / MIN(MAX(70, (70 * (1 + ($A447 / 3)))), 120))</f>
        <v>3.401360544</v>
      </c>
      <c r="K447" s="269">
        <f>IF(A447&lt;=DPS_Graph_Max,IF(A447&gt;=DPS_Graph_Speed_Min,A447,),)</f>
        <v>2.04</v>
      </c>
      <c r="M447" s="213">
        <f>If(DPS_Weapon_Type="远程",$E447/60+$F447*2,$E447/60+$F447+$G447/2+$H447)</f>
        <v>0.06622807018</v>
      </c>
      <c r="N447" s="104">
        <f>IF(DPS_Graph_Tooltip_Speed=TRUE,IF($A447&lt;=DPS_Graph_Max,IF($A447&gt;=DPS_Graph_Speed_Min,1/M447,),),)</f>
        <v>15.09933775</v>
      </c>
      <c r="R447" s="104" t="str">
        <f>IF(DPS_Graph_Tooltip_Speed=TRUE,IF($E$8=$A447,1/$N$6,),)</f>
        <v/>
      </c>
    </row>
    <row r="448">
      <c r="A448" s="370">
        <v>2.05</v>
      </c>
      <c r="B448" s="213">
        <f>If(DPS_Weapon_Type="远程",($E448+1)/60+(ROUNDDOWN($F448*60+1,0)/60)*2,(ROUNDDOWN(($E448+1)+ROUNDDOWN($F448*60+1,0)+ROUNDDOWN($G448/2*60+1,0)+ROUNDDOWN($H448*60+1,0)+1,0))/60+If(DPS_ATK_TYPE="挥砍",1/60)+If(DPS_ATK_TYPE="挥砍/刺击",1/120))+DPS_Weapon_Randomization/60</f>
        <v>0.105</v>
      </c>
      <c r="C448" s="104">
        <f>IF(DPS_Graph_True_Speed=TRUE,IF($A448&lt;=DPS_Graph_Max,IF($A448&gt;=DPS_Graph_Speed_Min,1/B448,),),)</f>
        <v>9.523809524</v>
      </c>
      <c r="D448" s="115" t="str">
        <f>IF(DPS_Graph_True_Speed=TRUE,IF($E$8=$A448,DPS_Attacks_P_Sec,),)</f>
        <v/>
      </c>
      <c r="E448" s="222">
        <f>ROUNDDOWN(MAX(2,IF(A448&gt;=0, DPS_Base_Wpn_Spd/(1+A448),DPS_Base_Wpn_Spd*(1+ABS(A448)))),0)</f>
        <v>2</v>
      </c>
      <c r="F448" s="232">
        <f>IF(A448&gt;=0, DPS_Base_Recoil/(1+A448),DPS_Base_Recoil)</f>
        <v>0.01639344262</v>
      </c>
      <c r="G448" s="377">
        <f t="shared" si="7"/>
        <v>0.5191937765</v>
      </c>
      <c r="H448" s="377">
        <f t="shared" si="8"/>
        <v>0.02797202797</v>
      </c>
      <c r="I448" s="104"/>
      <c r="J448" s="377">
        <f>MAX(0, Max(25,(DPS_Base_Range + ((DPS_Range_Stat) / 2))) / MIN(MAX(70, (70 * (1 + ($A448 / 3)))), 120))</f>
        <v>3.394625177</v>
      </c>
      <c r="K448" s="269">
        <f>IF(A448&lt;=DPS_Graph_Max,IF(A448&gt;=DPS_Graph_Speed_Min,A448,),)</f>
        <v>2.05</v>
      </c>
      <c r="M448" s="213">
        <f>If(DPS_Weapon_Type="远程",$E448/60+$F448*2,$E448/60+$F448+$G448/2+$H448)</f>
        <v>0.06612021858</v>
      </c>
      <c r="N448" s="104">
        <f>IF(DPS_Graph_Tooltip_Speed=TRUE,IF($A448&lt;=DPS_Graph_Max,IF($A448&gt;=DPS_Graph_Speed_Min,1/M448,),),)</f>
        <v>15.12396694</v>
      </c>
      <c r="R448" s="104" t="str">
        <f>IF(DPS_Graph_Tooltip_Speed=TRUE,IF($E$8=$A448,1/$N$6,),)</f>
        <v/>
      </c>
    </row>
    <row r="449">
      <c r="A449" s="370">
        <v>2.06</v>
      </c>
      <c r="B449" s="213">
        <f>If(DPS_Weapon_Type="远程",($E449+1)/60+(ROUNDDOWN($F449*60+1,0)/60)*2,(ROUNDDOWN(($E449+1)+ROUNDDOWN($F449*60+1,0)+ROUNDDOWN($G449/2*60+1,0)+ROUNDDOWN($H449*60+1,0)+1,0))/60+If(DPS_ATK_TYPE="挥砍",1/60)+If(DPS_ATK_TYPE="挥砍/刺击",1/120))+DPS_Weapon_Randomization/60</f>
        <v>0.105</v>
      </c>
      <c r="C449" s="104">
        <f>IF(DPS_Graph_True_Speed=TRUE,IF($A449&lt;=DPS_Graph_Max,IF($A449&gt;=DPS_Graph_Speed_Min,1/B449,),),)</f>
        <v>9.523809524</v>
      </c>
      <c r="D449" s="115" t="str">
        <f>IF(DPS_Graph_True_Speed=TRUE,IF($E$8=$A449,DPS_Attacks_P_Sec,),)</f>
        <v/>
      </c>
      <c r="E449" s="222">
        <f>ROUNDDOWN(MAX(2,IF(A449&gt;=0, DPS_Base_Wpn_Spd/(1+A449),DPS_Base_Wpn_Spd*(1+ABS(A449)))),0)</f>
        <v>2</v>
      </c>
      <c r="F449" s="232">
        <f>IF(A449&gt;=0, DPS_Base_Recoil/(1+A449),DPS_Base_Recoil)</f>
        <v>0.01633986928</v>
      </c>
      <c r="G449" s="377">
        <f t="shared" si="7"/>
        <v>0.5181874647</v>
      </c>
      <c r="H449" s="377">
        <f t="shared" si="8"/>
        <v>0.0278551532</v>
      </c>
      <c r="I449" s="104"/>
      <c r="J449" s="377">
        <f>MAX(0, Max(25,(DPS_Base_Range + ((DPS_Range_Stat) / 2))) / MIN(MAX(70, (70 * (1 + ($A449 / 3)))), 120))</f>
        <v>3.387916431</v>
      </c>
      <c r="K449" s="269">
        <f>IF(A449&lt;=DPS_Graph_Max,IF(A449&gt;=DPS_Graph_Speed_Min,A449,),)</f>
        <v>2.06</v>
      </c>
      <c r="M449" s="213">
        <f>If(DPS_Weapon_Type="远程",$E449/60+$F449*2,$E449/60+$F449+$G449/2+$H449)</f>
        <v>0.0660130719</v>
      </c>
      <c r="N449" s="104">
        <f>IF(DPS_Graph_Tooltip_Speed=TRUE,IF($A449&lt;=DPS_Graph_Max,IF($A449&gt;=DPS_Graph_Speed_Min,1/M449,),),)</f>
        <v>15.14851485</v>
      </c>
      <c r="R449" s="104" t="str">
        <f>IF(DPS_Graph_Tooltip_Speed=TRUE,IF($E$8=$A449,1/$N$6,),)</f>
        <v/>
      </c>
    </row>
    <row r="450">
      <c r="A450" s="370">
        <v>2.07</v>
      </c>
      <c r="B450" s="213">
        <f>If(DPS_Weapon_Type="远程",($E450+1)/60+(ROUNDDOWN($F450*60+1,0)/60)*2,(ROUNDDOWN(($E450+1)+ROUNDDOWN($F450*60+1,0)+ROUNDDOWN($G450/2*60+1,0)+ROUNDDOWN($H450*60+1,0)+1,0))/60+If(DPS_ATK_TYPE="挥砍",1/60)+If(DPS_ATK_TYPE="挥砍/刺击",1/120))+DPS_Weapon_Randomization/60</f>
        <v>0.105</v>
      </c>
      <c r="C450" s="104">
        <f>IF(DPS_Graph_True_Speed=TRUE,IF($A450&lt;=DPS_Graph_Max,IF($A450&gt;=DPS_Graph_Speed_Min,1/B450,),),)</f>
        <v>9.523809524</v>
      </c>
      <c r="D450" s="115" t="str">
        <f>IF(DPS_Graph_True_Speed=TRUE,IF($E$8=$A450,DPS_Attacks_P_Sec,),)</f>
        <v/>
      </c>
      <c r="E450" s="222">
        <f>ROUNDDOWN(MAX(2,IF(A450&gt;=0, DPS_Base_Wpn_Spd/(1+A450),DPS_Base_Wpn_Spd*(1+ABS(A450)))),0)</f>
        <v>2</v>
      </c>
      <c r="F450" s="232">
        <f>IF(A450&gt;=0, DPS_Base_Recoil/(1+A450),DPS_Base_Recoil)</f>
        <v>0.01628664495</v>
      </c>
      <c r="G450" s="377">
        <f t="shared" si="7"/>
        <v>0.5171851226</v>
      </c>
      <c r="H450" s="377">
        <f t="shared" si="8"/>
        <v>0.02773925104</v>
      </c>
      <c r="I450" s="104"/>
      <c r="J450" s="377">
        <f>MAX(0, Max(25,(DPS_Base_Range + ((DPS_Range_Stat) / 2))) / MIN(MAX(70, (70 * (1 + ($A450 / 3)))), 120))</f>
        <v>3.38123415</v>
      </c>
      <c r="K450" s="269">
        <f>IF(A450&lt;=DPS_Graph_Max,IF(A450&gt;=DPS_Graph_Speed_Min,A450,),)</f>
        <v>2.07</v>
      </c>
      <c r="M450" s="213">
        <f>If(DPS_Weapon_Type="远程",$E450/60+$F450*2,$E450/60+$F450+$G450/2+$H450)</f>
        <v>0.06590662324</v>
      </c>
      <c r="N450" s="104">
        <f>IF(DPS_Graph_Tooltip_Speed=TRUE,IF($A450&lt;=DPS_Graph_Max,IF($A450&gt;=DPS_Graph_Speed_Min,1/M450,),),)</f>
        <v>15.17298188</v>
      </c>
      <c r="R450" s="104" t="str">
        <f>IF(DPS_Graph_Tooltip_Speed=TRUE,IF($E$8=$A450,1/$N$6,),)</f>
        <v/>
      </c>
    </row>
    <row r="451">
      <c r="A451" s="370">
        <v>2.08</v>
      </c>
      <c r="B451" s="213">
        <f>If(DPS_Weapon_Type="远程",($E451+1)/60+(ROUNDDOWN($F451*60+1,0)/60)*2,(ROUNDDOWN(($E451+1)+ROUNDDOWN($F451*60+1,0)+ROUNDDOWN($G451/2*60+1,0)+ROUNDDOWN($H451*60+1,0)+1,0))/60+If(DPS_ATK_TYPE="挥砍",1/60)+If(DPS_ATK_TYPE="挥砍/刺击",1/120))+DPS_Weapon_Randomization/60</f>
        <v>0.105</v>
      </c>
      <c r="C451" s="104">
        <f>IF(DPS_Graph_True_Speed=TRUE,IF($A451&lt;=DPS_Graph_Max,IF($A451&gt;=DPS_Graph_Speed_Min,1/B451,),),)</f>
        <v>9.523809524</v>
      </c>
      <c r="D451" s="115" t="str">
        <f>IF(DPS_Graph_True_Speed=TRUE,IF($E$8=$A451,DPS_Attacks_P_Sec,),)</f>
        <v/>
      </c>
      <c r="E451" s="222">
        <f>ROUNDDOWN(MAX(2,IF(A451&gt;=0, DPS_Base_Wpn_Spd/(1+A451),DPS_Base_Wpn_Spd*(1+ABS(A451)))),0)</f>
        <v>2</v>
      </c>
      <c r="F451" s="232">
        <f>IF(A451&gt;=0, DPS_Base_Recoil/(1+A451),DPS_Base_Recoil)</f>
        <v>0.01623376623</v>
      </c>
      <c r="G451" s="377">
        <f t="shared" si="7"/>
        <v>0.5161867267</v>
      </c>
      <c r="H451" s="377">
        <f t="shared" si="8"/>
        <v>0.02762430939</v>
      </c>
      <c r="I451" s="104"/>
      <c r="J451" s="377">
        <f>MAX(0, Max(25,(DPS_Base_Range + ((DPS_Range_Stat) / 2))) / MIN(MAX(70, (70 * (1 + ($A451 / 3)))), 120))</f>
        <v>3.374578178</v>
      </c>
      <c r="K451" s="269">
        <f>IF(A451&lt;=DPS_Graph_Max,IF(A451&gt;=DPS_Graph_Speed_Min,A451,),)</f>
        <v>2.08</v>
      </c>
      <c r="M451" s="213">
        <f>If(DPS_Weapon_Type="远程",$E451/60+$F451*2,$E451/60+$F451+$G451/2+$H451)</f>
        <v>0.0658008658</v>
      </c>
      <c r="N451" s="104">
        <f>IF(DPS_Graph_Tooltip_Speed=TRUE,IF($A451&lt;=DPS_Graph_Max,IF($A451&gt;=DPS_Graph_Speed_Min,1/M451,),),)</f>
        <v>15.19736842</v>
      </c>
      <c r="R451" s="104" t="str">
        <f>IF(DPS_Graph_Tooltip_Speed=TRUE,IF($E$8=$A451,1/$N$6,),)</f>
        <v/>
      </c>
    </row>
    <row r="452">
      <c r="A452" s="370">
        <v>2.09</v>
      </c>
      <c r="B452" s="213">
        <f>If(DPS_Weapon_Type="远程",($E452+1)/60+(ROUNDDOWN($F452*60+1,0)/60)*2,(ROUNDDOWN(($E452+1)+ROUNDDOWN($F452*60+1,0)+ROUNDDOWN($G452/2*60+1,0)+ROUNDDOWN($H452*60+1,0)+1,0))/60+If(DPS_ATK_TYPE="挥砍",1/60)+If(DPS_ATK_TYPE="挥砍/刺击",1/120))+DPS_Weapon_Randomization/60</f>
        <v>0.105</v>
      </c>
      <c r="C452" s="104">
        <f>IF(DPS_Graph_True_Speed=TRUE,IF($A452&lt;=DPS_Graph_Max,IF($A452&gt;=DPS_Graph_Speed_Min,1/B452,),),)</f>
        <v>9.523809524</v>
      </c>
      <c r="D452" s="115" t="str">
        <f>IF(DPS_Graph_True_Speed=TRUE,IF($E$8=$A452,DPS_Attacks_P_Sec,),)</f>
        <v/>
      </c>
      <c r="E452" s="222">
        <f>ROUNDDOWN(MAX(2,IF(A452&gt;=0, DPS_Base_Wpn_Spd/(1+A452),DPS_Base_Wpn_Spd*(1+ABS(A452)))),0)</f>
        <v>2</v>
      </c>
      <c r="F452" s="232">
        <f>IF(A452&gt;=0, DPS_Base_Recoil/(1+A452),DPS_Base_Recoil)</f>
        <v>0.01618122977</v>
      </c>
      <c r="G452" s="377">
        <f t="shared" si="7"/>
        <v>0.5151922537</v>
      </c>
      <c r="H452" s="377">
        <f t="shared" si="8"/>
        <v>0.02751031637</v>
      </c>
      <c r="I452" s="104"/>
      <c r="J452" s="377">
        <f>MAX(0, Max(25,(DPS_Base_Range + ((DPS_Range_Stat) / 2))) / MIN(MAX(70, (70 * (1 + ($A452 / 3)))), 120))</f>
        <v>3.367948358</v>
      </c>
      <c r="K452" s="269">
        <f>IF(A452&lt;=DPS_Graph_Max,IF(A452&gt;=DPS_Graph_Speed_Min,A452,),)</f>
        <v>2.09</v>
      </c>
      <c r="M452" s="213">
        <f>If(DPS_Weapon_Type="远程",$E452/60+$F452*2,$E452/60+$F452+$G452/2+$H452)</f>
        <v>0.06569579288</v>
      </c>
      <c r="N452" s="104">
        <f>IF(DPS_Graph_Tooltip_Speed=TRUE,IF($A452&lt;=DPS_Graph_Max,IF($A452&gt;=DPS_Graph_Speed_Min,1/M452,),),)</f>
        <v>15.22167488</v>
      </c>
      <c r="R452" s="104" t="str">
        <f>IF(DPS_Graph_Tooltip_Speed=TRUE,IF($E$8=$A452,1/$N$6,),)</f>
        <v/>
      </c>
    </row>
    <row r="453">
      <c r="A453" s="370">
        <v>2.1</v>
      </c>
      <c r="B453" s="213">
        <f>If(DPS_Weapon_Type="远程",($E453+1)/60+(ROUNDDOWN($F453*60+1,0)/60)*2,(ROUNDDOWN(($E453+1)+ROUNDDOWN($F453*60+1,0)+ROUNDDOWN($G453/2*60+1,0)+ROUNDDOWN($H453*60+1,0)+1,0))/60+If(DPS_ATK_TYPE="挥砍",1/60)+If(DPS_ATK_TYPE="挥砍/刺击",1/120))+DPS_Weapon_Randomization/60</f>
        <v>0.105</v>
      </c>
      <c r="C453" s="104">
        <f>IF(DPS_Graph_True_Speed=TRUE,IF($A453&lt;=DPS_Graph_Max,IF($A453&gt;=DPS_Graph_Speed_Min,1/B453,),),)</f>
        <v>9.523809524</v>
      </c>
      <c r="D453" s="115" t="str">
        <f>IF(DPS_Graph_True_Speed=TRUE,IF($E$8=$A453,DPS_Attacks_P_Sec,),)</f>
        <v/>
      </c>
      <c r="E453" s="222">
        <f>ROUNDDOWN(MAX(2,IF(A453&gt;=0, DPS_Base_Wpn_Spd/(1+A453),DPS_Base_Wpn_Spd*(1+ABS(A453)))),0)</f>
        <v>2</v>
      </c>
      <c r="F453" s="232">
        <f>IF(A453&gt;=0, DPS_Base_Recoil/(1+A453),DPS_Base_Recoil)</f>
        <v>0.01612903226</v>
      </c>
      <c r="G453" s="377">
        <f t="shared" si="7"/>
        <v>0.5142016807</v>
      </c>
      <c r="H453" s="377">
        <f t="shared" si="8"/>
        <v>0.02739726027</v>
      </c>
      <c r="I453" s="104"/>
      <c r="J453" s="377">
        <f>MAX(0, Max(25,(DPS_Base_Range + ((DPS_Range_Stat) / 2))) / MIN(MAX(70, (70 * (1 + ($A453 / 3)))), 120))</f>
        <v>3.361344538</v>
      </c>
      <c r="K453" s="269">
        <f>IF(A453&lt;=DPS_Graph_Max,IF(A453&gt;=DPS_Graph_Speed_Min,A453,),)</f>
        <v>2.1</v>
      </c>
      <c r="M453" s="213">
        <f>If(DPS_Weapon_Type="远程",$E453/60+$F453*2,$E453/60+$F453+$G453/2+$H453)</f>
        <v>0.06559139785</v>
      </c>
      <c r="N453" s="104">
        <f>IF(DPS_Graph_Tooltip_Speed=TRUE,IF($A453&lt;=DPS_Graph_Max,IF($A453&gt;=DPS_Graph_Speed_Min,1/M453,),),)</f>
        <v>15.24590164</v>
      </c>
      <c r="R453" s="104" t="str">
        <f>IF(DPS_Graph_Tooltip_Speed=TRUE,IF($E$8=$A453,1/$N$6,),)</f>
        <v/>
      </c>
    </row>
    <row r="454">
      <c r="A454" s="370">
        <v>2.11</v>
      </c>
      <c r="B454" s="213">
        <f>If(DPS_Weapon_Type="远程",($E454+1)/60+(ROUNDDOWN($F454*60+1,0)/60)*2,(ROUNDDOWN(($E454+1)+ROUNDDOWN($F454*60+1,0)+ROUNDDOWN($G454/2*60+1,0)+ROUNDDOWN($H454*60+1,0)+1,0))/60+If(DPS_ATK_TYPE="挥砍",1/60)+If(DPS_ATK_TYPE="挥砍/刺击",1/120))+DPS_Weapon_Randomization/60</f>
        <v>0.105</v>
      </c>
      <c r="C454" s="104">
        <f>IF(DPS_Graph_True_Speed=TRUE,IF($A454&lt;=DPS_Graph_Max,IF($A454&gt;=DPS_Graph_Speed_Min,1/B454,),),)</f>
        <v>9.523809524</v>
      </c>
      <c r="D454" s="115" t="str">
        <f>IF(DPS_Graph_True_Speed=TRUE,IF($E$8=$A454,DPS_Attacks_P_Sec,),)</f>
        <v/>
      </c>
      <c r="E454" s="222">
        <f>ROUNDDOWN(MAX(2,IF(A454&gt;=0, DPS_Base_Wpn_Spd/(1+A454),DPS_Base_Wpn_Spd*(1+ABS(A454)))),0)</f>
        <v>2</v>
      </c>
      <c r="F454" s="232">
        <f>IF(A454&gt;=0, DPS_Base_Recoil/(1+A454),DPS_Base_Recoil)</f>
        <v>0.01607717042</v>
      </c>
      <c r="G454" s="377">
        <f t="shared" si="7"/>
        <v>0.5132149846</v>
      </c>
      <c r="H454" s="377">
        <f t="shared" si="8"/>
        <v>0.0272851296</v>
      </c>
      <c r="I454" s="104"/>
      <c r="J454" s="377">
        <f>MAX(0, Max(25,(DPS_Base_Range + ((DPS_Range_Stat) / 2))) / MIN(MAX(70, (70 * (1 + ($A454 / 3)))), 120))</f>
        <v>3.354766564</v>
      </c>
      <c r="K454" s="269">
        <f>IF(A454&lt;=DPS_Graph_Max,IF(A454&gt;=DPS_Graph_Speed_Min,A454,),)</f>
        <v>2.11</v>
      </c>
      <c r="M454" s="213">
        <f>If(DPS_Weapon_Type="远程",$E454/60+$F454*2,$E454/60+$F454+$G454/2+$H454)</f>
        <v>0.06548767417</v>
      </c>
      <c r="N454" s="104">
        <f>IF(DPS_Graph_Tooltip_Speed=TRUE,IF($A454&lt;=DPS_Graph_Max,IF($A454&gt;=DPS_Graph_Speed_Min,1/M454,),),)</f>
        <v>15.2700491</v>
      </c>
      <c r="R454" s="104" t="str">
        <f>IF(DPS_Graph_Tooltip_Speed=TRUE,IF($E$8=$A454,1/$N$6,),)</f>
        <v/>
      </c>
    </row>
    <row r="455">
      <c r="A455" s="370">
        <v>2.12</v>
      </c>
      <c r="B455" s="213">
        <f>If(DPS_Weapon_Type="远程",($E455+1)/60+(ROUNDDOWN($F455*60+1,0)/60)*2,(ROUNDDOWN(($E455+1)+ROUNDDOWN($F455*60+1,0)+ROUNDDOWN($G455/2*60+1,0)+ROUNDDOWN($H455*60+1,0)+1,0))/60+If(DPS_ATK_TYPE="挥砍",1/60)+If(DPS_ATK_TYPE="挥砍/刺击",1/120))+DPS_Weapon_Randomization/60</f>
        <v>0.105</v>
      </c>
      <c r="C455" s="104">
        <f>IF(DPS_Graph_True_Speed=TRUE,IF($A455&lt;=DPS_Graph_Max,IF($A455&gt;=DPS_Graph_Speed_Min,1/B455,),),)</f>
        <v>9.523809524</v>
      </c>
      <c r="D455" s="115" t="str">
        <f>IF(DPS_Graph_True_Speed=TRUE,IF($E$8=$A455,DPS_Attacks_P_Sec,),)</f>
        <v/>
      </c>
      <c r="E455" s="222">
        <f>ROUNDDOWN(MAX(2,IF(A455&gt;=0, DPS_Base_Wpn_Spd/(1+A455),DPS_Base_Wpn_Spd*(1+ABS(A455)))),0)</f>
        <v>2</v>
      </c>
      <c r="F455" s="232">
        <f>IF(A455&gt;=0, DPS_Base_Recoil/(1+A455),DPS_Base_Recoil)</f>
        <v>0.01602564103</v>
      </c>
      <c r="G455" s="377">
        <f t="shared" si="7"/>
        <v>0.5122321429</v>
      </c>
      <c r="H455" s="377">
        <f t="shared" si="8"/>
        <v>0.02717391304</v>
      </c>
      <c r="I455" s="104"/>
      <c r="J455" s="377">
        <f>MAX(0, Max(25,(DPS_Base_Range + ((DPS_Range_Stat) / 2))) / MIN(MAX(70, (70 * (1 + ($A455 / 3)))), 120))</f>
        <v>3.348214286</v>
      </c>
      <c r="K455" s="269">
        <f>IF(A455&lt;=DPS_Graph_Max,IF(A455&gt;=DPS_Graph_Speed_Min,A455,),)</f>
        <v>2.12</v>
      </c>
      <c r="M455" s="213">
        <f>If(DPS_Weapon_Type="远程",$E455/60+$F455*2,$E455/60+$F455+$G455/2+$H455)</f>
        <v>0.06538461538</v>
      </c>
      <c r="N455" s="104">
        <f>IF(DPS_Graph_Tooltip_Speed=TRUE,IF($A455&lt;=DPS_Graph_Max,IF($A455&gt;=DPS_Graph_Speed_Min,1/M455,),),)</f>
        <v>15.29411765</v>
      </c>
      <c r="R455" s="104" t="str">
        <f>IF(DPS_Graph_Tooltip_Speed=TRUE,IF($E$8=$A455,1/$N$6,),)</f>
        <v/>
      </c>
    </row>
    <row r="456">
      <c r="A456" s="370">
        <v>2.13</v>
      </c>
      <c r="B456" s="213">
        <f>If(DPS_Weapon_Type="远程",($E456+1)/60+(ROUNDDOWN($F456*60+1,0)/60)*2,(ROUNDDOWN(($E456+1)+ROUNDDOWN($F456*60+1,0)+ROUNDDOWN($G456/2*60+1,0)+ROUNDDOWN($H456*60+1,0)+1,0))/60+If(DPS_ATK_TYPE="挥砍",1/60)+If(DPS_ATK_TYPE="挥砍/刺击",1/120))+DPS_Weapon_Randomization/60</f>
        <v>0.105</v>
      </c>
      <c r="C456" s="104">
        <f>IF(DPS_Graph_True_Speed=TRUE,IF($A456&lt;=DPS_Graph_Max,IF($A456&gt;=DPS_Graph_Speed_Min,1/B456,),),)</f>
        <v>9.523809524</v>
      </c>
      <c r="D456" s="115" t="str">
        <f>IF(DPS_Graph_True_Speed=TRUE,IF($E$8=$A456,DPS_Attacks_P_Sec,),)</f>
        <v/>
      </c>
      <c r="E456" s="222">
        <f>ROUNDDOWN(MAX(2,IF(A456&gt;=0, DPS_Base_Wpn_Spd/(1+A456),DPS_Base_Wpn_Spd*(1+ABS(A456)))),0)</f>
        <v>2</v>
      </c>
      <c r="F456" s="232">
        <f>IF(A456&gt;=0, DPS_Base_Recoil/(1+A456),DPS_Base_Recoil)</f>
        <v>0.01597444089</v>
      </c>
      <c r="G456" s="377">
        <f t="shared" si="7"/>
        <v>0.5112531328</v>
      </c>
      <c r="H456" s="377">
        <f t="shared" si="8"/>
        <v>0.02706359946</v>
      </c>
      <c r="I456" s="104"/>
      <c r="J456" s="377">
        <f>MAX(0, Max(25,(DPS_Base_Range + ((DPS_Range_Stat) / 2))) / MIN(MAX(70, (70 * (1 + ($A456 / 3)))), 120))</f>
        <v>3.341687552</v>
      </c>
      <c r="K456" s="269">
        <f>IF(A456&lt;=DPS_Graph_Max,IF(A456&gt;=DPS_Graph_Speed_Min,A456,),)</f>
        <v>2.13</v>
      </c>
      <c r="M456" s="213">
        <f>If(DPS_Weapon_Type="远程",$E456/60+$F456*2,$E456/60+$F456+$G456/2+$H456)</f>
        <v>0.06528221512</v>
      </c>
      <c r="N456" s="104">
        <f>IF(DPS_Graph_Tooltip_Speed=TRUE,IF($A456&lt;=DPS_Graph_Max,IF($A456&gt;=DPS_Graph_Speed_Min,1/M456,),),)</f>
        <v>15.31810767</v>
      </c>
      <c r="R456" s="104" t="str">
        <f>IF(DPS_Graph_Tooltip_Speed=TRUE,IF($E$8=$A456,1/$N$6,),)</f>
        <v/>
      </c>
    </row>
    <row r="457">
      <c r="A457" s="370">
        <v>2.14</v>
      </c>
      <c r="B457" s="213">
        <f>If(DPS_Weapon_Type="远程",($E457+1)/60+(ROUNDDOWN($F457*60+1,0)/60)*2,(ROUNDDOWN(($E457+1)+ROUNDDOWN($F457*60+1,0)+ROUNDDOWN($G457/2*60+1,0)+ROUNDDOWN($H457*60+1,0)+1,0))/60+If(DPS_ATK_TYPE="挥砍",1/60)+If(DPS_ATK_TYPE="挥砍/刺击",1/120))+DPS_Weapon_Randomization/60</f>
        <v>0.105</v>
      </c>
      <c r="C457" s="104">
        <f>IF(DPS_Graph_True_Speed=TRUE,IF($A457&lt;=DPS_Graph_Max,IF($A457&gt;=DPS_Graph_Speed_Min,1/B457,),),)</f>
        <v>9.523809524</v>
      </c>
      <c r="D457" s="115" t="str">
        <f>IF(DPS_Graph_True_Speed=TRUE,IF($E$8=$A457,DPS_Attacks_P_Sec,),)</f>
        <v/>
      </c>
      <c r="E457" s="222">
        <f>ROUNDDOWN(MAX(2,IF(A457&gt;=0, DPS_Base_Wpn_Spd/(1+A457),DPS_Base_Wpn_Spd*(1+ABS(A457)))),0)</f>
        <v>2</v>
      </c>
      <c r="F457" s="232">
        <f>IF(A457&gt;=0, DPS_Base_Recoil/(1+A457),DPS_Base_Recoil)</f>
        <v>0.01592356688</v>
      </c>
      <c r="G457" s="377">
        <f t="shared" si="7"/>
        <v>0.5102779322</v>
      </c>
      <c r="H457" s="377">
        <f t="shared" si="8"/>
        <v>0.0269541779</v>
      </c>
      <c r="I457" s="104"/>
      <c r="J457" s="377">
        <f>MAX(0, Max(25,(DPS_Base_Range + ((DPS_Range_Stat) / 2))) / MIN(MAX(70, (70 * (1 + ($A457 / 3)))), 120))</f>
        <v>3.335186215</v>
      </c>
      <c r="K457" s="269">
        <f>IF(A457&lt;=DPS_Graph_Max,IF(A457&gt;=DPS_Graph_Speed_Min,A457,),)</f>
        <v>2.14</v>
      </c>
      <c r="M457" s="213">
        <f>If(DPS_Weapon_Type="远程",$E457/60+$F457*2,$E457/60+$F457+$G457/2+$H457)</f>
        <v>0.06518046709</v>
      </c>
      <c r="N457" s="104">
        <f>IF(DPS_Graph_Tooltip_Speed=TRUE,IF($A457&lt;=DPS_Graph_Max,IF($A457&gt;=DPS_Graph_Speed_Min,1/M457,),),)</f>
        <v>15.34201954</v>
      </c>
      <c r="R457" s="104" t="str">
        <f>IF(DPS_Graph_Tooltip_Speed=TRUE,IF($E$8=$A457,1/$N$6,),)</f>
        <v/>
      </c>
    </row>
    <row r="458">
      <c r="A458" s="370">
        <v>2.15</v>
      </c>
      <c r="B458" s="213">
        <f>If(DPS_Weapon_Type="远程",($E458+1)/60+(ROUNDDOWN($F458*60+1,0)/60)*2,(ROUNDDOWN(($E458+1)+ROUNDDOWN($F458*60+1,0)+ROUNDDOWN($G458/2*60+1,0)+ROUNDDOWN($H458*60+1,0)+1,0))/60+If(DPS_ATK_TYPE="挥砍",1/60)+If(DPS_ATK_TYPE="挥砍/刺击",1/120))+DPS_Weapon_Randomization/60</f>
        <v>0.105</v>
      </c>
      <c r="C458" s="104">
        <f>IF(DPS_Graph_True_Speed=TRUE,IF($A458&lt;=DPS_Graph_Max,IF($A458&gt;=DPS_Graph_Speed_Min,1/B458,),),)</f>
        <v>9.523809524</v>
      </c>
      <c r="D458" s="115" t="str">
        <f>IF(DPS_Graph_True_Speed=TRUE,IF($E$8=$A458,DPS_Attacks_P_Sec,),)</f>
        <v/>
      </c>
      <c r="E458" s="222">
        <f>ROUNDDOWN(MAX(2,IF(A458&gt;=0, DPS_Base_Wpn_Spd/(1+A458),DPS_Base_Wpn_Spd*(1+ABS(A458)))),0)</f>
        <v>2</v>
      </c>
      <c r="F458" s="232">
        <f>IF(A458&gt;=0, DPS_Base_Recoil/(1+A458),DPS_Base_Recoil)</f>
        <v>0.01587301587</v>
      </c>
      <c r="G458" s="377">
        <f t="shared" si="7"/>
        <v>0.51</v>
      </c>
      <c r="H458" s="377">
        <f t="shared" si="8"/>
        <v>0.02684563758</v>
      </c>
      <c r="I458" s="104"/>
      <c r="J458" s="377">
        <f>MAX(0, Max(25,(DPS_Base_Range + ((DPS_Range_Stat) / 2))) / MIN(MAX(70, (70 * (1 + ($A458 / 3)))), 120))</f>
        <v>3.333333333</v>
      </c>
      <c r="K458" s="269">
        <f>IF(A458&lt;=DPS_Graph_Max,IF(A458&gt;=DPS_Graph_Speed_Min,A458,),)</f>
        <v>2.15</v>
      </c>
      <c r="M458" s="213">
        <f>If(DPS_Weapon_Type="远程",$E458/60+$F458*2,$E458/60+$F458+$G458/2+$H458)</f>
        <v>0.06507936508</v>
      </c>
      <c r="N458" s="104">
        <f>IF(DPS_Graph_Tooltip_Speed=TRUE,IF($A458&lt;=DPS_Graph_Max,IF($A458&gt;=DPS_Graph_Speed_Min,1/M458,),),)</f>
        <v>15.36585366</v>
      </c>
      <c r="R458" s="104" t="str">
        <f>IF(DPS_Graph_Tooltip_Speed=TRUE,IF($E$8=$A458,1/$N$6,),)</f>
        <v/>
      </c>
    </row>
    <row r="459">
      <c r="A459" s="370">
        <v>2.16</v>
      </c>
      <c r="B459" s="213">
        <f>If(DPS_Weapon_Type="远程",($E459+1)/60+(ROUNDDOWN($F459*60+1,0)/60)*2,(ROUNDDOWN(($E459+1)+ROUNDDOWN($F459*60+1,0)+ROUNDDOWN($G459/2*60+1,0)+ROUNDDOWN($H459*60+1,0)+1,0))/60+If(DPS_ATK_TYPE="挥砍",1/60)+If(DPS_ATK_TYPE="挥砍/刺击",1/120))+DPS_Weapon_Randomization/60</f>
        <v>0.105</v>
      </c>
      <c r="C459" s="104">
        <f>IF(DPS_Graph_True_Speed=TRUE,IF($A459&lt;=DPS_Graph_Max,IF($A459&gt;=DPS_Graph_Speed_Min,1/B459,),),)</f>
        <v>9.523809524</v>
      </c>
      <c r="D459" s="115" t="str">
        <f>IF(DPS_Graph_True_Speed=TRUE,IF($E$8=$A459,DPS_Attacks_P_Sec,),)</f>
        <v/>
      </c>
      <c r="E459" s="222">
        <f>ROUNDDOWN(MAX(2,IF(A459&gt;=0, DPS_Base_Wpn_Spd/(1+A459),DPS_Base_Wpn_Spd*(1+ABS(A459)))),0)</f>
        <v>2</v>
      </c>
      <c r="F459" s="232">
        <f>IF(A459&gt;=0, DPS_Base_Recoil/(1+A459),DPS_Base_Recoil)</f>
        <v>0.01582278481</v>
      </c>
      <c r="G459" s="377">
        <f t="shared" si="7"/>
        <v>0.51</v>
      </c>
      <c r="H459" s="377">
        <f t="shared" si="8"/>
        <v>0.02673796791</v>
      </c>
      <c r="I459" s="104"/>
      <c r="J459" s="377">
        <f>MAX(0, Max(25,(DPS_Base_Range + ((DPS_Range_Stat) / 2))) / MIN(MAX(70, (70 * (1 + ($A459 / 3)))), 120))</f>
        <v>3.333333333</v>
      </c>
      <c r="K459" s="269">
        <f>IF(A459&lt;=DPS_Graph_Max,IF(A459&gt;=DPS_Graph_Speed_Min,A459,),)</f>
        <v>2.16</v>
      </c>
      <c r="M459" s="213">
        <f>If(DPS_Weapon_Type="远程",$E459/60+$F459*2,$E459/60+$F459+$G459/2+$H459)</f>
        <v>0.06497890295</v>
      </c>
      <c r="N459" s="104">
        <f>IF(DPS_Graph_Tooltip_Speed=TRUE,IF($A459&lt;=DPS_Graph_Max,IF($A459&gt;=DPS_Graph_Speed_Min,1/M459,),),)</f>
        <v>15.38961039</v>
      </c>
      <c r="R459" s="104" t="str">
        <f>IF(DPS_Graph_Tooltip_Speed=TRUE,IF($E$8=$A459,1/$N$6,),)</f>
        <v/>
      </c>
    </row>
    <row r="460">
      <c r="A460" s="370">
        <v>2.17</v>
      </c>
      <c r="B460" s="213">
        <f>If(DPS_Weapon_Type="远程",($E460+1)/60+(ROUNDDOWN($F460*60+1,0)/60)*2,(ROUNDDOWN(($E460+1)+ROUNDDOWN($F460*60+1,0)+ROUNDDOWN($G460/2*60+1,0)+ROUNDDOWN($H460*60+1,0)+1,0))/60+If(DPS_ATK_TYPE="挥砍",1/60)+If(DPS_ATK_TYPE="挥砍/刺击",1/120))+DPS_Weapon_Randomization/60</f>
        <v>0.105</v>
      </c>
      <c r="C460" s="104">
        <f>IF(DPS_Graph_True_Speed=TRUE,IF($A460&lt;=DPS_Graph_Max,IF($A460&gt;=DPS_Graph_Speed_Min,1/B460,),),)</f>
        <v>9.523809524</v>
      </c>
      <c r="D460" s="115" t="str">
        <f>IF(DPS_Graph_True_Speed=TRUE,IF($E$8=$A460,DPS_Attacks_P_Sec,),)</f>
        <v/>
      </c>
      <c r="E460" s="222">
        <f>ROUNDDOWN(MAX(2,IF(A460&gt;=0, DPS_Base_Wpn_Spd/(1+A460),DPS_Base_Wpn_Spd*(1+ABS(A460)))),0)</f>
        <v>2</v>
      </c>
      <c r="F460" s="232">
        <f>IF(A460&gt;=0, DPS_Base_Recoil/(1+A460),DPS_Base_Recoil)</f>
        <v>0.01577287066</v>
      </c>
      <c r="G460" s="377">
        <f t="shared" si="7"/>
        <v>0.51</v>
      </c>
      <c r="H460" s="377">
        <f t="shared" si="8"/>
        <v>0.02663115846</v>
      </c>
      <c r="I460" s="104"/>
      <c r="J460" s="377">
        <f>MAX(0, Max(25,(DPS_Base_Range + ((DPS_Range_Stat) / 2))) / MIN(MAX(70, (70 * (1 + ($A460 / 3)))), 120))</f>
        <v>3.333333333</v>
      </c>
      <c r="K460" s="269">
        <f>IF(A460&lt;=DPS_Graph_Max,IF(A460&gt;=DPS_Graph_Speed_Min,A460,),)</f>
        <v>2.17</v>
      </c>
      <c r="M460" s="213">
        <f>If(DPS_Weapon_Type="远程",$E460/60+$F460*2,$E460/60+$F460+$G460/2+$H460)</f>
        <v>0.06487907466</v>
      </c>
      <c r="N460" s="104">
        <f>IF(DPS_Graph_Tooltip_Speed=TRUE,IF($A460&lt;=DPS_Graph_Max,IF($A460&gt;=DPS_Graph_Speed_Min,1/M460,),),)</f>
        <v>15.41329011</v>
      </c>
      <c r="R460" s="104" t="str">
        <f>IF(DPS_Graph_Tooltip_Speed=TRUE,IF($E$8=$A460,1/$N$6,),)</f>
        <v/>
      </c>
    </row>
    <row r="461">
      <c r="A461" s="370">
        <v>2.18</v>
      </c>
      <c r="B461" s="213">
        <f>If(DPS_Weapon_Type="远程",($E461+1)/60+(ROUNDDOWN($F461*60+1,0)/60)*2,(ROUNDDOWN(($E461+1)+ROUNDDOWN($F461*60+1,0)+ROUNDDOWN($G461/2*60+1,0)+ROUNDDOWN($H461*60+1,0)+1,0))/60+If(DPS_ATK_TYPE="挥砍",1/60)+If(DPS_ATK_TYPE="挥砍/刺击",1/120))+DPS_Weapon_Randomization/60</f>
        <v>0.105</v>
      </c>
      <c r="C461" s="104">
        <f>IF(DPS_Graph_True_Speed=TRUE,IF($A461&lt;=DPS_Graph_Max,IF($A461&gt;=DPS_Graph_Speed_Min,1/B461,),),)</f>
        <v>9.523809524</v>
      </c>
      <c r="D461" s="115" t="str">
        <f>IF(DPS_Graph_True_Speed=TRUE,IF($E$8=$A461,DPS_Attacks_P_Sec,),)</f>
        <v/>
      </c>
      <c r="E461" s="222">
        <f>ROUNDDOWN(MAX(2,IF(A461&gt;=0, DPS_Base_Wpn_Spd/(1+A461),DPS_Base_Wpn_Spd*(1+ABS(A461)))),0)</f>
        <v>2</v>
      </c>
      <c r="F461" s="232">
        <f>IF(A461&gt;=0, DPS_Base_Recoil/(1+A461),DPS_Base_Recoil)</f>
        <v>0.01572327044</v>
      </c>
      <c r="G461" s="377">
        <f t="shared" si="7"/>
        <v>0.51</v>
      </c>
      <c r="H461" s="377">
        <f t="shared" si="8"/>
        <v>0.02652519894</v>
      </c>
      <c r="I461" s="104"/>
      <c r="J461" s="377">
        <f>MAX(0, Max(25,(DPS_Base_Range + ((DPS_Range_Stat) / 2))) / MIN(MAX(70, (70 * (1 + ($A461 / 3)))), 120))</f>
        <v>3.333333333</v>
      </c>
      <c r="K461" s="269">
        <f>IF(A461&lt;=DPS_Graph_Max,IF(A461&gt;=DPS_Graph_Speed_Min,A461,),)</f>
        <v>2.18</v>
      </c>
      <c r="M461" s="213">
        <f>If(DPS_Weapon_Type="远程",$E461/60+$F461*2,$E461/60+$F461+$G461/2+$H461)</f>
        <v>0.06477987421</v>
      </c>
      <c r="N461" s="104">
        <f>IF(DPS_Graph_Tooltip_Speed=TRUE,IF($A461&lt;=DPS_Graph_Max,IF($A461&gt;=DPS_Graph_Speed_Min,1/M461,),),)</f>
        <v>15.4368932</v>
      </c>
      <c r="R461" s="104" t="str">
        <f>IF(DPS_Graph_Tooltip_Speed=TRUE,IF($E$8=$A461,1/$N$6,),)</f>
        <v/>
      </c>
    </row>
    <row r="462">
      <c r="A462" s="370">
        <v>2.19</v>
      </c>
      <c r="B462" s="213">
        <f>If(DPS_Weapon_Type="远程",($E462+1)/60+(ROUNDDOWN($F462*60+1,0)/60)*2,(ROUNDDOWN(($E462+1)+ROUNDDOWN($F462*60+1,0)+ROUNDDOWN($G462/2*60+1,0)+ROUNDDOWN($H462*60+1,0)+1,0))/60+If(DPS_ATK_TYPE="挥砍",1/60)+If(DPS_ATK_TYPE="挥砍/刺击",1/120))+DPS_Weapon_Randomization/60</f>
        <v>0.105</v>
      </c>
      <c r="C462" s="104">
        <f>IF(DPS_Graph_True_Speed=TRUE,IF($A462&lt;=DPS_Graph_Max,IF($A462&gt;=DPS_Graph_Speed_Min,1/B462,),),)</f>
        <v>9.523809524</v>
      </c>
      <c r="D462" s="115" t="str">
        <f>IF(DPS_Graph_True_Speed=TRUE,IF($E$8=$A462,DPS_Attacks_P_Sec,),)</f>
        <v/>
      </c>
      <c r="E462" s="222">
        <f>ROUNDDOWN(MAX(2,IF(A462&gt;=0, DPS_Base_Wpn_Spd/(1+A462),DPS_Base_Wpn_Spd*(1+ABS(A462)))),0)</f>
        <v>2</v>
      </c>
      <c r="F462" s="232">
        <f>IF(A462&gt;=0, DPS_Base_Recoil/(1+A462),DPS_Base_Recoil)</f>
        <v>0.01567398119</v>
      </c>
      <c r="G462" s="377">
        <f t="shared" si="7"/>
        <v>0.51</v>
      </c>
      <c r="H462" s="377">
        <f t="shared" si="8"/>
        <v>0.02642007926</v>
      </c>
      <c r="I462" s="104"/>
      <c r="J462" s="377">
        <f>MAX(0, Max(25,(DPS_Base_Range + ((DPS_Range_Stat) / 2))) / MIN(MAX(70, (70 * (1 + ($A462 / 3)))), 120))</f>
        <v>3.333333333</v>
      </c>
      <c r="K462" s="269">
        <f>IF(A462&lt;=DPS_Graph_Max,IF(A462&gt;=DPS_Graph_Speed_Min,A462,),)</f>
        <v>2.19</v>
      </c>
      <c r="M462" s="213">
        <f>If(DPS_Weapon_Type="远程",$E462/60+$F462*2,$E462/60+$F462+$G462/2+$H462)</f>
        <v>0.06468129572</v>
      </c>
      <c r="N462" s="104">
        <f>IF(DPS_Graph_Tooltip_Speed=TRUE,IF($A462&lt;=DPS_Graph_Max,IF($A462&gt;=DPS_Graph_Speed_Min,1/M462,),),)</f>
        <v>15.46042003</v>
      </c>
      <c r="R462" s="104" t="str">
        <f>IF(DPS_Graph_Tooltip_Speed=TRUE,IF($E$8=$A462,1/$N$6,),)</f>
        <v/>
      </c>
    </row>
    <row r="463">
      <c r="A463" s="370">
        <v>2.2</v>
      </c>
      <c r="B463" s="213">
        <f>If(DPS_Weapon_Type="远程",($E463+1)/60+(ROUNDDOWN($F463*60+1,0)/60)*2,(ROUNDDOWN(($E463+1)+ROUNDDOWN($F463*60+1,0)+ROUNDDOWN($G463/2*60+1,0)+ROUNDDOWN($H463*60+1,0)+1,0))/60+If(DPS_ATK_TYPE="挥砍",1/60)+If(DPS_ATK_TYPE="挥砍/刺击",1/120))+DPS_Weapon_Randomization/60</f>
        <v>0.105</v>
      </c>
      <c r="C463" s="104">
        <f>IF(DPS_Graph_True_Speed=TRUE,IF($A463&lt;=DPS_Graph_Max,IF($A463&gt;=DPS_Graph_Speed_Min,1/B463,),),)</f>
        <v>9.523809524</v>
      </c>
      <c r="D463" s="115" t="str">
        <f>IF(DPS_Graph_True_Speed=TRUE,IF($E$8=$A463,DPS_Attacks_P_Sec,),)</f>
        <v/>
      </c>
      <c r="E463" s="222">
        <f>ROUNDDOWN(MAX(2,IF(A463&gt;=0, DPS_Base_Wpn_Spd/(1+A463),DPS_Base_Wpn_Spd*(1+ABS(A463)))),0)</f>
        <v>2</v>
      </c>
      <c r="F463" s="232">
        <f>IF(A463&gt;=0, DPS_Base_Recoil/(1+A463),DPS_Base_Recoil)</f>
        <v>0.015625</v>
      </c>
      <c r="G463" s="377">
        <f t="shared" si="7"/>
        <v>0.51</v>
      </c>
      <c r="H463" s="377">
        <f t="shared" si="8"/>
        <v>0.02631578947</v>
      </c>
      <c r="I463" s="104"/>
      <c r="J463" s="377">
        <f>MAX(0, Max(25,(DPS_Base_Range + ((DPS_Range_Stat) / 2))) / MIN(MAX(70, (70 * (1 + ($A463 / 3)))), 120))</f>
        <v>3.333333333</v>
      </c>
      <c r="K463" s="269">
        <f>IF(A463&lt;=DPS_Graph_Max,IF(A463&gt;=DPS_Graph_Speed_Min,A463,),)</f>
        <v>2.2</v>
      </c>
      <c r="M463" s="213">
        <f>If(DPS_Weapon_Type="远程",$E463/60+$F463*2,$E463/60+$F463+$G463/2+$H463)</f>
        <v>0.06458333333</v>
      </c>
      <c r="N463" s="104">
        <f>IF(DPS_Graph_Tooltip_Speed=TRUE,IF($A463&lt;=DPS_Graph_Max,IF($A463&gt;=DPS_Graph_Speed_Min,1/M463,),),)</f>
        <v>15.48387097</v>
      </c>
      <c r="R463" s="104" t="str">
        <f>IF(DPS_Graph_Tooltip_Speed=TRUE,IF($E$8=$A463,1/$N$6,),)</f>
        <v/>
      </c>
    </row>
    <row r="464">
      <c r="A464" s="370">
        <v>2.21</v>
      </c>
      <c r="B464" s="213">
        <f>If(DPS_Weapon_Type="远程",($E464+1)/60+(ROUNDDOWN($F464*60+1,0)/60)*2,(ROUNDDOWN(($E464+1)+ROUNDDOWN($F464*60+1,0)+ROUNDDOWN($G464/2*60+1,0)+ROUNDDOWN($H464*60+1,0)+1,0))/60+If(DPS_ATK_TYPE="挥砍",1/60)+If(DPS_ATK_TYPE="挥砍/刺击",1/120))+DPS_Weapon_Randomization/60</f>
        <v>0.105</v>
      </c>
      <c r="C464" s="104">
        <f>IF(DPS_Graph_True_Speed=TRUE,IF($A464&lt;=DPS_Graph_Max,IF($A464&gt;=DPS_Graph_Speed_Min,1/B464,),),)</f>
        <v>9.523809524</v>
      </c>
      <c r="D464" s="115" t="str">
        <f>IF(DPS_Graph_True_Speed=TRUE,IF($E$8=$A464,DPS_Attacks_P_Sec,),)</f>
        <v/>
      </c>
      <c r="E464" s="222">
        <f>ROUNDDOWN(MAX(2,IF(A464&gt;=0, DPS_Base_Wpn_Spd/(1+A464),DPS_Base_Wpn_Spd*(1+ABS(A464)))),0)</f>
        <v>2</v>
      </c>
      <c r="F464" s="232">
        <f>IF(A464&gt;=0, DPS_Base_Recoil/(1+A464),DPS_Base_Recoil)</f>
        <v>0.01557632399</v>
      </c>
      <c r="G464" s="377">
        <f t="shared" si="7"/>
        <v>0.51</v>
      </c>
      <c r="H464" s="377">
        <f t="shared" si="8"/>
        <v>0.02621231979</v>
      </c>
      <c r="I464" s="104"/>
      <c r="J464" s="377">
        <f>MAX(0, Max(25,(DPS_Base_Range + ((DPS_Range_Stat) / 2))) / MIN(MAX(70, (70 * (1 + ($A464 / 3)))), 120))</f>
        <v>3.333333333</v>
      </c>
      <c r="K464" s="269">
        <f>IF(A464&lt;=DPS_Graph_Max,IF(A464&gt;=DPS_Graph_Speed_Min,A464,),)</f>
        <v>2.21</v>
      </c>
      <c r="M464" s="213">
        <f>If(DPS_Weapon_Type="远程",$E464/60+$F464*2,$E464/60+$F464+$G464/2+$H464)</f>
        <v>0.06448598131</v>
      </c>
      <c r="N464" s="104">
        <f>IF(DPS_Graph_Tooltip_Speed=TRUE,IF($A464&lt;=DPS_Graph_Max,IF($A464&gt;=DPS_Graph_Speed_Min,1/M464,),),)</f>
        <v>15.50724638</v>
      </c>
      <c r="R464" s="104" t="str">
        <f>IF(DPS_Graph_Tooltip_Speed=TRUE,IF($E$8=$A464,1/$N$6,),)</f>
        <v/>
      </c>
    </row>
    <row r="465">
      <c r="A465" s="370">
        <v>2.22</v>
      </c>
      <c r="B465" s="213">
        <f>If(DPS_Weapon_Type="远程",($E465+1)/60+(ROUNDDOWN($F465*60+1,0)/60)*2,(ROUNDDOWN(($E465+1)+ROUNDDOWN($F465*60+1,0)+ROUNDDOWN($G465/2*60+1,0)+ROUNDDOWN($H465*60+1,0)+1,0))/60+If(DPS_ATK_TYPE="挥砍",1/60)+If(DPS_ATK_TYPE="挥砍/刺击",1/120))+DPS_Weapon_Randomization/60</f>
        <v>0.105</v>
      </c>
      <c r="C465" s="104">
        <f>IF(DPS_Graph_True_Speed=TRUE,IF($A465&lt;=DPS_Graph_Max,IF($A465&gt;=DPS_Graph_Speed_Min,1/B465,),),)</f>
        <v>9.523809524</v>
      </c>
      <c r="D465" s="115" t="str">
        <f>IF(DPS_Graph_True_Speed=TRUE,IF($E$8=$A465,DPS_Attacks_P_Sec,),)</f>
        <v/>
      </c>
      <c r="E465" s="222">
        <f>ROUNDDOWN(MAX(2,IF(A465&gt;=0, DPS_Base_Wpn_Spd/(1+A465),DPS_Base_Wpn_Spd*(1+ABS(A465)))),0)</f>
        <v>2</v>
      </c>
      <c r="F465" s="232">
        <f>IF(A465&gt;=0, DPS_Base_Recoil/(1+A465),DPS_Base_Recoil)</f>
        <v>0.01552795031</v>
      </c>
      <c r="G465" s="377">
        <f t="shared" si="7"/>
        <v>0.51</v>
      </c>
      <c r="H465" s="377">
        <f t="shared" si="8"/>
        <v>0.02610966057</v>
      </c>
      <c r="I465" s="104"/>
      <c r="J465" s="377">
        <f>MAX(0, Max(25,(DPS_Base_Range + ((DPS_Range_Stat) / 2))) / MIN(MAX(70, (70 * (1 + ($A465 / 3)))), 120))</f>
        <v>3.333333333</v>
      </c>
      <c r="K465" s="269">
        <f>IF(A465&lt;=DPS_Graph_Max,IF(A465&gt;=DPS_Graph_Speed_Min,A465,),)</f>
        <v>2.22</v>
      </c>
      <c r="M465" s="213">
        <f>If(DPS_Weapon_Type="远程",$E465/60+$F465*2,$E465/60+$F465+$G465/2+$H465)</f>
        <v>0.06438923395</v>
      </c>
      <c r="N465" s="104">
        <f>IF(DPS_Graph_Tooltip_Speed=TRUE,IF($A465&lt;=DPS_Graph_Max,IF($A465&gt;=DPS_Graph_Speed_Min,1/M465,),),)</f>
        <v>15.53054662</v>
      </c>
      <c r="R465" s="104" t="str">
        <f>IF(DPS_Graph_Tooltip_Speed=TRUE,IF($E$8=$A465,1/$N$6,),)</f>
        <v/>
      </c>
    </row>
    <row r="466">
      <c r="A466" s="370">
        <v>2.23</v>
      </c>
      <c r="B466" s="213">
        <f>If(DPS_Weapon_Type="远程",($E466+1)/60+(ROUNDDOWN($F466*60+1,0)/60)*2,(ROUNDDOWN(($E466+1)+ROUNDDOWN($F466*60+1,0)+ROUNDDOWN($G466/2*60+1,0)+ROUNDDOWN($H466*60+1,0)+1,0))/60+If(DPS_ATK_TYPE="挥砍",1/60)+If(DPS_ATK_TYPE="挥砍/刺击",1/120))+DPS_Weapon_Randomization/60</f>
        <v>0.105</v>
      </c>
      <c r="C466" s="104">
        <f>IF(DPS_Graph_True_Speed=TRUE,IF($A466&lt;=DPS_Graph_Max,IF($A466&gt;=DPS_Graph_Speed_Min,1/B466,),),)</f>
        <v>9.523809524</v>
      </c>
      <c r="D466" s="115" t="str">
        <f>IF(DPS_Graph_True_Speed=TRUE,IF($E$8=$A466,DPS_Attacks_P_Sec,),)</f>
        <v/>
      </c>
      <c r="E466" s="222">
        <f>ROUNDDOWN(MAX(2,IF(A466&gt;=0, DPS_Base_Wpn_Spd/(1+A466),DPS_Base_Wpn_Spd*(1+ABS(A466)))),0)</f>
        <v>2</v>
      </c>
      <c r="F466" s="232">
        <f>IF(A466&gt;=0, DPS_Base_Recoil/(1+A466),DPS_Base_Recoil)</f>
        <v>0.01547987616</v>
      </c>
      <c r="G466" s="377">
        <f t="shared" si="7"/>
        <v>0.51</v>
      </c>
      <c r="H466" s="377">
        <f t="shared" si="8"/>
        <v>0.02600780234</v>
      </c>
      <c r="I466" s="104"/>
      <c r="J466" s="377">
        <f>MAX(0, Max(25,(DPS_Base_Range + ((DPS_Range_Stat) / 2))) / MIN(MAX(70, (70 * (1 + ($A466 / 3)))), 120))</f>
        <v>3.333333333</v>
      </c>
      <c r="K466" s="269">
        <f>IF(A466&lt;=DPS_Graph_Max,IF(A466&gt;=DPS_Graph_Speed_Min,A466,),)</f>
        <v>2.23</v>
      </c>
      <c r="M466" s="213">
        <f>If(DPS_Weapon_Type="远程",$E466/60+$F466*2,$E466/60+$F466+$G466/2+$H466)</f>
        <v>0.06429308566</v>
      </c>
      <c r="N466" s="104">
        <f>IF(DPS_Graph_Tooltip_Speed=TRUE,IF($A466&lt;=DPS_Graph_Max,IF($A466&gt;=DPS_Graph_Speed_Min,1/M466,),),)</f>
        <v>15.55377207</v>
      </c>
      <c r="R466" s="104" t="str">
        <f>IF(DPS_Graph_Tooltip_Speed=TRUE,IF($E$8=$A466,1/$N$6,),)</f>
        <v/>
      </c>
    </row>
    <row r="467">
      <c r="A467" s="370">
        <v>2.24</v>
      </c>
      <c r="B467" s="213">
        <f>If(DPS_Weapon_Type="远程",($E467+1)/60+(ROUNDDOWN($F467*60+1,0)/60)*2,(ROUNDDOWN(($E467+1)+ROUNDDOWN($F467*60+1,0)+ROUNDDOWN($G467/2*60+1,0)+ROUNDDOWN($H467*60+1,0)+1,0))/60+If(DPS_ATK_TYPE="挥砍",1/60)+If(DPS_ATK_TYPE="挥砍/刺击",1/120))+DPS_Weapon_Randomization/60</f>
        <v>0.105</v>
      </c>
      <c r="C467" s="104">
        <f>IF(DPS_Graph_True_Speed=TRUE,IF($A467&lt;=DPS_Graph_Max,IF($A467&gt;=DPS_Graph_Speed_Min,1/B467,),),)</f>
        <v>9.523809524</v>
      </c>
      <c r="D467" s="115" t="str">
        <f>IF(DPS_Graph_True_Speed=TRUE,IF($E$8=$A467,DPS_Attacks_P_Sec,),)</f>
        <v/>
      </c>
      <c r="E467" s="222">
        <f>ROUNDDOWN(MAX(2,IF(A467&gt;=0, DPS_Base_Wpn_Spd/(1+A467),DPS_Base_Wpn_Spd*(1+ABS(A467)))),0)</f>
        <v>2</v>
      </c>
      <c r="F467" s="232">
        <f>IF(A467&gt;=0, DPS_Base_Recoil/(1+A467),DPS_Base_Recoil)</f>
        <v>0.01543209877</v>
      </c>
      <c r="G467" s="377">
        <f t="shared" si="7"/>
        <v>0.51</v>
      </c>
      <c r="H467" s="377">
        <f t="shared" si="8"/>
        <v>0.02590673575</v>
      </c>
      <c r="I467" s="104"/>
      <c r="J467" s="377">
        <f>MAX(0, Max(25,(DPS_Base_Range + ((DPS_Range_Stat) / 2))) / MIN(MAX(70, (70 * (1 + ($A467 / 3)))), 120))</f>
        <v>3.333333333</v>
      </c>
      <c r="K467" s="269">
        <f>IF(A467&lt;=DPS_Graph_Max,IF(A467&gt;=DPS_Graph_Speed_Min,A467,),)</f>
        <v>2.24</v>
      </c>
      <c r="M467" s="213">
        <f>If(DPS_Weapon_Type="远程",$E467/60+$F467*2,$E467/60+$F467+$G467/2+$H467)</f>
        <v>0.06419753086</v>
      </c>
      <c r="N467" s="104">
        <f>IF(DPS_Graph_Tooltip_Speed=TRUE,IF($A467&lt;=DPS_Graph_Max,IF($A467&gt;=DPS_Graph_Speed_Min,1/M467,),),)</f>
        <v>15.57692308</v>
      </c>
      <c r="R467" s="104" t="str">
        <f>IF(DPS_Graph_Tooltip_Speed=TRUE,IF($E$8=$A467,1/$N$6,),)</f>
        <v/>
      </c>
    </row>
    <row r="468">
      <c r="A468" s="370">
        <v>2.25</v>
      </c>
      <c r="B468" s="213">
        <f>If(DPS_Weapon_Type="远程",($E468+1)/60+(ROUNDDOWN($F468*60+1,0)/60)*2,(ROUNDDOWN(($E468+1)+ROUNDDOWN($F468*60+1,0)+ROUNDDOWN($G468/2*60+1,0)+ROUNDDOWN($H468*60+1,0)+1,0))/60+If(DPS_ATK_TYPE="挥砍",1/60)+If(DPS_ATK_TYPE="挥砍/刺击",1/120))+DPS_Weapon_Randomization/60</f>
        <v>0.105</v>
      </c>
      <c r="C468" s="104">
        <f>IF(DPS_Graph_True_Speed=TRUE,IF($A468&lt;=DPS_Graph_Max,IF($A468&gt;=DPS_Graph_Speed_Min,1/B468,),),)</f>
        <v>9.523809524</v>
      </c>
      <c r="D468" s="115" t="str">
        <f>IF(DPS_Graph_True_Speed=TRUE,IF($E$8=$A468,DPS_Attacks_P_Sec,),)</f>
        <v/>
      </c>
      <c r="E468" s="222">
        <f>ROUNDDOWN(MAX(2,IF(A468&gt;=0, DPS_Base_Wpn_Spd/(1+A468),DPS_Base_Wpn_Spd*(1+ABS(A468)))),0)</f>
        <v>2</v>
      </c>
      <c r="F468" s="232">
        <f>IF(A468&gt;=0, DPS_Base_Recoil/(1+A468),DPS_Base_Recoil)</f>
        <v>0.01538461538</v>
      </c>
      <c r="G468" s="377">
        <f t="shared" si="7"/>
        <v>0.51</v>
      </c>
      <c r="H468" s="377">
        <f t="shared" si="8"/>
        <v>0.02580645161</v>
      </c>
      <c r="I468" s="104"/>
      <c r="J468" s="377">
        <f>MAX(0, Max(25,(DPS_Base_Range + ((DPS_Range_Stat) / 2))) / MIN(MAX(70, (70 * (1 + ($A468 / 3)))), 120))</f>
        <v>3.333333333</v>
      </c>
      <c r="K468" s="269">
        <f>IF(A468&lt;=DPS_Graph_Max,IF(A468&gt;=DPS_Graph_Speed_Min,A468,),)</f>
        <v>2.25</v>
      </c>
      <c r="M468" s="213">
        <f>If(DPS_Weapon_Type="远程",$E468/60+$F468*2,$E468/60+$F468+$G468/2+$H468)</f>
        <v>0.0641025641</v>
      </c>
      <c r="N468" s="104">
        <f>IF(DPS_Graph_Tooltip_Speed=TRUE,IF($A468&lt;=DPS_Graph_Max,IF($A468&gt;=DPS_Graph_Speed_Min,1/M468,),),)</f>
        <v>15.6</v>
      </c>
      <c r="R468" s="104" t="str">
        <f>IF(DPS_Graph_Tooltip_Speed=TRUE,IF($E$8=$A468,1/$N$6,),)</f>
        <v/>
      </c>
    </row>
    <row r="469">
      <c r="A469" s="370">
        <v>2.26</v>
      </c>
      <c r="B469" s="213">
        <f>If(DPS_Weapon_Type="远程",($E469+1)/60+(ROUNDDOWN($F469*60+1,0)/60)*2,(ROUNDDOWN(($E469+1)+ROUNDDOWN($F469*60+1,0)+ROUNDDOWN($G469/2*60+1,0)+ROUNDDOWN($H469*60+1,0)+1,0))/60+If(DPS_ATK_TYPE="挥砍",1/60)+If(DPS_ATK_TYPE="挥砍/刺击",1/120))+DPS_Weapon_Randomization/60</f>
        <v>0.105</v>
      </c>
      <c r="C469" s="104">
        <f>IF(DPS_Graph_True_Speed=TRUE,IF($A469&lt;=DPS_Graph_Max,IF($A469&gt;=DPS_Graph_Speed_Min,1/B469,),),)</f>
        <v>9.523809524</v>
      </c>
      <c r="D469" s="115" t="str">
        <f>IF(DPS_Graph_True_Speed=TRUE,IF($E$8=$A469,DPS_Attacks_P_Sec,),)</f>
        <v/>
      </c>
      <c r="E469" s="222">
        <f>ROUNDDOWN(MAX(2,IF(A469&gt;=0, DPS_Base_Wpn_Spd/(1+A469),DPS_Base_Wpn_Spd*(1+ABS(A469)))),0)</f>
        <v>2</v>
      </c>
      <c r="F469" s="232">
        <f>IF(A469&gt;=0, DPS_Base_Recoil/(1+A469),DPS_Base_Recoil)</f>
        <v>0.01533742331</v>
      </c>
      <c r="G469" s="377">
        <f t="shared" si="7"/>
        <v>0.51</v>
      </c>
      <c r="H469" s="377">
        <f t="shared" si="8"/>
        <v>0.02570694087</v>
      </c>
      <c r="I469" s="104"/>
      <c r="J469" s="377">
        <f>MAX(0, Max(25,(DPS_Base_Range + ((DPS_Range_Stat) / 2))) / MIN(MAX(70, (70 * (1 + ($A469 / 3)))), 120))</f>
        <v>3.333333333</v>
      </c>
      <c r="K469" s="269">
        <f>IF(A469&lt;=DPS_Graph_Max,IF(A469&gt;=DPS_Graph_Speed_Min,A469,),)</f>
        <v>2.26</v>
      </c>
      <c r="M469" s="213">
        <f>If(DPS_Weapon_Type="远程",$E469/60+$F469*2,$E469/60+$F469+$G469/2+$H469)</f>
        <v>0.06400817996</v>
      </c>
      <c r="N469" s="104">
        <f>IF(DPS_Graph_Tooltip_Speed=TRUE,IF($A469&lt;=DPS_Graph_Max,IF($A469&gt;=DPS_Graph_Speed_Min,1/M469,),),)</f>
        <v>15.62300319</v>
      </c>
      <c r="R469" s="104" t="str">
        <f>IF(DPS_Graph_Tooltip_Speed=TRUE,IF($E$8=$A469,1/$N$6,),)</f>
        <v/>
      </c>
    </row>
    <row r="470">
      <c r="A470" s="370">
        <v>2.27</v>
      </c>
      <c r="B470" s="213">
        <f>If(DPS_Weapon_Type="远程",($E470+1)/60+(ROUNDDOWN($F470*60+1,0)/60)*2,(ROUNDDOWN(($E470+1)+ROUNDDOWN($F470*60+1,0)+ROUNDDOWN($G470/2*60+1,0)+ROUNDDOWN($H470*60+1,0)+1,0))/60+If(DPS_ATK_TYPE="挥砍",1/60)+If(DPS_ATK_TYPE="挥砍/刺击",1/120))+DPS_Weapon_Randomization/60</f>
        <v>0.105</v>
      </c>
      <c r="C470" s="104">
        <f>IF(DPS_Graph_True_Speed=TRUE,IF($A470&lt;=DPS_Graph_Max,IF($A470&gt;=DPS_Graph_Speed_Min,1/B470,),),)</f>
        <v>9.523809524</v>
      </c>
      <c r="D470" s="115" t="str">
        <f>IF(DPS_Graph_True_Speed=TRUE,IF($E$8=$A470,DPS_Attacks_P_Sec,),)</f>
        <v/>
      </c>
      <c r="E470" s="222">
        <f>ROUNDDOWN(MAX(2,IF(A470&gt;=0, DPS_Base_Wpn_Spd/(1+A470),DPS_Base_Wpn_Spd*(1+ABS(A470)))),0)</f>
        <v>2</v>
      </c>
      <c r="F470" s="232">
        <f>IF(A470&gt;=0, DPS_Base_Recoil/(1+A470),DPS_Base_Recoil)</f>
        <v>0.01529051988</v>
      </c>
      <c r="G470" s="377">
        <f t="shared" si="7"/>
        <v>0.51</v>
      </c>
      <c r="H470" s="377">
        <f t="shared" si="8"/>
        <v>0.02560819462</v>
      </c>
      <c r="I470" s="104"/>
      <c r="J470" s="377">
        <f>MAX(0, Max(25,(DPS_Base_Range + ((DPS_Range_Stat) / 2))) / MIN(MAX(70, (70 * (1 + ($A470 / 3)))), 120))</f>
        <v>3.333333333</v>
      </c>
      <c r="K470" s="269">
        <f>IF(A470&lt;=DPS_Graph_Max,IF(A470&gt;=DPS_Graph_Speed_Min,A470,),)</f>
        <v>2.27</v>
      </c>
      <c r="M470" s="213">
        <f>If(DPS_Weapon_Type="远程",$E470/60+$F470*2,$E470/60+$F470+$G470/2+$H470)</f>
        <v>0.06391437309</v>
      </c>
      <c r="N470" s="104">
        <f>IF(DPS_Graph_Tooltip_Speed=TRUE,IF($A470&lt;=DPS_Graph_Max,IF($A470&gt;=DPS_Graph_Speed_Min,1/M470,),),)</f>
        <v>15.64593301</v>
      </c>
      <c r="R470" s="104" t="str">
        <f>IF(DPS_Graph_Tooltip_Speed=TRUE,IF($E$8=$A470,1/$N$6,),)</f>
        <v/>
      </c>
    </row>
    <row r="471">
      <c r="A471" s="370">
        <v>2.28</v>
      </c>
      <c r="B471" s="213">
        <f>If(DPS_Weapon_Type="远程",($E471+1)/60+(ROUNDDOWN($F471*60+1,0)/60)*2,(ROUNDDOWN(($E471+1)+ROUNDDOWN($F471*60+1,0)+ROUNDDOWN($G471/2*60+1,0)+ROUNDDOWN($H471*60+1,0)+1,0))/60+If(DPS_ATK_TYPE="挥砍",1/60)+If(DPS_ATK_TYPE="挥砍/刺击",1/120))+DPS_Weapon_Randomization/60</f>
        <v>0.105</v>
      </c>
      <c r="C471" s="104">
        <f>IF(DPS_Graph_True_Speed=TRUE,IF($A471&lt;=DPS_Graph_Max,IF($A471&gt;=DPS_Graph_Speed_Min,1/B471,),),)</f>
        <v>9.523809524</v>
      </c>
      <c r="D471" s="115" t="str">
        <f>IF(DPS_Graph_True_Speed=TRUE,IF($E$8=$A471,DPS_Attacks_P_Sec,),)</f>
        <v/>
      </c>
      <c r="E471" s="222">
        <f>ROUNDDOWN(MAX(2,IF(A471&gt;=0, DPS_Base_Wpn_Spd/(1+A471),DPS_Base_Wpn_Spd*(1+ABS(A471)))),0)</f>
        <v>2</v>
      </c>
      <c r="F471" s="232">
        <f>IF(A471&gt;=0, DPS_Base_Recoil/(1+A471),DPS_Base_Recoil)</f>
        <v>0.01524390244</v>
      </c>
      <c r="G471" s="377">
        <f t="shared" si="7"/>
        <v>0.51</v>
      </c>
      <c r="H471" s="377">
        <f t="shared" si="8"/>
        <v>0.02551020408</v>
      </c>
      <c r="I471" s="104"/>
      <c r="J471" s="377">
        <f>MAX(0, Max(25,(DPS_Base_Range + ((DPS_Range_Stat) / 2))) / MIN(MAX(70, (70 * (1 + ($A471 / 3)))), 120))</f>
        <v>3.333333333</v>
      </c>
      <c r="K471" s="269">
        <f>IF(A471&lt;=DPS_Graph_Max,IF(A471&gt;=DPS_Graph_Speed_Min,A471,),)</f>
        <v>2.28</v>
      </c>
      <c r="M471" s="213">
        <f>If(DPS_Weapon_Type="远程",$E471/60+$F471*2,$E471/60+$F471+$G471/2+$H471)</f>
        <v>0.06382113821</v>
      </c>
      <c r="N471" s="104">
        <f>IF(DPS_Graph_Tooltip_Speed=TRUE,IF($A471&lt;=DPS_Graph_Max,IF($A471&gt;=DPS_Graph_Speed_Min,1/M471,),),)</f>
        <v>15.66878981</v>
      </c>
      <c r="R471" s="104" t="str">
        <f>IF(DPS_Graph_Tooltip_Speed=TRUE,IF($E$8=$A471,1/$N$6,),)</f>
        <v/>
      </c>
    </row>
    <row r="472">
      <c r="A472" s="370">
        <v>2.29</v>
      </c>
      <c r="B472" s="213">
        <f>If(DPS_Weapon_Type="远程",($E472+1)/60+(ROUNDDOWN($F472*60+1,0)/60)*2,(ROUNDDOWN(($E472+1)+ROUNDDOWN($F472*60+1,0)+ROUNDDOWN($G472/2*60+1,0)+ROUNDDOWN($H472*60+1,0)+1,0))/60+If(DPS_ATK_TYPE="挥砍",1/60)+If(DPS_ATK_TYPE="挥砍/刺击",1/120))+DPS_Weapon_Randomization/60</f>
        <v>0.105</v>
      </c>
      <c r="C472" s="104">
        <f>IF(DPS_Graph_True_Speed=TRUE,IF($A472&lt;=DPS_Graph_Max,IF($A472&gt;=DPS_Graph_Speed_Min,1/B472,),),)</f>
        <v>9.523809524</v>
      </c>
      <c r="D472" s="115" t="str">
        <f>IF(DPS_Graph_True_Speed=TRUE,IF($E$8=$A472,DPS_Attacks_P_Sec,),)</f>
        <v/>
      </c>
      <c r="E472" s="222">
        <f>ROUNDDOWN(MAX(2,IF(A472&gt;=0, DPS_Base_Wpn_Spd/(1+A472),DPS_Base_Wpn_Spd*(1+ABS(A472)))),0)</f>
        <v>2</v>
      </c>
      <c r="F472" s="232">
        <f>IF(A472&gt;=0, DPS_Base_Recoil/(1+A472),DPS_Base_Recoil)</f>
        <v>0.01519756839</v>
      </c>
      <c r="G472" s="377">
        <f t="shared" si="7"/>
        <v>0.51</v>
      </c>
      <c r="H472" s="377">
        <f t="shared" si="8"/>
        <v>0.02541296061</v>
      </c>
      <c r="I472" s="104"/>
      <c r="J472" s="377">
        <f>MAX(0, Max(25,(DPS_Base_Range + ((DPS_Range_Stat) / 2))) / MIN(MAX(70, (70 * (1 + ($A472 / 3)))), 120))</f>
        <v>3.333333333</v>
      </c>
      <c r="K472" s="269">
        <f>IF(A472&lt;=DPS_Graph_Max,IF(A472&gt;=DPS_Graph_Speed_Min,A472,),)</f>
        <v>2.29</v>
      </c>
      <c r="M472" s="213">
        <f>If(DPS_Weapon_Type="远程",$E472/60+$F472*2,$E472/60+$F472+$G472/2+$H472)</f>
        <v>0.06372847011</v>
      </c>
      <c r="N472" s="104">
        <f>IF(DPS_Graph_Tooltip_Speed=TRUE,IF($A472&lt;=DPS_Graph_Max,IF($A472&gt;=DPS_Graph_Speed_Min,1/M472,),),)</f>
        <v>15.69157393</v>
      </c>
      <c r="R472" s="104" t="str">
        <f>IF(DPS_Graph_Tooltip_Speed=TRUE,IF($E$8=$A472,1/$N$6,),)</f>
        <v/>
      </c>
    </row>
    <row r="473">
      <c r="A473" s="370">
        <v>2.3</v>
      </c>
      <c r="B473" s="213">
        <f>If(DPS_Weapon_Type="远程",($E473+1)/60+(ROUNDDOWN($F473*60+1,0)/60)*2,(ROUNDDOWN(($E473+1)+ROUNDDOWN($F473*60+1,0)+ROUNDDOWN($G473/2*60+1,0)+ROUNDDOWN($H473*60+1,0)+1,0))/60+If(DPS_ATK_TYPE="挥砍",1/60)+If(DPS_ATK_TYPE="挥砍/刺击",1/120))+DPS_Weapon_Randomization/60</f>
        <v>0.105</v>
      </c>
      <c r="C473" s="104">
        <f>IF(DPS_Graph_True_Speed=TRUE,IF($A473&lt;=DPS_Graph_Max,IF($A473&gt;=DPS_Graph_Speed_Min,1/B473,),),)</f>
        <v>9.523809524</v>
      </c>
      <c r="D473" s="115" t="str">
        <f>IF(DPS_Graph_True_Speed=TRUE,IF($E$8=$A473,DPS_Attacks_P_Sec,),)</f>
        <v/>
      </c>
      <c r="E473" s="222">
        <f>ROUNDDOWN(MAX(2,IF(A473&gt;=0, DPS_Base_Wpn_Spd/(1+A473),DPS_Base_Wpn_Spd*(1+ABS(A473)))),0)</f>
        <v>2</v>
      </c>
      <c r="F473" s="232">
        <f>IF(A473&gt;=0, DPS_Base_Recoil/(1+A473),DPS_Base_Recoil)</f>
        <v>0.01515151515</v>
      </c>
      <c r="G473" s="377">
        <f t="shared" si="7"/>
        <v>0.51</v>
      </c>
      <c r="H473" s="377">
        <f t="shared" si="8"/>
        <v>0.0253164557</v>
      </c>
      <c r="I473" s="104"/>
      <c r="J473" s="377">
        <f>MAX(0, Max(25,(DPS_Base_Range + ((DPS_Range_Stat) / 2))) / MIN(MAX(70, (70 * (1 + ($A473 / 3)))), 120))</f>
        <v>3.333333333</v>
      </c>
      <c r="K473" s="269">
        <f>IF(A473&lt;=DPS_Graph_Max,IF(A473&gt;=DPS_Graph_Speed_Min,A473,),)</f>
        <v>2.3</v>
      </c>
      <c r="M473" s="213">
        <f>If(DPS_Weapon_Type="远程",$E473/60+$F473*2,$E473/60+$F473+$G473/2+$H473)</f>
        <v>0.06363636364</v>
      </c>
      <c r="N473" s="104">
        <f>IF(DPS_Graph_Tooltip_Speed=TRUE,IF($A473&lt;=DPS_Graph_Max,IF($A473&gt;=DPS_Graph_Speed_Min,1/M473,),),)</f>
        <v>15.71428571</v>
      </c>
      <c r="R473" s="104" t="str">
        <f>IF(DPS_Graph_Tooltip_Speed=TRUE,IF($E$8=$A473,1/$N$6,),)</f>
        <v/>
      </c>
    </row>
    <row r="474">
      <c r="A474" s="370">
        <v>2.31</v>
      </c>
      <c r="B474" s="213">
        <f>If(DPS_Weapon_Type="远程",($E474+1)/60+(ROUNDDOWN($F474*60+1,0)/60)*2,(ROUNDDOWN(($E474+1)+ROUNDDOWN($F474*60+1,0)+ROUNDDOWN($G474/2*60+1,0)+ROUNDDOWN($H474*60+1,0)+1,0))/60+If(DPS_ATK_TYPE="挥砍",1/60)+If(DPS_ATK_TYPE="挥砍/刺击",1/120))+DPS_Weapon_Randomization/60</f>
        <v>0.105</v>
      </c>
      <c r="C474" s="104">
        <f>IF(DPS_Graph_True_Speed=TRUE,IF($A474&lt;=DPS_Graph_Max,IF($A474&gt;=DPS_Graph_Speed_Min,1/B474,),),)</f>
        <v>9.523809524</v>
      </c>
      <c r="D474" s="115" t="str">
        <f>IF(DPS_Graph_True_Speed=TRUE,IF($E$8=$A474,DPS_Attacks_P_Sec,),)</f>
        <v/>
      </c>
      <c r="E474" s="222">
        <f>ROUNDDOWN(MAX(2,IF(A474&gt;=0, DPS_Base_Wpn_Spd/(1+A474),DPS_Base_Wpn_Spd*(1+ABS(A474)))),0)</f>
        <v>2</v>
      </c>
      <c r="F474" s="232">
        <f>IF(A474&gt;=0, DPS_Base_Recoil/(1+A474),DPS_Base_Recoil)</f>
        <v>0.01510574018</v>
      </c>
      <c r="G474" s="377">
        <f t="shared" si="7"/>
        <v>0.51</v>
      </c>
      <c r="H474" s="377">
        <f t="shared" si="8"/>
        <v>0.02522068096</v>
      </c>
      <c r="I474" s="104"/>
      <c r="J474" s="377">
        <f>MAX(0, Max(25,(DPS_Base_Range + ((DPS_Range_Stat) / 2))) / MIN(MAX(70, (70 * (1 + ($A474 / 3)))), 120))</f>
        <v>3.333333333</v>
      </c>
      <c r="K474" s="269">
        <f>IF(A474&lt;=DPS_Graph_Max,IF(A474&gt;=DPS_Graph_Speed_Min,A474,),)</f>
        <v>2.31</v>
      </c>
      <c r="M474" s="213">
        <f>If(DPS_Weapon_Type="远程",$E474/60+$F474*2,$E474/60+$F474+$G474/2+$H474)</f>
        <v>0.0635448137</v>
      </c>
      <c r="N474" s="104">
        <f>IF(DPS_Graph_Tooltip_Speed=TRUE,IF($A474&lt;=DPS_Graph_Max,IF($A474&gt;=DPS_Graph_Speed_Min,1/M474,),),)</f>
        <v>15.73692552</v>
      </c>
      <c r="R474" s="104" t="str">
        <f>IF(DPS_Graph_Tooltip_Speed=TRUE,IF($E$8=$A474,1/$N$6,),)</f>
        <v/>
      </c>
    </row>
    <row r="475">
      <c r="A475" s="370">
        <v>2.32</v>
      </c>
      <c r="B475" s="213">
        <f>If(DPS_Weapon_Type="远程",($E475+1)/60+(ROUNDDOWN($F475*60+1,0)/60)*2,(ROUNDDOWN(($E475+1)+ROUNDDOWN($F475*60+1,0)+ROUNDDOWN($G475/2*60+1,0)+ROUNDDOWN($H475*60+1,0)+1,0))/60+If(DPS_ATK_TYPE="挥砍",1/60)+If(DPS_ATK_TYPE="挥砍/刺击",1/120))+DPS_Weapon_Randomization/60</f>
        <v>0.105</v>
      </c>
      <c r="C475" s="104">
        <f>IF(DPS_Graph_True_Speed=TRUE,IF($A475&lt;=DPS_Graph_Max,IF($A475&gt;=DPS_Graph_Speed_Min,1/B475,),),)</f>
        <v>9.523809524</v>
      </c>
      <c r="D475" s="115" t="str">
        <f>IF(DPS_Graph_True_Speed=TRUE,IF($E$8=$A475,DPS_Attacks_P_Sec,),)</f>
        <v/>
      </c>
      <c r="E475" s="222">
        <f>ROUNDDOWN(MAX(2,IF(A475&gt;=0, DPS_Base_Wpn_Spd/(1+A475),DPS_Base_Wpn_Spd*(1+ABS(A475)))),0)</f>
        <v>2</v>
      </c>
      <c r="F475" s="232">
        <f>IF(A475&gt;=0, DPS_Base_Recoil/(1+A475),DPS_Base_Recoil)</f>
        <v>0.01506024096</v>
      </c>
      <c r="G475" s="377">
        <f t="shared" si="7"/>
        <v>0.51</v>
      </c>
      <c r="H475" s="377">
        <f t="shared" si="8"/>
        <v>0.02512562814</v>
      </c>
      <c r="I475" s="104"/>
      <c r="J475" s="377">
        <f>MAX(0, Max(25,(DPS_Base_Range + ((DPS_Range_Stat) / 2))) / MIN(MAX(70, (70 * (1 + ($A475 / 3)))), 120))</f>
        <v>3.333333333</v>
      </c>
      <c r="K475" s="269">
        <f>IF(A475&lt;=DPS_Graph_Max,IF(A475&gt;=DPS_Graph_Speed_Min,A475,),)</f>
        <v>2.32</v>
      </c>
      <c r="M475" s="213">
        <f>If(DPS_Weapon_Type="远程",$E475/60+$F475*2,$E475/60+$F475+$G475/2+$H475)</f>
        <v>0.06345381526</v>
      </c>
      <c r="N475" s="104">
        <f>IF(DPS_Graph_Tooltip_Speed=TRUE,IF($A475&lt;=DPS_Graph_Max,IF($A475&gt;=DPS_Graph_Speed_Min,1/M475,),),)</f>
        <v>15.75949367</v>
      </c>
      <c r="R475" s="104" t="str">
        <f>IF(DPS_Graph_Tooltip_Speed=TRUE,IF($E$8=$A475,1/$N$6,),)</f>
        <v/>
      </c>
    </row>
    <row r="476">
      <c r="A476" s="370">
        <v>2.33</v>
      </c>
      <c r="B476" s="213">
        <f>If(DPS_Weapon_Type="远程",($E476+1)/60+(ROUNDDOWN($F476*60+1,0)/60)*2,(ROUNDDOWN(($E476+1)+ROUNDDOWN($F476*60+1,0)+ROUNDDOWN($G476/2*60+1,0)+ROUNDDOWN($H476*60+1,0)+1,0))/60+If(DPS_ATK_TYPE="挥砍",1/60)+If(DPS_ATK_TYPE="挥砍/刺击",1/120))+DPS_Weapon_Randomization/60</f>
        <v>0.105</v>
      </c>
      <c r="C476" s="104">
        <f>IF(DPS_Graph_True_Speed=TRUE,IF($A476&lt;=DPS_Graph_Max,IF($A476&gt;=DPS_Graph_Speed_Min,1/B476,),),)</f>
        <v>9.523809524</v>
      </c>
      <c r="D476" s="115" t="str">
        <f>IF(DPS_Graph_True_Speed=TRUE,IF($E$8=$A476,DPS_Attacks_P_Sec,),)</f>
        <v/>
      </c>
      <c r="E476" s="222">
        <f>ROUNDDOWN(MAX(2,IF(A476&gt;=0, DPS_Base_Wpn_Spd/(1+A476),DPS_Base_Wpn_Spd*(1+ABS(A476)))),0)</f>
        <v>2</v>
      </c>
      <c r="F476" s="232">
        <f>IF(A476&gt;=0, DPS_Base_Recoil/(1+A476),DPS_Base_Recoil)</f>
        <v>0.01501501502</v>
      </c>
      <c r="G476" s="377">
        <f t="shared" si="7"/>
        <v>0.51</v>
      </c>
      <c r="H476" s="377">
        <f t="shared" si="8"/>
        <v>0.02503128911</v>
      </c>
      <c r="I476" s="104"/>
      <c r="J476" s="377">
        <f>MAX(0, Max(25,(DPS_Base_Range + ((DPS_Range_Stat) / 2))) / MIN(MAX(70, (70 * (1 + ($A476 / 3)))), 120))</f>
        <v>3.333333333</v>
      </c>
      <c r="K476" s="269">
        <f>IF(A476&lt;=DPS_Graph_Max,IF(A476&gt;=DPS_Graph_Speed_Min,A476,),)</f>
        <v>2.33</v>
      </c>
      <c r="M476" s="213">
        <f>If(DPS_Weapon_Type="远程",$E476/60+$F476*2,$E476/60+$F476+$G476/2+$H476)</f>
        <v>0.06336336336</v>
      </c>
      <c r="N476" s="104">
        <f>IF(DPS_Graph_Tooltip_Speed=TRUE,IF($A476&lt;=DPS_Graph_Max,IF($A476&gt;=DPS_Graph_Speed_Min,1/M476,),),)</f>
        <v>15.78199052</v>
      </c>
      <c r="R476" s="104" t="str">
        <f>IF(DPS_Graph_Tooltip_Speed=TRUE,IF($E$8=$A476,1/$N$6,),)</f>
        <v/>
      </c>
    </row>
    <row r="477">
      <c r="A477" s="370">
        <v>2.34</v>
      </c>
      <c r="B477" s="213">
        <f>If(DPS_Weapon_Type="远程",($E477+1)/60+(ROUNDDOWN($F477*60+1,0)/60)*2,(ROUNDDOWN(($E477+1)+ROUNDDOWN($F477*60+1,0)+ROUNDDOWN($G477/2*60+1,0)+ROUNDDOWN($H477*60+1,0)+1,0))/60+If(DPS_ATK_TYPE="挥砍",1/60)+If(DPS_ATK_TYPE="挥砍/刺击",1/120))+DPS_Weapon_Randomization/60</f>
        <v>0.105</v>
      </c>
      <c r="C477" s="104">
        <f>IF(DPS_Graph_True_Speed=TRUE,IF($A477&lt;=DPS_Graph_Max,IF($A477&gt;=DPS_Graph_Speed_Min,1/B477,),),)</f>
        <v>9.523809524</v>
      </c>
      <c r="D477" s="115" t="str">
        <f>IF(DPS_Graph_True_Speed=TRUE,IF($E$8=$A477,DPS_Attacks_P_Sec,),)</f>
        <v/>
      </c>
      <c r="E477" s="222">
        <f>ROUNDDOWN(MAX(2,IF(A477&gt;=0, DPS_Base_Wpn_Spd/(1+A477),DPS_Base_Wpn_Spd*(1+ABS(A477)))),0)</f>
        <v>2</v>
      </c>
      <c r="F477" s="232">
        <f>IF(A477&gt;=0, DPS_Base_Recoil/(1+A477),DPS_Base_Recoil)</f>
        <v>0.01497005988</v>
      </c>
      <c r="G477" s="377">
        <f t="shared" si="7"/>
        <v>0.51</v>
      </c>
      <c r="H477" s="377">
        <f t="shared" si="8"/>
        <v>0.02493765586</v>
      </c>
      <c r="I477" s="104"/>
      <c r="J477" s="377">
        <f>MAX(0, Max(25,(DPS_Base_Range + ((DPS_Range_Stat) / 2))) / MIN(MAX(70, (70 * (1 + ($A477 / 3)))), 120))</f>
        <v>3.333333333</v>
      </c>
      <c r="K477" s="269">
        <f>IF(A477&lt;=DPS_Graph_Max,IF(A477&gt;=DPS_Graph_Speed_Min,A477,),)</f>
        <v>2.34</v>
      </c>
      <c r="M477" s="213">
        <f>If(DPS_Weapon_Type="远程",$E477/60+$F477*2,$E477/60+$F477+$G477/2+$H477)</f>
        <v>0.06327345309</v>
      </c>
      <c r="N477" s="104">
        <f>IF(DPS_Graph_Tooltip_Speed=TRUE,IF($A477&lt;=DPS_Graph_Max,IF($A477&gt;=DPS_Graph_Speed_Min,1/M477,),),)</f>
        <v>15.8044164</v>
      </c>
      <c r="R477" s="104" t="str">
        <f>IF(DPS_Graph_Tooltip_Speed=TRUE,IF($E$8=$A477,1/$N$6,),)</f>
        <v/>
      </c>
    </row>
    <row r="478">
      <c r="A478" s="370">
        <v>2.35</v>
      </c>
      <c r="B478" s="213">
        <f>If(DPS_Weapon_Type="远程",($E478+1)/60+(ROUNDDOWN($F478*60+1,0)/60)*2,(ROUNDDOWN(($E478+1)+ROUNDDOWN($F478*60+1,0)+ROUNDDOWN($G478/2*60+1,0)+ROUNDDOWN($H478*60+1,0)+1,0))/60+If(DPS_ATK_TYPE="挥砍",1/60)+If(DPS_ATK_TYPE="挥砍/刺击",1/120))+DPS_Weapon_Randomization/60</f>
        <v>0.105</v>
      </c>
      <c r="C478" s="104">
        <f>IF(DPS_Graph_True_Speed=TRUE,IF($A478&lt;=DPS_Graph_Max,IF($A478&gt;=DPS_Graph_Speed_Min,1/B478,),),)</f>
        <v>9.523809524</v>
      </c>
      <c r="D478" s="115" t="str">
        <f>IF(DPS_Graph_True_Speed=TRUE,IF($E$8=$A478,DPS_Attacks_P_Sec,),)</f>
        <v/>
      </c>
      <c r="E478" s="222">
        <f>ROUNDDOWN(MAX(2,IF(A478&gt;=0, DPS_Base_Wpn_Spd/(1+A478),DPS_Base_Wpn_Spd*(1+ABS(A478)))),0)</f>
        <v>2</v>
      </c>
      <c r="F478" s="232">
        <f>IF(A478&gt;=0, DPS_Base_Recoil/(1+A478),DPS_Base_Recoil)</f>
        <v>0.01492537313</v>
      </c>
      <c r="G478" s="377">
        <f t="shared" si="7"/>
        <v>0.51</v>
      </c>
      <c r="H478" s="377">
        <f t="shared" si="8"/>
        <v>0.0248447205</v>
      </c>
      <c r="I478" s="104"/>
      <c r="J478" s="377">
        <f>MAX(0, Max(25,(DPS_Base_Range + ((DPS_Range_Stat) / 2))) / MIN(MAX(70, (70 * (1 + ($A478 / 3)))), 120))</f>
        <v>3.333333333</v>
      </c>
      <c r="K478" s="269">
        <f>IF(A478&lt;=DPS_Graph_Max,IF(A478&gt;=DPS_Graph_Speed_Min,A478,),)</f>
        <v>2.35</v>
      </c>
      <c r="M478" s="213">
        <f>If(DPS_Weapon_Type="远程",$E478/60+$F478*2,$E478/60+$F478+$G478/2+$H478)</f>
        <v>0.0631840796</v>
      </c>
      <c r="N478" s="104">
        <f>IF(DPS_Graph_Tooltip_Speed=TRUE,IF($A478&lt;=DPS_Graph_Max,IF($A478&gt;=DPS_Graph_Speed_Min,1/M478,),),)</f>
        <v>15.82677165</v>
      </c>
      <c r="R478" s="104" t="str">
        <f>IF(DPS_Graph_Tooltip_Speed=TRUE,IF($E$8=$A478,1/$N$6,),)</f>
        <v/>
      </c>
    </row>
    <row r="479">
      <c r="A479" s="370">
        <v>2.36</v>
      </c>
      <c r="B479" s="213">
        <f>If(DPS_Weapon_Type="远程",($E479+1)/60+(ROUNDDOWN($F479*60+1,0)/60)*2,(ROUNDDOWN(($E479+1)+ROUNDDOWN($F479*60+1,0)+ROUNDDOWN($G479/2*60+1,0)+ROUNDDOWN($H479*60+1,0)+1,0))/60+If(DPS_ATK_TYPE="挥砍",1/60)+If(DPS_ATK_TYPE="挥砍/刺击",1/120))+DPS_Weapon_Randomization/60</f>
        <v>0.105</v>
      </c>
      <c r="C479" s="104">
        <f>IF(DPS_Graph_True_Speed=TRUE,IF($A479&lt;=DPS_Graph_Max,IF($A479&gt;=DPS_Graph_Speed_Min,1/B479,),),)</f>
        <v>9.523809524</v>
      </c>
      <c r="D479" s="115" t="str">
        <f>IF(DPS_Graph_True_Speed=TRUE,IF($E$8=$A479,DPS_Attacks_P_Sec,),)</f>
        <v/>
      </c>
      <c r="E479" s="222">
        <f>ROUNDDOWN(MAX(2,IF(A479&gt;=0, DPS_Base_Wpn_Spd/(1+A479),DPS_Base_Wpn_Spd*(1+ABS(A479)))),0)</f>
        <v>2</v>
      </c>
      <c r="F479" s="232">
        <f>IF(A479&gt;=0, DPS_Base_Recoil/(1+A479),DPS_Base_Recoil)</f>
        <v>0.01488095238</v>
      </c>
      <c r="G479" s="377">
        <f t="shared" si="7"/>
        <v>0.51</v>
      </c>
      <c r="H479" s="377">
        <f t="shared" si="8"/>
        <v>0.02475247525</v>
      </c>
      <c r="I479" s="104"/>
      <c r="J479" s="377">
        <f>MAX(0, Max(25,(DPS_Base_Range + ((DPS_Range_Stat) / 2))) / MIN(MAX(70, (70 * (1 + ($A479 / 3)))), 120))</f>
        <v>3.333333333</v>
      </c>
      <c r="K479" s="269">
        <f>IF(A479&lt;=DPS_Graph_Max,IF(A479&gt;=DPS_Graph_Speed_Min,A479,),)</f>
        <v>2.36</v>
      </c>
      <c r="M479" s="213">
        <f>If(DPS_Weapon_Type="远程",$E479/60+$F479*2,$E479/60+$F479+$G479/2+$H479)</f>
        <v>0.0630952381</v>
      </c>
      <c r="N479" s="104">
        <f>IF(DPS_Graph_Tooltip_Speed=TRUE,IF($A479&lt;=DPS_Graph_Max,IF($A479&gt;=DPS_Graph_Speed_Min,1/M479,),),)</f>
        <v>15.8490566</v>
      </c>
      <c r="R479" s="104" t="str">
        <f>IF(DPS_Graph_Tooltip_Speed=TRUE,IF($E$8=$A479,1/$N$6,),)</f>
        <v/>
      </c>
    </row>
    <row r="480">
      <c r="A480" s="370">
        <v>2.37</v>
      </c>
      <c r="B480" s="213">
        <f>If(DPS_Weapon_Type="远程",($E480+1)/60+(ROUNDDOWN($F480*60+1,0)/60)*2,(ROUNDDOWN(($E480+1)+ROUNDDOWN($F480*60+1,0)+ROUNDDOWN($G480/2*60+1,0)+ROUNDDOWN($H480*60+1,0)+1,0))/60+If(DPS_ATK_TYPE="挥砍",1/60)+If(DPS_ATK_TYPE="挥砍/刺击",1/120))+DPS_Weapon_Randomization/60</f>
        <v>0.105</v>
      </c>
      <c r="C480" s="104">
        <f>IF(DPS_Graph_True_Speed=TRUE,IF($A480&lt;=DPS_Graph_Max,IF($A480&gt;=DPS_Graph_Speed_Min,1/B480,),),)</f>
        <v>9.523809524</v>
      </c>
      <c r="D480" s="115" t="str">
        <f>IF(DPS_Graph_True_Speed=TRUE,IF($E$8=$A480,DPS_Attacks_P_Sec,),)</f>
        <v/>
      </c>
      <c r="E480" s="222">
        <f>ROUNDDOWN(MAX(2,IF(A480&gt;=0, DPS_Base_Wpn_Spd/(1+A480),DPS_Base_Wpn_Spd*(1+ABS(A480)))),0)</f>
        <v>2</v>
      </c>
      <c r="F480" s="232">
        <f>IF(A480&gt;=0, DPS_Base_Recoil/(1+A480),DPS_Base_Recoil)</f>
        <v>0.01483679525</v>
      </c>
      <c r="G480" s="377">
        <f t="shared" si="7"/>
        <v>0.51</v>
      </c>
      <c r="H480" s="377">
        <f t="shared" si="8"/>
        <v>0.02466091245</v>
      </c>
      <c r="I480" s="104"/>
      <c r="J480" s="377">
        <f>MAX(0, Max(25,(DPS_Base_Range + ((DPS_Range_Stat) / 2))) / MIN(MAX(70, (70 * (1 + ($A480 / 3)))), 120))</f>
        <v>3.333333333</v>
      </c>
      <c r="K480" s="269">
        <f>IF(A480&lt;=DPS_Graph_Max,IF(A480&gt;=DPS_Graph_Speed_Min,A480,),)</f>
        <v>2.37</v>
      </c>
      <c r="M480" s="213">
        <f>If(DPS_Weapon_Type="远程",$E480/60+$F480*2,$E480/60+$F480+$G480/2+$H480)</f>
        <v>0.06300692384</v>
      </c>
      <c r="N480" s="104">
        <f>IF(DPS_Graph_Tooltip_Speed=TRUE,IF($A480&lt;=DPS_Graph_Max,IF($A480&gt;=DPS_Graph_Speed_Min,1/M480,),),)</f>
        <v>15.87127159</v>
      </c>
      <c r="R480" s="104" t="str">
        <f>IF(DPS_Graph_Tooltip_Speed=TRUE,IF($E$8=$A480,1/$N$6,),)</f>
        <v/>
      </c>
    </row>
    <row r="481">
      <c r="A481" s="370">
        <v>2.38</v>
      </c>
      <c r="B481" s="213">
        <f>If(DPS_Weapon_Type="远程",($E481+1)/60+(ROUNDDOWN($F481*60+1,0)/60)*2,(ROUNDDOWN(($E481+1)+ROUNDDOWN($F481*60+1,0)+ROUNDDOWN($G481/2*60+1,0)+ROUNDDOWN($H481*60+1,0)+1,0))/60+If(DPS_ATK_TYPE="挥砍",1/60)+If(DPS_ATK_TYPE="挥砍/刺击",1/120))+DPS_Weapon_Randomization/60</f>
        <v>0.105</v>
      </c>
      <c r="C481" s="104">
        <f>IF(DPS_Graph_True_Speed=TRUE,IF($A481&lt;=DPS_Graph_Max,IF($A481&gt;=DPS_Graph_Speed_Min,1/B481,),),)</f>
        <v>9.523809524</v>
      </c>
      <c r="D481" s="115" t="str">
        <f>IF(DPS_Graph_True_Speed=TRUE,IF($E$8=$A481,DPS_Attacks_P_Sec,),)</f>
        <v/>
      </c>
      <c r="E481" s="222">
        <f>ROUNDDOWN(MAX(2,IF(A481&gt;=0, DPS_Base_Wpn_Spd/(1+A481),DPS_Base_Wpn_Spd*(1+ABS(A481)))),0)</f>
        <v>2</v>
      </c>
      <c r="F481" s="232">
        <f>IF(A481&gt;=0, DPS_Base_Recoil/(1+A481),DPS_Base_Recoil)</f>
        <v>0.01479289941</v>
      </c>
      <c r="G481" s="377">
        <f t="shared" si="7"/>
        <v>0.51</v>
      </c>
      <c r="H481" s="377">
        <f t="shared" si="8"/>
        <v>0.02457002457</v>
      </c>
      <c r="I481" s="104"/>
      <c r="J481" s="377">
        <f>MAX(0, Max(25,(DPS_Base_Range + ((DPS_Range_Stat) / 2))) / MIN(MAX(70, (70 * (1 + ($A481 / 3)))), 120))</f>
        <v>3.333333333</v>
      </c>
      <c r="K481" s="269">
        <f>IF(A481&lt;=DPS_Graph_Max,IF(A481&gt;=DPS_Graph_Speed_Min,A481,),)</f>
        <v>2.38</v>
      </c>
      <c r="M481" s="213">
        <f>If(DPS_Weapon_Type="远程",$E481/60+$F481*2,$E481/60+$F481+$G481/2+$H481)</f>
        <v>0.06291913215</v>
      </c>
      <c r="N481" s="104">
        <f>IF(DPS_Graph_Tooltip_Speed=TRUE,IF($A481&lt;=DPS_Graph_Max,IF($A481&gt;=DPS_Graph_Speed_Min,1/M481,),),)</f>
        <v>15.89341693</v>
      </c>
      <c r="R481" s="104" t="str">
        <f>IF(DPS_Graph_Tooltip_Speed=TRUE,IF($E$8=$A481,1/$N$6,),)</f>
        <v/>
      </c>
    </row>
    <row r="482">
      <c r="A482" s="370">
        <v>2.39</v>
      </c>
      <c r="B482" s="213">
        <f>If(DPS_Weapon_Type="远程",($E482+1)/60+(ROUNDDOWN($F482*60+1,0)/60)*2,(ROUNDDOWN(($E482+1)+ROUNDDOWN($F482*60+1,0)+ROUNDDOWN($G482/2*60+1,0)+ROUNDDOWN($H482*60+1,0)+1,0))/60+If(DPS_ATK_TYPE="挥砍",1/60)+If(DPS_ATK_TYPE="挥砍/刺击",1/120))+DPS_Weapon_Randomization/60</f>
        <v>0.105</v>
      </c>
      <c r="C482" s="104">
        <f>IF(DPS_Graph_True_Speed=TRUE,IF($A482&lt;=DPS_Graph_Max,IF($A482&gt;=DPS_Graph_Speed_Min,1/B482,),),)</f>
        <v>9.523809524</v>
      </c>
      <c r="D482" s="115" t="str">
        <f>IF(DPS_Graph_True_Speed=TRUE,IF($E$8=$A482,DPS_Attacks_P_Sec,),)</f>
        <v/>
      </c>
      <c r="E482" s="222">
        <f>ROUNDDOWN(MAX(2,IF(A482&gt;=0, DPS_Base_Wpn_Spd/(1+A482),DPS_Base_Wpn_Spd*(1+ABS(A482)))),0)</f>
        <v>2</v>
      </c>
      <c r="F482" s="232">
        <f>IF(A482&gt;=0, DPS_Base_Recoil/(1+A482),DPS_Base_Recoil)</f>
        <v>0.01474926254</v>
      </c>
      <c r="G482" s="377">
        <f t="shared" si="7"/>
        <v>0.51</v>
      </c>
      <c r="H482" s="377">
        <f t="shared" si="8"/>
        <v>0.02447980416</v>
      </c>
      <c r="I482" s="104"/>
      <c r="J482" s="377">
        <f>MAX(0, Max(25,(DPS_Base_Range + ((DPS_Range_Stat) / 2))) / MIN(MAX(70, (70 * (1 + ($A482 / 3)))), 120))</f>
        <v>3.333333333</v>
      </c>
      <c r="K482" s="269">
        <f>IF(A482&lt;=DPS_Graph_Max,IF(A482&gt;=DPS_Graph_Speed_Min,A482,),)</f>
        <v>2.39</v>
      </c>
      <c r="M482" s="213">
        <f>If(DPS_Weapon_Type="远程",$E482/60+$F482*2,$E482/60+$F482+$G482/2+$H482)</f>
        <v>0.06283185841</v>
      </c>
      <c r="N482" s="104">
        <f>IF(DPS_Graph_Tooltip_Speed=TRUE,IF($A482&lt;=DPS_Graph_Max,IF($A482&gt;=DPS_Graph_Speed_Min,1/M482,),),)</f>
        <v>15.91549296</v>
      </c>
      <c r="R482" s="104" t="str">
        <f>IF(DPS_Graph_Tooltip_Speed=TRUE,IF($E$8=$A482,1/$N$6,),)</f>
        <v/>
      </c>
    </row>
    <row r="483">
      <c r="A483" s="370">
        <v>2.4</v>
      </c>
      <c r="B483" s="213">
        <f>If(DPS_Weapon_Type="远程",($E483+1)/60+(ROUNDDOWN($F483*60+1,0)/60)*2,(ROUNDDOWN(($E483+1)+ROUNDDOWN($F483*60+1,0)+ROUNDDOWN($G483/2*60+1,0)+ROUNDDOWN($H483*60+1,0)+1,0))/60+If(DPS_ATK_TYPE="挥砍",1/60)+If(DPS_ATK_TYPE="挥砍/刺击",1/120))+DPS_Weapon_Randomization/60</f>
        <v>0.105</v>
      </c>
      <c r="C483" s="104">
        <f>IF(DPS_Graph_True_Speed=TRUE,IF($A483&lt;=DPS_Graph_Max,IF($A483&gt;=DPS_Graph_Speed_Min,1/B483,),),)</f>
        <v>9.523809524</v>
      </c>
      <c r="D483" s="115" t="str">
        <f>IF(DPS_Graph_True_Speed=TRUE,IF($E$8=$A483,DPS_Attacks_P_Sec,),)</f>
        <v/>
      </c>
      <c r="E483" s="222">
        <f>ROUNDDOWN(MAX(2,IF(A483&gt;=0, DPS_Base_Wpn_Spd/(1+A483),DPS_Base_Wpn_Spd*(1+ABS(A483)))),0)</f>
        <v>2</v>
      </c>
      <c r="F483" s="232">
        <f>IF(A483&gt;=0, DPS_Base_Recoil/(1+A483),DPS_Base_Recoil)</f>
        <v>0.01470588235</v>
      </c>
      <c r="G483" s="377">
        <f t="shared" si="7"/>
        <v>0.51</v>
      </c>
      <c r="H483" s="377">
        <f t="shared" si="8"/>
        <v>0.0243902439</v>
      </c>
      <c r="I483" s="104"/>
      <c r="J483" s="377">
        <f>MAX(0, Max(25,(DPS_Base_Range + ((DPS_Range_Stat) / 2))) / MIN(MAX(70, (70 * (1 + ($A483 / 3)))), 120))</f>
        <v>3.333333333</v>
      </c>
      <c r="K483" s="269">
        <f>IF(A483&lt;=DPS_Graph_Max,IF(A483&gt;=DPS_Graph_Speed_Min,A483,),)</f>
        <v>2.4</v>
      </c>
      <c r="M483" s="213">
        <f>If(DPS_Weapon_Type="远程",$E483/60+$F483*2,$E483/60+$F483+$G483/2+$H483)</f>
        <v>0.06274509804</v>
      </c>
      <c r="N483" s="104">
        <f>IF(DPS_Graph_Tooltip_Speed=TRUE,IF($A483&lt;=DPS_Graph_Max,IF($A483&gt;=DPS_Graph_Speed_Min,1/M483,),),)</f>
        <v>15.9375</v>
      </c>
      <c r="R483" s="104" t="str">
        <f>IF(DPS_Graph_Tooltip_Speed=TRUE,IF($E$8=$A483,1/$N$6,),)</f>
        <v/>
      </c>
    </row>
    <row r="484">
      <c r="A484" s="370">
        <v>2.41</v>
      </c>
      <c r="B484" s="213">
        <f>If(DPS_Weapon_Type="远程",($E484+1)/60+(ROUNDDOWN($F484*60+1,0)/60)*2,(ROUNDDOWN(($E484+1)+ROUNDDOWN($F484*60+1,0)+ROUNDDOWN($G484/2*60+1,0)+ROUNDDOWN($H484*60+1,0)+1,0))/60+If(DPS_ATK_TYPE="挥砍",1/60)+If(DPS_ATK_TYPE="挥砍/刺击",1/120))+DPS_Weapon_Randomization/60</f>
        <v>0.105</v>
      </c>
      <c r="C484" s="104">
        <f>IF(DPS_Graph_True_Speed=TRUE,IF($A484&lt;=DPS_Graph_Max,IF($A484&gt;=DPS_Graph_Speed_Min,1/B484,),),)</f>
        <v>9.523809524</v>
      </c>
      <c r="D484" s="115" t="str">
        <f>IF(DPS_Graph_True_Speed=TRUE,IF($E$8=$A484,DPS_Attacks_P_Sec,),)</f>
        <v/>
      </c>
      <c r="E484" s="222">
        <f>ROUNDDOWN(MAX(2,IF(A484&gt;=0, DPS_Base_Wpn_Spd/(1+A484),DPS_Base_Wpn_Spd*(1+ABS(A484)))),0)</f>
        <v>2</v>
      </c>
      <c r="F484" s="232">
        <f>IF(A484&gt;=0, DPS_Base_Recoil/(1+A484),DPS_Base_Recoil)</f>
        <v>0.0146627566</v>
      </c>
      <c r="G484" s="377">
        <f t="shared" si="7"/>
        <v>0.51</v>
      </c>
      <c r="H484" s="377">
        <f t="shared" si="8"/>
        <v>0.02430133657</v>
      </c>
      <c r="I484" s="104"/>
      <c r="J484" s="377">
        <f>MAX(0, Max(25,(DPS_Base_Range + ((DPS_Range_Stat) / 2))) / MIN(MAX(70, (70 * (1 + ($A484 / 3)))), 120))</f>
        <v>3.333333333</v>
      </c>
      <c r="K484" s="269">
        <f>IF(A484&lt;=DPS_Graph_Max,IF(A484&gt;=DPS_Graph_Speed_Min,A484,),)</f>
        <v>2.41</v>
      </c>
      <c r="M484" s="213">
        <f>If(DPS_Weapon_Type="远程",$E484/60+$F484*2,$E484/60+$F484+$G484/2+$H484)</f>
        <v>0.06265884653</v>
      </c>
      <c r="N484" s="104">
        <f>IF(DPS_Graph_Tooltip_Speed=TRUE,IF($A484&lt;=DPS_Graph_Max,IF($A484&gt;=DPS_Graph_Speed_Min,1/M484,),),)</f>
        <v>15.95943838</v>
      </c>
      <c r="R484" s="104" t="str">
        <f>IF(DPS_Graph_Tooltip_Speed=TRUE,IF($E$8=$A484,1/$N$6,),)</f>
        <v/>
      </c>
    </row>
    <row r="485">
      <c r="A485" s="370">
        <v>2.42</v>
      </c>
      <c r="B485" s="213">
        <f>If(DPS_Weapon_Type="远程",($E485+1)/60+(ROUNDDOWN($F485*60+1,0)/60)*2,(ROUNDDOWN(($E485+1)+ROUNDDOWN($F485*60+1,0)+ROUNDDOWN($G485/2*60+1,0)+ROUNDDOWN($H485*60+1,0)+1,0))/60+If(DPS_ATK_TYPE="挥砍",1/60)+If(DPS_ATK_TYPE="挥砍/刺击",1/120))+DPS_Weapon_Randomization/60</f>
        <v>0.105</v>
      </c>
      <c r="C485" s="104">
        <f>IF(DPS_Graph_True_Speed=TRUE,IF($A485&lt;=DPS_Graph_Max,IF($A485&gt;=DPS_Graph_Speed_Min,1/B485,),),)</f>
        <v>9.523809524</v>
      </c>
      <c r="D485" s="115" t="str">
        <f>IF(DPS_Graph_True_Speed=TRUE,IF($E$8=$A485,DPS_Attacks_P_Sec,),)</f>
        <v/>
      </c>
      <c r="E485" s="222">
        <f>ROUNDDOWN(MAX(2,IF(A485&gt;=0, DPS_Base_Wpn_Spd/(1+A485),DPS_Base_Wpn_Spd*(1+ABS(A485)))),0)</f>
        <v>2</v>
      </c>
      <c r="F485" s="232">
        <f>IF(A485&gt;=0, DPS_Base_Recoil/(1+A485),DPS_Base_Recoil)</f>
        <v>0.01461988304</v>
      </c>
      <c r="G485" s="377">
        <f t="shared" si="7"/>
        <v>0.51</v>
      </c>
      <c r="H485" s="377">
        <f t="shared" si="8"/>
        <v>0.02421307506</v>
      </c>
      <c r="I485" s="104"/>
      <c r="J485" s="377">
        <f>MAX(0, Max(25,(DPS_Base_Range + ((DPS_Range_Stat) / 2))) / MIN(MAX(70, (70 * (1 + ($A485 / 3)))), 120))</f>
        <v>3.333333333</v>
      </c>
      <c r="K485" s="269">
        <f>IF(A485&lt;=DPS_Graph_Max,IF(A485&gt;=DPS_Graph_Speed_Min,A485,),)</f>
        <v>2.42</v>
      </c>
      <c r="M485" s="213">
        <f>If(DPS_Weapon_Type="远程",$E485/60+$F485*2,$E485/60+$F485+$G485/2+$H485)</f>
        <v>0.06257309942</v>
      </c>
      <c r="N485" s="104">
        <f>IF(DPS_Graph_Tooltip_Speed=TRUE,IF($A485&lt;=DPS_Graph_Max,IF($A485&gt;=DPS_Graph_Speed_Min,1/M485,),),)</f>
        <v>15.98130841</v>
      </c>
      <c r="R485" s="104" t="str">
        <f>IF(DPS_Graph_Tooltip_Speed=TRUE,IF($E$8=$A485,1/$N$6,),)</f>
        <v/>
      </c>
    </row>
    <row r="486">
      <c r="A486" s="370">
        <v>2.43</v>
      </c>
      <c r="B486" s="213">
        <f>If(DPS_Weapon_Type="远程",($E486+1)/60+(ROUNDDOWN($F486*60+1,0)/60)*2,(ROUNDDOWN(($E486+1)+ROUNDDOWN($F486*60+1,0)+ROUNDDOWN($G486/2*60+1,0)+ROUNDDOWN($H486*60+1,0)+1,0))/60+If(DPS_ATK_TYPE="挥砍",1/60)+If(DPS_ATK_TYPE="挥砍/刺击",1/120))+DPS_Weapon_Randomization/60</f>
        <v>0.105</v>
      </c>
      <c r="C486" s="104">
        <f>IF(DPS_Graph_True_Speed=TRUE,IF($A486&lt;=DPS_Graph_Max,IF($A486&gt;=DPS_Graph_Speed_Min,1/B486,),),)</f>
        <v>9.523809524</v>
      </c>
      <c r="D486" s="115" t="str">
        <f>IF(DPS_Graph_True_Speed=TRUE,IF($E$8=$A486,DPS_Attacks_P_Sec,),)</f>
        <v/>
      </c>
      <c r="E486" s="222">
        <f>ROUNDDOWN(MAX(2,IF(A486&gt;=0, DPS_Base_Wpn_Spd/(1+A486),DPS_Base_Wpn_Spd*(1+ABS(A486)))),0)</f>
        <v>2</v>
      </c>
      <c r="F486" s="232">
        <f>IF(A486&gt;=0, DPS_Base_Recoil/(1+A486),DPS_Base_Recoil)</f>
        <v>0.01457725948</v>
      </c>
      <c r="G486" s="377">
        <f t="shared" si="7"/>
        <v>0.51</v>
      </c>
      <c r="H486" s="377">
        <f t="shared" si="8"/>
        <v>0.02412545235</v>
      </c>
      <c r="I486" s="104"/>
      <c r="J486" s="377">
        <f>MAX(0, Max(25,(DPS_Base_Range + ((DPS_Range_Stat) / 2))) / MIN(MAX(70, (70 * (1 + ($A486 / 3)))), 120))</f>
        <v>3.333333333</v>
      </c>
      <c r="K486" s="269">
        <f>IF(A486&lt;=DPS_Graph_Max,IF(A486&gt;=DPS_Graph_Speed_Min,A486,),)</f>
        <v>2.43</v>
      </c>
      <c r="M486" s="213">
        <f>If(DPS_Weapon_Type="远程",$E486/60+$F486*2,$E486/60+$F486+$G486/2+$H486)</f>
        <v>0.06248785228</v>
      </c>
      <c r="N486" s="104">
        <f>IF(DPS_Graph_Tooltip_Speed=TRUE,IF($A486&lt;=DPS_Graph_Max,IF($A486&gt;=DPS_Graph_Speed_Min,1/M486,),),)</f>
        <v>16.00311042</v>
      </c>
      <c r="R486" s="104" t="str">
        <f>IF(DPS_Graph_Tooltip_Speed=TRUE,IF($E$8=$A486,1/$N$6,),)</f>
        <v/>
      </c>
    </row>
    <row r="487">
      <c r="A487" s="370">
        <v>2.44</v>
      </c>
      <c r="B487" s="213">
        <f>If(DPS_Weapon_Type="远程",($E487+1)/60+(ROUNDDOWN($F487*60+1,0)/60)*2,(ROUNDDOWN(($E487+1)+ROUNDDOWN($F487*60+1,0)+ROUNDDOWN($G487/2*60+1,0)+ROUNDDOWN($H487*60+1,0)+1,0))/60+If(DPS_ATK_TYPE="挥砍",1/60)+If(DPS_ATK_TYPE="挥砍/刺击",1/120))+DPS_Weapon_Randomization/60</f>
        <v>0.105</v>
      </c>
      <c r="C487" s="104">
        <f>IF(DPS_Graph_True_Speed=TRUE,IF($A487&lt;=DPS_Graph_Max,IF($A487&gt;=DPS_Graph_Speed_Min,1/B487,),),)</f>
        <v>9.523809524</v>
      </c>
      <c r="D487" s="115" t="str">
        <f>IF(DPS_Graph_True_Speed=TRUE,IF($E$8=$A487,DPS_Attacks_P_Sec,),)</f>
        <v/>
      </c>
      <c r="E487" s="222">
        <f>ROUNDDOWN(MAX(2,IF(A487&gt;=0, DPS_Base_Wpn_Spd/(1+A487),DPS_Base_Wpn_Spd*(1+ABS(A487)))),0)</f>
        <v>2</v>
      </c>
      <c r="F487" s="232">
        <f>IF(A487&gt;=0, DPS_Base_Recoil/(1+A487),DPS_Base_Recoil)</f>
        <v>0.01453488372</v>
      </c>
      <c r="G487" s="377">
        <f t="shared" si="7"/>
        <v>0.51</v>
      </c>
      <c r="H487" s="377">
        <f t="shared" si="8"/>
        <v>0.02403846154</v>
      </c>
      <c r="I487" s="104"/>
      <c r="J487" s="377">
        <f>MAX(0, Max(25,(DPS_Base_Range + ((DPS_Range_Stat) / 2))) / MIN(MAX(70, (70 * (1 + ($A487 / 3)))), 120))</f>
        <v>3.333333333</v>
      </c>
      <c r="K487" s="269">
        <f>IF(A487&lt;=DPS_Graph_Max,IF(A487&gt;=DPS_Graph_Speed_Min,A487,),)</f>
        <v>2.44</v>
      </c>
      <c r="M487" s="213">
        <f>If(DPS_Weapon_Type="远程",$E487/60+$F487*2,$E487/60+$F487+$G487/2+$H487)</f>
        <v>0.06240310078</v>
      </c>
      <c r="N487" s="104">
        <f>IF(DPS_Graph_Tooltip_Speed=TRUE,IF($A487&lt;=DPS_Graph_Max,IF($A487&gt;=DPS_Graph_Speed_Min,1/M487,),),)</f>
        <v>16.02484472</v>
      </c>
      <c r="R487" s="104" t="str">
        <f>IF(DPS_Graph_Tooltip_Speed=TRUE,IF($E$8=$A487,1/$N$6,),)</f>
        <v/>
      </c>
    </row>
    <row r="488">
      <c r="A488" s="370">
        <v>2.45</v>
      </c>
      <c r="B488" s="213">
        <f>If(DPS_Weapon_Type="远程",($E488+1)/60+(ROUNDDOWN($F488*60+1,0)/60)*2,(ROUNDDOWN(($E488+1)+ROUNDDOWN($F488*60+1,0)+ROUNDDOWN($G488/2*60+1,0)+ROUNDDOWN($H488*60+1,0)+1,0))/60+If(DPS_ATK_TYPE="挥砍",1/60)+If(DPS_ATK_TYPE="挥砍/刺击",1/120))+DPS_Weapon_Randomization/60</f>
        <v>0.105</v>
      </c>
      <c r="C488" s="104">
        <f>IF(DPS_Graph_True_Speed=TRUE,IF($A488&lt;=DPS_Graph_Max,IF($A488&gt;=DPS_Graph_Speed_Min,1/B488,),),)</f>
        <v>9.523809524</v>
      </c>
      <c r="D488" s="115" t="str">
        <f>IF(DPS_Graph_True_Speed=TRUE,IF($E$8=$A488,DPS_Attacks_P_Sec,),)</f>
        <v/>
      </c>
      <c r="E488" s="222">
        <f>ROUNDDOWN(MAX(2,IF(A488&gt;=0, DPS_Base_Wpn_Spd/(1+A488),DPS_Base_Wpn_Spd*(1+ABS(A488)))),0)</f>
        <v>2</v>
      </c>
      <c r="F488" s="232">
        <f>IF(A488&gt;=0, DPS_Base_Recoil/(1+A488),DPS_Base_Recoil)</f>
        <v>0.01449275362</v>
      </c>
      <c r="G488" s="377">
        <f t="shared" si="7"/>
        <v>0.51</v>
      </c>
      <c r="H488" s="377">
        <f t="shared" si="8"/>
        <v>0.02395209581</v>
      </c>
      <c r="I488" s="104"/>
      <c r="J488" s="377">
        <f>MAX(0, Max(25,(DPS_Base_Range + ((DPS_Range_Stat) / 2))) / MIN(MAX(70, (70 * (1 + ($A488 / 3)))), 120))</f>
        <v>3.333333333</v>
      </c>
      <c r="K488" s="269">
        <f>IF(A488&lt;=DPS_Graph_Max,IF(A488&gt;=DPS_Graph_Speed_Min,A488,),)</f>
        <v>2.45</v>
      </c>
      <c r="M488" s="213">
        <f>If(DPS_Weapon_Type="远程",$E488/60+$F488*2,$E488/60+$F488+$G488/2+$H488)</f>
        <v>0.06231884058</v>
      </c>
      <c r="N488" s="104">
        <f>IF(DPS_Graph_Tooltip_Speed=TRUE,IF($A488&lt;=DPS_Graph_Max,IF($A488&gt;=DPS_Graph_Speed_Min,1/M488,),),)</f>
        <v>16.04651163</v>
      </c>
      <c r="R488" s="104" t="str">
        <f>IF(DPS_Graph_Tooltip_Speed=TRUE,IF($E$8=$A488,1/$N$6,),)</f>
        <v/>
      </c>
    </row>
    <row r="489">
      <c r="A489" s="370">
        <v>2.46</v>
      </c>
      <c r="B489" s="213">
        <f>If(DPS_Weapon_Type="远程",($E489+1)/60+(ROUNDDOWN($F489*60+1,0)/60)*2,(ROUNDDOWN(($E489+1)+ROUNDDOWN($F489*60+1,0)+ROUNDDOWN($G489/2*60+1,0)+ROUNDDOWN($H489*60+1,0)+1,0))/60+If(DPS_ATK_TYPE="挥砍",1/60)+If(DPS_ATK_TYPE="挥砍/刺击",1/120))+DPS_Weapon_Randomization/60</f>
        <v>0.105</v>
      </c>
      <c r="C489" s="104">
        <f>IF(DPS_Graph_True_Speed=TRUE,IF($A489&lt;=DPS_Graph_Max,IF($A489&gt;=DPS_Graph_Speed_Min,1/B489,),),)</f>
        <v>9.523809524</v>
      </c>
      <c r="D489" s="115" t="str">
        <f>IF(DPS_Graph_True_Speed=TRUE,IF($E$8=$A489,DPS_Attacks_P_Sec,),)</f>
        <v/>
      </c>
      <c r="E489" s="222">
        <f>ROUNDDOWN(MAX(2,IF(A489&gt;=0, DPS_Base_Wpn_Spd/(1+A489),DPS_Base_Wpn_Spd*(1+ABS(A489)))),0)</f>
        <v>2</v>
      </c>
      <c r="F489" s="232">
        <f>IF(A489&gt;=0, DPS_Base_Recoil/(1+A489),DPS_Base_Recoil)</f>
        <v>0.01445086705</v>
      </c>
      <c r="G489" s="377">
        <f t="shared" si="7"/>
        <v>0.51</v>
      </c>
      <c r="H489" s="377">
        <f t="shared" si="8"/>
        <v>0.02386634845</v>
      </c>
      <c r="I489" s="104"/>
      <c r="J489" s="377">
        <f>MAX(0, Max(25,(DPS_Base_Range + ((DPS_Range_Stat) / 2))) / MIN(MAX(70, (70 * (1 + ($A489 / 3)))), 120))</f>
        <v>3.333333333</v>
      </c>
      <c r="K489" s="269">
        <f>IF(A489&lt;=DPS_Graph_Max,IF(A489&gt;=DPS_Graph_Speed_Min,A489,),)</f>
        <v>2.46</v>
      </c>
      <c r="M489" s="213">
        <f>If(DPS_Weapon_Type="远程",$E489/60+$F489*2,$E489/60+$F489+$G489/2+$H489)</f>
        <v>0.06223506744</v>
      </c>
      <c r="N489" s="104">
        <f>IF(DPS_Graph_Tooltip_Speed=TRUE,IF($A489&lt;=DPS_Graph_Max,IF($A489&gt;=DPS_Graph_Speed_Min,1/M489,),),)</f>
        <v>16.06811146</v>
      </c>
      <c r="R489" s="104" t="str">
        <f>IF(DPS_Graph_Tooltip_Speed=TRUE,IF($E$8=$A489,1/$N$6,),)</f>
        <v/>
      </c>
    </row>
    <row r="490">
      <c r="A490" s="370">
        <v>2.47</v>
      </c>
      <c r="B490" s="213">
        <f>If(DPS_Weapon_Type="远程",($E490+1)/60+(ROUNDDOWN($F490*60+1,0)/60)*2,(ROUNDDOWN(($E490+1)+ROUNDDOWN($F490*60+1,0)+ROUNDDOWN($G490/2*60+1,0)+ROUNDDOWN($H490*60+1,0)+1,0))/60+If(DPS_ATK_TYPE="挥砍",1/60)+If(DPS_ATK_TYPE="挥砍/刺击",1/120))+DPS_Weapon_Randomization/60</f>
        <v>0.105</v>
      </c>
      <c r="C490" s="104">
        <f>IF(DPS_Graph_True_Speed=TRUE,IF($A490&lt;=DPS_Graph_Max,IF($A490&gt;=DPS_Graph_Speed_Min,1/B490,),),)</f>
        <v>9.523809524</v>
      </c>
      <c r="D490" s="115" t="str">
        <f>IF(DPS_Graph_True_Speed=TRUE,IF($E$8=$A490,DPS_Attacks_P_Sec,),)</f>
        <v/>
      </c>
      <c r="E490" s="222">
        <f>ROUNDDOWN(MAX(2,IF(A490&gt;=0, DPS_Base_Wpn_Spd/(1+A490),DPS_Base_Wpn_Spd*(1+ABS(A490)))),0)</f>
        <v>2</v>
      </c>
      <c r="F490" s="232">
        <f>IF(A490&gt;=0, DPS_Base_Recoil/(1+A490),DPS_Base_Recoil)</f>
        <v>0.0144092219</v>
      </c>
      <c r="G490" s="377">
        <f t="shared" si="7"/>
        <v>0.51</v>
      </c>
      <c r="H490" s="377">
        <f t="shared" si="8"/>
        <v>0.02378121284</v>
      </c>
      <c r="I490" s="104"/>
      <c r="J490" s="377">
        <f>MAX(0, Max(25,(DPS_Base_Range + ((DPS_Range_Stat) / 2))) / MIN(MAX(70, (70 * (1 + ($A490 / 3)))), 120))</f>
        <v>3.333333333</v>
      </c>
      <c r="K490" s="269">
        <f>IF(A490&lt;=DPS_Graph_Max,IF(A490&gt;=DPS_Graph_Speed_Min,A490,),)</f>
        <v>2.47</v>
      </c>
      <c r="M490" s="213">
        <f>If(DPS_Weapon_Type="远程",$E490/60+$F490*2,$E490/60+$F490+$G490/2+$H490)</f>
        <v>0.06215177714</v>
      </c>
      <c r="N490" s="104">
        <f>IF(DPS_Graph_Tooltip_Speed=TRUE,IF($A490&lt;=DPS_Graph_Max,IF($A490&gt;=DPS_Graph_Speed_Min,1/M490,),),)</f>
        <v>16.08964451</v>
      </c>
      <c r="R490" s="104" t="str">
        <f>IF(DPS_Graph_Tooltip_Speed=TRUE,IF($E$8=$A490,1/$N$6,),)</f>
        <v/>
      </c>
    </row>
    <row r="491">
      <c r="A491" s="370">
        <v>2.48</v>
      </c>
      <c r="B491" s="213">
        <f>If(DPS_Weapon_Type="远程",($E491+1)/60+(ROUNDDOWN($F491*60+1,0)/60)*2,(ROUNDDOWN(($E491+1)+ROUNDDOWN($F491*60+1,0)+ROUNDDOWN($G491/2*60+1,0)+ROUNDDOWN($H491*60+1,0)+1,0))/60+If(DPS_ATK_TYPE="挥砍",1/60)+If(DPS_ATK_TYPE="挥砍/刺击",1/120))+DPS_Weapon_Randomization/60</f>
        <v>0.105</v>
      </c>
      <c r="C491" s="104">
        <f>IF(DPS_Graph_True_Speed=TRUE,IF($A491&lt;=DPS_Graph_Max,IF($A491&gt;=DPS_Graph_Speed_Min,1/B491,),),)</f>
        <v>9.523809524</v>
      </c>
      <c r="D491" s="115" t="str">
        <f>IF(DPS_Graph_True_Speed=TRUE,IF($E$8=$A491,DPS_Attacks_P_Sec,),)</f>
        <v/>
      </c>
      <c r="E491" s="222">
        <f>ROUNDDOWN(MAX(2,IF(A491&gt;=0, DPS_Base_Wpn_Spd/(1+A491),DPS_Base_Wpn_Spd*(1+ABS(A491)))),0)</f>
        <v>2</v>
      </c>
      <c r="F491" s="232">
        <f>IF(A491&gt;=0, DPS_Base_Recoil/(1+A491),DPS_Base_Recoil)</f>
        <v>0.01436781609</v>
      </c>
      <c r="G491" s="377">
        <f t="shared" si="7"/>
        <v>0.51</v>
      </c>
      <c r="H491" s="377">
        <f t="shared" si="8"/>
        <v>0.02369668246</v>
      </c>
      <c r="I491" s="104"/>
      <c r="J491" s="377">
        <f>MAX(0, Max(25,(DPS_Base_Range + ((DPS_Range_Stat) / 2))) / MIN(MAX(70, (70 * (1 + ($A491 / 3)))), 120))</f>
        <v>3.333333333</v>
      </c>
      <c r="K491" s="269">
        <f>IF(A491&lt;=DPS_Graph_Max,IF(A491&gt;=DPS_Graph_Speed_Min,A491,),)</f>
        <v>2.48</v>
      </c>
      <c r="M491" s="213">
        <f>If(DPS_Weapon_Type="远程",$E491/60+$F491*2,$E491/60+$F491+$G491/2+$H491)</f>
        <v>0.06206896552</v>
      </c>
      <c r="N491" s="104">
        <f>IF(DPS_Graph_Tooltip_Speed=TRUE,IF($A491&lt;=DPS_Graph_Max,IF($A491&gt;=DPS_Graph_Speed_Min,1/M491,),),)</f>
        <v>16.11111111</v>
      </c>
      <c r="R491" s="104" t="str">
        <f>IF(DPS_Graph_Tooltip_Speed=TRUE,IF($E$8=$A491,1/$N$6,),)</f>
        <v/>
      </c>
    </row>
    <row r="492">
      <c r="A492" s="370">
        <v>2.49</v>
      </c>
      <c r="B492" s="213">
        <f>If(DPS_Weapon_Type="远程",($E492+1)/60+(ROUNDDOWN($F492*60+1,0)/60)*2,(ROUNDDOWN(($E492+1)+ROUNDDOWN($F492*60+1,0)+ROUNDDOWN($G492/2*60+1,0)+ROUNDDOWN($H492*60+1,0)+1,0))/60+If(DPS_ATK_TYPE="挥砍",1/60)+If(DPS_ATK_TYPE="挥砍/刺击",1/120))+DPS_Weapon_Randomization/60</f>
        <v>0.105</v>
      </c>
      <c r="C492" s="104">
        <f>IF(DPS_Graph_True_Speed=TRUE,IF($A492&lt;=DPS_Graph_Max,IF($A492&gt;=DPS_Graph_Speed_Min,1/B492,),),)</f>
        <v>9.523809524</v>
      </c>
      <c r="D492" s="115" t="str">
        <f>IF(DPS_Graph_True_Speed=TRUE,IF($E$8=$A492,DPS_Attacks_P_Sec,),)</f>
        <v/>
      </c>
      <c r="E492" s="222">
        <f>ROUNDDOWN(MAX(2,IF(A492&gt;=0, DPS_Base_Wpn_Spd/(1+A492),DPS_Base_Wpn_Spd*(1+ABS(A492)))),0)</f>
        <v>2</v>
      </c>
      <c r="F492" s="232">
        <f>IF(A492&gt;=0, DPS_Base_Recoil/(1+A492),DPS_Base_Recoil)</f>
        <v>0.01432664756</v>
      </c>
      <c r="G492" s="377">
        <f t="shared" si="7"/>
        <v>0.51</v>
      </c>
      <c r="H492" s="377">
        <f t="shared" si="8"/>
        <v>0.02361275089</v>
      </c>
      <c r="I492" s="104"/>
      <c r="J492" s="377">
        <f>MAX(0, Max(25,(DPS_Base_Range + ((DPS_Range_Stat) / 2))) / MIN(MAX(70, (70 * (1 + ($A492 / 3)))), 120))</f>
        <v>3.333333333</v>
      </c>
      <c r="K492" s="269">
        <f>IF(A492&lt;=DPS_Graph_Max,IF(A492&gt;=DPS_Graph_Speed_Min,A492,),)</f>
        <v>2.49</v>
      </c>
      <c r="M492" s="213">
        <f>If(DPS_Weapon_Type="远程",$E492/60+$F492*2,$E492/60+$F492+$G492/2+$H492)</f>
        <v>0.06198662846</v>
      </c>
      <c r="N492" s="104">
        <f>IF(DPS_Graph_Tooltip_Speed=TRUE,IF($A492&lt;=DPS_Graph_Max,IF($A492&gt;=DPS_Graph_Speed_Min,1/M492,),),)</f>
        <v>16.13251156</v>
      </c>
      <c r="R492" s="104" t="str">
        <f>IF(DPS_Graph_Tooltip_Speed=TRUE,IF($E$8=$A492,1/$N$6,),)</f>
        <v/>
      </c>
    </row>
    <row r="493">
      <c r="A493" s="370">
        <v>2.5</v>
      </c>
      <c r="B493" s="213">
        <f>If(DPS_Weapon_Type="远程",($E493+1)/60+(ROUNDDOWN($F493*60+1,0)/60)*2,(ROUNDDOWN(($E493+1)+ROUNDDOWN($F493*60+1,0)+ROUNDDOWN($G493/2*60+1,0)+ROUNDDOWN($H493*60+1,0)+1,0))/60+If(DPS_ATK_TYPE="挥砍",1/60)+If(DPS_ATK_TYPE="挥砍/刺击",1/120))+DPS_Weapon_Randomization/60</f>
        <v>0.105</v>
      </c>
      <c r="C493" s="104">
        <f>IF(DPS_Graph_True_Speed=TRUE,IF($A493&lt;=DPS_Graph_Max,IF($A493&gt;=DPS_Graph_Speed_Min,1/B493,),),)</f>
        <v>9.523809524</v>
      </c>
      <c r="D493" s="115" t="str">
        <f>IF(DPS_Graph_True_Speed=TRUE,IF($E$8=$A493,DPS_Attacks_P_Sec,),)</f>
        <v/>
      </c>
      <c r="E493" s="222">
        <f>ROUNDDOWN(MAX(2,IF(A493&gt;=0, DPS_Base_Wpn_Spd/(1+A493),DPS_Base_Wpn_Spd*(1+ABS(A493)))),0)</f>
        <v>2</v>
      </c>
      <c r="F493" s="232">
        <f>IF(A493&gt;=0, DPS_Base_Recoil/(1+A493),DPS_Base_Recoil)</f>
        <v>0.01428571429</v>
      </c>
      <c r="G493" s="377">
        <f t="shared" si="7"/>
        <v>0.51</v>
      </c>
      <c r="H493" s="377">
        <f t="shared" si="8"/>
        <v>0.02352941176</v>
      </c>
      <c r="I493" s="104"/>
      <c r="J493" s="377">
        <f>MAX(0, Max(25,(DPS_Base_Range + ((DPS_Range_Stat) / 2))) / MIN(MAX(70, (70 * (1 + ($A493 / 3)))), 120))</f>
        <v>3.333333333</v>
      </c>
      <c r="K493" s="269">
        <f>IF(A493&lt;=DPS_Graph_Max,IF(A493&gt;=DPS_Graph_Speed_Min,A493,),)</f>
        <v>2.5</v>
      </c>
      <c r="M493" s="213">
        <f>If(DPS_Weapon_Type="远程",$E493/60+$F493*2,$E493/60+$F493+$G493/2+$H493)</f>
        <v>0.0619047619</v>
      </c>
      <c r="N493" s="104">
        <f>IF(DPS_Graph_Tooltip_Speed=TRUE,IF($A493&lt;=DPS_Graph_Max,IF($A493&gt;=DPS_Graph_Speed_Min,1/M493,),),)</f>
        <v>16.15384615</v>
      </c>
      <c r="R493" s="104" t="str">
        <f>IF(DPS_Graph_Tooltip_Speed=TRUE,IF($E$8=$A493,1/$N$6,),)</f>
        <v/>
      </c>
    </row>
    <row r="494">
      <c r="A494" s="370">
        <v>2.51</v>
      </c>
      <c r="B494" s="213">
        <f>If(DPS_Weapon_Type="远程",($E494+1)/60+(ROUNDDOWN($F494*60+1,0)/60)*2,(ROUNDDOWN(($E494+1)+ROUNDDOWN($F494*60+1,0)+ROUNDDOWN($G494/2*60+1,0)+ROUNDDOWN($H494*60+1,0)+1,0))/60+If(DPS_ATK_TYPE="挥砍",1/60)+If(DPS_ATK_TYPE="挥砍/刺击",1/120))+DPS_Weapon_Randomization/60</f>
        <v>0.105</v>
      </c>
      <c r="C494" s="104">
        <f>IF(DPS_Graph_True_Speed=TRUE,IF($A494&lt;=DPS_Graph_Max,IF($A494&gt;=DPS_Graph_Speed_Min,1/B494,),),)</f>
        <v>9.523809524</v>
      </c>
      <c r="D494" s="115" t="str">
        <f>IF(DPS_Graph_True_Speed=TRUE,IF($E$8=$A494,DPS_Attacks_P_Sec,),)</f>
        <v/>
      </c>
      <c r="E494" s="222">
        <f>ROUNDDOWN(MAX(2,IF(A494&gt;=0, DPS_Base_Wpn_Spd/(1+A494),DPS_Base_Wpn_Spd*(1+ABS(A494)))),0)</f>
        <v>2</v>
      </c>
      <c r="F494" s="232">
        <f>IF(A494&gt;=0, DPS_Base_Recoil/(1+A494),DPS_Base_Recoil)</f>
        <v>0.01424501425</v>
      </c>
      <c r="G494" s="377">
        <f t="shared" si="7"/>
        <v>0.51</v>
      </c>
      <c r="H494" s="377">
        <f t="shared" si="8"/>
        <v>0.02344665885</v>
      </c>
      <c r="I494" s="104"/>
      <c r="J494" s="377">
        <f>MAX(0, Max(25,(DPS_Base_Range + ((DPS_Range_Stat) / 2))) / MIN(MAX(70, (70 * (1 + ($A494 / 3)))), 120))</f>
        <v>3.333333333</v>
      </c>
      <c r="K494" s="269">
        <f>IF(A494&lt;=DPS_Graph_Max,IF(A494&gt;=DPS_Graph_Speed_Min,A494,),)</f>
        <v>2.51</v>
      </c>
      <c r="M494" s="213">
        <f>If(DPS_Weapon_Type="远程",$E494/60+$F494*2,$E494/60+$F494+$G494/2+$H494)</f>
        <v>0.06182336182</v>
      </c>
      <c r="N494" s="104">
        <f>IF(DPS_Graph_Tooltip_Speed=TRUE,IF($A494&lt;=DPS_Graph_Max,IF($A494&gt;=DPS_Graph_Speed_Min,1/M494,),),)</f>
        <v>16.17511521</v>
      </c>
      <c r="R494" s="104" t="str">
        <f>IF(DPS_Graph_Tooltip_Speed=TRUE,IF($E$8=$A494,1/$N$6,),)</f>
        <v/>
      </c>
    </row>
    <row r="495">
      <c r="A495" s="370">
        <v>2.52</v>
      </c>
      <c r="B495" s="213">
        <f>If(DPS_Weapon_Type="远程",($E495+1)/60+(ROUNDDOWN($F495*60+1,0)/60)*2,(ROUNDDOWN(($E495+1)+ROUNDDOWN($F495*60+1,0)+ROUNDDOWN($G495/2*60+1,0)+ROUNDDOWN($H495*60+1,0)+1,0))/60+If(DPS_ATK_TYPE="挥砍",1/60)+If(DPS_ATK_TYPE="挥砍/刺击",1/120))+DPS_Weapon_Randomization/60</f>
        <v>0.105</v>
      </c>
      <c r="C495" s="104">
        <f>IF(DPS_Graph_True_Speed=TRUE,IF($A495&lt;=DPS_Graph_Max,IF($A495&gt;=DPS_Graph_Speed_Min,1/B495,),),)</f>
        <v>9.523809524</v>
      </c>
      <c r="D495" s="115" t="str">
        <f>IF(DPS_Graph_True_Speed=TRUE,IF($E$8=$A495,DPS_Attacks_P_Sec,),)</f>
        <v/>
      </c>
      <c r="E495" s="222">
        <f>ROUNDDOWN(MAX(2,IF(A495&gt;=0, DPS_Base_Wpn_Spd/(1+A495),DPS_Base_Wpn_Spd*(1+ABS(A495)))),0)</f>
        <v>2</v>
      </c>
      <c r="F495" s="232">
        <f>IF(A495&gt;=0, DPS_Base_Recoil/(1+A495),DPS_Base_Recoil)</f>
        <v>0.01420454545</v>
      </c>
      <c r="G495" s="377">
        <f t="shared" si="7"/>
        <v>0.51</v>
      </c>
      <c r="H495" s="377">
        <f t="shared" si="8"/>
        <v>0.02336448598</v>
      </c>
      <c r="I495" s="104"/>
      <c r="J495" s="377">
        <f>MAX(0, Max(25,(DPS_Base_Range + ((DPS_Range_Stat) / 2))) / MIN(MAX(70, (70 * (1 + ($A495 / 3)))), 120))</f>
        <v>3.333333333</v>
      </c>
      <c r="K495" s="269">
        <f>IF(A495&lt;=DPS_Graph_Max,IF(A495&gt;=DPS_Graph_Speed_Min,A495,),)</f>
        <v>2.52</v>
      </c>
      <c r="M495" s="213">
        <f>If(DPS_Weapon_Type="远程",$E495/60+$F495*2,$E495/60+$F495+$G495/2+$H495)</f>
        <v>0.06174242424</v>
      </c>
      <c r="N495" s="104">
        <f>IF(DPS_Graph_Tooltip_Speed=TRUE,IF($A495&lt;=DPS_Graph_Max,IF($A495&gt;=DPS_Graph_Speed_Min,1/M495,),),)</f>
        <v>16.19631902</v>
      </c>
      <c r="R495" s="104" t="str">
        <f>IF(DPS_Graph_Tooltip_Speed=TRUE,IF($E$8=$A495,1/$N$6,),)</f>
        <v/>
      </c>
    </row>
    <row r="496">
      <c r="A496" s="370">
        <v>2.53</v>
      </c>
      <c r="B496" s="213">
        <f>If(DPS_Weapon_Type="远程",($E496+1)/60+(ROUNDDOWN($F496*60+1,0)/60)*2,(ROUNDDOWN(($E496+1)+ROUNDDOWN($F496*60+1,0)+ROUNDDOWN($G496/2*60+1,0)+ROUNDDOWN($H496*60+1,0)+1,0))/60+If(DPS_ATK_TYPE="挥砍",1/60)+If(DPS_ATK_TYPE="挥砍/刺击",1/120))+DPS_Weapon_Randomization/60</f>
        <v>0.105</v>
      </c>
      <c r="C496" s="104">
        <f>IF(DPS_Graph_True_Speed=TRUE,IF($A496&lt;=DPS_Graph_Max,IF($A496&gt;=DPS_Graph_Speed_Min,1/B496,),),)</f>
        <v>9.523809524</v>
      </c>
      <c r="D496" s="115" t="str">
        <f>IF(DPS_Graph_True_Speed=TRUE,IF($E$8=$A496,DPS_Attacks_P_Sec,),)</f>
        <v/>
      </c>
      <c r="E496" s="222">
        <f>ROUNDDOWN(MAX(2,IF(A496&gt;=0, DPS_Base_Wpn_Spd/(1+A496),DPS_Base_Wpn_Spd*(1+ABS(A496)))),0)</f>
        <v>2</v>
      </c>
      <c r="F496" s="232">
        <f>IF(A496&gt;=0, DPS_Base_Recoil/(1+A496),DPS_Base_Recoil)</f>
        <v>0.01416430595</v>
      </c>
      <c r="G496" s="377">
        <f t="shared" si="7"/>
        <v>0.51</v>
      </c>
      <c r="H496" s="377">
        <f t="shared" si="8"/>
        <v>0.02328288708</v>
      </c>
      <c r="I496" s="104"/>
      <c r="J496" s="377">
        <f>MAX(0, Max(25,(DPS_Base_Range + ((DPS_Range_Stat) / 2))) / MIN(MAX(70, (70 * (1 + ($A496 / 3)))), 120))</f>
        <v>3.333333333</v>
      </c>
      <c r="K496" s="269">
        <f>IF(A496&lt;=DPS_Graph_Max,IF(A496&gt;=DPS_Graph_Speed_Min,A496,),)</f>
        <v>2.53</v>
      </c>
      <c r="M496" s="213">
        <f>If(DPS_Weapon_Type="远程",$E496/60+$F496*2,$E496/60+$F496+$G496/2+$H496)</f>
        <v>0.06166194523</v>
      </c>
      <c r="N496" s="104">
        <f>IF(DPS_Graph_Tooltip_Speed=TRUE,IF($A496&lt;=DPS_Graph_Max,IF($A496&gt;=DPS_Graph_Speed_Min,1/M496,),),)</f>
        <v>16.21745789</v>
      </c>
      <c r="R496" s="104" t="str">
        <f>IF(DPS_Graph_Tooltip_Speed=TRUE,IF($E$8=$A496,1/$N$6,),)</f>
        <v/>
      </c>
    </row>
    <row r="497">
      <c r="A497" s="370">
        <v>2.54</v>
      </c>
      <c r="B497" s="213">
        <f>If(DPS_Weapon_Type="远程",($E497+1)/60+(ROUNDDOWN($F497*60+1,0)/60)*2,(ROUNDDOWN(($E497+1)+ROUNDDOWN($F497*60+1,0)+ROUNDDOWN($G497/2*60+1,0)+ROUNDDOWN($H497*60+1,0)+1,0))/60+If(DPS_ATK_TYPE="挥砍",1/60)+If(DPS_ATK_TYPE="挥砍/刺击",1/120))+DPS_Weapon_Randomization/60</f>
        <v>0.105</v>
      </c>
      <c r="C497" s="104">
        <f>IF(DPS_Graph_True_Speed=TRUE,IF($A497&lt;=DPS_Graph_Max,IF($A497&gt;=DPS_Graph_Speed_Min,1/B497,),),)</f>
        <v>9.523809524</v>
      </c>
      <c r="D497" s="115" t="str">
        <f>IF(DPS_Graph_True_Speed=TRUE,IF($E$8=$A497,DPS_Attacks_P_Sec,),)</f>
        <v/>
      </c>
      <c r="E497" s="222">
        <f>ROUNDDOWN(MAX(2,IF(A497&gt;=0, DPS_Base_Wpn_Spd/(1+A497),DPS_Base_Wpn_Spd*(1+ABS(A497)))),0)</f>
        <v>2</v>
      </c>
      <c r="F497" s="232">
        <f>IF(A497&gt;=0, DPS_Base_Recoil/(1+A497),DPS_Base_Recoil)</f>
        <v>0.01412429379</v>
      </c>
      <c r="G497" s="377">
        <f t="shared" si="7"/>
        <v>0.51</v>
      </c>
      <c r="H497" s="377">
        <f t="shared" si="8"/>
        <v>0.02320185615</v>
      </c>
      <c r="I497" s="104"/>
      <c r="J497" s="377">
        <f>MAX(0, Max(25,(DPS_Base_Range + ((DPS_Range_Stat) / 2))) / MIN(MAX(70, (70 * (1 + ($A497 / 3)))), 120))</f>
        <v>3.333333333</v>
      </c>
      <c r="K497" s="269">
        <f>IF(A497&lt;=DPS_Graph_Max,IF(A497&gt;=DPS_Graph_Speed_Min,A497,),)</f>
        <v>2.54</v>
      </c>
      <c r="M497" s="213">
        <f>If(DPS_Weapon_Type="远程",$E497/60+$F497*2,$E497/60+$F497+$G497/2+$H497)</f>
        <v>0.0615819209</v>
      </c>
      <c r="N497" s="104">
        <f>IF(DPS_Graph_Tooltip_Speed=TRUE,IF($A497&lt;=DPS_Graph_Max,IF($A497&gt;=DPS_Graph_Speed_Min,1/M497,),),)</f>
        <v>16.23853211</v>
      </c>
      <c r="R497" s="104" t="str">
        <f>IF(DPS_Graph_Tooltip_Speed=TRUE,IF($E$8=$A497,1/$N$6,),)</f>
        <v/>
      </c>
    </row>
    <row r="498">
      <c r="A498" s="370">
        <v>2.55</v>
      </c>
      <c r="B498" s="213">
        <f>If(DPS_Weapon_Type="远程",($E498+1)/60+(ROUNDDOWN($F498*60+1,0)/60)*2,(ROUNDDOWN(($E498+1)+ROUNDDOWN($F498*60+1,0)+ROUNDDOWN($G498/2*60+1,0)+ROUNDDOWN($H498*60+1,0)+1,0))/60+If(DPS_ATK_TYPE="挥砍",1/60)+If(DPS_ATK_TYPE="挥砍/刺击",1/120))+DPS_Weapon_Randomization/60</f>
        <v>0.105</v>
      </c>
      <c r="C498" s="104">
        <f>IF(DPS_Graph_True_Speed=TRUE,IF($A498&lt;=DPS_Graph_Max,IF($A498&gt;=DPS_Graph_Speed_Min,1/B498,),),)</f>
        <v>9.523809524</v>
      </c>
      <c r="D498" s="115" t="str">
        <f>IF(DPS_Graph_True_Speed=TRUE,IF($E$8=$A498,DPS_Attacks_P_Sec,),)</f>
        <v/>
      </c>
      <c r="E498" s="222">
        <f>ROUNDDOWN(MAX(2,IF(A498&gt;=0, DPS_Base_Wpn_Spd/(1+A498),DPS_Base_Wpn_Spd*(1+ABS(A498)))),0)</f>
        <v>2</v>
      </c>
      <c r="F498" s="232">
        <f>IF(A498&gt;=0, DPS_Base_Recoil/(1+A498),DPS_Base_Recoil)</f>
        <v>0.01408450704</v>
      </c>
      <c r="G498" s="377">
        <f t="shared" si="7"/>
        <v>0.51</v>
      </c>
      <c r="H498" s="377">
        <f t="shared" si="8"/>
        <v>0.02312138728</v>
      </c>
      <c r="I498" s="104"/>
      <c r="J498" s="377">
        <f>MAX(0, Max(25,(DPS_Base_Range + ((DPS_Range_Stat) / 2))) / MIN(MAX(70, (70 * (1 + ($A498 / 3)))), 120))</f>
        <v>3.333333333</v>
      </c>
      <c r="K498" s="269">
        <f>IF(A498&lt;=DPS_Graph_Max,IF(A498&gt;=DPS_Graph_Speed_Min,A498,),)</f>
        <v>2.55</v>
      </c>
      <c r="M498" s="213">
        <f>If(DPS_Weapon_Type="远程",$E498/60+$F498*2,$E498/60+$F498+$G498/2+$H498)</f>
        <v>0.06150234742</v>
      </c>
      <c r="N498" s="104">
        <f>IF(DPS_Graph_Tooltip_Speed=TRUE,IF($A498&lt;=DPS_Graph_Max,IF($A498&gt;=DPS_Graph_Speed_Min,1/M498,),),)</f>
        <v>16.25954198</v>
      </c>
      <c r="R498" s="104" t="str">
        <f>IF(DPS_Graph_Tooltip_Speed=TRUE,IF($E$8=$A498,1/$N$6,),)</f>
        <v/>
      </c>
    </row>
    <row r="499">
      <c r="A499" s="370">
        <v>2.56</v>
      </c>
      <c r="B499" s="213">
        <f>If(DPS_Weapon_Type="远程",($E499+1)/60+(ROUNDDOWN($F499*60+1,0)/60)*2,(ROUNDDOWN(($E499+1)+ROUNDDOWN($F499*60+1,0)+ROUNDDOWN($G499/2*60+1,0)+ROUNDDOWN($H499*60+1,0)+1,0))/60+If(DPS_ATK_TYPE="挥砍",1/60)+If(DPS_ATK_TYPE="挥砍/刺击",1/120))+DPS_Weapon_Randomization/60</f>
        <v>0.105</v>
      </c>
      <c r="C499" s="104">
        <f>IF(DPS_Graph_True_Speed=TRUE,IF($A499&lt;=DPS_Graph_Max,IF($A499&gt;=DPS_Graph_Speed_Min,1/B499,),),)</f>
        <v>9.523809524</v>
      </c>
      <c r="D499" s="115" t="str">
        <f>IF(DPS_Graph_True_Speed=TRUE,IF($E$8=$A499,DPS_Attacks_P_Sec,),)</f>
        <v/>
      </c>
      <c r="E499" s="222">
        <f>ROUNDDOWN(MAX(2,IF(A499&gt;=0, DPS_Base_Wpn_Spd/(1+A499),DPS_Base_Wpn_Spd*(1+ABS(A499)))),0)</f>
        <v>2</v>
      </c>
      <c r="F499" s="232">
        <f>IF(A499&gt;=0, DPS_Base_Recoil/(1+A499),DPS_Base_Recoil)</f>
        <v>0.01404494382</v>
      </c>
      <c r="G499" s="377">
        <f t="shared" si="7"/>
        <v>0.51</v>
      </c>
      <c r="H499" s="377">
        <f t="shared" si="8"/>
        <v>0.02304147465</v>
      </c>
      <c r="I499" s="104"/>
      <c r="J499" s="377">
        <f>MAX(0, Max(25,(DPS_Base_Range + ((DPS_Range_Stat) / 2))) / MIN(MAX(70, (70 * (1 + ($A499 / 3)))), 120))</f>
        <v>3.333333333</v>
      </c>
      <c r="K499" s="269">
        <f>IF(A499&lt;=DPS_Graph_Max,IF(A499&gt;=DPS_Graph_Speed_Min,A499,),)</f>
        <v>2.56</v>
      </c>
      <c r="M499" s="213">
        <f>If(DPS_Weapon_Type="远程",$E499/60+$F499*2,$E499/60+$F499+$G499/2+$H499)</f>
        <v>0.06142322097</v>
      </c>
      <c r="N499" s="104">
        <f>IF(DPS_Graph_Tooltip_Speed=TRUE,IF($A499&lt;=DPS_Graph_Max,IF($A499&gt;=DPS_Graph_Speed_Min,1/M499,),),)</f>
        <v>16.2804878</v>
      </c>
      <c r="R499" s="104" t="str">
        <f>IF(DPS_Graph_Tooltip_Speed=TRUE,IF($E$8=$A499,1/$N$6,),)</f>
        <v/>
      </c>
    </row>
    <row r="500">
      <c r="A500" s="370">
        <v>2.57</v>
      </c>
      <c r="B500" s="213">
        <f>If(DPS_Weapon_Type="远程",($E500+1)/60+(ROUNDDOWN($F500*60+1,0)/60)*2,(ROUNDDOWN(($E500+1)+ROUNDDOWN($F500*60+1,0)+ROUNDDOWN($G500/2*60+1,0)+ROUNDDOWN($H500*60+1,0)+1,0))/60+If(DPS_ATK_TYPE="挥砍",1/60)+If(DPS_ATK_TYPE="挥砍/刺击",1/120))+DPS_Weapon_Randomization/60</f>
        <v>0.105</v>
      </c>
      <c r="C500" s="104">
        <f>IF(DPS_Graph_True_Speed=TRUE,IF($A500&lt;=DPS_Graph_Max,IF($A500&gt;=DPS_Graph_Speed_Min,1/B500,),),)</f>
        <v>9.523809524</v>
      </c>
      <c r="D500" s="115" t="str">
        <f>IF(DPS_Graph_True_Speed=TRUE,IF($E$8=$A500,DPS_Attacks_P_Sec,),)</f>
        <v/>
      </c>
      <c r="E500" s="222">
        <f>ROUNDDOWN(MAX(2,IF(A500&gt;=0, DPS_Base_Wpn_Spd/(1+A500),DPS_Base_Wpn_Spd*(1+ABS(A500)))),0)</f>
        <v>2</v>
      </c>
      <c r="F500" s="232">
        <f>IF(A500&gt;=0, DPS_Base_Recoil/(1+A500),DPS_Base_Recoil)</f>
        <v>0.01400560224</v>
      </c>
      <c r="G500" s="377">
        <f t="shared" si="7"/>
        <v>0.51</v>
      </c>
      <c r="H500" s="377">
        <f t="shared" si="8"/>
        <v>0.02296211251</v>
      </c>
      <c r="I500" s="104"/>
      <c r="J500" s="377">
        <f>MAX(0, Max(25,(DPS_Base_Range + ((DPS_Range_Stat) / 2))) / MIN(MAX(70, (70 * (1 + ($A500 / 3)))), 120))</f>
        <v>3.333333333</v>
      </c>
      <c r="K500" s="269">
        <f>IF(A500&lt;=DPS_Graph_Max,IF(A500&gt;=DPS_Graph_Speed_Min,A500,),)</f>
        <v>2.57</v>
      </c>
      <c r="M500" s="213">
        <f>If(DPS_Weapon_Type="远程",$E500/60+$F500*2,$E500/60+$F500+$G500/2+$H500)</f>
        <v>0.06134453782</v>
      </c>
      <c r="N500" s="104">
        <f>IF(DPS_Graph_Tooltip_Speed=TRUE,IF($A500&lt;=DPS_Graph_Max,IF($A500&gt;=DPS_Graph_Speed_Min,1/M500,),),)</f>
        <v>16.30136986</v>
      </c>
      <c r="R500" s="104" t="str">
        <f>IF(DPS_Graph_Tooltip_Speed=TRUE,IF($E$8=$A500,1/$N$6,),)</f>
        <v/>
      </c>
    </row>
    <row r="501">
      <c r="A501" s="370">
        <v>2.58</v>
      </c>
      <c r="B501" s="213">
        <f>If(DPS_Weapon_Type="远程",($E501+1)/60+(ROUNDDOWN($F501*60+1,0)/60)*2,(ROUNDDOWN(($E501+1)+ROUNDDOWN($F501*60+1,0)+ROUNDDOWN($G501/2*60+1,0)+ROUNDDOWN($H501*60+1,0)+1,0))/60+If(DPS_ATK_TYPE="挥砍",1/60)+If(DPS_ATK_TYPE="挥砍/刺击",1/120))+DPS_Weapon_Randomization/60</f>
        <v>0.105</v>
      </c>
      <c r="C501" s="104">
        <f>IF(DPS_Graph_True_Speed=TRUE,IF($A501&lt;=DPS_Graph_Max,IF($A501&gt;=DPS_Graph_Speed_Min,1/B501,),),)</f>
        <v>9.523809524</v>
      </c>
      <c r="D501" s="115" t="str">
        <f>IF(DPS_Graph_True_Speed=TRUE,IF($E$8=$A501,DPS_Attacks_P_Sec,),)</f>
        <v/>
      </c>
      <c r="E501" s="222">
        <f>ROUNDDOWN(MAX(2,IF(A501&gt;=0, DPS_Base_Wpn_Spd/(1+A501),DPS_Base_Wpn_Spd*(1+ABS(A501)))),0)</f>
        <v>2</v>
      </c>
      <c r="F501" s="232">
        <f>IF(A501&gt;=0, DPS_Base_Recoil/(1+A501),DPS_Base_Recoil)</f>
        <v>0.01396648045</v>
      </c>
      <c r="G501" s="377">
        <f t="shared" si="7"/>
        <v>0.51</v>
      </c>
      <c r="H501" s="377">
        <f t="shared" si="8"/>
        <v>0.02288329519</v>
      </c>
      <c r="I501" s="104"/>
      <c r="J501" s="377">
        <f>MAX(0, Max(25,(DPS_Base_Range + ((DPS_Range_Stat) / 2))) / MIN(MAX(70, (70 * (1 + ($A501 / 3)))), 120))</f>
        <v>3.333333333</v>
      </c>
      <c r="K501" s="269">
        <f>IF(A501&lt;=DPS_Graph_Max,IF(A501&gt;=DPS_Graph_Speed_Min,A501,),)</f>
        <v>2.58</v>
      </c>
      <c r="M501" s="213">
        <f>If(DPS_Weapon_Type="远程",$E501/60+$F501*2,$E501/60+$F501+$G501/2+$H501)</f>
        <v>0.06126629423</v>
      </c>
      <c r="N501" s="104">
        <f>IF(DPS_Graph_Tooltip_Speed=TRUE,IF($A501&lt;=DPS_Graph_Max,IF($A501&gt;=DPS_Graph_Speed_Min,1/M501,),),)</f>
        <v>16.32218845</v>
      </c>
      <c r="R501" s="104" t="str">
        <f>IF(DPS_Graph_Tooltip_Speed=TRUE,IF($E$8=$A501,1/$N$6,),)</f>
        <v/>
      </c>
    </row>
    <row r="502">
      <c r="A502" s="370">
        <v>2.59</v>
      </c>
      <c r="B502" s="213">
        <f>If(DPS_Weapon_Type="远程",($E502+1)/60+(ROUNDDOWN($F502*60+1,0)/60)*2,(ROUNDDOWN(($E502+1)+ROUNDDOWN($F502*60+1,0)+ROUNDDOWN($G502/2*60+1,0)+ROUNDDOWN($H502*60+1,0)+1,0))/60+If(DPS_ATK_TYPE="挥砍",1/60)+If(DPS_ATK_TYPE="挥砍/刺击",1/120))+DPS_Weapon_Randomization/60</f>
        <v>0.105</v>
      </c>
      <c r="C502" s="104">
        <f>IF(DPS_Graph_True_Speed=TRUE,IF($A502&lt;=DPS_Graph_Max,IF($A502&gt;=DPS_Graph_Speed_Min,1/B502,),),)</f>
        <v>9.523809524</v>
      </c>
      <c r="D502" s="115" t="str">
        <f>IF(DPS_Graph_True_Speed=TRUE,IF($E$8=$A502,DPS_Attacks_P_Sec,),)</f>
        <v/>
      </c>
      <c r="E502" s="222">
        <f>ROUNDDOWN(MAX(2,IF(A502&gt;=0, DPS_Base_Wpn_Spd/(1+A502),DPS_Base_Wpn_Spd*(1+ABS(A502)))),0)</f>
        <v>2</v>
      </c>
      <c r="F502" s="232">
        <f>IF(A502&gt;=0, DPS_Base_Recoil/(1+A502),DPS_Base_Recoil)</f>
        <v>0.0139275766</v>
      </c>
      <c r="G502" s="377">
        <f t="shared" si="7"/>
        <v>0.51</v>
      </c>
      <c r="H502" s="377">
        <f t="shared" si="8"/>
        <v>0.0228050171</v>
      </c>
      <c r="I502" s="104"/>
      <c r="J502" s="377">
        <f>MAX(0, Max(25,(DPS_Base_Range + ((DPS_Range_Stat) / 2))) / MIN(MAX(70, (70 * (1 + ($A502 / 3)))), 120))</f>
        <v>3.333333333</v>
      </c>
      <c r="K502" s="269">
        <f>IF(A502&lt;=DPS_Graph_Max,IF(A502&gt;=DPS_Graph_Speed_Min,A502,),)</f>
        <v>2.59</v>
      </c>
      <c r="M502" s="213">
        <f>If(DPS_Weapon_Type="远程",$E502/60+$F502*2,$E502/60+$F502+$G502/2+$H502)</f>
        <v>0.06118848654</v>
      </c>
      <c r="N502" s="104">
        <f>IF(DPS_Graph_Tooltip_Speed=TRUE,IF($A502&lt;=DPS_Graph_Max,IF($A502&gt;=DPS_Graph_Speed_Min,1/M502,),),)</f>
        <v>16.34294385</v>
      </c>
      <c r="R502" s="104" t="str">
        <f>IF(DPS_Graph_Tooltip_Speed=TRUE,IF($E$8=$A502,1/$N$6,),)</f>
        <v/>
      </c>
    </row>
    <row r="503">
      <c r="A503" s="370">
        <v>2.6</v>
      </c>
      <c r="B503" s="213">
        <f>If(DPS_Weapon_Type="远程",($E503+1)/60+(ROUNDDOWN($F503*60+1,0)/60)*2,(ROUNDDOWN(($E503+1)+ROUNDDOWN($F503*60+1,0)+ROUNDDOWN($G503/2*60+1,0)+ROUNDDOWN($H503*60+1,0)+1,0))/60+If(DPS_ATK_TYPE="挥砍",1/60)+If(DPS_ATK_TYPE="挥砍/刺击",1/120))+DPS_Weapon_Randomization/60</f>
        <v>0.105</v>
      </c>
      <c r="C503" s="104">
        <f>IF(DPS_Graph_True_Speed=TRUE,IF($A503&lt;=DPS_Graph_Max,IF($A503&gt;=DPS_Graph_Speed_Min,1/B503,),),)</f>
        <v>9.523809524</v>
      </c>
      <c r="D503" s="115" t="str">
        <f>IF(DPS_Graph_True_Speed=TRUE,IF($E$8=$A503,DPS_Attacks_P_Sec,),)</f>
        <v/>
      </c>
      <c r="E503" s="222">
        <f>ROUNDDOWN(MAX(2,IF(A503&gt;=0, DPS_Base_Wpn_Spd/(1+A503),DPS_Base_Wpn_Spd*(1+ABS(A503)))),0)</f>
        <v>2</v>
      </c>
      <c r="F503" s="232">
        <f>IF(A503&gt;=0, DPS_Base_Recoil/(1+A503),DPS_Base_Recoil)</f>
        <v>0.01388888889</v>
      </c>
      <c r="G503" s="377">
        <f t="shared" si="7"/>
        <v>0.51</v>
      </c>
      <c r="H503" s="377">
        <f t="shared" si="8"/>
        <v>0.02272727273</v>
      </c>
      <c r="I503" s="104"/>
      <c r="J503" s="377">
        <f>MAX(0, Max(25,(DPS_Base_Range + ((DPS_Range_Stat) / 2))) / MIN(MAX(70, (70 * (1 + ($A503 / 3)))), 120))</f>
        <v>3.333333333</v>
      </c>
      <c r="K503" s="269">
        <f>IF(A503&lt;=DPS_Graph_Max,IF(A503&gt;=DPS_Graph_Speed_Min,A503,),)</f>
        <v>2.6</v>
      </c>
      <c r="M503" s="213">
        <f>If(DPS_Weapon_Type="远程",$E503/60+$F503*2,$E503/60+$F503+$G503/2+$H503)</f>
        <v>0.06111111111</v>
      </c>
      <c r="N503" s="104">
        <f>IF(DPS_Graph_Tooltip_Speed=TRUE,IF($A503&lt;=DPS_Graph_Max,IF($A503&gt;=DPS_Graph_Speed_Min,1/M503,),),)</f>
        <v>16.36363636</v>
      </c>
      <c r="R503" s="104" t="str">
        <f>IF(DPS_Graph_Tooltip_Speed=TRUE,IF($E$8=$A503,1/$N$6,),)</f>
        <v/>
      </c>
    </row>
    <row r="504">
      <c r="A504" s="370">
        <v>2.61</v>
      </c>
      <c r="B504" s="213">
        <f>If(DPS_Weapon_Type="远程",($E504+1)/60+(ROUNDDOWN($F504*60+1,0)/60)*2,(ROUNDDOWN(($E504+1)+ROUNDDOWN($F504*60+1,0)+ROUNDDOWN($G504/2*60+1,0)+ROUNDDOWN($H504*60+1,0)+1,0))/60+If(DPS_ATK_TYPE="挥砍",1/60)+If(DPS_ATK_TYPE="挥砍/刺击",1/120))+DPS_Weapon_Randomization/60</f>
        <v>0.105</v>
      </c>
      <c r="C504" s="104">
        <f>IF(DPS_Graph_True_Speed=TRUE,IF($A504&lt;=DPS_Graph_Max,IF($A504&gt;=DPS_Graph_Speed_Min,1/B504,),),)</f>
        <v>9.523809524</v>
      </c>
      <c r="D504" s="115" t="str">
        <f>IF(DPS_Graph_True_Speed=TRUE,IF($E$8=$A504,DPS_Attacks_P_Sec,),)</f>
        <v/>
      </c>
      <c r="E504" s="222">
        <f>ROUNDDOWN(MAX(2,IF(A504&gt;=0, DPS_Base_Wpn_Spd/(1+A504),DPS_Base_Wpn_Spd*(1+ABS(A504)))),0)</f>
        <v>2</v>
      </c>
      <c r="F504" s="232">
        <f>IF(A504&gt;=0, DPS_Base_Recoil/(1+A504),DPS_Base_Recoil)</f>
        <v>0.01385041551</v>
      </c>
      <c r="G504" s="377">
        <f t="shared" si="7"/>
        <v>0.51</v>
      </c>
      <c r="H504" s="377">
        <f t="shared" si="8"/>
        <v>0.02265005663</v>
      </c>
      <c r="I504" s="104"/>
      <c r="J504" s="377">
        <f>MAX(0, Max(25,(DPS_Base_Range + ((DPS_Range_Stat) / 2))) / MIN(MAX(70, (70 * (1 + ($A504 / 3)))), 120))</f>
        <v>3.333333333</v>
      </c>
      <c r="K504" s="269">
        <f>IF(A504&lt;=DPS_Graph_Max,IF(A504&gt;=DPS_Graph_Speed_Min,A504,),)</f>
        <v>2.61</v>
      </c>
      <c r="M504" s="213">
        <f>If(DPS_Weapon_Type="远程",$E504/60+$F504*2,$E504/60+$F504+$G504/2+$H504)</f>
        <v>0.06103416436</v>
      </c>
      <c r="N504" s="104">
        <f>IF(DPS_Graph_Tooltip_Speed=TRUE,IF($A504&lt;=DPS_Graph_Max,IF($A504&gt;=DPS_Graph_Speed_Min,1/M504,),),)</f>
        <v>16.38426626</v>
      </c>
      <c r="R504" s="104" t="str">
        <f>IF(DPS_Graph_Tooltip_Speed=TRUE,IF($E$8=$A504,1/$N$6,),)</f>
        <v/>
      </c>
    </row>
    <row r="505">
      <c r="A505" s="370">
        <v>2.62</v>
      </c>
      <c r="B505" s="213">
        <f>If(DPS_Weapon_Type="远程",($E505+1)/60+(ROUNDDOWN($F505*60+1,0)/60)*2,(ROUNDDOWN(($E505+1)+ROUNDDOWN($F505*60+1,0)+ROUNDDOWN($G505/2*60+1,0)+ROUNDDOWN($H505*60+1,0)+1,0))/60+If(DPS_ATK_TYPE="挥砍",1/60)+If(DPS_ATK_TYPE="挥砍/刺击",1/120))+DPS_Weapon_Randomization/60</f>
        <v>0.105</v>
      </c>
      <c r="C505" s="104">
        <f>IF(DPS_Graph_True_Speed=TRUE,IF($A505&lt;=DPS_Graph_Max,IF($A505&gt;=DPS_Graph_Speed_Min,1/B505,),),)</f>
        <v>9.523809524</v>
      </c>
      <c r="D505" s="115" t="str">
        <f>IF(DPS_Graph_True_Speed=TRUE,IF($E$8=$A505,DPS_Attacks_P_Sec,),)</f>
        <v/>
      </c>
      <c r="E505" s="222">
        <f>ROUNDDOWN(MAX(2,IF(A505&gt;=0, DPS_Base_Wpn_Spd/(1+A505),DPS_Base_Wpn_Spd*(1+ABS(A505)))),0)</f>
        <v>2</v>
      </c>
      <c r="F505" s="232">
        <f>IF(A505&gt;=0, DPS_Base_Recoil/(1+A505),DPS_Base_Recoil)</f>
        <v>0.0138121547</v>
      </c>
      <c r="G505" s="377">
        <f t="shared" si="7"/>
        <v>0.51</v>
      </c>
      <c r="H505" s="377">
        <f t="shared" si="8"/>
        <v>0.02257336343</v>
      </c>
      <c r="I505" s="104"/>
      <c r="J505" s="377">
        <f>MAX(0, Max(25,(DPS_Base_Range + ((DPS_Range_Stat) / 2))) / MIN(MAX(70, (70 * (1 + ($A505 / 3)))), 120))</f>
        <v>3.333333333</v>
      </c>
      <c r="K505" s="269">
        <f>IF(A505&lt;=DPS_Graph_Max,IF(A505&gt;=DPS_Graph_Speed_Min,A505,),)</f>
        <v>2.62</v>
      </c>
      <c r="M505" s="213">
        <f>If(DPS_Weapon_Type="远程",$E505/60+$F505*2,$E505/60+$F505+$G505/2+$H505)</f>
        <v>0.06095764273</v>
      </c>
      <c r="N505" s="104">
        <f>IF(DPS_Graph_Tooltip_Speed=TRUE,IF($A505&lt;=DPS_Graph_Max,IF($A505&gt;=DPS_Graph_Speed_Min,1/M505,),),)</f>
        <v>16.40483384</v>
      </c>
      <c r="R505" s="104" t="str">
        <f>IF(DPS_Graph_Tooltip_Speed=TRUE,IF($E$8=$A505,1/$N$6,),)</f>
        <v/>
      </c>
    </row>
    <row r="506">
      <c r="A506" s="370">
        <v>2.63</v>
      </c>
      <c r="B506" s="213">
        <f>If(DPS_Weapon_Type="远程",($E506+1)/60+(ROUNDDOWN($F506*60+1,0)/60)*2,(ROUNDDOWN(($E506+1)+ROUNDDOWN($F506*60+1,0)+ROUNDDOWN($G506/2*60+1,0)+ROUNDDOWN($H506*60+1,0)+1,0))/60+If(DPS_ATK_TYPE="挥砍",1/60)+If(DPS_ATK_TYPE="挥砍/刺击",1/120))+DPS_Weapon_Randomization/60</f>
        <v>0.105</v>
      </c>
      <c r="C506" s="104">
        <f>IF(DPS_Graph_True_Speed=TRUE,IF($A506&lt;=DPS_Graph_Max,IF($A506&gt;=DPS_Graph_Speed_Min,1/B506,),),)</f>
        <v>9.523809524</v>
      </c>
      <c r="D506" s="115" t="str">
        <f>IF(DPS_Graph_True_Speed=TRUE,IF($E$8=$A506,DPS_Attacks_P_Sec,),)</f>
        <v/>
      </c>
      <c r="E506" s="222">
        <f>ROUNDDOWN(MAX(2,IF(A506&gt;=0, DPS_Base_Wpn_Spd/(1+A506),DPS_Base_Wpn_Spd*(1+ABS(A506)))),0)</f>
        <v>2</v>
      </c>
      <c r="F506" s="232">
        <f>IF(A506&gt;=0, DPS_Base_Recoil/(1+A506),DPS_Base_Recoil)</f>
        <v>0.01377410468</v>
      </c>
      <c r="G506" s="377">
        <f t="shared" si="7"/>
        <v>0.51</v>
      </c>
      <c r="H506" s="377">
        <f t="shared" si="8"/>
        <v>0.02249718785</v>
      </c>
      <c r="I506" s="104"/>
      <c r="J506" s="377">
        <f>MAX(0, Max(25,(DPS_Base_Range + ((DPS_Range_Stat) / 2))) / MIN(MAX(70, (70 * (1 + ($A506 / 3)))), 120))</f>
        <v>3.333333333</v>
      </c>
      <c r="K506" s="269">
        <f>IF(A506&lt;=DPS_Graph_Max,IF(A506&gt;=DPS_Graph_Speed_Min,A506,),)</f>
        <v>2.63</v>
      </c>
      <c r="M506" s="213">
        <f>If(DPS_Weapon_Type="远程",$E506/60+$F506*2,$E506/60+$F506+$G506/2+$H506)</f>
        <v>0.0608815427</v>
      </c>
      <c r="N506" s="104">
        <f>IF(DPS_Graph_Tooltip_Speed=TRUE,IF($A506&lt;=DPS_Graph_Max,IF($A506&gt;=DPS_Graph_Speed_Min,1/M506,),),)</f>
        <v>16.42533937</v>
      </c>
      <c r="R506" s="104" t="str">
        <f>IF(DPS_Graph_Tooltip_Speed=TRUE,IF($E$8=$A506,1/$N$6,),)</f>
        <v/>
      </c>
    </row>
    <row r="507">
      <c r="A507" s="370">
        <v>2.64</v>
      </c>
      <c r="B507" s="213">
        <f>If(DPS_Weapon_Type="远程",($E507+1)/60+(ROUNDDOWN($F507*60+1,0)/60)*2,(ROUNDDOWN(($E507+1)+ROUNDDOWN($F507*60+1,0)+ROUNDDOWN($G507/2*60+1,0)+ROUNDDOWN($H507*60+1,0)+1,0))/60+If(DPS_ATK_TYPE="挥砍",1/60)+If(DPS_ATK_TYPE="挥砍/刺击",1/120))+DPS_Weapon_Randomization/60</f>
        <v>0.105</v>
      </c>
      <c r="C507" s="104">
        <f>IF(DPS_Graph_True_Speed=TRUE,IF($A507&lt;=DPS_Graph_Max,IF($A507&gt;=DPS_Graph_Speed_Min,1/B507,),),)</f>
        <v>9.523809524</v>
      </c>
      <c r="D507" s="115" t="str">
        <f>IF(DPS_Graph_True_Speed=TRUE,IF($E$8=$A507,DPS_Attacks_P_Sec,),)</f>
        <v/>
      </c>
      <c r="E507" s="222">
        <f>ROUNDDOWN(MAX(2,IF(A507&gt;=0, DPS_Base_Wpn_Spd/(1+A507),DPS_Base_Wpn_Spd*(1+ABS(A507)))),0)</f>
        <v>2</v>
      </c>
      <c r="F507" s="232">
        <f>IF(A507&gt;=0, DPS_Base_Recoil/(1+A507),DPS_Base_Recoil)</f>
        <v>0.01373626374</v>
      </c>
      <c r="G507" s="377">
        <f t="shared" si="7"/>
        <v>0.51</v>
      </c>
      <c r="H507" s="377">
        <f t="shared" si="8"/>
        <v>0.02242152466</v>
      </c>
      <c r="I507" s="104"/>
      <c r="J507" s="377">
        <f>MAX(0, Max(25,(DPS_Base_Range + ((DPS_Range_Stat) / 2))) / MIN(MAX(70, (70 * (1 + ($A507 / 3)))), 120))</f>
        <v>3.333333333</v>
      </c>
      <c r="K507" s="269">
        <f>IF(A507&lt;=DPS_Graph_Max,IF(A507&gt;=DPS_Graph_Speed_Min,A507,),)</f>
        <v>2.64</v>
      </c>
      <c r="M507" s="213">
        <f>If(DPS_Weapon_Type="远程",$E507/60+$F507*2,$E507/60+$F507+$G507/2+$H507)</f>
        <v>0.06080586081</v>
      </c>
      <c r="N507" s="104">
        <f>IF(DPS_Graph_Tooltip_Speed=TRUE,IF($A507&lt;=DPS_Graph_Max,IF($A507&gt;=DPS_Graph_Speed_Min,1/M507,),),)</f>
        <v>16.44578313</v>
      </c>
      <c r="R507" s="104" t="str">
        <f>IF(DPS_Graph_Tooltip_Speed=TRUE,IF($E$8=$A507,1/$N$6,),)</f>
        <v/>
      </c>
    </row>
    <row r="508">
      <c r="A508" s="370">
        <v>2.65</v>
      </c>
      <c r="B508" s="213">
        <f>If(DPS_Weapon_Type="远程",($E508+1)/60+(ROUNDDOWN($F508*60+1,0)/60)*2,(ROUNDDOWN(($E508+1)+ROUNDDOWN($F508*60+1,0)+ROUNDDOWN($G508/2*60+1,0)+ROUNDDOWN($H508*60+1,0)+1,0))/60+If(DPS_ATK_TYPE="挥砍",1/60)+If(DPS_ATK_TYPE="挥砍/刺击",1/120))+DPS_Weapon_Randomization/60</f>
        <v>0.105</v>
      </c>
      <c r="C508" s="104">
        <f>IF(DPS_Graph_True_Speed=TRUE,IF($A508&lt;=DPS_Graph_Max,IF($A508&gt;=DPS_Graph_Speed_Min,1/B508,),),)</f>
        <v>9.523809524</v>
      </c>
      <c r="D508" s="115" t="str">
        <f>IF(DPS_Graph_True_Speed=TRUE,IF($E$8=$A508,DPS_Attacks_P_Sec,),)</f>
        <v/>
      </c>
      <c r="E508" s="222">
        <f>ROUNDDOWN(MAX(2,IF(A508&gt;=0, DPS_Base_Wpn_Spd/(1+A508),DPS_Base_Wpn_Spd*(1+ABS(A508)))),0)</f>
        <v>2</v>
      </c>
      <c r="F508" s="232">
        <f>IF(A508&gt;=0, DPS_Base_Recoil/(1+A508),DPS_Base_Recoil)</f>
        <v>0.01369863014</v>
      </c>
      <c r="G508" s="377">
        <f t="shared" si="7"/>
        <v>0.51</v>
      </c>
      <c r="H508" s="377">
        <f t="shared" si="8"/>
        <v>0.02234636872</v>
      </c>
      <c r="I508" s="104"/>
      <c r="J508" s="377">
        <f>MAX(0, Max(25,(DPS_Base_Range + ((DPS_Range_Stat) / 2))) / MIN(MAX(70, (70 * (1 + ($A508 / 3)))), 120))</f>
        <v>3.333333333</v>
      </c>
      <c r="K508" s="269">
        <f>IF(A508&lt;=DPS_Graph_Max,IF(A508&gt;=DPS_Graph_Speed_Min,A508,),)</f>
        <v>2.65</v>
      </c>
      <c r="M508" s="213">
        <f>If(DPS_Weapon_Type="远程",$E508/60+$F508*2,$E508/60+$F508+$G508/2+$H508)</f>
        <v>0.06073059361</v>
      </c>
      <c r="N508" s="104">
        <f>IF(DPS_Graph_Tooltip_Speed=TRUE,IF($A508&lt;=DPS_Graph_Max,IF($A508&gt;=DPS_Graph_Speed_Min,1/M508,),),)</f>
        <v>16.46616541</v>
      </c>
      <c r="R508" s="104" t="str">
        <f>IF(DPS_Graph_Tooltip_Speed=TRUE,IF($E$8=$A508,1/$N$6,),)</f>
        <v/>
      </c>
    </row>
    <row r="509">
      <c r="A509" s="370">
        <v>2.66</v>
      </c>
      <c r="B509" s="213">
        <f>If(DPS_Weapon_Type="远程",($E509+1)/60+(ROUNDDOWN($F509*60+1,0)/60)*2,(ROUNDDOWN(($E509+1)+ROUNDDOWN($F509*60+1,0)+ROUNDDOWN($G509/2*60+1,0)+ROUNDDOWN($H509*60+1,0)+1,0))/60+If(DPS_ATK_TYPE="挥砍",1/60)+If(DPS_ATK_TYPE="挥砍/刺击",1/120))+DPS_Weapon_Randomization/60</f>
        <v>0.105</v>
      </c>
      <c r="C509" s="104">
        <f>IF(DPS_Graph_True_Speed=TRUE,IF($A509&lt;=DPS_Graph_Max,IF($A509&gt;=DPS_Graph_Speed_Min,1/B509,),),)</f>
        <v>9.523809524</v>
      </c>
      <c r="D509" s="115" t="str">
        <f>IF(DPS_Graph_True_Speed=TRUE,IF($E$8=$A509,DPS_Attacks_P_Sec,),)</f>
        <v/>
      </c>
      <c r="E509" s="222">
        <f>ROUNDDOWN(MAX(2,IF(A509&gt;=0, DPS_Base_Wpn_Spd/(1+A509),DPS_Base_Wpn_Spd*(1+ABS(A509)))),0)</f>
        <v>2</v>
      </c>
      <c r="F509" s="232">
        <f>IF(A509&gt;=0, DPS_Base_Recoil/(1+A509),DPS_Base_Recoil)</f>
        <v>0.01366120219</v>
      </c>
      <c r="G509" s="377">
        <f t="shared" si="7"/>
        <v>0.51</v>
      </c>
      <c r="H509" s="377">
        <f t="shared" si="8"/>
        <v>0.02227171492</v>
      </c>
      <c r="I509" s="104"/>
      <c r="J509" s="377">
        <f>MAX(0, Max(25,(DPS_Base_Range + ((DPS_Range_Stat) / 2))) / MIN(MAX(70, (70 * (1 + ($A509 / 3)))), 120))</f>
        <v>3.333333333</v>
      </c>
      <c r="K509" s="269">
        <f>IF(A509&lt;=DPS_Graph_Max,IF(A509&gt;=DPS_Graph_Speed_Min,A509,),)</f>
        <v>2.66</v>
      </c>
      <c r="M509" s="213">
        <f>If(DPS_Weapon_Type="远程",$E509/60+$F509*2,$E509/60+$F509+$G509/2+$H509)</f>
        <v>0.0606557377</v>
      </c>
      <c r="N509" s="104">
        <f>IF(DPS_Graph_Tooltip_Speed=TRUE,IF($A509&lt;=DPS_Graph_Max,IF($A509&gt;=DPS_Graph_Speed_Min,1/M509,),),)</f>
        <v>16.48648649</v>
      </c>
      <c r="R509" s="104" t="str">
        <f>IF(DPS_Graph_Tooltip_Speed=TRUE,IF($E$8=$A509,1/$N$6,),)</f>
        <v/>
      </c>
    </row>
    <row r="510">
      <c r="A510" s="370">
        <v>2.67</v>
      </c>
      <c r="B510" s="213">
        <f>If(DPS_Weapon_Type="远程",($E510+1)/60+(ROUNDDOWN($F510*60+1,0)/60)*2,(ROUNDDOWN(($E510+1)+ROUNDDOWN($F510*60+1,0)+ROUNDDOWN($G510/2*60+1,0)+ROUNDDOWN($H510*60+1,0)+1,0))/60+If(DPS_ATK_TYPE="挥砍",1/60)+If(DPS_ATK_TYPE="挥砍/刺击",1/120))+DPS_Weapon_Randomization/60</f>
        <v>0.105</v>
      </c>
      <c r="C510" s="104">
        <f>IF(DPS_Graph_True_Speed=TRUE,IF($A510&lt;=DPS_Graph_Max,IF($A510&gt;=DPS_Graph_Speed_Min,1/B510,),),)</f>
        <v>9.523809524</v>
      </c>
      <c r="D510" s="115" t="str">
        <f>IF(DPS_Graph_True_Speed=TRUE,IF($E$8=$A510,DPS_Attacks_P_Sec,),)</f>
        <v/>
      </c>
      <c r="E510" s="222">
        <f>ROUNDDOWN(MAX(2,IF(A510&gt;=0, DPS_Base_Wpn_Spd/(1+A510),DPS_Base_Wpn_Spd*(1+ABS(A510)))),0)</f>
        <v>2</v>
      </c>
      <c r="F510" s="232">
        <f>IF(A510&gt;=0, DPS_Base_Recoil/(1+A510),DPS_Base_Recoil)</f>
        <v>0.0136239782</v>
      </c>
      <c r="G510" s="377">
        <f t="shared" si="7"/>
        <v>0.51</v>
      </c>
      <c r="H510" s="377">
        <f t="shared" si="8"/>
        <v>0.02219755827</v>
      </c>
      <c r="I510" s="104"/>
      <c r="J510" s="377">
        <f>MAX(0, Max(25,(DPS_Base_Range + ((DPS_Range_Stat) / 2))) / MIN(MAX(70, (70 * (1 + ($A510 / 3)))), 120))</f>
        <v>3.333333333</v>
      </c>
      <c r="K510" s="269">
        <f>IF(A510&lt;=DPS_Graph_Max,IF(A510&gt;=DPS_Graph_Speed_Min,A510,),)</f>
        <v>2.67</v>
      </c>
      <c r="M510" s="213">
        <f>If(DPS_Weapon_Type="远程",$E510/60+$F510*2,$E510/60+$F510+$G510/2+$H510)</f>
        <v>0.06058128974</v>
      </c>
      <c r="N510" s="104">
        <f>IF(DPS_Graph_Tooltip_Speed=TRUE,IF($A510&lt;=DPS_Graph_Max,IF($A510&gt;=DPS_Graph_Speed_Min,1/M510,),),)</f>
        <v>16.50674663</v>
      </c>
      <c r="R510" s="104" t="str">
        <f>IF(DPS_Graph_Tooltip_Speed=TRUE,IF($E$8=$A510,1/$N$6,),)</f>
        <v/>
      </c>
    </row>
    <row r="511">
      <c r="A511" s="370">
        <v>2.68</v>
      </c>
      <c r="B511" s="213">
        <f>If(DPS_Weapon_Type="远程",($E511+1)/60+(ROUNDDOWN($F511*60+1,0)/60)*2,(ROUNDDOWN(($E511+1)+ROUNDDOWN($F511*60+1,0)+ROUNDDOWN($G511/2*60+1,0)+ROUNDDOWN($H511*60+1,0)+1,0))/60+If(DPS_ATK_TYPE="挥砍",1/60)+If(DPS_ATK_TYPE="挥砍/刺击",1/120))+DPS_Weapon_Randomization/60</f>
        <v>0.105</v>
      </c>
      <c r="C511" s="104">
        <f>IF(DPS_Graph_True_Speed=TRUE,IF($A511&lt;=DPS_Graph_Max,IF($A511&gt;=DPS_Graph_Speed_Min,1/B511,),),)</f>
        <v>9.523809524</v>
      </c>
      <c r="D511" s="115" t="str">
        <f>IF(DPS_Graph_True_Speed=TRUE,IF($E$8=$A511,DPS_Attacks_P_Sec,),)</f>
        <v/>
      </c>
      <c r="E511" s="222">
        <f>ROUNDDOWN(MAX(2,IF(A511&gt;=0, DPS_Base_Wpn_Spd/(1+A511),DPS_Base_Wpn_Spd*(1+ABS(A511)))),0)</f>
        <v>2</v>
      </c>
      <c r="F511" s="232">
        <f>IF(A511&gt;=0, DPS_Base_Recoil/(1+A511),DPS_Base_Recoil)</f>
        <v>0.01358695652</v>
      </c>
      <c r="G511" s="377">
        <f t="shared" si="7"/>
        <v>0.51</v>
      </c>
      <c r="H511" s="377">
        <f t="shared" si="8"/>
        <v>0.02212389381</v>
      </c>
      <c r="I511" s="104"/>
      <c r="J511" s="377">
        <f>MAX(0, Max(25,(DPS_Base_Range + ((DPS_Range_Stat) / 2))) / MIN(MAX(70, (70 * (1 + ($A511 / 3)))), 120))</f>
        <v>3.333333333</v>
      </c>
      <c r="K511" s="269">
        <f>IF(A511&lt;=DPS_Graph_Max,IF(A511&gt;=DPS_Graph_Speed_Min,A511,),)</f>
        <v>2.68</v>
      </c>
      <c r="M511" s="213">
        <f>If(DPS_Weapon_Type="远程",$E511/60+$F511*2,$E511/60+$F511+$G511/2+$H511)</f>
        <v>0.06050724638</v>
      </c>
      <c r="N511" s="104">
        <f>IF(DPS_Graph_Tooltip_Speed=TRUE,IF($A511&lt;=DPS_Graph_Max,IF($A511&gt;=DPS_Graph_Speed_Min,1/M511,),),)</f>
        <v>16.52694611</v>
      </c>
      <c r="R511" s="104" t="str">
        <f>IF(DPS_Graph_Tooltip_Speed=TRUE,IF($E$8=$A511,1/$N$6,),)</f>
        <v/>
      </c>
    </row>
    <row r="512">
      <c r="A512" s="370">
        <v>2.69</v>
      </c>
      <c r="B512" s="213">
        <f>If(DPS_Weapon_Type="远程",($E512+1)/60+(ROUNDDOWN($F512*60+1,0)/60)*2,(ROUNDDOWN(($E512+1)+ROUNDDOWN($F512*60+1,0)+ROUNDDOWN($G512/2*60+1,0)+ROUNDDOWN($H512*60+1,0)+1,0))/60+If(DPS_ATK_TYPE="挥砍",1/60)+If(DPS_ATK_TYPE="挥砍/刺击",1/120))+DPS_Weapon_Randomization/60</f>
        <v>0.105</v>
      </c>
      <c r="C512" s="104">
        <f>IF(DPS_Graph_True_Speed=TRUE,IF($A512&lt;=DPS_Graph_Max,IF($A512&gt;=DPS_Graph_Speed_Min,1/B512,),),)</f>
        <v>9.523809524</v>
      </c>
      <c r="D512" s="115" t="str">
        <f>IF(DPS_Graph_True_Speed=TRUE,IF($E$8=$A512,DPS_Attacks_P_Sec,),)</f>
        <v/>
      </c>
      <c r="E512" s="222">
        <f>ROUNDDOWN(MAX(2,IF(A512&gt;=0, DPS_Base_Wpn_Spd/(1+A512),DPS_Base_Wpn_Spd*(1+ABS(A512)))),0)</f>
        <v>2</v>
      </c>
      <c r="F512" s="232">
        <f>IF(A512&gt;=0, DPS_Base_Recoil/(1+A512),DPS_Base_Recoil)</f>
        <v>0.0135501355</v>
      </c>
      <c r="G512" s="377">
        <f t="shared" si="7"/>
        <v>0.51</v>
      </c>
      <c r="H512" s="377">
        <f t="shared" si="8"/>
        <v>0.02205071665</v>
      </c>
      <c r="I512" s="104"/>
      <c r="J512" s="377">
        <f>MAX(0, Max(25,(DPS_Base_Range + ((DPS_Range_Stat) / 2))) / MIN(MAX(70, (70 * (1 + ($A512 / 3)))), 120))</f>
        <v>3.333333333</v>
      </c>
      <c r="K512" s="269">
        <f>IF(A512&lt;=DPS_Graph_Max,IF(A512&gt;=DPS_Graph_Speed_Min,A512,),)</f>
        <v>2.69</v>
      </c>
      <c r="M512" s="213">
        <f>If(DPS_Weapon_Type="远程",$E512/60+$F512*2,$E512/60+$F512+$G512/2+$H512)</f>
        <v>0.06043360434</v>
      </c>
      <c r="N512" s="104">
        <f>IF(DPS_Graph_Tooltip_Speed=TRUE,IF($A512&lt;=DPS_Graph_Max,IF($A512&gt;=DPS_Graph_Speed_Min,1/M512,),),)</f>
        <v>16.5470852</v>
      </c>
      <c r="R512" s="104" t="str">
        <f>IF(DPS_Graph_Tooltip_Speed=TRUE,IF($E$8=$A512,1/$N$6,),)</f>
        <v/>
      </c>
    </row>
    <row r="513">
      <c r="A513" s="370">
        <v>2.7</v>
      </c>
      <c r="B513" s="213">
        <f>If(DPS_Weapon_Type="远程",($E513+1)/60+(ROUNDDOWN($F513*60+1,0)/60)*2,(ROUNDDOWN(($E513+1)+ROUNDDOWN($F513*60+1,0)+ROUNDDOWN($G513/2*60+1,0)+ROUNDDOWN($H513*60+1,0)+1,0))/60+If(DPS_ATK_TYPE="挥砍",1/60)+If(DPS_ATK_TYPE="挥砍/刺击",1/120))+DPS_Weapon_Randomization/60</f>
        <v>0.105</v>
      </c>
      <c r="C513" s="104">
        <f>IF(DPS_Graph_True_Speed=TRUE,IF($A513&lt;=DPS_Graph_Max,IF($A513&gt;=DPS_Graph_Speed_Min,1/B513,),),)</f>
        <v>9.523809524</v>
      </c>
      <c r="D513" s="115" t="str">
        <f>IF(DPS_Graph_True_Speed=TRUE,IF($E$8=$A513,DPS_Attacks_P_Sec,),)</f>
        <v/>
      </c>
      <c r="E513" s="222">
        <f>ROUNDDOWN(MAX(2,IF(A513&gt;=0, DPS_Base_Wpn_Spd/(1+A513),DPS_Base_Wpn_Spd*(1+ABS(A513)))),0)</f>
        <v>2</v>
      </c>
      <c r="F513" s="232">
        <f>IF(A513&gt;=0, DPS_Base_Recoil/(1+A513),DPS_Base_Recoil)</f>
        <v>0.01351351351</v>
      </c>
      <c r="G513" s="377">
        <f t="shared" si="7"/>
        <v>0.51</v>
      </c>
      <c r="H513" s="377">
        <f t="shared" si="8"/>
        <v>0.02197802198</v>
      </c>
      <c r="I513" s="104"/>
      <c r="J513" s="377">
        <f>MAX(0, Max(25,(DPS_Base_Range + ((DPS_Range_Stat) / 2))) / MIN(MAX(70, (70 * (1 + ($A513 / 3)))), 120))</f>
        <v>3.333333333</v>
      </c>
      <c r="K513" s="269">
        <f>IF(A513&lt;=DPS_Graph_Max,IF(A513&gt;=DPS_Graph_Speed_Min,A513,),)</f>
        <v>2.7</v>
      </c>
      <c r="M513" s="213">
        <f>If(DPS_Weapon_Type="远程",$E513/60+$F513*2,$E513/60+$F513+$G513/2+$H513)</f>
        <v>0.06036036036</v>
      </c>
      <c r="N513" s="104">
        <f>IF(DPS_Graph_Tooltip_Speed=TRUE,IF($A513&lt;=DPS_Graph_Max,IF($A513&gt;=DPS_Graph_Speed_Min,1/M513,),),)</f>
        <v>16.56716418</v>
      </c>
      <c r="R513" s="104" t="str">
        <f>IF(DPS_Graph_Tooltip_Speed=TRUE,IF($E$8=$A513,1/$N$6,),)</f>
        <v/>
      </c>
    </row>
    <row r="514">
      <c r="A514" s="370">
        <v>2.71</v>
      </c>
      <c r="B514" s="213">
        <f>If(DPS_Weapon_Type="远程",($E514+1)/60+(ROUNDDOWN($F514*60+1,0)/60)*2,(ROUNDDOWN(($E514+1)+ROUNDDOWN($F514*60+1,0)+ROUNDDOWN($G514/2*60+1,0)+ROUNDDOWN($H514*60+1,0)+1,0))/60+If(DPS_ATK_TYPE="挥砍",1/60)+If(DPS_ATK_TYPE="挥砍/刺击",1/120))+DPS_Weapon_Randomization/60</f>
        <v>0.105</v>
      </c>
      <c r="C514" s="104">
        <f>IF(DPS_Graph_True_Speed=TRUE,IF($A514&lt;=DPS_Graph_Max,IF($A514&gt;=DPS_Graph_Speed_Min,1/B514,),),)</f>
        <v>9.523809524</v>
      </c>
      <c r="D514" s="115" t="str">
        <f>IF(DPS_Graph_True_Speed=TRUE,IF($E$8=$A514,DPS_Attacks_P_Sec,),)</f>
        <v/>
      </c>
      <c r="E514" s="222">
        <f>ROUNDDOWN(MAX(2,IF(A514&gt;=0, DPS_Base_Wpn_Spd/(1+A514),DPS_Base_Wpn_Spd*(1+ABS(A514)))),0)</f>
        <v>2</v>
      </c>
      <c r="F514" s="232">
        <f>IF(A514&gt;=0, DPS_Base_Recoil/(1+A514),DPS_Base_Recoil)</f>
        <v>0.01347708895</v>
      </c>
      <c r="G514" s="377">
        <f t="shared" si="7"/>
        <v>0.51</v>
      </c>
      <c r="H514" s="377">
        <f t="shared" si="8"/>
        <v>0.02190580504</v>
      </c>
      <c r="I514" s="104"/>
      <c r="J514" s="377">
        <f>MAX(0, Max(25,(DPS_Base_Range + ((DPS_Range_Stat) / 2))) / MIN(MAX(70, (70 * (1 + ($A514 / 3)))), 120))</f>
        <v>3.333333333</v>
      </c>
      <c r="K514" s="269">
        <f>IF(A514&lt;=DPS_Graph_Max,IF(A514&gt;=DPS_Graph_Speed_Min,A514,),)</f>
        <v>2.71</v>
      </c>
      <c r="M514" s="213">
        <f>If(DPS_Weapon_Type="远程",$E514/60+$F514*2,$E514/60+$F514+$G514/2+$H514)</f>
        <v>0.06028751123</v>
      </c>
      <c r="N514" s="104">
        <f>IF(DPS_Graph_Tooltip_Speed=TRUE,IF($A514&lt;=DPS_Graph_Max,IF($A514&gt;=DPS_Graph_Speed_Min,1/M514,),),)</f>
        <v>16.58718331</v>
      </c>
      <c r="R514" s="104" t="str">
        <f>IF(DPS_Graph_Tooltip_Speed=TRUE,IF($E$8=$A514,1/$N$6,),)</f>
        <v/>
      </c>
    </row>
    <row r="515">
      <c r="A515" s="370">
        <v>2.72</v>
      </c>
      <c r="B515" s="213">
        <f>If(DPS_Weapon_Type="远程",($E515+1)/60+(ROUNDDOWN($F515*60+1,0)/60)*2,(ROUNDDOWN(($E515+1)+ROUNDDOWN($F515*60+1,0)+ROUNDDOWN($G515/2*60+1,0)+ROUNDDOWN($H515*60+1,0)+1,0))/60+If(DPS_ATK_TYPE="挥砍",1/60)+If(DPS_ATK_TYPE="挥砍/刺击",1/120))+DPS_Weapon_Randomization/60</f>
        <v>0.105</v>
      </c>
      <c r="C515" s="104">
        <f>IF(DPS_Graph_True_Speed=TRUE,IF($A515&lt;=DPS_Graph_Max,IF($A515&gt;=DPS_Graph_Speed_Min,1/B515,),),)</f>
        <v>9.523809524</v>
      </c>
      <c r="D515" s="115" t="str">
        <f>IF(DPS_Graph_True_Speed=TRUE,IF($E$8=$A515,DPS_Attacks_P_Sec,),)</f>
        <v/>
      </c>
      <c r="E515" s="222">
        <f>ROUNDDOWN(MAX(2,IF(A515&gt;=0, DPS_Base_Wpn_Spd/(1+A515),DPS_Base_Wpn_Spd*(1+ABS(A515)))),0)</f>
        <v>2</v>
      </c>
      <c r="F515" s="232">
        <f>IF(A515&gt;=0, DPS_Base_Recoil/(1+A515),DPS_Base_Recoil)</f>
        <v>0.01344086022</v>
      </c>
      <c r="G515" s="377">
        <f t="shared" si="7"/>
        <v>0.51</v>
      </c>
      <c r="H515" s="377">
        <f t="shared" si="8"/>
        <v>0.02183406114</v>
      </c>
      <c r="I515" s="104"/>
      <c r="J515" s="377">
        <f>MAX(0, Max(25,(DPS_Base_Range + ((DPS_Range_Stat) / 2))) / MIN(MAX(70, (70 * (1 + ($A515 / 3)))), 120))</f>
        <v>3.333333333</v>
      </c>
      <c r="K515" s="269">
        <f>IF(A515&lt;=DPS_Graph_Max,IF(A515&gt;=DPS_Graph_Speed_Min,A515,),)</f>
        <v>2.72</v>
      </c>
      <c r="M515" s="213">
        <f>If(DPS_Weapon_Type="远程",$E515/60+$F515*2,$E515/60+$F515+$G515/2+$H515)</f>
        <v>0.06021505376</v>
      </c>
      <c r="N515" s="104">
        <f>IF(DPS_Graph_Tooltip_Speed=TRUE,IF($A515&lt;=DPS_Graph_Max,IF($A515&gt;=DPS_Graph_Speed_Min,1/M515,),),)</f>
        <v>16.60714286</v>
      </c>
      <c r="R515" s="104" t="str">
        <f>IF(DPS_Graph_Tooltip_Speed=TRUE,IF($E$8=$A515,1/$N$6,),)</f>
        <v/>
      </c>
    </row>
    <row r="516">
      <c r="A516" s="370">
        <v>2.73</v>
      </c>
      <c r="B516" s="213">
        <f>If(DPS_Weapon_Type="远程",($E516+1)/60+(ROUNDDOWN($F516*60+1,0)/60)*2,(ROUNDDOWN(($E516+1)+ROUNDDOWN($F516*60+1,0)+ROUNDDOWN($G516/2*60+1,0)+ROUNDDOWN($H516*60+1,0)+1,0))/60+If(DPS_ATK_TYPE="挥砍",1/60)+If(DPS_ATK_TYPE="挥砍/刺击",1/120))+DPS_Weapon_Randomization/60</f>
        <v>0.105</v>
      </c>
      <c r="C516" s="104">
        <f>IF(DPS_Graph_True_Speed=TRUE,IF($A516&lt;=DPS_Graph_Max,IF($A516&gt;=DPS_Graph_Speed_Min,1/B516,),),)</f>
        <v>9.523809524</v>
      </c>
      <c r="D516" s="115" t="str">
        <f>IF(DPS_Graph_True_Speed=TRUE,IF($E$8=$A516,DPS_Attacks_P_Sec,),)</f>
        <v/>
      </c>
      <c r="E516" s="222">
        <f>ROUNDDOWN(MAX(2,IF(A516&gt;=0, DPS_Base_Wpn_Spd/(1+A516),DPS_Base_Wpn_Spd*(1+ABS(A516)))),0)</f>
        <v>2</v>
      </c>
      <c r="F516" s="232">
        <f>IF(A516&gt;=0, DPS_Base_Recoil/(1+A516),DPS_Base_Recoil)</f>
        <v>0.01340482574</v>
      </c>
      <c r="G516" s="377">
        <f t="shared" si="7"/>
        <v>0.51</v>
      </c>
      <c r="H516" s="377">
        <f t="shared" si="8"/>
        <v>0.02176278564</v>
      </c>
      <c r="I516" s="104"/>
      <c r="J516" s="377">
        <f>MAX(0, Max(25,(DPS_Base_Range + ((DPS_Range_Stat) / 2))) / MIN(MAX(70, (70 * (1 + ($A516 / 3)))), 120))</f>
        <v>3.333333333</v>
      </c>
      <c r="K516" s="269">
        <f>IF(A516&lt;=DPS_Graph_Max,IF(A516&gt;=DPS_Graph_Speed_Min,A516,),)</f>
        <v>2.73</v>
      </c>
      <c r="M516" s="213">
        <f>If(DPS_Weapon_Type="远程",$E516/60+$F516*2,$E516/60+$F516+$G516/2+$H516)</f>
        <v>0.06014298481</v>
      </c>
      <c r="N516" s="104">
        <f>IF(DPS_Graph_Tooltip_Speed=TRUE,IF($A516&lt;=DPS_Graph_Max,IF($A516&gt;=DPS_Graph_Speed_Min,1/M516,),),)</f>
        <v>16.62704309</v>
      </c>
      <c r="R516" s="104" t="str">
        <f>IF(DPS_Graph_Tooltip_Speed=TRUE,IF($E$8=$A516,1/$N$6,),)</f>
        <v/>
      </c>
    </row>
    <row r="517">
      <c r="A517" s="370">
        <v>2.74</v>
      </c>
      <c r="B517" s="213">
        <f>If(DPS_Weapon_Type="远程",($E517+1)/60+(ROUNDDOWN($F517*60+1,0)/60)*2,(ROUNDDOWN(($E517+1)+ROUNDDOWN($F517*60+1,0)+ROUNDDOWN($G517/2*60+1,0)+ROUNDDOWN($H517*60+1,0)+1,0))/60+If(DPS_ATK_TYPE="挥砍",1/60)+If(DPS_ATK_TYPE="挥砍/刺击",1/120))+DPS_Weapon_Randomization/60</f>
        <v>0.105</v>
      </c>
      <c r="C517" s="104">
        <f>IF(DPS_Graph_True_Speed=TRUE,IF($A517&lt;=DPS_Graph_Max,IF($A517&gt;=DPS_Graph_Speed_Min,1/B517,),),)</f>
        <v>9.523809524</v>
      </c>
      <c r="D517" s="115" t="str">
        <f>IF(DPS_Graph_True_Speed=TRUE,IF($E$8=$A517,DPS_Attacks_P_Sec,),)</f>
        <v/>
      </c>
      <c r="E517" s="222">
        <f>ROUNDDOWN(MAX(2,IF(A517&gt;=0, DPS_Base_Wpn_Spd/(1+A517),DPS_Base_Wpn_Spd*(1+ABS(A517)))),0)</f>
        <v>2</v>
      </c>
      <c r="F517" s="232">
        <f>IF(A517&gt;=0, DPS_Base_Recoil/(1+A517),DPS_Base_Recoil)</f>
        <v>0.01336898396</v>
      </c>
      <c r="G517" s="377">
        <f t="shared" si="7"/>
        <v>0.51</v>
      </c>
      <c r="H517" s="377">
        <f t="shared" si="8"/>
        <v>0.02169197397</v>
      </c>
      <c r="I517" s="104"/>
      <c r="J517" s="377">
        <f>MAX(0, Max(25,(DPS_Base_Range + ((DPS_Range_Stat) / 2))) / MIN(MAX(70, (70 * (1 + ($A517 / 3)))), 120))</f>
        <v>3.333333333</v>
      </c>
      <c r="K517" s="269">
        <f>IF(A517&lt;=DPS_Graph_Max,IF(A517&gt;=DPS_Graph_Speed_Min,A517,),)</f>
        <v>2.74</v>
      </c>
      <c r="M517" s="213">
        <f>If(DPS_Weapon_Type="远程",$E517/60+$F517*2,$E517/60+$F517+$G517/2+$H517)</f>
        <v>0.06007130125</v>
      </c>
      <c r="N517" s="104">
        <f>IF(DPS_Graph_Tooltip_Speed=TRUE,IF($A517&lt;=DPS_Graph_Max,IF($A517&gt;=DPS_Graph_Speed_Min,1/M517,),),)</f>
        <v>16.64688427</v>
      </c>
      <c r="R517" s="104" t="str">
        <f>IF(DPS_Graph_Tooltip_Speed=TRUE,IF($E$8=$A517,1/$N$6,),)</f>
        <v/>
      </c>
    </row>
    <row r="518">
      <c r="A518" s="370">
        <v>2.75</v>
      </c>
      <c r="B518" s="213">
        <f>If(DPS_Weapon_Type="远程",($E518+1)/60+(ROUNDDOWN($F518*60+1,0)/60)*2,(ROUNDDOWN(($E518+1)+ROUNDDOWN($F518*60+1,0)+ROUNDDOWN($G518/2*60+1,0)+ROUNDDOWN($H518*60+1,0)+1,0))/60+If(DPS_ATK_TYPE="挥砍",1/60)+If(DPS_ATK_TYPE="挥砍/刺击",1/120))+DPS_Weapon_Randomization/60</f>
        <v>0.105</v>
      </c>
      <c r="C518" s="104">
        <f>IF(DPS_Graph_True_Speed=TRUE,IF($A518&lt;=DPS_Graph_Max,IF($A518&gt;=DPS_Graph_Speed_Min,1/B518,),),)</f>
        <v>9.523809524</v>
      </c>
      <c r="D518" s="115" t="str">
        <f>IF(DPS_Graph_True_Speed=TRUE,IF($E$8=$A518,DPS_Attacks_P_Sec,),)</f>
        <v/>
      </c>
      <c r="E518" s="222">
        <f>ROUNDDOWN(MAX(2,IF(A518&gt;=0, DPS_Base_Wpn_Spd/(1+A518),DPS_Base_Wpn_Spd*(1+ABS(A518)))),0)</f>
        <v>2</v>
      </c>
      <c r="F518" s="232">
        <f>IF(A518&gt;=0, DPS_Base_Recoil/(1+A518),DPS_Base_Recoil)</f>
        <v>0.01333333333</v>
      </c>
      <c r="G518" s="377">
        <f t="shared" si="7"/>
        <v>0.51</v>
      </c>
      <c r="H518" s="377">
        <f t="shared" si="8"/>
        <v>0.02162162162</v>
      </c>
      <c r="I518" s="104"/>
      <c r="J518" s="377">
        <f>MAX(0, Max(25,(DPS_Base_Range + ((DPS_Range_Stat) / 2))) / MIN(MAX(70, (70 * (1 + ($A518 / 3)))), 120))</f>
        <v>3.333333333</v>
      </c>
      <c r="K518" s="269">
        <f>IF(A518&lt;=DPS_Graph_Max,IF(A518&gt;=DPS_Graph_Speed_Min,A518,),)</f>
        <v>2.75</v>
      </c>
      <c r="M518" s="213">
        <f>If(DPS_Weapon_Type="远程",$E518/60+$F518*2,$E518/60+$F518+$G518/2+$H518)</f>
        <v>0.06</v>
      </c>
      <c r="N518" s="104">
        <f>IF(DPS_Graph_Tooltip_Speed=TRUE,IF($A518&lt;=DPS_Graph_Max,IF($A518&gt;=DPS_Graph_Speed_Min,1/M518,),),)</f>
        <v>16.66666667</v>
      </c>
      <c r="R518" s="104" t="str">
        <f>IF(DPS_Graph_Tooltip_Speed=TRUE,IF($E$8=$A518,1/$N$6,),)</f>
        <v/>
      </c>
    </row>
    <row r="519">
      <c r="A519" s="370">
        <v>2.76</v>
      </c>
      <c r="B519" s="213">
        <f>If(DPS_Weapon_Type="远程",($E519+1)/60+(ROUNDDOWN($F519*60+1,0)/60)*2,(ROUNDDOWN(($E519+1)+ROUNDDOWN($F519*60+1,0)+ROUNDDOWN($G519/2*60+1,0)+ROUNDDOWN($H519*60+1,0)+1,0))/60+If(DPS_ATK_TYPE="挥砍",1/60)+If(DPS_ATK_TYPE="挥砍/刺击",1/120))+DPS_Weapon_Randomization/60</f>
        <v>0.105</v>
      </c>
      <c r="C519" s="104">
        <f>IF(DPS_Graph_True_Speed=TRUE,IF($A519&lt;=DPS_Graph_Max,IF($A519&gt;=DPS_Graph_Speed_Min,1/B519,),),)</f>
        <v>9.523809524</v>
      </c>
      <c r="D519" s="115" t="str">
        <f>IF(DPS_Graph_True_Speed=TRUE,IF($E$8=$A519,DPS_Attacks_P_Sec,),)</f>
        <v/>
      </c>
      <c r="E519" s="222">
        <f>ROUNDDOWN(MAX(2,IF(A519&gt;=0, DPS_Base_Wpn_Spd/(1+A519),DPS_Base_Wpn_Spd*(1+ABS(A519)))),0)</f>
        <v>2</v>
      </c>
      <c r="F519" s="232">
        <f>IF(A519&gt;=0, DPS_Base_Recoil/(1+A519),DPS_Base_Recoil)</f>
        <v>0.01329787234</v>
      </c>
      <c r="G519" s="377">
        <f t="shared" si="7"/>
        <v>0.51</v>
      </c>
      <c r="H519" s="377">
        <f t="shared" si="8"/>
        <v>0.02155172414</v>
      </c>
      <c r="I519" s="104"/>
      <c r="J519" s="377">
        <f>MAX(0, Max(25,(DPS_Base_Range + ((DPS_Range_Stat) / 2))) / MIN(MAX(70, (70 * (1 + ($A519 / 3)))), 120))</f>
        <v>3.333333333</v>
      </c>
      <c r="K519" s="269">
        <f>IF(A519&lt;=DPS_Graph_Max,IF(A519&gt;=DPS_Graph_Speed_Min,A519,),)</f>
        <v>2.76</v>
      </c>
      <c r="M519" s="213">
        <f>If(DPS_Weapon_Type="远程",$E519/60+$F519*2,$E519/60+$F519+$G519/2+$H519)</f>
        <v>0.05992907801</v>
      </c>
      <c r="N519" s="104">
        <f>IF(DPS_Graph_Tooltip_Speed=TRUE,IF($A519&lt;=DPS_Graph_Max,IF($A519&gt;=DPS_Graph_Speed_Min,1/M519,),),)</f>
        <v>16.68639053</v>
      </c>
      <c r="R519" s="104" t="str">
        <f>IF(DPS_Graph_Tooltip_Speed=TRUE,IF($E$8=$A519,1/$N$6,),)</f>
        <v/>
      </c>
    </row>
    <row r="520">
      <c r="A520" s="370">
        <v>2.77</v>
      </c>
      <c r="B520" s="213">
        <f>If(DPS_Weapon_Type="远程",($E520+1)/60+(ROUNDDOWN($F520*60+1,0)/60)*2,(ROUNDDOWN(($E520+1)+ROUNDDOWN($F520*60+1,0)+ROUNDDOWN($G520/2*60+1,0)+ROUNDDOWN($H520*60+1,0)+1,0))/60+If(DPS_ATK_TYPE="挥砍",1/60)+If(DPS_ATK_TYPE="挥砍/刺击",1/120))+DPS_Weapon_Randomization/60</f>
        <v>0.105</v>
      </c>
      <c r="C520" s="104">
        <f>IF(DPS_Graph_True_Speed=TRUE,IF($A520&lt;=DPS_Graph_Max,IF($A520&gt;=DPS_Graph_Speed_Min,1/B520,),),)</f>
        <v>9.523809524</v>
      </c>
      <c r="D520" s="115" t="str">
        <f>IF(DPS_Graph_True_Speed=TRUE,IF($E$8=$A520,DPS_Attacks_P_Sec,),)</f>
        <v/>
      </c>
      <c r="E520" s="222">
        <f>ROUNDDOWN(MAX(2,IF(A520&gt;=0, DPS_Base_Wpn_Spd/(1+A520),DPS_Base_Wpn_Spd*(1+ABS(A520)))),0)</f>
        <v>2</v>
      </c>
      <c r="F520" s="232">
        <f>IF(A520&gt;=0, DPS_Base_Recoil/(1+A520),DPS_Base_Recoil)</f>
        <v>0.01326259947</v>
      </c>
      <c r="G520" s="377">
        <f t="shared" si="7"/>
        <v>0.51</v>
      </c>
      <c r="H520" s="377">
        <f t="shared" si="8"/>
        <v>0.02148227712</v>
      </c>
      <c r="I520" s="104"/>
      <c r="J520" s="377">
        <f>MAX(0, Max(25,(DPS_Base_Range + ((DPS_Range_Stat) / 2))) / MIN(MAX(70, (70 * (1 + ($A520 / 3)))), 120))</f>
        <v>3.333333333</v>
      </c>
      <c r="K520" s="269">
        <f>IF(A520&lt;=DPS_Graph_Max,IF(A520&gt;=DPS_Graph_Speed_Min,A520,),)</f>
        <v>2.77</v>
      </c>
      <c r="M520" s="213">
        <f>If(DPS_Weapon_Type="远程",$E520/60+$F520*2,$E520/60+$F520+$G520/2+$H520)</f>
        <v>0.05985853227</v>
      </c>
      <c r="N520" s="104">
        <f>IF(DPS_Graph_Tooltip_Speed=TRUE,IF($A520&lt;=DPS_Graph_Max,IF($A520&gt;=DPS_Graph_Speed_Min,1/M520,),),)</f>
        <v>16.70605613</v>
      </c>
      <c r="R520" s="104" t="str">
        <f>IF(DPS_Graph_Tooltip_Speed=TRUE,IF($E$8=$A520,1/$N$6,),)</f>
        <v/>
      </c>
    </row>
    <row r="521">
      <c r="A521" s="370">
        <v>2.78</v>
      </c>
      <c r="B521" s="213">
        <f>If(DPS_Weapon_Type="远程",($E521+1)/60+(ROUNDDOWN($F521*60+1,0)/60)*2,(ROUNDDOWN(($E521+1)+ROUNDDOWN($F521*60+1,0)+ROUNDDOWN($G521/2*60+1,0)+ROUNDDOWN($H521*60+1,0)+1,0))/60+If(DPS_ATK_TYPE="挥砍",1/60)+If(DPS_ATK_TYPE="挥砍/刺击",1/120))+DPS_Weapon_Randomization/60</f>
        <v>0.105</v>
      </c>
      <c r="C521" s="104">
        <f>IF(DPS_Graph_True_Speed=TRUE,IF($A521&lt;=DPS_Graph_Max,IF($A521&gt;=DPS_Graph_Speed_Min,1/B521,),),)</f>
        <v>9.523809524</v>
      </c>
      <c r="D521" s="115" t="str">
        <f>IF(DPS_Graph_True_Speed=TRUE,IF($E$8=$A521,DPS_Attacks_P_Sec,),)</f>
        <v/>
      </c>
      <c r="E521" s="222">
        <f>ROUNDDOWN(MAX(2,IF(A521&gt;=0, DPS_Base_Wpn_Spd/(1+A521),DPS_Base_Wpn_Spd*(1+ABS(A521)))),0)</f>
        <v>2</v>
      </c>
      <c r="F521" s="232">
        <f>IF(A521&gt;=0, DPS_Base_Recoil/(1+A521),DPS_Base_Recoil)</f>
        <v>0.01322751323</v>
      </c>
      <c r="G521" s="377">
        <f t="shared" si="7"/>
        <v>0.51</v>
      </c>
      <c r="H521" s="377">
        <f t="shared" si="8"/>
        <v>0.02141327623</v>
      </c>
      <c r="I521" s="104"/>
      <c r="J521" s="377">
        <f>MAX(0, Max(25,(DPS_Base_Range + ((DPS_Range_Stat) / 2))) / MIN(MAX(70, (70 * (1 + ($A521 / 3)))), 120))</f>
        <v>3.333333333</v>
      </c>
      <c r="K521" s="269">
        <f>IF(A521&lt;=DPS_Graph_Max,IF(A521&gt;=DPS_Graph_Speed_Min,A521,),)</f>
        <v>2.78</v>
      </c>
      <c r="M521" s="213">
        <f>If(DPS_Weapon_Type="远程",$E521/60+$F521*2,$E521/60+$F521+$G521/2+$H521)</f>
        <v>0.05978835979</v>
      </c>
      <c r="N521" s="104">
        <f>IF(DPS_Graph_Tooltip_Speed=TRUE,IF($A521&lt;=DPS_Graph_Max,IF($A521&gt;=DPS_Graph_Speed_Min,1/M521,),),)</f>
        <v>16.72566372</v>
      </c>
      <c r="R521" s="104" t="str">
        <f>IF(DPS_Graph_Tooltip_Speed=TRUE,IF($E$8=$A521,1/$N$6,),)</f>
        <v/>
      </c>
    </row>
    <row r="522">
      <c r="A522" s="370">
        <v>2.79</v>
      </c>
      <c r="B522" s="213">
        <f>If(DPS_Weapon_Type="远程",($E522+1)/60+(ROUNDDOWN($F522*60+1,0)/60)*2,(ROUNDDOWN(($E522+1)+ROUNDDOWN($F522*60+1,0)+ROUNDDOWN($G522/2*60+1,0)+ROUNDDOWN($H522*60+1,0)+1,0))/60+If(DPS_ATK_TYPE="挥砍",1/60)+If(DPS_ATK_TYPE="挥砍/刺击",1/120))+DPS_Weapon_Randomization/60</f>
        <v>0.105</v>
      </c>
      <c r="C522" s="104">
        <f>IF(DPS_Graph_True_Speed=TRUE,IF($A522&lt;=DPS_Graph_Max,IF($A522&gt;=DPS_Graph_Speed_Min,1/B522,),),)</f>
        <v>9.523809524</v>
      </c>
      <c r="D522" s="115" t="str">
        <f>IF(DPS_Graph_True_Speed=TRUE,IF($E$8=$A522,DPS_Attacks_P_Sec,),)</f>
        <v/>
      </c>
      <c r="E522" s="222">
        <f>ROUNDDOWN(MAX(2,IF(A522&gt;=0, DPS_Base_Wpn_Spd/(1+A522),DPS_Base_Wpn_Spd*(1+ABS(A522)))),0)</f>
        <v>2</v>
      </c>
      <c r="F522" s="232">
        <f>IF(A522&gt;=0, DPS_Base_Recoil/(1+A522),DPS_Base_Recoil)</f>
        <v>0.01319261214</v>
      </c>
      <c r="G522" s="377">
        <f t="shared" si="7"/>
        <v>0.51</v>
      </c>
      <c r="H522" s="377">
        <f t="shared" si="8"/>
        <v>0.02134471718</v>
      </c>
      <c r="I522" s="104"/>
      <c r="J522" s="377">
        <f>MAX(0, Max(25,(DPS_Base_Range + ((DPS_Range_Stat) / 2))) / MIN(MAX(70, (70 * (1 + ($A522 / 3)))), 120))</f>
        <v>3.333333333</v>
      </c>
      <c r="K522" s="269">
        <f>IF(A522&lt;=DPS_Graph_Max,IF(A522&gt;=DPS_Graph_Speed_Min,A522,),)</f>
        <v>2.79</v>
      </c>
      <c r="M522" s="213">
        <f>If(DPS_Weapon_Type="远程",$E522/60+$F522*2,$E522/60+$F522+$G522/2+$H522)</f>
        <v>0.05971855761</v>
      </c>
      <c r="N522" s="104">
        <f>IF(DPS_Graph_Tooltip_Speed=TRUE,IF($A522&lt;=DPS_Graph_Max,IF($A522&gt;=DPS_Graph_Speed_Min,1/M522,),),)</f>
        <v>16.74521355</v>
      </c>
      <c r="R522" s="104" t="str">
        <f>IF(DPS_Graph_Tooltip_Speed=TRUE,IF($E$8=$A522,1/$N$6,),)</f>
        <v/>
      </c>
    </row>
    <row r="523">
      <c r="A523" s="370">
        <v>2.8</v>
      </c>
      <c r="B523" s="213">
        <f>If(DPS_Weapon_Type="远程",($E523+1)/60+(ROUNDDOWN($F523*60+1,0)/60)*2,(ROUNDDOWN(($E523+1)+ROUNDDOWN($F523*60+1,0)+ROUNDDOWN($G523/2*60+1,0)+ROUNDDOWN($H523*60+1,0)+1,0))/60+If(DPS_ATK_TYPE="挥砍",1/60)+If(DPS_ATK_TYPE="挥砍/刺击",1/120))+DPS_Weapon_Randomization/60</f>
        <v>0.105</v>
      </c>
      <c r="C523" s="104">
        <f>IF(DPS_Graph_True_Speed=TRUE,IF($A523&lt;=DPS_Graph_Max,IF($A523&gt;=DPS_Graph_Speed_Min,1/B523,),),)</f>
        <v>9.523809524</v>
      </c>
      <c r="D523" s="115" t="str">
        <f>IF(DPS_Graph_True_Speed=TRUE,IF($E$8=$A523,DPS_Attacks_P_Sec,),)</f>
        <v/>
      </c>
      <c r="E523" s="222">
        <f>ROUNDDOWN(MAX(2,IF(A523&gt;=0, DPS_Base_Wpn_Spd/(1+A523),DPS_Base_Wpn_Spd*(1+ABS(A523)))),0)</f>
        <v>2</v>
      </c>
      <c r="F523" s="232">
        <f>IF(A523&gt;=0, DPS_Base_Recoil/(1+A523),DPS_Base_Recoil)</f>
        <v>0.01315789474</v>
      </c>
      <c r="G523" s="377">
        <f t="shared" si="7"/>
        <v>0.51</v>
      </c>
      <c r="H523" s="377">
        <f t="shared" si="8"/>
        <v>0.02127659574</v>
      </c>
      <c r="I523" s="104"/>
      <c r="J523" s="377">
        <f>MAX(0, Max(25,(DPS_Base_Range + ((DPS_Range_Stat) / 2))) / MIN(MAX(70, (70 * (1 + ($A523 / 3)))), 120))</f>
        <v>3.333333333</v>
      </c>
      <c r="K523" s="269">
        <f>IF(A523&lt;=DPS_Graph_Max,IF(A523&gt;=DPS_Graph_Speed_Min,A523,),)</f>
        <v>2.8</v>
      </c>
      <c r="M523" s="213">
        <f>If(DPS_Weapon_Type="远程",$E523/60+$F523*2,$E523/60+$F523+$G523/2+$H523)</f>
        <v>0.05964912281</v>
      </c>
      <c r="N523" s="104">
        <f>IF(DPS_Graph_Tooltip_Speed=TRUE,IF($A523&lt;=DPS_Graph_Max,IF($A523&gt;=DPS_Graph_Speed_Min,1/M523,),),)</f>
        <v>16.76470588</v>
      </c>
      <c r="R523" s="104" t="str">
        <f>IF(DPS_Graph_Tooltip_Speed=TRUE,IF($E$8=$A523,1/$N$6,),)</f>
        <v/>
      </c>
    </row>
    <row r="524">
      <c r="A524" s="370">
        <v>2.81</v>
      </c>
      <c r="B524" s="213">
        <f>If(DPS_Weapon_Type="远程",($E524+1)/60+(ROUNDDOWN($F524*60+1,0)/60)*2,(ROUNDDOWN(($E524+1)+ROUNDDOWN($F524*60+1,0)+ROUNDDOWN($G524/2*60+1,0)+ROUNDDOWN($H524*60+1,0)+1,0))/60+If(DPS_ATK_TYPE="挥砍",1/60)+If(DPS_ATK_TYPE="挥砍/刺击",1/120))+DPS_Weapon_Randomization/60</f>
        <v>0.105</v>
      </c>
      <c r="C524" s="104">
        <f>IF(DPS_Graph_True_Speed=TRUE,IF($A524&lt;=DPS_Graph_Max,IF($A524&gt;=DPS_Graph_Speed_Min,1/B524,),),)</f>
        <v>9.523809524</v>
      </c>
      <c r="D524" s="115" t="str">
        <f>IF(DPS_Graph_True_Speed=TRUE,IF($E$8=$A524,DPS_Attacks_P_Sec,),)</f>
        <v/>
      </c>
      <c r="E524" s="222">
        <f>ROUNDDOWN(MAX(2,IF(A524&gt;=0, DPS_Base_Wpn_Spd/(1+A524),DPS_Base_Wpn_Spd*(1+ABS(A524)))),0)</f>
        <v>2</v>
      </c>
      <c r="F524" s="232">
        <f>IF(A524&gt;=0, DPS_Base_Recoil/(1+A524),DPS_Base_Recoil)</f>
        <v>0.01312335958</v>
      </c>
      <c r="G524" s="377">
        <f t="shared" si="7"/>
        <v>0.51</v>
      </c>
      <c r="H524" s="377">
        <f t="shared" si="8"/>
        <v>0.02120890774</v>
      </c>
      <c r="I524" s="104"/>
      <c r="J524" s="377">
        <f>MAX(0, Max(25,(DPS_Base_Range + ((DPS_Range_Stat) / 2))) / MIN(MAX(70, (70 * (1 + ($A524 / 3)))), 120))</f>
        <v>3.333333333</v>
      </c>
      <c r="K524" s="269">
        <f>IF(A524&lt;=DPS_Graph_Max,IF(A524&gt;=DPS_Graph_Speed_Min,A524,),)</f>
        <v>2.81</v>
      </c>
      <c r="M524" s="213">
        <f>If(DPS_Weapon_Type="远程",$E524/60+$F524*2,$E524/60+$F524+$G524/2+$H524)</f>
        <v>0.05958005249</v>
      </c>
      <c r="N524" s="104">
        <f>IF(DPS_Graph_Tooltip_Speed=TRUE,IF($A524&lt;=DPS_Graph_Max,IF($A524&gt;=DPS_Graph_Speed_Min,1/M524,),),)</f>
        <v>16.78414097</v>
      </c>
      <c r="R524" s="104" t="str">
        <f>IF(DPS_Graph_Tooltip_Speed=TRUE,IF($E$8=$A524,1/$N$6,),)</f>
        <v/>
      </c>
    </row>
    <row r="525">
      <c r="A525" s="370">
        <v>2.82</v>
      </c>
      <c r="B525" s="213">
        <f>If(DPS_Weapon_Type="远程",($E525+1)/60+(ROUNDDOWN($F525*60+1,0)/60)*2,(ROUNDDOWN(($E525+1)+ROUNDDOWN($F525*60+1,0)+ROUNDDOWN($G525/2*60+1,0)+ROUNDDOWN($H525*60+1,0)+1,0))/60+If(DPS_ATK_TYPE="挥砍",1/60)+If(DPS_ATK_TYPE="挥砍/刺击",1/120))+DPS_Weapon_Randomization/60</f>
        <v>0.105</v>
      </c>
      <c r="C525" s="104">
        <f>IF(DPS_Graph_True_Speed=TRUE,IF($A525&lt;=DPS_Graph_Max,IF($A525&gt;=DPS_Graph_Speed_Min,1/B525,),),)</f>
        <v>9.523809524</v>
      </c>
      <c r="D525" s="115" t="str">
        <f>IF(DPS_Graph_True_Speed=TRUE,IF($E$8=$A525,DPS_Attacks_P_Sec,),)</f>
        <v/>
      </c>
      <c r="E525" s="222">
        <f>ROUNDDOWN(MAX(2,IF(A525&gt;=0, DPS_Base_Wpn_Spd/(1+A525),DPS_Base_Wpn_Spd*(1+ABS(A525)))),0)</f>
        <v>2</v>
      </c>
      <c r="F525" s="232">
        <f>IF(A525&gt;=0, DPS_Base_Recoil/(1+A525),DPS_Base_Recoil)</f>
        <v>0.01308900524</v>
      </c>
      <c r="G525" s="377">
        <f t="shared" si="7"/>
        <v>0.51</v>
      </c>
      <c r="H525" s="377">
        <f t="shared" si="8"/>
        <v>0.02114164905</v>
      </c>
      <c r="I525" s="104"/>
      <c r="J525" s="377">
        <f>MAX(0, Max(25,(DPS_Base_Range + ((DPS_Range_Stat) / 2))) / MIN(MAX(70, (70 * (1 + ($A525 / 3)))), 120))</f>
        <v>3.333333333</v>
      </c>
      <c r="K525" s="269">
        <f>IF(A525&lt;=DPS_Graph_Max,IF(A525&gt;=DPS_Graph_Speed_Min,A525,),)</f>
        <v>2.82</v>
      </c>
      <c r="M525" s="213">
        <f>If(DPS_Weapon_Type="远程",$E525/60+$F525*2,$E525/60+$F525+$G525/2+$H525)</f>
        <v>0.0595113438</v>
      </c>
      <c r="N525" s="104">
        <f>IF(DPS_Graph_Tooltip_Speed=TRUE,IF($A525&lt;=DPS_Graph_Max,IF($A525&gt;=DPS_Graph_Speed_Min,1/M525,),),)</f>
        <v>16.80351906</v>
      </c>
      <c r="R525" s="104" t="str">
        <f>IF(DPS_Graph_Tooltip_Speed=TRUE,IF($E$8=$A525,1/$N$6,),)</f>
        <v/>
      </c>
    </row>
    <row r="526">
      <c r="A526" s="370">
        <v>2.83</v>
      </c>
      <c r="B526" s="213">
        <f>If(DPS_Weapon_Type="远程",($E526+1)/60+(ROUNDDOWN($F526*60+1,0)/60)*2,(ROUNDDOWN(($E526+1)+ROUNDDOWN($F526*60+1,0)+ROUNDDOWN($G526/2*60+1,0)+ROUNDDOWN($H526*60+1,0)+1,0))/60+If(DPS_ATK_TYPE="挥砍",1/60)+If(DPS_ATK_TYPE="挥砍/刺击",1/120))+DPS_Weapon_Randomization/60</f>
        <v>0.105</v>
      </c>
      <c r="C526" s="104">
        <f>IF(DPS_Graph_True_Speed=TRUE,IF($A526&lt;=DPS_Graph_Max,IF($A526&gt;=DPS_Graph_Speed_Min,1/B526,),),)</f>
        <v>9.523809524</v>
      </c>
      <c r="D526" s="115" t="str">
        <f>IF(DPS_Graph_True_Speed=TRUE,IF($E$8=$A526,DPS_Attacks_P_Sec,),)</f>
        <v/>
      </c>
      <c r="E526" s="222">
        <f>ROUNDDOWN(MAX(2,IF(A526&gt;=0, DPS_Base_Wpn_Spd/(1+A526),DPS_Base_Wpn_Spd*(1+ABS(A526)))),0)</f>
        <v>2</v>
      </c>
      <c r="F526" s="232">
        <f>IF(A526&gt;=0, DPS_Base_Recoil/(1+A526),DPS_Base_Recoil)</f>
        <v>0.01305483029</v>
      </c>
      <c r="G526" s="377">
        <f t="shared" si="7"/>
        <v>0.51</v>
      </c>
      <c r="H526" s="377">
        <f t="shared" si="8"/>
        <v>0.0210748156</v>
      </c>
      <c r="I526" s="104"/>
      <c r="J526" s="377">
        <f>MAX(0, Max(25,(DPS_Base_Range + ((DPS_Range_Stat) / 2))) / MIN(MAX(70, (70 * (1 + ($A526 / 3)))), 120))</f>
        <v>3.333333333</v>
      </c>
      <c r="K526" s="269">
        <f>IF(A526&lt;=DPS_Graph_Max,IF(A526&gt;=DPS_Graph_Speed_Min,A526,),)</f>
        <v>2.83</v>
      </c>
      <c r="M526" s="213">
        <f>If(DPS_Weapon_Type="远程",$E526/60+$F526*2,$E526/60+$F526+$G526/2+$H526)</f>
        <v>0.05944299391</v>
      </c>
      <c r="N526" s="104">
        <f>IF(DPS_Graph_Tooltip_Speed=TRUE,IF($A526&lt;=DPS_Graph_Max,IF($A526&gt;=DPS_Graph_Speed_Min,1/M526,),),)</f>
        <v>16.82284041</v>
      </c>
      <c r="R526" s="104" t="str">
        <f>IF(DPS_Graph_Tooltip_Speed=TRUE,IF($E$8=$A526,1/$N$6,),)</f>
        <v/>
      </c>
    </row>
    <row r="527">
      <c r="A527" s="370">
        <v>2.84</v>
      </c>
      <c r="B527" s="213">
        <f>If(DPS_Weapon_Type="远程",($E527+1)/60+(ROUNDDOWN($F527*60+1,0)/60)*2,(ROUNDDOWN(($E527+1)+ROUNDDOWN($F527*60+1,0)+ROUNDDOWN($G527/2*60+1,0)+ROUNDDOWN($H527*60+1,0)+1,0))/60+If(DPS_ATK_TYPE="挥砍",1/60)+If(DPS_ATK_TYPE="挥砍/刺击",1/120))+DPS_Weapon_Randomization/60</f>
        <v>0.105</v>
      </c>
      <c r="C527" s="104">
        <f>IF(DPS_Graph_True_Speed=TRUE,IF($A527&lt;=DPS_Graph_Max,IF($A527&gt;=DPS_Graph_Speed_Min,1/B527,),),)</f>
        <v>9.523809524</v>
      </c>
      <c r="D527" s="115" t="str">
        <f>IF(DPS_Graph_True_Speed=TRUE,IF($E$8=$A527,DPS_Attacks_P_Sec,),)</f>
        <v/>
      </c>
      <c r="E527" s="222">
        <f>ROUNDDOWN(MAX(2,IF(A527&gt;=0, DPS_Base_Wpn_Spd/(1+A527),DPS_Base_Wpn_Spd*(1+ABS(A527)))),0)</f>
        <v>2</v>
      </c>
      <c r="F527" s="232">
        <f>IF(A527&gt;=0, DPS_Base_Recoil/(1+A527),DPS_Base_Recoil)</f>
        <v>0.01302083333</v>
      </c>
      <c r="G527" s="377">
        <f t="shared" si="7"/>
        <v>0.51</v>
      </c>
      <c r="H527" s="377">
        <f t="shared" si="8"/>
        <v>0.02100840336</v>
      </c>
      <c r="I527" s="104"/>
      <c r="J527" s="377">
        <f>MAX(0, Max(25,(DPS_Base_Range + ((DPS_Range_Stat) / 2))) / MIN(MAX(70, (70 * (1 + ($A527 / 3)))), 120))</f>
        <v>3.333333333</v>
      </c>
      <c r="K527" s="269">
        <f>IF(A527&lt;=DPS_Graph_Max,IF(A527&gt;=DPS_Graph_Speed_Min,A527,),)</f>
        <v>2.84</v>
      </c>
      <c r="M527" s="213">
        <f>If(DPS_Weapon_Type="远程",$E527/60+$F527*2,$E527/60+$F527+$G527/2+$H527)</f>
        <v>0.059375</v>
      </c>
      <c r="N527" s="104">
        <f>IF(DPS_Graph_Tooltip_Speed=TRUE,IF($A527&lt;=DPS_Graph_Max,IF($A527&gt;=DPS_Graph_Speed_Min,1/M527,),),)</f>
        <v>16.84210526</v>
      </c>
      <c r="R527" s="104" t="str">
        <f>IF(DPS_Graph_Tooltip_Speed=TRUE,IF($E$8=$A527,1/$N$6,),)</f>
        <v/>
      </c>
    </row>
    <row r="528">
      <c r="A528" s="370">
        <v>2.85</v>
      </c>
      <c r="B528" s="213">
        <f>If(DPS_Weapon_Type="远程",($E528+1)/60+(ROUNDDOWN($F528*60+1,0)/60)*2,(ROUNDDOWN(($E528+1)+ROUNDDOWN($F528*60+1,0)+ROUNDDOWN($G528/2*60+1,0)+ROUNDDOWN($H528*60+1,0)+1,0))/60+If(DPS_ATK_TYPE="挥砍",1/60)+If(DPS_ATK_TYPE="挥砍/刺击",1/120))+DPS_Weapon_Randomization/60</f>
        <v>0.105</v>
      </c>
      <c r="C528" s="104">
        <f>IF(DPS_Graph_True_Speed=TRUE,IF($A528&lt;=DPS_Graph_Max,IF($A528&gt;=DPS_Graph_Speed_Min,1/B528,),),)</f>
        <v>9.523809524</v>
      </c>
      <c r="D528" s="115" t="str">
        <f>IF(DPS_Graph_True_Speed=TRUE,IF($E$8=$A528,DPS_Attacks_P_Sec,),)</f>
        <v/>
      </c>
      <c r="E528" s="222">
        <f>ROUNDDOWN(MAX(2,IF(A528&gt;=0, DPS_Base_Wpn_Spd/(1+A528),DPS_Base_Wpn_Spd*(1+ABS(A528)))),0)</f>
        <v>2</v>
      </c>
      <c r="F528" s="232">
        <f>IF(A528&gt;=0, DPS_Base_Recoil/(1+A528),DPS_Base_Recoil)</f>
        <v>0.01298701299</v>
      </c>
      <c r="G528" s="377">
        <f t="shared" si="7"/>
        <v>0.51</v>
      </c>
      <c r="H528" s="377">
        <f t="shared" si="8"/>
        <v>0.02094240838</v>
      </c>
      <c r="I528" s="104"/>
      <c r="J528" s="377">
        <f>MAX(0, Max(25,(DPS_Base_Range + ((DPS_Range_Stat) / 2))) / MIN(MAX(70, (70 * (1 + ($A528 / 3)))), 120))</f>
        <v>3.333333333</v>
      </c>
      <c r="K528" s="269">
        <f>IF(A528&lt;=DPS_Graph_Max,IF(A528&gt;=DPS_Graph_Speed_Min,A528,),)</f>
        <v>2.85</v>
      </c>
      <c r="M528" s="213">
        <f>If(DPS_Weapon_Type="远程",$E528/60+$F528*2,$E528/60+$F528+$G528/2+$H528)</f>
        <v>0.05930735931</v>
      </c>
      <c r="N528" s="104">
        <f>IF(DPS_Graph_Tooltip_Speed=TRUE,IF($A528&lt;=DPS_Graph_Max,IF($A528&gt;=DPS_Graph_Speed_Min,1/M528,),),)</f>
        <v>16.86131387</v>
      </c>
      <c r="R528" s="104" t="str">
        <f>IF(DPS_Graph_Tooltip_Speed=TRUE,IF($E$8=$A528,1/$N$6,),)</f>
        <v/>
      </c>
    </row>
    <row r="529">
      <c r="A529" s="370">
        <v>2.86</v>
      </c>
      <c r="B529" s="213">
        <f>If(DPS_Weapon_Type="远程",($E529+1)/60+(ROUNDDOWN($F529*60+1,0)/60)*2,(ROUNDDOWN(($E529+1)+ROUNDDOWN($F529*60+1,0)+ROUNDDOWN($G529/2*60+1,0)+ROUNDDOWN($H529*60+1,0)+1,0))/60+If(DPS_ATK_TYPE="挥砍",1/60)+If(DPS_ATK_TYPE="挥砍/刺击",1/120))+DPS_Weapon_Randomization/60</f>
        <v>0.105</v>
      </c>
      <c r="C529" s="104">
        <f>IF(DPS_Graph_True_Speed=TRUE,IF($A529&lt;=DPS_Graph_Max,IF($A529&gt;=DPS_Graph_Speed_Min,1/B529,),),)</f>
        <v>9.523809524</v>
      </c>
      <c r="D529" s="115" t="str">
        <f>IF(DPS_Graph_True_Speed=TRUE,IF($E$8=$A529,DPS_Attacks_P_Sec,),)</f>
        <v/>
      </c>
      <c r="E529" s="222">
        <f>ROUNDDOWN(MAX(2,IF(A529&gt;=0, DPS_Base_Wpn_Spd/(1+A529),DPS_Base_Wpn_Spd*(1+ABS(A529)))),0)</f>
        <v>2</v>
      </c>
      <c r="F529" s="232">
        <f>IF(A529&gt;=0, DPS_Base_Recoil/(1+A529),DPS_Base_Recoil)</f>
        <v>0.01295336788</v>
      </c>
      <c r="G529" s="377">
        <f t="shared" si="7"/>
        <v>0.51</v>
      </c>
      <c r="H529" s="377">
        <f t="shared" si="8"/>
        <v>0.02087682672</v>
      </c>
      <c r="I529" s="104"/>
      <c r="J529" s="377">
        <f>MAX(0, Max(25,(DPS_Base_Range + ((DPS_Range_Stat) / 2))) / MIN(MAX(70, (70 * (1 + ($A529 / 3)))), 120))</f>
        <v>3.333333333</v>
      </c>
      <c r="K529" s="269">
        <f>IF(A529&lt;=DPS_Graph_Max,IF(A529&gt;=DPS_Graph_Speed_Min,A529,),)</f>
        <v>2.86</v>
      </c>
      <c r="M529" s="213">
        <f>If(DPS_Weapon_Type="远程",$E529/60+$F529*2,$E529/60+$F529+$G529/2+$H529)</f>
        <v>0.05924006908</v>
      </c>
      <c r="N529" s="104">
        <f>IF(DPS_Graph_Tooltip_Speed=TRUE,IF($A529&lt;=DPS_Graph_Max,IF($A529&gt;=DPS_Graph_Speed_Min,1/M529,),),)</f>
        <v>16.88046647</v>
      </c>
      <c r="R529" s="104" t="str">
        <f>IF(DPS_Graph_Tooltip_Speed=TRUE,IF($E$8=$A529,1/$N$6,),)</f>
        <v/>
      </c>
    </row>
    <row r="530">
      <c r="A530" s="370">
        <v>2.87</v>
      </c>
      <c r="B530" s="213">
        <f>If(DPS_Weapon_Type="远程",($E530+1)/60+(ROUNDDOWN($F530*60+1,0)/60)*2,(ROUNDDOWN(($E530+1)+ROUNDDOWN($F530*60+1,0)+ROUNDDOWN($G530/2*60+1,0)+ROUNDDOWN($H530*60+1,0)+1,0))/60+If(DPS_ATK_TYPE="挥砍",1/60)+If(DPS_ATK_TYPE="挥砍/刺击",1/120))+DPS_Weapon_Randomization/60</f>
        <v>0.105</v>
      </c>
      <c r="C530" s="104">
        <f>IF(DPS_Graph_True_Speed=TRUE,IF($A530&lt;=DPS_Graph_Max,IF($A530&gt;=DPS_Graph_Speed_Min,1/B530,),),)</f>
        <v>9.523809524</v>
      </c>
      <c r="D530" s="115" t="str">
        <f>IF(DPS_Graph_True_Speed=TRUE,IF($E$8=$A530,DPS_Attacks_P_Sec,),)</f>
        <v/>
      </c>
      <c r="E530" s="222">
        <f>ROUNDDOWN(MAX(2,IF(A530&gt;=0, DPS_Base_Wpn_Spd/(1+A530),DPS_Base_Wpn_Spd*(1+ABS(A530)))),0)</f>
        <v>2</v>
      </c>
      <c r="F530" s="232">
        <f>IF(A530&gt;=0, DPS_Base_Recoil/(1+A530),DPS_Base_Recoil)</f>
        <v>0.01291989664</v>
      </c>
      <c r="G530" s="377">
        <f t="shared" si="7"/>
        <v>0.51</v>
      </c>
      <c r="H530" s="377">
        <f t="shared" si="8"/>
        <v>0.02081165453</v>
      </c>
      <c r="I530" s="104"/>
      <c r="J530" s="377">
        <f>MAX(0, Max(25,(DPS_Base_Range + ((DPS_Range_Stat) / 2))) / MIN(MAX(70, (70 * (1 + ($A530 / 3)))), 120))</f>
        <v>3.333333333</v>
      </c>
      <c r="K530" s="269">
        <f>IF(A530&lt;=DPS_Graph_Max,IF(A530&gt;=DPS_Graph_Speed_Min,A530,),)</f>
        <v>2.87</v>
      </c>
      <c r="M530" s="213">
        <f>If(DPS_Weapon_Type="远程",$E530/60+$F530*2,$E530/60+$F530+$G530/2+$H530)</f>
        <v>0.05917312661</v>
      </c>
      <c r="N530" s="104">
        <f>IF(DPS_Graph_Tooltip_Speed=TRUE,IF($A530&lt;=DPS_Graph_Max,IF($A530&gt;=DPS_Graph_Speed_Min,1/M530,),),)</f>
        <v>16.89956332</v>
      </c>
      <c r="R530" s="104" t="str">
        <f>IF(DPS_Graph_Tooltip_Speed=TRUE,IF($E$8=$A530,1/$N$6,),)</f>
        <v/>
      </c>
    </row>
    <row r="531">
      <c r="A531" s="370">
        <v>2.88</v>
      </c>
      <c r="B531" s="213">
        <f>If(DPS_Weapon_Type="远程",($E531+1)/60+(ROUNDDOWN($F531*60+1,0)/60)*2,(ROUNDDOWN(($E531+1)+ROUNDDOWN($F531*60+1,0)+ROUNDDOWN($G531/2*60+1,0)+ROUNDDOWN($H531*60+1,0)+1,0))/60+If(DPS_ATK_TYPE="挥砍",1/60)+If(DPS_ATK_TYPE="挥砍/刺击",1/120))+DPS_Weapon_Randomization/60</f>
        <v>0.105</v>
      </c>
      <c r="C531" s="104">
        <f>IF(DPS_Graph_True_Speed=TRUE,IF($A531&lt;=DPS_Graph_Max,IF($A531&gt;=DPS_Graph_Speed_Min,1/B531,),),)</f>
        <v>9.523809524</v>
      </c>
      <c r="D531" s="115" t="str">
        <f>IF(DPS_Graph_True_Speed=TRUE,IF($E$8=$A531,DPS_Attacks_P_Sec,),)</f>
        <v/>
      </c>
      <c r="E531" s="222">
        <f>ROUNDDOWN(MAX(2,IF(A531&gt;=0, DPS_Base_Wpn_Spd/(1+A531),DPS_Base_Wpn_Spd*(1+ABS(A531)))),0)</f>
        <v>2</v>
      </c>
      <c r="F531" s="232">
        <f>IF(A531&gt;=0, DPS_Base_Recoil/(1+A531),DPS_Base_Recoil)</f>
        <v>0.01288659794</v>
      </c>
      <c r="G531" s="377">
        <f t="shared" si="7"/>
        <v>0.51</v>
      </c>
      <c r="H531" s="377">
        <f t="shared" si="8"/>
        <v>0.02074688797</v>
      </c>
      <c r="I531" s="104"/>
      <c r="J531" s="377">
        <f>MAX(0, Max(25,(DPS_Base_Range + ((DPS_Range_Stat) / 2))) / MIN(MAX(70, (70 * (1 + ($A531 / 3)))), 120))</f>
        <v>3.333333333</v>
      </c>
      <c r="K531" s="269">
        <f>IF(A531&lt;=DPS_Graph_Max,IF(A531&gt;=DPS_Graph_Speed_Min,A531,),)</f>
        <v>2.88</v>
      </c>
      <c r="M531" s="213">
        <f>If(DPS_Weapon_Type="远程",$E531/60+$F531*2,$E531/60+$F531+$G531/2+$H531)</f>
        <v>0.05910652921</v>
      </c>
      <c r="N531" s="104">
        <f>IF(DPS_Graph_Tooltip_Speed=TRUE,IF($A531&lt;=DPS_Graph_Max,IF($A531&gt;=DPS_Graph_Speed_Min,1/M531,),),)</f>
        <v>16.91860465</v>
      </c>
      <c r="R531" s="104" t="str">
        <f>IF(DPS_Graph_Tooltip_Speed=TRUE,IF($E$8=$A531,1/$N$6,),)</f>
        <v/>
      </c>
    </row>
    <row r="532">
      <c r="A532" s="370">
        <v>2.89</v>
      </c>
      <c r="B532" s="213">
        <f>If(DPS_Weapon_Type="远程",($E532+1)/60+(ROUNDDOWN($F532*60+1,0)/60)*2,(ROUNDDOWN(($E532+1)+ROUNDDOWN($F532*60+1,0)+ROUNDDOWN($G532/2*60+1,0)+ROUNDDOWN($H532*60+1,0)+1,0))/60+If(DPS_ATK_TYPE="挥砍",1/60)+If(DPS_ATK_TYPE="挥砍/刺击",1/120))+DPS_Weapon_Randomization/60</f>
        <v>0.105</v>
      </c>
      <c r="C532" s="104">
        <f>IF(DPS_Graph_True_Speed=TRUE,IF($A532&lt;=DPS_Graph_Max,IF($A532&gt;=DPS_Graph_Speed_Min,1/B532,),),)</f>
        <v>9.523809524</v>
      </c>
      <c r="D532" s="115" t="str">
        <f>IF(DPS_Graph_True_Speed=TRUE,IF($E$8=$A532,DPS_Attacks_P_Sec,),)</f>
        <v/>
      </c>
      <c r="E532" s="222">
        <f>ROUNDDOWN(MAX(2,IF(A532&gt;=0, DPS_Base_Wpn_Spd/(1+A532),DPS_Base_Wpn_Spd*(1+ABS(A532)))),0)</f>
        <v>2</v>
      </c>
      <c r="F532" s="232">
        <f>IF(A532&gt;=0, DPS_Base_Recoil/(1+A532),DPS_Base_Recoil)</f>
        <v>0.01285347044</v>
      </c>
      <c r="G532" s="377">
        <f t="shared" si="7"/>
        <v>0.51</v>
      </c>
      <c r="H532" s="377">
        <f t="shared" si="8"/>
        <v>0.02068252327</v>
      </c>
      <c r="I532" s="104"/>
      <c r="J532" s="377">
        <f>MAX(0, Max(25,(DPS_Base_Range + ((DPS_Range_Stat) / 2))) / MIN(MAX(70, (70 * (1 + ($A532 / 3)))), 120))</f>
        <v>3.333333333</v>
      </c>
      <c r="K532" s="269">
        <f>IF(A532&lt;=DPS_Graph_Max,IF(A532&gt;=DPS_Graph_Speed_Min,A532,),)</f>
        <v>2.89</v>
      </c>
      <c r="M532" s="213">
        <f>If(DPS_Weapon_Type="远程",$E532/60+$F532*2,$E532/60+$F532+$G532/2+$H532)</f>
        <v>0.05904027421</v>
      </c>
      <c r="N532" s="104">
        <f>IF(DPS_Graph_Tooltip_Speed=TRUE,IF($A532&lt;=DPS_Graph_Max,IF($A532&gt;=DPS_Graph_Speed_Min,1/M532,),),)</f>
        <v>16.93759071</v>
      </c>
      <c r="R532" s="104" t="str">
        <f>IF(DPS_Graph_Tooltip_Speed=TRUE,IF($E$8=$A532,1/$N$6,),)</f>
        <v/>
      </c>
    </row>
    <row r="533">
      <c r="A533" s="370">
        <v>2.9</v>
      </c>
      <c r="B533" s="213">
        <f>If(DPS_Weapon_Type="远程",($E533+1)/60+(ROUNDDOWN($F533*60+1,0)/60)*2,(ROUNDDOWN(($E533+1)+ROUNDDOWN($F533*60+1,0)+ROUNDDOWN($G533/2*60+1,0)+ROUNDDOWN($H533*60+1,0)+1,0))/60+If(DPS_ATK_TYPE="挥砍",1/60)+If(DPS_ATK_TYPE="挥砍/刺击",1/120))+DPS_Weapon_Randomization/60</f>
        <v>0.105</v>
      </c>
      <c r="C533" s="104">
        <f>IF(DPS_Graph_True_Speed=TRUE,IF($A533&lt;=DPS_Graph_Max,IF($A533&gt;=DPS_Graph_Speed_Min,1/B533,),),)</f>
        <v>9.523809524</v>
      </c>
      <c r="D533" s="115" t="str">
        <f>IF(DPS_Graph_True_Speed=TRUE,IF($E$8=$A533,DPS_Attacks_P_Sec,),)</f>
        <v/>
      </c>
      <c r="E533" s="222">
        <f>ROUNDDOWN(MAX(2,IF(A533&gt;=0, DPS_Base_Wpn_Spd/(1+A533),DPS_Base_Wpn_Spd*(1+ABS(A533)))),0)</f>
        <v>2</v>
      </c>
      <c r="F533" s="232">
        <f>IF(A533&gt;=0, DPS_Base_Recoil/(1+A533),DPS_Base_Recoil)</f>
        <v>0.01282051282</v>
      </c>
      <c r="G533" s="377">
        <f t="shared" si="7"/>
        <v>0.51</v>
      </c>
      <c r="H533" s="377">
        <f t="shared" si="8"/>
        <v>0.0206185567</v>
      </c>
      <c r="I533" s="104"/>
      <c r="J533" s="377">
        <f>MAX(0, Max(25,(DPS_Base_Range + ((DPS_Range_Stat) / 2))) / MIN(MAX(70, (70 * (1 + ($A533 / 3)))), 120))</f>
        <v>3.333333333</v>
      </c>
      <c r="K533" s="269">
        <f>IF(A533&lt;=DPS_Graph_Max,IF(A533&gt;=DPS_Graph_Speed_Min,A533,),)</f>
        <v>2.9</v>
      </c>
      <c r="M533" s="213">
        <f>If(DPS_Weapon_Type="远程",$E533/60+$F533*2,$E533/60+$F533+$G533/2+$H533)</f>
        <v>0.05897435897</v>
      </c>
      <c r="N533" s="104">
        <f>IF(DPS_Graph_Tooltip_Speed=TRUE,IF($A533&lt;=DPS_Graph_Max,IF($A533&gt;=DPS_Graph_Speed_Min,1/M533,),),)</f>
        <v>16.95652174</v>
      </c>
      <c r="R533" s="104" t="str">
        <f>IF(DPS_Graph_Tooltip_Speed=TRUE,IF($E$8=$A533,1/$N$6,),)</f>
        <v/>
      </c>
    </row>
    <row r="534">
      <c r="A534" s="370">
        <v>2.91</v>
      </c>
      <c r="B534" s="213">
        <f>If(DPS_Weapon_Type="远程",($E534+1)/60+(ROUNDDOWN($F534*60+1,0)/60)*2,(ROUNDDOWN(($E534+1)+ROUNDDOWN($F534*60+1,0)+ROUNDDOWN($G534/2*60+1,0)+ROUNDDOWN($H534*60+1,0)+1,0))/60+If(DPS_ATK_TYPE="挥砍",1/60)+If(DPS_ATK_TYPE="挥砍/刺击",1/120))+DPS_Weapon_Randomization/60</f>
        <v>0.105</v>
      </c>
      <c r="C534" s="104">
        <f>IF(DPS_Graph_True_Speed=TRUE,IF($A534&lt;=DPS_Graph_Max,IF($A534&gt;=DPS_Graph_Speed_Min,1/B534,),),)</f>
        <v>9.523809524</v>
      </c>
      <c r="D534" s="115" t="str">
        <f>IF(DPS_Graph_True_Speed=TRUE,IF($E$8=$A534,DPS_Attacks_P_Sec,),)</f>
        <v/>
      </c>
      <c r="E534" s="222">
        <f>ROUNDDOWN(MAX(2,IF(A534&gt;=0, DPS_Base_Wpn_Spd/(1+A534),DPS_Base_Wpn_Spd*(1+ABS(A534)))),0)</f>
        <v>2</v>
      </c>
      <c r="F534" s="232">
        <f>IF(A534&gt;=0, DPS_Base_Recoil/(1+A534),DPS_Base_Recoil)</f>
        <v>0.01278772379</v>
      </c>
      <c r="G534" s="377">
        <f t="shared" si="7"/>
        <v>0.51</v>
      </c>
      <c r="H534" s="377">
        <f t="shared" si="8"/>
        <v>0.02055498458</v>
      </c>
      <c r="I534" s="104"/>
      <c r="J534" s="377">
        <f>MAX(0, Max(25,(DPS_Base_Range + ((DPS_Range_Stat) / 2))) / MIN(MAX(70, (70 * (1 + ($A534 / 3)))), 120))</f>
        <v>3.333333333</v>
      </c>
      <c r="K534" s="269">
        <f>IF(A534&lt;=DPS_Graph_Max,IF(A534&gt;=DPS_Graph_Speed_Min,A534,),)</f>
        <v>2.91</v>
      </c>
      <c r="M534" s="213">
        <f>If(DPS_Weapon_Type="远程",$E534/60+$F534*2,$E534/60+$F534+$G534/2+$H534)</f>
        <v>0.0589087809</v>
      </c>
      <c r="N534" s="104">
        <f>IF(DPS_Graph_Tooltip_Speed=TRUE,IF($A534&lt;=DPS_Graph_Max,IF($A534&gt;=DPS_Graph_Speed_Min,1/M534,),),)</f>
        <v>16.97539797</v>
      </c>
      <c r="R534" s="104" t="str">
        <f>IF(DPS_Graph_Tooltip_Speed=TRUE,IF($E$8=$A534,1/$N$6,),)</f>
        <v/>
      </c>
    </row>
    <row r="535">
      <c r="A535" s="370">
        <v>2.92</v>
      </c>
      <c r="B535" s="213">
        <f>If(DPS_Weapon_Type="远程",($E535+1)/60+(ROUNDDOWN($F535*60+1,0)/60)*2,(ROUNDDOWN(($E535+1)+ROUNDDOWN($F535*60+1,0)+ROUNDDOWN($G535/2*60+1,0)+ROUNDDOWN($H535*60+1,0)+1,0))/60+If(DPS_ATK_TYPE="挥砍",1/60)+If(DPS_ATK_TYPE="挥砍/刺击",1/120))+DPS_Weapon_Randomization/60</f>
        <v>0.105</v>
      </c>
      <c r="C535" s="104">
        <f>IF(DPS_Graph_True_Speed=TRUE,IF($A535&lt;=DPS_Graph_Max,IF($A535&gt;=DPS_Graph_Speed_Min,1/B535,),),)</f>
        <v>9.523809524</v>
      </c>
      <c r="D535" s="115" t="str">
        <f>IF(DPS_Graph_True_Speed=TRUE,IF($E$8=$A535,DPS_Attacks_P_Sec,),)</f>
        <v/>
      </c>
      <c r="E535" s="222">
        <f>ROUNDDOWN(MAX(2,IF(A535&gt;=0, DPS_Base_Wpn_Spd/(1+A535),DPS_Base_Wpn_Spd*(1+ABS(A535)))),0)</f>
        <v>2</v>
      </c>
      <c r="F535" s="232">
        <f>IF(A535&gt;=0, DPS_Base_Recoil/(1+A535),DPS_Base_Recoil)</f>
        <v>0.01275510204</v>
      </c>
      <c r="G535" s="377">
        <f t="shared" si="7"/>
        <v>0.51</v>
      </c>
      <c r="H535" s="377">
        <f t="shared" si="8"/>
        <v>0.02049180328</v>
      </c>
      <c r="I535" s="104"/>
      <c r="J535" s="377">
        <f>MAX(0, Max(25,(DPS_Base_Range + ((DPS_Range_Stat) / 2))) / MIN(MAX(70, (70 * (1 + ($A535 / 3)))), 120))</f>
        <v>3.333333333</v>
      </c>
      <c r="K535" s="269">
        <f>IF(A535&lt;=DPS_Graph_Max,IF(A535&gt;=DPS_Graph_Speed_Min,A535,),)</f>
        <v>2.92</v>
      </c>
      <c r="M535" s="213">
        <f>If(DPS_Weapon_Type="远程",$E535/60+$F535*2,$E535/60+$F535+$G535/2+$H535)</f>
        <v>0.05884353741</v>
      </c>
      <c r="N535" s="104">
        <f>IF(DPS_Graph_Tooltip_Speed=TRUE,IF($A535&lt;=DPS_Graph_Max,IF($A535&gt;=DPS_Graph_Speed_Min,1/M535,),),)</f>
        <v>16.99421965</v>
      </c>
      <c r="R535" s="104" t="str">
        <f>IF(DPS_Graph_Tooltip_Speed=TRUE,IF($E$8=$A535,1/$N$6,),)</f>
        <v/>
      </c>
    </row>
    <row r="536">
      <c r="A536" s="370">
        <v>2.93</v>
      </c>
      <c r="B536" s="213">
        <f>If(DPS_Weapon_Type="远程",($E536+1)/60+(ROUNDDOWN($F536*60+1,0)/60)*2,(ROUNDDOWN(($E536+1)+ROUNDDOWN($F536*60+1,0)+ROUNDDOWN($G536/2*60+1,0)+ROUNDDOWN($H536*60+1,0)+1,0))/60+If(DPS_ATK_TYPE="挥砍",1/60)+If(DPS_ATK_TYPE="挥砍/刺击",1/120))+DPS_Weapon_Randomization/60</f>
        <v>0.105</v>
      </c>
      <c r="C536" s="104">
        <f>IF(DPS_Graph_True_Speed=TRUE,IF($A536&lt;=DPS_Graph_Max,IF($A536&gt;=DPS_Graph_Speed_Min,1/B536,),),)</f>
        <v>9.523809524</v>
      </c>
      <c r="D536" s="115" t="str">
        <f>IF(DPS_Graph_True_Speed=TRUE,IF($E$8=$A536,DPS_Attacks_P_Sec,),)</f>
        <v/>
      </c>
      <c r="E536" s="222">
        <f>ROUNDDOWN(MAX(2,IF(A536&gt;=0, DPS_Base_Wpn_Spd/(1+A536),DPS_Base_Wpn_Spd*(1+ABS(A536)))),0)</f>
        <v>2</v>
      </c>
      <c r="F536" s="232">
        <f>IF(A536&gt;=0, DPS_Base_Recoil/(1+A536),DPS_Base_Recoil)</f>
        <v>0.01272264631</v>
      </c>
      <c r="G536" s="377">
        <f t="shared" si="7"/>
        <v>0.51</v>
      </c>
      <c r="H536" s="377">
        <f t="shared" si="8"/>
        <v>0.02042900919</v>
      </c>
      <c r="I536" s="104"/>
      <c r="J536" s="377">
        <f>MAX(0, Max(25,(DPS_Base_Range + ((DPS_Range_Stat) / 2))) / MIN(MAX(70, (70 * (1 + ($A536 / 3)))), 120))</f>
        <v>3.333333333</v>
      </c>
      <c r="K536" s="269">
        <f>IF(A536&lt;=DPS_Graph_Max,IF(A536&gt;=DPS_Graph_Speed_Min,A536,),)</f>
        <v>2.93</v>
      </c>
      <c r="M536" s="213">
        <f>If(DPS_Weapon_Type="远程",$E536/60+$F536*2,$E536/60+$F536+$G536/2+$H536)</f>
        <v>0.05877862595</v>
      </c>
      <c r="N536" s="104">
        <f>IF(DPS_Graph_Tooltip_Speed=TRUE,IF($A536&lt;=DPS_Graph_Max,IF($A536&gt;=DPS_Graph_Speed_Min,1/M536,),),)</f>
        <v>17.01298701</v>
      </c>
      <c r="R536" s="104" t="str">
        <f>IF(DPS_Graph_Tooltip_Speed=TRUE,IF($E$8=$A536,1/$N$6,),)</f>
        <v/>
      </c>
    </row>
    <row r="537">
      <c r="A537" s="370">
        <v>2.94</v>
      </c>
      <c r="B537" s="213">
        <f>If(DPS_Weapon_Type="远程",($E537+1)/60+(ROUNDDOWN($F537*60+1,0)/60)*2,(ROUNDDOWN(($E537+1)+ROUNDDOWN($F537*60+1,0)+ROUNDDOWN($G537/2*60+1,0)+ROUNDDOWN($H537*60+1,0)+1,0))/60+If(DPS_ATK_TYPE="挥砍",1/60)+If(DPS_ATK_TYPE="挥砍/刺击",1/120))+DPS_Weapon_Randomization/60</f>
        <v>0.105</v>
      </c>
      <c r="C537" s="104">
        <f>IF(DPS_Graph_True_Speed=TRUE,IF($A537&lt;=DPS_Graph_Max,IF($A537&gt;=DPS_Graph_Speed_Min,1/B537,),),)</f>
        <v>9.523809524</v>
      </c>
      <c r="D537" s="115" t="str">
        <f>IF(DPS_Graph_True_Speed=TRUE,IF($E$8=$A537,DPS_Attacks_P_Sec,),)</f>
        <v/>
      </c>
      <c r="E537" s="222">
        <f>ROUNDDOWN(MAX(2,IF(A537&gt;=0, DPS_Base_Wpn_Spd/(1+A537),DPS_Base_Wpn_Spd*(1+ABS(A537)))),0)</f>
        <v>2</v>
      </c>
      <c r="F537" s="232">
        <f>IF(A537&gt;=0, DPS_Base_Recoil/(1+A537),DPS_Base_Recoil)</f>
        <v>0.01269035533</v>
      </c>
      <c r="G537" s="377">
        <f t="shared" si="7"/>
        <v>0.51</v>
      </c>
      <c r="H537" s="377">
        <f t="shared" si="8"/>
        <v>0.02036659878</v>
      </c>
      <c r="I537" s="104"/>
      <c r="J537" s="377">
        <f>MAX(0, Max(25,(DPS_Base_Range + ((DPS_Range_Stat) / 2))) / MIN(MAX(70, (70 * (1 + ($A537 / 3)))), 120))</f>
        <v>3.333333333</v>
      </c>
      <c r="K537" s="269">
        <f>IF(A537&lt;=DPS_Graph_Max,IF(A537&gt;=DPS_Graph_Speed_Min,A537,),)</f>
        <v>2.94</v>
      </c>
      <c r="M537" s="213">
        <f>If(DPS_Weapon_Type="远程",$E537/60+$F537*2,$E537/60+$F537+$G537/2+$H537)</f>
        <v>0.05871404399</v>
      </c>
      <c r="N537" s="104">
        <f>IF(DPS_Graph_Tooltip_Speed=TRUE,IF($A537&lt;=DPS_Graph_Max,IF($A537&gt;=DPS_Graph_Speed_Min,1/M537,),),)</f>
        <v>17.03170029</v>
      </c>
      <c r="R537" s="104" t="str">
        <f>IF(DPS_Graph_Tooltip_Speed=TRUE,IF($E$8=$A537,1/$N$6,),)</f>
        <v/>
      </c>
    </row>
    <row r="538">
      <c r="A538" s="370">
        <v>2.95</v>
      </c>
      <c r="B538" s="213">
        <f>If(DPS_Weapon_Type="远程",($E538+1)/60+(ROUNDDOWN($F538*60+1,0)/60)*2,(ROUNDDOWN(($E538+1)+ROUNDDOWN($F538*60+1,0)+ROUNDDOWN($G538/2*60+1,0)+ROUNDDOWN($H538*60+1,0)+1,0))/60+If(DPS_ATK_TYPE="挥砍",1/60)+If(DPS_ATK_TYPE="挥砍/刺击",1/120))+DPS_Weapon_Randomization/60</f>
        <v>0.105</v>
      </c>
      <c r="C538" s="104">
        <f>IF(DPS_Graph_True_Speed=TRUE,IF($A538&lt;=DPS_Graph_Max,IF($A538&gt;=DPS_Graph_Speed_Min,1/B538,),),)</f>
        <v>9.523809524</v>
      </c>
      <c r="D538" s="115" t="str">
        <f>IF(DPS_Graph_True_Speed=TRUE,IF($E$8=$A538,DPS_Attacks_P_Sec,),)</f>
        <v/>
      </c>
      <c r="E538" s="222">
        <f>ROUNDDOWN(MAX(2,IF(A538&gt;=0, DPS_Base_Wpn_Spd/(1+A538),DPS_Base_Wpn_Spd*(1+ABS(A538)))),0)</f>
        <v>2</v>
      </c>
      <c r="F538" s="232">
        <f>IF(A538&gt;=0, DPS_Base_Recoil/(1+A538),DPS_Base_Recoil)</f>
        <v>0.01265822785</v>
      </c>
      <c r="G538" s="377">
        <f t="shared" si="7"/>
        <v>0.51</v>
      </c>
      <c r="H538" s="377">
        <f t="shared" si="8"/>
        <v>0.02030456853</v>
      </c>
      <c r="I538" s="104"/>
      <c r="J538" s="377">
        <f>MAX(0, Max(25,(DPS_Base_Range + ((DPS_Range_Stat) / 2))) / MIN(MAX(70, (70 * (1 + ($A538 / 3)))), 120))</f>
        <v>3.333333333</v>
      </c>
      <c r="K538" s="269">
        <f>IF(A538&lt;=DPS_Graph_Max,IF(A538&gt;=DPS_Graph_Speed_Min,A538,),)</f>
        <v>2.95</v>
      </c>
      <c r="M538" s="213">
        <f>If(DPS_Weapon_Type="远程",$E538/60+$F538*2,$E538/60+$F538+$G538/2+$H538)</f>
        <v>0.05864978903</v>
      </c>
      <c r="N538" s="104">
        <f>IF(DPS_Graph_Tooltip_Speed=TRUE,IF($A538&lt;=DPS_Graph_Max,IF($A538&gt;=DPS_Graph_Speed_Min,1/M538,),),)</f>
        <v>17.05035971</v>
      </c>
      <c r="R538" s="104" t="str">
        <f>IF(DPS_Graph_Tooltip_Speed=TRUE,IF($E$8=$A538,1/$N$6,),)</f>
        <v/>
      </c>
    </row>
    <row r="539">
      <c r="A539" s="370">
        <v>2.96</v>
      </c>
      <c r="B539" s="213">
        <f>If(DPS_Weapon_Type="远程",($E539+1)/60+(ROUNDDOWN($F539*60+1,0)/60)*2,(ROUNDDOWN(($E539+1)+ROUNDDOWN($F539*60+1,0)+ROUNDDOWN($G539/2*60+1,0)+ROUNDDOWN($H539*60+1,0)+1,0))/60+If(DPS_ATK_TYPE="挥砍",1/60)+If(DPS_ATK_TYPE="挥砍/刺击",1/120))+DPS_Weapon_Randomization/60</f>
        <v>0.105</v>
      </c>
      <c r="C539" s="104">
        <f>IF(DPS_Graph_True_Speed=TRUE,IF($A539&lt;=DPS_Graph_Max,IF($A539&gt;=DPS_Graph_Speed_Min,1/B539,),),)</f>
        <v>9.523809524</v>
      </c>
      <c r="D539" s="115" t="str">
        <f>IF(DPS_Graph_True_Speed=TRUE,IF($E$8=$A539,DPS_Attacks_P_Sec,),)</f>
        <v/>
      </c>
      <c r="E539" s="222">
        <f>ROUNDDOWN(MAX(2,IF(A539&gt;=0, DPS_Base_Wpn_Spd/(1+A539),DPS_Base_Wpn_Spd*(1+ABS(A539)))),0)</f>
        <v>2</v>
      </c>
      <c r="F539" s="232">
        <f>IF(A539&gt;=0, DPS_Base_Recoil/(1+A539),DPS_Base_Recoil)</f>
        <v>0.01262626263</v>
      </c>
      <c r="G539" s="377">
        <f t="shared" si="7"/>
        <v>0.51</v>
      </c>
      <c r="H539" s="377">
        <f t="shared" si="8"/>
        <v>0.02024291498</v>
      </c>
      <c r="I539" s="104"/>
      <c r="J539" s="377">
        <f>MAX(0, Max(25,(DPS_Base_Range + ((DPS_Range_Stat) / 2))) / MIN(MAX(70, (70 * (1 + ($A539 / 3)))), 120))</f>
        <v>3.333333333</v>
      </c>
      <c r="K539" s="269">
        <f>IF(A539&lt;=DPS_Graph_Max,IF(A539&gt;=DPS_Graph_Speed_Min,A539,),)</f>
        <v>2.96</v>
      </c>
      <c r="M539" s="213">
        <f>If(DPS_Weapon_Type="远程",$E539/60+$F539*2,$E539/60+$F539+$G539/2+$H539)</f>
        <v>0.05858585859</v>
      </c>
      <c r="N539" s="104">
        <f>IF(DPS_Graph_Tooltip_Speed=TRUE,IF($A539&lt;=DPS_Graph_Max,IF($A539&gt;=DPS_Graph_Speed_Min,1/M539,),),)</f>
        <v>17.06896552</v>
      </c>
      <c r="R539" s="104" t="str">
        <f>IF(DPS_Graph_Tooltip_Speed=TRUE,IF($E$8=$A539,1/$N$6,),)</f>
        <v/>
      </c>
    </row>
    <row r="540">
      <c r="A540" s="370">
        <v>2.97</v>
      </c>
      <c r="B540" s="213">
        <f>If(DPS_Weapon_Type="远程",($E540+1)/60+(ROUNDDOWN($F540*60+1,0)/60)*2,(ROUNDDOWN(($E540+1)+ROUNDDOWN($F540*60+1,0)+ROUNDDOWN($G540/2*60+1,0)+ROUNDDOWN($H540*60+1,0)+1,0))/60+If(DPS_ATK_TYPE="挥砍",1/60)+If(DPS_ATK_TYPE="挥砍/刺击",1/120))+DPS_Weapon_Randomization/60</f>
        <v>0.105</v>
      </c>
      <c r="C540" s="104">
        <f>IF(DPS_Graph_True_Speed=TRUE,IF($A540&lt;=DPS_Graph_Max,IF($A540&gt;=DPS_Graph_Speed_Min,1/B540,),),)</f>
        <v>9.523809524</v>
      </c>
      <c r="D540" s="115" t="str">
        <f>IF(DPS_Graph_True_Speed=TRUE,IF($E$8=$A540,DPS_Attacks_P_Sec,),)</f>
        <v/>
      </c>
      <c r="E540" s="222">
        <f>ROUNDDOWN(MAX(2,IF(A540&gt;=0, DPS_Base_Wpn_Spd/(1+A540),DPS_Base_Wpn_Spd*(1+ABS(A540)))),0)</f>
        <v>2</v>
      </c>
      <c r="F540" s="232">
        <f>IF(A540&gt;=0, DPS_Base_Recoil/(1+A540),DPS_Base_Recoil)</f>
        <v>0.01259445844</v>
      </c>
      <c r="G540" s="377">
        <f t="shared" si="7"/>
        <v>0.51</v>
      </c>
      <c r="H540" s="377">
        <f t="shared" si="8"/>
        <v>0.02018163471</v>
      </c>
      <c r="I540" s="104"/>
      <c r="J540" s="377">
        <f>MAX(0, Max(25,(DPS_Base_Range + ((DPS_Range_Stat) / 2))) / MIN(MAX(70, (70 * (1 + ($A540 / 3)))), 120))</f>
        <v>3.333333333</v>
      </c>
      <c r="K540" s="269">
        <f>IF(A540&lt;=DPS_Graph_Max,IF(A540&gt;=DPS_Graph_Speed_Min,A540,),)</f>
        <v>2.97</v>
      </c>
      <c r="M540" s="213">
        <f>If(DPS_Weapon_Type="远程",$E540/60+$F540*2,$E540/60+$F540+$G540/2+$H540)</f>
        <v>0.05852225021</v>
      </c>
      <c r="N540" s="104">
        <f>IF(DPS_Graph_Tooltip_Speed=TRUE,IF($A540&lt;=DPS_Graph_Max,IF($A540&gt;=DPS_Graph_Speed_Min,1/M540,),),)</f>
        <v>17.08751793</v>
      </c>
      <c r="R540" s="104" t="str">
        <f>IF(DPS_Graph_Tooltip_Speed=TRUE,IF($E$8=$A540,1/$N$6,),)</f>
        <v/>
      </c>
    </row>
    <row r="541">
      <c r="A541" s="370">
        <v>2.98</v>
      </c>
      <c r="B541" s="213">
        <f>If(DPS_Weapon_Type="远程",($E541+1)/60+(ROUNDDOWN($F541*60+1,0)/60)*2,(ROUNDDOWN(($E541+1)+ROUNDDOWN($F541*60+1,0)+ROUNDDOWN($G541/2*60+1,0)+ROUNDDOWN($H541*60+1,0)+1,0))/60+If(DPS_ATK_TYPE="挥砍",1/60)+If(DPS_ATK_TYPE="挥砍/刺击",1/120))+DPS_Weapon_Randomization/60</f>
        <v>0.105</v>
      </c>
      <c r="C541" s="104">
        <f>IF(DPS_Graph_True_Speed=TRUE,IF($A541&lt;=DPS_Graph_Max,IF($A541&gt;=DPS_Graph_Speed_Min,1/B541,),),)</f>
        <v>9.523809524</v>
      </c>
      <c r="D541" s="115" t="str">
        <f>IF(DPS_Graph_True_Speed=TRUE,IF($E$8=$A541,DPS_Attacks_P_Sec,),)</f>
        <v/>
      </c>
      <c r="E541" s="222">
        <f>ROUNDDOWN(MAX(2,IF(A541&gt;=0, DPS_Base_Wpn_Spd/(1+A541),DPS_Base_Wpn_Spd*(1+ABS(A541)))),0)</f>
        <v>2</v>
      </c>
      <c r="F541" s="232">
        <f>IF(A541&gt;=0, DPS_Base_Recoil/(1+A541),DPS_Base_Recoil)</f>
        <v>0.01256281407</v>
      </c>
      <c r="G541" s="377">
        <f t="shared" si="7"/>
        <v>0.51</v>
      </c>
      <c r="H541" s="377">
        <f t="shared" si="8"/>
        <v>0.02012072435</v>
      </c>
      <c r="I541" s="104"/>
      <c r="J541" s="377">
        <f>MAX(0, Max(25,(DPS_Base_Range + ((DPS_Range_Stat) / 2))) / MIN(MAX(70, (70 * (1 + ($A541 / 3)))), 120))</f>
        <v>3.333333333</v>
      </c>
      <c r="K541" s="269">
        <f>IF(A541&lt;=DPS_Graph_Max,IF(A541&gt;=DPS_Graph_Speed_Min,A541,),)</f>
        <v>2.98</v>
      </c>
      <c r="M541" s="213">
        <f>If(DPS_Weapon_Type="远程",$E541/60+$F541*2,$E541/60+$F541+$G541/2+$H541)</f>
        <v>0.05845896147</v>
      </c>
      <c r="N541" s="104">
        <f>IF(DPS_Graph_Tooltip_Speed=TRUE,IF($A541&lt;=DPS_Graph_Max,IF($A541&gt;=DPS_Graph_Speed_Min,1/M541,),),)</f>
        <v>17.10601719</v>
      </c>
      <c r="R541" s="104" t="str">
        <f>IF(DPS_Graph_Tooltip_Speed=TRUE,IF($E$8=$A541,1/$N$6,),)</f>
        <v/>
      </c>
    </row>
    <row r="542">
      <c r="A542" s="370">
        <v>2.99</v>
      </c>
      <c r="B542" s="213">
        <f>If(DPS_Weapon_Type="远程",($E542+1)/60+(ROUNDDOWN($F542*60+1,0)/60)*2,(ROUNDDOWN(($E542+1)+ROUNDDOWN($F542*60+1,0)+ROUNDDOWN($G542/2*60+1,0)+ROUNDDOWN($H542*60+1,0)+1,0))/60+If(DPS_ATK_TYPE="挥砍",1/60)+If(DPS_ATK_TYPE="挥砍/刺击",1/120))+DPS_Weapon_Randomization/60</f>
        <v>0.105</v>
      </c>
      <c r="C542" s="104">
        <f>IF(DPS_Graph_True_Speed=TRUE,IF($A542&lt;=DPS_Graph_Max,IF($A542&gt;=DPS_Graph_Speed_Min,1/B542,),),)</f>
        <v>9.523809524</v>
      </c>
      <c r="D542" s="115" t="str">
        <f>IF(DPS_Graph_True_Speed=TRUE,IF($E$8=$A542,DPS_Attacks_P_Sec,),)</f>
        <v/>
      </c>
      <c r="E542" s="222">
        <f>ROUNDDOWN(MAX(2,IF(A542&gt;=0, DPS_Base_Wpn_Spd/(1+A542),DPS_Base_Wpn_Spd*(1+ABS(A542)))),0)</f>
        <v>2</v>
      </c>
      <c r="F542" s="232">
        <f>IF(A542&gt;=0, DPS_Base_Recoil/(1+A542),DPS_Base_Recoil)</f>
        <v>0.01253132832</v>
      </c>
      <c r="G542" s="377">
        <f t="shared" si="7"/>
        <v>0.51</v>
      </c>
      <c r="H542" s="377">
        <f t="shared" si="8"/>
        <v>0.02006018054</v>
      </c>
      <c r="I542" s="104"/>
      <c r="J542" s="377">
        <f>MAX(0, Max(25,(DPS_Base_Range + ((DPS_Range_Stat) / 2))) / MIN(MAX(70, (70 * (1 + ($A542 / 3)))), 120))</f>
        <v>3.333333333</v>
      </c>
      <c r="K542" s="269">
        <f>IF(A542&lt;=DPS_Graph_Max,IF(A542&gt;=DPS_Graph_Speed_Min,A542,),)</f>
        <v>2.99</v>
      </c>
      <c r="M542" s="213">
        <f>If(DPS_Weapon_Type="远程",$E542/60+$F542*2,$E542/60+$F542+$G542/2+$H542)</f>
        <v>0.05839598997</v>
      </c>
      <c r="N542" s="104">
        <f>IF(DPS_Graph_Tooltip_Speed=TRUE,IF($A542&lt;=DPS_Graph_Max,IF($A542&gt;=DPS_Graph_Speed_Min,1/M542,),),)</f>
        <v>17.12446352</v>
      </c>
      <c r="R542" s="104" t="str">
        <f>IF(DPS_Graph_Tooltip_Speed=TRUE,IF($E$8=$A542,1/$N$6,),)</f>
        <v/>
      </c>
    </row>
    <row r="543">
      <c r="A543" s="370">
        <v>3.0</v>
      </c>
      <c r="B543" s="213">
        <f>If(DPS_Weapon_Type="远程",($E543+1)/60+(ROUNDDOWN($F543*60+1,0)/60)*2,(ROUNDDOWN(($E543+1)+ROUNDDOWN($F543*60+1,0)+ROUNDDOWN($G543/2*60+1,0)+ROUNDDOWN($H543*60+1,0)+1,0))/60+If(DPS_ATK_TYPE="挥砍",1/60)+If(DPS_ATK_TYPE="挥砍/刺击",1/120))+DPS_Weapon_Randomization/60</f>
        <v>0.105</v>
      </c>
      <c r="C543" s="104">
        <f>IF(DPS_Graph_True_Speed=TRUE,IF($A543&lt;=DPS_Graph_Max,IF($A543&gt;=DPS_Graph_Speed_Min,1/B543,),),)</f>
        <v>9.523809524</v>
      </c>
      <c r="D543" s="115" t="str">
        <f>IF(DPS_Graph_True_Speed=TRUE,IF($E$8=$A543,DPS_Attacks_P_Sec,),)</f>
        <v/>
      </c>
      <c r="E543" s="222">
        <f>ROUNDDOWN(MAX(2,IF(A543&gt;=0, DPS_Base_Wpn_Spd/(1+A543),DPS_Base_Wpn_Spd*(1+ABS(A543)))),0)</f>
        <v>2</v>
      </c>
      <c r="F543" s="232">
        <f>IF(A543&gt;=0, DPS_Base_Recoil/(1+A543),DPS_Base_Recoil)</f>
        <v>0.0125</v>
      </c>
      <c r="G543" s="377">
        <f t="shared" si="7"/>
        <v>0.51</v>
      </c>
      <c r="H543" s="377">
        <f t="shared" si="8"/>
        <v>0.02</v>
      </c>
      <c r="I543" s="104"/>
      <c r="J543" s="377">
        <f>MAX(0, Max(25,(DPS_Base_Range + ((DPS_Range_Stat) / 2))) / MIN(MAX(70, (70 * (1 + ($A543 / 3)))), 120))</f>
        <v>3.333333333</v>
      </c>
      <c r="K543" s="269">
        <f>IF(A543&lt;=DPS_Graph_Max,IF(A543&gt;=DPS_Graph_Speed_Min,A543,),)</f>
        <v>3</v>
      </c>
      <c r="M543" s="213">
        <f>If(DPS_Weapon_Type="远程",$E543/60+$F543*2,$E543/60+$F543+$G543/2+$H543)</f>
        <v>0.05833333333</v>
      </c>
      <c r="N543" s="104">
        <f>IF(DPS_Graph_Tooltip_Speed=TRUE,IF($A543&lt;=DPS_Graph_Max,IF($A543&gt;=DPS_Graph_Speed_Min,1/M543,),),)</f>
        <v>17.14285714</v>
      </c>
      <c r="R543" s="104" t="str">
        <f>IF(DPS_Graph_Tooltip_Speed=TRUE,IF($E$8=$A543,1/$N$6,),)</f>
        <v/>
      </c>
    </row>
    <row r="544">
      <c r="A544" s="370">
        <v>3.01</v>
      </c>
      <c r="B544" s="213">
        <f>If(DPS_Weapon_Type="远程",($E544+1)/60+(ROUNDDOWN($F544*60+1,0)/60)*2,(ROUNDDOWN(($E544+1)+ROUNDDOWN($F544*60+1,0)+ROUNDDOWN($G544/2*60+1,0)+ROUNDDOWN($H544*60+1,0)+1,0))/60+If(DPS_ATK_TYPE="挥砍",1/60)+If(DPS_ATK_TYPE="挥砍/刺击",1/120))+DPS_Weapon_Randomization/60</f>
        <v>0.105</v>
      </c>
      <c r="C544" s="104" t="str">
        <f>IF(DPS_Graph_True_Speed=TRUE,IF($A544&lt;=DPS_Graph_Max,IF($A544&gt;=DPS_Graph_Speed_Min,1/B544,),),)</f>
        <v/>
      </c>
      <c r="D544" s="115" t="str">
        <f>IF(DPS_Graph_True_Speed=TRUE,IF($E$8=$A544,DPS_Attacks_P_Sec,),)</f>
        <v/>
      </c>
      <c r="E544" s="222">
        <f>ROUNDDOWN(MAX(2,IF(A544&gt;=0, DPS_Base_Wpn_Spd/(1+A544),DPS_Base_Wpn_Spd*(1+ABS(A544)))),0)</f>
        <v>2</v>
      </c>
      <c r="F544" s="232">
        <f>IF(A544&gt;=0, DPS_Base_Recoil/(1+A544),DPS_Base_Recoil)</f>
        <v>0.01246882793</v>
      </c>
      <c r="G544" s="377">
        <f t="shared" si="7"/>
        <v>0.51</v>
      </c>
      <c r="H544" s="377">
        <f t="shared" si="8"/>
        <v>0.01994017946</v>
      </c>
      <c r="I544" s="104"/>
      <c r="J544" s="377">
        <f>MAX(0, Max(25,(DPS_Base_Range + ((DPS_Range_Stat) / 2))) / MIN(MAX(70, (70 * (1 + ($A544 / 3)))), 120))</f>
        <v>3.333333333</v>
      </c>
      <c r="K544" s="115" t="str">
        <f>IF(A544&lt;=DPS_Graph_Max,IF(A544&gt;=DPS_Graph_Speed_Min,A544,),)</f>
        <v/>
      </c>
      <c r="M544" s="213">
        <f>If(DPS_Weapon_Type="远程",$E544/60+$F544*2,$E544/60+$F544+$G544/2+$H544)</f>
        <v>0.05827098919</v>
      </c>
      <c r="N544" s="104" t="str">
        <f>IF(DPS_Graph_Tooltip_Speed=TRUE,IF($A544&lt;=DPS_Graph_Max,IF($A544&gt;=DPS_Graph_Speed_Min,1/M544,),),)</f>
        <v/>
      </c>
      <c r="R544" s="104" t="str">
        <f>IF(DPS_Graph_Tooltip_Speed=TRUE,IF($E$8=$A544,1/$N$6,),)</f>
        <v/>
      </c>
    </row>
    <row r="545">
      <c r="A545" s="370">
        <v>3.02</v>
      </c>
      <c r="B545" s="213">
        <f>If(DPS_Weapon_Type="远程",($E545+1)/60+(ROUNDDOWN($F545*60+1,0)/60)*2,(ROUNDDOWN(($E545+1)+ROUNDDOWN($F545*60+1,0)+ROUNDDOWN($G545/2*60+1,0)+ROUNDDOWN($H545*60+1,0)+1,0))/60+If(DPS_ATK_TYPE="挥砍",1/60)+If(DPS_ATK_TYPE="挥砍/刺击",1/120))+DPS_Weapon_Randomization/60</f>
        <v>0.105</v>
      </c>
      <c r="C545" s="104" t="str">
        <f>IF(DPS_Graph_True_Speed=TRUE,IF($A545&lt;=DPS_Graph_Max,IF($A545&gt;=DPS_Graph_Speed_Min,1/B545,),),)</f>
        <v/>
      </c>
      <c r="D545" s="115" t="str">
        <f>IF(DPS_Graph_True_Speed=TRUE,IF($E$8=$A545,DPS_Attacks_P_Sec,),)</f>
        <v/>
      </c>
      <c r="E545" s="222">
        <f>ROUNDDOWN(MAX(2,IF(A545&gt;=0, DPS_Base_Wpn_Spd/(1+A545),DPS_Base_Wpn_Spd*(1+ABS(A545)))),0)</f>
        <v>2</v>
      </c>
      <c r="F545" s="232">
        <f>IF(A545&gt;=0, DPS_Base_Recoil/(1+A545),DPS_Base_Recoil)</f>
        <v>0.01243781095</v>
      </c>
      <c r="G545" s="377">
        <f t="shared" si="7"/>
        <v>0.51</v>
      </c>
      <c r="H545" s="377">
        <f t="shared" si="8"/>
        <v>0.01988071571</v>
      </c>
      <c r="I545" s="104"/>
      <c r="J545" s="377">
        <f>MAX(0, Max(25,(DPS_Base_Range + ((DPS_Range_Stat) / 2))) / MIN(MAX(70, (70 * (1 + ($A545 / 3)))), 120))</f>
        <v>3.333333333</v>
      </c>
      <c r="K545" s="115" t="str">
        <f>IF(A545&lt;=DPS_Graph_Max,IF(A545&gt;=DPS_Graph_Speed_Min,A545,),)</f>
        <v/>
      </c>
      <c r="M545" s="213">
        <f>If(DPS_Weapon_Type="远程",$E545/60+$F545*2,$E545/60+$F545+$G545/2+$H545)</f>
        <v>0.05820895522</v>
      </c>
      <c r="N545" s="104" t="str">
        <f>IF(DPS_Graph_Tooltip_Speed=TRUE,IF($A545&lt;=DPS_Graph_Max,IF($A545&gt;=DPS_Graph_Speed_Min,1/M545,),),)</f>
        <v/>
      </c>
      <c r="R545" s="104" t="str">
        <f>IF(DPS_Graph_Tooltip_Speed=TRUE,IF($E$8=$A545,1/$N$6,),)</f>
        <v/>
      </c>
    </row>
    <row r="546">
      <c r="A546" s="370">
        <v>3.03</v>
      </c>
      <c r="B546" s="213">
        <f>If(DPS_Weapon_Type="远程",($E546+1)/60+(ROUNDDOWN($F546*60+1,0)/60)*2,(ROUNDDOWN(($E546+1)+ROUNDDOWN($F546*60+1,0)+ROUNDDOWN($G546/2*60+1,0)+ROUNDDOWN($H546*60+1,0)+1,0))/60+If(DPS_ATK_TYPE="挥砍",1/60)+If(DPS_ATK_TYPE="挥砍/刺击",1/120))+DPS_Weapon_Randomization/60</f>
        <v>0.105</v>
      </c>
      <c r="C546" s="104" t="str">
        <f>IF(DPS_Graph_True_Speed=TRUE,IF($A546&lt;=DPS_Graph_Max,IF($A546&gt;=DPS_Graph_Speed_Min,1/B546,),),)</f>
        <v/>
      </c>
      <c r="D546" s="115" t="str">
        <f>IF(DPS_Graph_True_Speed=TRUE,IF($E$8=$A546,DPS_Attacks_P_Sec,),)</f>
        <v/>
      </c>
      <c r="E546" s="222">
        <f>ROUNDDOWN(MAX(2,IF(A546&gt;=0, DPS_Base_Wpn_Spd/(1+A546),DPS_Base_Wpn_Spd*(1+ABS(A546)))),0)</f>
        <v>2</v>
      </c>
      <c r="F546" s="232">
        <f>IF(A546&gt;=0, DPS_Base_Recoil/(1+A546),DPS_Base_Recoil)</f>
        <v>0.01240694789</v>
      </c>
      <c r="G546" s="377">
        <f t="shared" si="7"/>
        <v>0.51</v>
      </c>
      <c r="H546" s="377">
        <f t="shared" si="8"/>
        <v>0.01982160555</v>
      </c>
      <c r="I546" s="104"/>
      <c r="J546" s="377">
        <f>MAX(0, Max(25,(DPS_Base_Range + ((DPS_Range_Stat) / 2))) / MIN(MAX(70, (70 * (1 + ($A546 / 3)))), 120))</f>
        <v>3.333333333</v>
      </c>
      <c r="K546" s="115" t="str">
        <f>IF(A546&lt;=DPS_Graph_Max,IF(A546&gt;=DPS_Graph_Speed_Min,A546,),)</f>
        <v/>
      </c>
      <c r="M546" s="213">
        <f>If(DPS_Weapon_Type="远程",$E546/60+$F546*2,$E546/60+$F546+$G546/2+$H546)</f>
        <v>0.05814722911</v>
      </c>
      <c r="N546" s="104" t="str">
        <f>IF(DPS_Graph_Tooltip_Speed=TRUE,IF($A546&lt;=DPS_Graph_Max,IF($A546&gt;=DPS_Graph_Speed_Min,1/M546,),),)</f>
        <v/>
      </c>
      <c r="R546" s="104" t="str">
        <f>IF(DPS_Graph_Tooltip_Speed=TRUE,IF($E$8=$A546,1/$N$6,),)</f>
        <v/>
      </c>
    </row>
    <row r="547">
      <c r="A547" s="370">
        <v>3.04</v>
      </c>
      <c r="B547" s="213">
        <f>If(DPS_Weapon_Type="远程",($E547+1)/60+(ROUNDDOWN($F547*60+1,0)/60)*2,(ROUNDDOWN(($E547+1)+ROUNDDOWN($F547*60+1,0)+ROUNDDOWN($G547/2*60+1,0)+ROUNDDOWN($H547*60+1,0)+1,0))/60+If(DPS_ATK_TYPE="挥砍",1/60)+If(DPS_ATK_TYPE="挥砍/刺击",1/120))+DPS_Weapon_Randomization/60</f>
        <v>0.105</v>
      </c>
      <c r="C547" s="104" t="str">
        <f>IF(DPS_Graph_True_Speed=TRUE,IF($A547&lt;=DPS_Graph_Max,IF($A547&gt;=DPS_Graph_Speed_Min,1/B547,),),)</f>
        <v/>
      </c>
      <c r="D547" s="115" t="str">
        <f>IF(DPS_Graph_True_Speed=TRUE,IF($E$8=$A547,DPS_Attacks_P_Sec,),)</f>
        <v/>
      </c>
      <c r="E547" s="222">
        <f>ROUNDDOWN(MAX(2,IF(A547&gt;=0, DPS_Base_Wpn_Spd/(1+A547),DPS_Base_Wpn_Spd*(1+ABS(A547)))),0)</f>
        <v>2</v>
      </c>
      <c r="F547" s="232">
        <f>IF(A547&gt;=0, DPS_Base_Recoil/(1+A547),DPS_Base_Recoil)</f>
        <v>0.01237623762</v>
      </c>
      <c r="G547" s="377">
        <f t="shared" si="7"/>
        <v>0.51</v>
      </c>
      <c r="H547" s="377">
        <f t="shared" si="8"/>
        <v>0.01976284585</v>
      </c>
      <c r="I547" s="104"/>
      <c r="J547" s="377">
        <f>MAX(0, Max(25,(DPS_Base_Range + ((DPS_Range_Stat) / 2))) / MIN(MAX(70, (70 * (1 + ($A547 / 3)))), 120))</f>
        <v>3.333333333</v>
      </c>
      <c r="K547" s="115" t="str">
        <f>IF(A547&lt;=DPS_Graph_Max,IF(A547&gt;=DPS_Graph_Speed_Min,A547,),)</f>
        <v/>
      </c>
      <c r="M547" s="213">
        <f>If(DPS_Weapon_Type="远程",$E547/60+$F547*2,$E547/60+$F547+$G547/2+$H547)</f>
        <v>0.05808580858</v>
      </c>
      <c r="N547" s="104" t="str">
        <f>IF(DPS_Graph_Tooltip_Speed=TRUE,IF($A547&lt;=DPS_Graph_Max,IF($A547&gt;=DPS_Graph_Speed_Min,1/M547,),),)</f>
        <v/>
      </c>
      <c r="R547" s="104" t="str">
        <f>IF(DPS_Graph_Tooltip_Speed=TRUE,IF($E$8=$A547,1/$N$6,),)</f>
        <v/>
      </c>
    </row>
    <row r="548">
      <c r="A548" s="370">
        <v>3.05</v>
      </c>
      <c r="B548" s="213">
        <f>If(DPS_Weapon_Type="远程",($E548+1)/60+(ROUNDDOWN($F548*60+1,0)/60)*2,(ROUNDDOWN(($E548+1)+ROUNDDOWN($F548*60+1,0)+ROUNDDOWN($G548/2*60+1,0)+ROUNDDOWN($H548*60+1,0)+1,0))/60+If(DPS_ATK_TYPE="挥砍",1/60)+If(DPS_ATK_TYPE="挥砍/刺击",1/120))+DPS_Weapon_Randomization/60</f>
        <v>0.105</v>
      </c>
      <c r="C548" s="104" t="str">
        <f>IF(DPS_Graph_True_Speed=TRUE,IF($A548&lt;=DPS_Graph_Max,IF($A548&gt;=DPS_Graph_Speed_Min,1/B548,),),)</f>
        <v/>
      </c>
      <c r="D548" s="115" t="str">
        <f>IF(DPS_Graph_True_Speed=TRUE,IF($E$8=$A548,DPS_Attacks_P_Sec,),)</f>
        <v/>
      </c>
      <c r="E548" s="222">
        <f>ROUNDDOWN(MAX(2,IF(A548&gt;=0, DPS_Base_Wpn_Spd/(1+A548),DPS_Base_Wpn_Spd*(1+ABS(A548)))),0)</f>
        <v>2</v>
      </c>
      <c r="F548" s="232">
        <f>IF(A548&gt;=0, DPS_Base_Recoil/(1+A548),DPS_Base_Recoil)</f>
        <v>0.01234567901</v>
      </c>
      <c r="G548" s="377">
        <f t="shared" si="7"/>
        <v>0.51</v>
      </c>
      <c r="H548" s="377">
        <f t="shared" si="8"/>
        <v>0.0197044335</v>
      </c>
      <c r="I548" s="104"/>
      <c r="J548" s="377">
        <f>MAX(0, Max(25,(DPS_Base_Range + ((DPS_Range_Stat) / 2))) / MIN(MAX(70, (70 * (1 + ($A548 / 3)))), 120))</f>
        <v>3.333333333</v>
      </c>
      <c r="K548" s="115" t="str">
        <f>IF(A548&lt;=DPS_Graph_Max,IF(A548&gt;=DPS_Graph_Speed_Min,A548,),)</f>
        <v/>
      </c>
      <c r="M548" s="213">
        <f>If(DPS_Weapon_Type="远程",$E548/60+$F548*2,$E548/60+$F548+$G548/2+$H548)</f>
        <v>0.05802469136</v>
      </c>
      <c r="N548" s="104" t="str">
        <f>IF(DPS_Graph_Tooltip_Speed=TRUE,IF($A548&lt;=DPS_Graph_Max,IF($A548&gt;=DPS_Graph_Speed_Min,1/M548,),),)</f>
        <v/>
      </c>
      <c r="R548" s="104" t="str">
        <f>IF(DPS_Graph_Tooltip_Speed=TRUE,IF($E$8=$A548,1/$N$6,),)</f>
        <v/>
      </c>
    </row>
    <row r="549">
      <c r="A549" s="370">
        <v>3.06</v>
      </c>
      <c r="B549" s="213">
        <f>If(DPS_Weapon_Type="远程",($E549+1)/60+(ROUNDDOWN($F549*60+1,0)/60)*2,(ROUNDDOWN(($E549+1)+ROUNDDOWN($F549*60+1,0)+ROUNDDOWN($G549/2*60+1,0)+ROUNDDOWN($H549*60+1,0)+1,0))/60+If(DPS_ATK_TYPE="挥砍",1/60)+If(DPS_ATK_TYPE="挥砍/刺击",1/120))+DPS_Weapon_Randomization/60</f>
        <v>0.105</v>
      </c>
      <c r="C549" s="104" t="str">
        <f>IF(DPS_Graph_True_Speed=TRUE,IF($A549&lt;=DPS_Graph_Max,IF($A549&gt;=DPS_Graph_Speed_Min,1/B549,),),)</f>
        <v/>
      </c>
      <c r="D549" s="115" t="str">
        <f>IF(DPS_Graph_True_Speed=TRUE,IF($E$8=$A549,DPS_Attacks_P_Sec,),)</f>
        <v/>
      </c>
      <c r="E549" s="222">
        <f>ROUNDDOWN(MAX(2,IF(A549&gt;=0, DPS_Base_Wpn_Spd/(1+A549),DPS_Base_Wpn_Spd*(1+ABS(A549)))),0)</f>
        <v>2</v>
      </c>
      <c r="F549" s="232">
        <f>IF(A549&gt;=0, DPS_Base_Recoil/(1+A549),DPS_Base_Recoil)</f>
        <v>0.01231527094</v>
      </c>
      <c r="G549" s="377">
        <f t="shared" si="7"/>
        <v>0.51</v>
      </c>
      <c r="H549" s="377">
        <f t="shared" si="8"/>
        <v>0.01964636542</v>
      </c>
      <c r="I549" s="104"/>
      <c r="J549" s="377">
        <f>MAX(0, Max(25,(DPS_Base_Range + ((DPS_Range_Stat) / 2))) / MIN(MAX(70, (70 * (1 + ($A549 / 3)))), 120))</f>
        <v>3.333333333</v>
      </c>
      <c r="K549" s="115" t="str">
        <f>IF(A549&lt;=DPS_Graph_Max,IF(A549&gt;=DPS_Graph_Speed_Min,A549,),)</f>
        <v/>
      </c>
      <c r="M549" s="213">
        <f>If(DPS_Weapon_Type="远程",$E549/60+$F549*2,$E549/60+$F549+$G549/2+$H549)</f>
        <v>0.05796387521</v>
      </c>
      <c r="N549" s="104" t="str">
        <f>IF(DPS_Graph_Tooltip_Speed=TRUE,IF($A549&lt;=DPS_Graph_Max,IF($A549&gt;=DPS_Graph_Speed_Min,1/M549,),),)</f>
        <v/>
      </c>
      <c r="R549" s="104" t="str">
        <f>IF(DPS_Graph_Tooltip_Speed=TRUE,IF($E$8=$A549,1/$N$6,),)</f>
        <v/>
      </c>
    </row>
    <row r="550">
      <c r="A550" s="370">
        <v>3.07</v>
      </c>
      <c r="B550" s="213">
        <f>If(DPS_Weapon_Type="远程",($E550+1)/60+(ROUNDDOWN($F550*60+1,0)/60)*2,(ROUNDDOWN(($E550+1)+ROUNDDOWN($F550*60+1,0)+ROUNDDOWN($G550/2*60+1,0)+ROUNDDOWN($H550*60+1,0)+1,0))/60+If(DPS_ATK_TYPE="挥砍",1/60)+If(DPS_ATK_TYPE="挥砍/刺击",1/120))+DPS_Weapon_Randomization/60</f>
        <v>0.105</v>
      </c>
      <c r="C550" s="104" t="str">
        <f>IF(DPS_Graph_True_Speed=TRUE,IF($A550&lt;=DPS_Graph_Max,IF($A550&gt;=DPS_Graph_Speed_Min,1/B550,),),)</f>
        <v/>
      </c>
      <c r="D550" s="115" t="str">
        <f>IF(DPS_Graph_True_Speed=TRUE,IF($E$8=$A550,DPS_Attacks_P_Sec,),)</f>
        <v/>
      </c>
      <c r="E550" s="222">
        <f>ROUNDDOWN(MAX(2,IF(A550&gt;=0, DPS_Base_Wpn_Spd/(1+A550),DPS_Base_Wpn_Spd*(1+ABS(A550)))),0)</f>
        <v>2</v>
      </c>
      <c r="F550" s="232">
        <f>IF(A550&gt;=0, DPS_Base_Recoil/(1+A550),DPS_Base_Recoil)</f>
        <v>0.01228501229</v>
      </c>
      <c r="G550" s="377">
        <f t="shared" si="7"/>
        <v>0.51</v>
      </c>
      <c r="H550" s="377">
        <f t="shared" si="8"/>
        <v>0.01958863859</v>
      </c>
      <c r="I550" s="104"/>
      <c r="J550" s="377">
        <f>MAX(0, Max(25,(DPS_Base_Range + ((DPS_Range_Stat) / 2))) / MIN(MAX(70, (70 * (1 + ($A550 / 3)))), 120))</f>
        <v>3.333333333</v>
      </c>
      <c r="K550" s="115" t="str">
        <f>IF(A550&lt;=DPS_Graph_Max,IF(A550&gt;=DPS_Graph_Speed_Min,A550,),)</f>
        <v/>
      </c>
      <c r="M550" s="213">
        <f>If(DPS_Weapon_Type="远程",$E550/60+$F550*2,$E550/60+$F550+$G550/2+$H550)</f>
        <v>0.0579033579</v>
      </c>
      <c r="N550" s="104" t="str">
        <f>IF(DPS_Graph_Tooltip_Speed=TRUE,IF($A550&lt;=DPS_Graph_Max,IF($A550&gt;=DPS_Graph_Speed_Min,1/M550,),),)</f>
        <v/>
      </c>
      <c r="R550" s="104" t="str">
        <f>IF(DPS_Graph_Tooltip_Speed=TRUE,IF($E$8=$A550,1/$N$6,),)</f>
        <v/>
      </c>
    </row>
    <row r="551">
      <c r="A551" s="370">
        <v>3.08</v>
      </c>
      <c r="B551" s="213">
        <f>If(DPS_Weapon_Type="远程",($E551+1)/60+(ROUNDDOWN($F551*60+1,0)/60)*2,(ROUNDDOWN(($E551+1)+ROUNDDOWN($F551*60+1,0)+ROUNDDOWN($G551/2*60+1,0)+ROUNDDOWN($H551*60+1,0)+1,0))/60+If(DPS_ATK_TYPE="挥砍",1/60)+If(DPS_ATK_TYPE="挥砍/刺击",1/120))+DPS_Weapon_Randomization/60</f>
        <v>0.105</v>
      </c>
      <c r="C551" s="104" t="str">
        <f>IF(DPS_Graph_True_Speed=TRUE,IF($A551&lt;=DPS_Graph_Max,IF($A551&gt;=DPS_Graph_Speed_Min,1/B551,),),)</f>
        <v/>
      </c>
      <c r="D551" s="115" t="str">
        <f>IF(DPS_Graph_True_Speed=TRUE,IF($E$8=$A551,DPS_Attacks_P_Sec,),)</f>
        <v/>
      </c>
      <c r="E551" s="222">
        <f>ROUNDDOWN(MAX(2,IF(A551&gt;=0, DPS_Base_Wpn_Spd/(1+A551),DPS_Base_Wpn_Spd*(1+ABS(A551)))),0)</f>
        <v>2</v>
      </c>
      <c r="F551" s="232">
        <f>IF(A551&gt;=0, DPS_Base_Recoil/(1+A551),DPS_Base_Recoil)</f>
        <v>0.01225490196</v>
      </c>
      <c r="G551" s="377">
        <f t="shared" si="7"/>
        <v>0.51</v>
      </c>
      <c r="H551" s="377">
        <f t="shared" si="8"/>
        <v>0.01953125</v>
      </c>
      <c r="I551" s="104"/>
      <c r="J551" s="377">
        <f>MAX(0, Max(25,(DPS_Base_Range + ((DPS_Range_Stat) / 2))) / MIN(MAX(70, (70 * (1 + ($A551 / 3)))), 120))</f>
        <v>3.333333333</v>
      </c>
      <c r="K551" s="115" t="str">
        <f>IF(A551&lt;=DPS_Graph_Max,IF(A551&gt;=DPS_Graph_Speed_Min,A551,),)</f>
        <v/>
      </c>
      <c r="M551" s="213">
        <f>If(DPS_Weapon_Type="远程",$E551/60+$F551*2,$E551/60+$F551+$G551/2+$H551)</f>
        <v>0.05784313725</v>
      </c>
      <c r="N551" s="104" t="str">
        <f>IF(DPS_Graph_Tooltip_Speed=TRUE,IF($A551&lt;=DPS_Graph_Max,IF($A551&gt;=DPS_Graph_Speed_Min,1/M551,),),)</f>
        <v/>
      </c>
      <c r="R551" s="104" t="str">
        <f>IF(DPS_Graph_Tooltip_Speed=TRUE,IF($E$8=$A551,1/$N$6,),)</f>
        <v/>
      </c>
    </row>
    <row r="552">
      <c r="A552" s="370">
        <v>3.09</v>
      </c>
      <c r="B552" s="213">
        <f>If(DPS_Weapon_Type="远程",($E552+1)/60+(ROUNDDOWN($F552*60+1,0)/60)*2,(ROUNDDOWN(($E552+1)+ROUNDDOWN($F552*60+1,0)+ROUNDDOWN($G552/2*60+1,0)+ROUNDDOWN($H552*60+1,0)+1,0))/60+If(DPS_ATK_TYPE="挥砍",1/60)+If(DPS_ATK_TYPE="挥砍/刺击",1/120))+DPS_Weapon_Randomization/60</f>
        <v>0.105</v>
      </c>
      <c r="C552" s="104" t="str">
        <f>IF(DPS_Graph_True_Speed=TRUE,IF($A552&lt;=DPS_Graph_Max,IF($A552&gt;=DPS_Graph_Speed_Min,1/B552,),),)</f>
        <v/>
      </c>
      <c r="D552" s="115" t="str">
        <f>IF(DPS_Graph_True_Speed=TRUE,IF($E$8=$A552,DPS_Attacks_P_Sec,),)</f>
        <v/>
      </c>
      <c r="E552" s="222">
        <f>ROUNDDOWN(MAX(2,IF(A552&gt;=0, DPS_Base_Wpn_Spd/(1+A552),DPS_Base_Wpn_Spd*(1+ABS(A552)))),0)</f>
        <v>2</v>
      </c>
      <c r="F552" s="232">
        <f>IF(A552&gt;=0, DPS_Base_Recoil/(1+A552),DPS_Base_Recoil)</f>
        <v>0.01222493888</v>
      </c>
      <c r="G552" s="377">
        <f t="shared" si="7"/>
        <v>0.51</v>
      </c>
      <c r="H552" s="377">
        <f t="shared" si="8"/>
        <v>0.01947419669</v>
      </c>
      <c r="I552" s="104"/>
      <c r="J552" s="377">
        <f>MAX(0, Max(25,(DPS_Base_Range + ((DPS_Range_Stat) / 2))) / MIN(MAX(70, (70 * (1 + ($A552 / 3)))), 120))</f>
        <v>3.333333333</v>
      </c>
      <c r="K552" s="115" t="str">
        <f>IF(A552&lt;=DPS_Graph_Max,IF(A552&gt;=DPS_Graph_Speed_Min,A552,),)</f>
        <v/>
      </c>
      <c r="M552" s="213">
        <f>If(DPS_Weapon_Type="远程",$E552/60+$F552*2,$E552/60+$F552+$G552/2+$H552)</f>
        <v>0.05778321108</v>
      </c>
      <c r="N552" s="104" t="str">
        <f>IF(DPS_Graph_Tooltip_Speed=TRUE,IF($A552&lt;=DPS_Graph_Max,IF($A552&gt;=DPS_Graph_Speed_Min,1/M552,),),)</f>
        <v/>
      </c>
      <c r="R552" s="104" t="str">
        <f>IF(DPS_Graph_Tooltip_Speed=TRUE,IF($E$8=$A552,1/$N$6,),)</f>
        <v/>
      </c>
    </row>
    <row r="553">
      <c r="A553" s="370">
        <v>3.1</v>
      </c>
      <c r="B553" s="213">
        <f>If(DPS_Weapon_Type="远程",($E553+1)/60+(ROUNDDOWN($F553*60+1,0)/60)*2,(ROUNDDOWN(($E553+1)+ROUNDDOWN($F553*60+1,0)+ROUNDDOWN($G553/2*60+1,0)+ROUNDDOWN($H553*60+1,0)+1,0))/60+If(DPS_ATK_TYPE="挥砍",1/60)+If(DPS_ATK_TYPE="挥砍/刺击",1/120))+DPS_Weapon_Randomization/60</f>
        <v>0.105</v>
      </c>
      <c r="C553" s="104" t="str">
        <f>IF(DPS_Graph_True_Speed=TRUE,IF($A553&lt;=DPS_Graph_Max,IF($A553&gt;=DPS_Graph_Speed_Min,1/B553,),),)</f>
        <v/>
      </c>
      <c r="D553" s="115" t="str">
        <f>IF(DPS_Graph_True_Speed=TRUE,IF($E$8=$A553,DPS_Attacks_P_Sec,),)</f>
        <v/>
      </c>
      <c r="E553" s="222">
        <f>ROUNDDOWN(MAX(2,IF(A553&gt;=0, DPS_Base_Wpn_Spd/(1+A553),DPS_Base_Wpn_Spd*(1+ABS(A553)))),0)</f>
        <v>2</v>
      </c>
      <c r="F553" s="232">
        <f>IF(A553&gt;=0, DPS_Base_Recoil/(1+A553),DPS_Base_Recoil)</f>
        <v>0.01219512195</v>
      </c>
      <c r="G553" s="377">
        <f t="shared" si="7"/>
        <v>0.51</v>
      </c>
      <c r="H553" s="377">
        <f t="shared" si="8"/>
        <v>0.01941747573</v>
      </c>
      <c r="I553" s="104"/>
      <c r="J553" s="377">
        <f>MAX(0, Max(25,(DPS_Base_Range + ((DPS_Range_Stat) / 2))) / MIN(MAX(70, (70 * (1 + ($A553 / 3)))), 120))</f>
        <v>3.333333333</v>
      </c>
      <c r="K553" s="115" t="str">
        <f>IF(A553&lt;=DPS_Graph_Max,IF(A553&gt;=DPS_Graph_Speed_Min,A553,),)</f>
        <v/>
      </c>
      <c r="M553" s="213">
        <f>If(DPS_Weapon_Type="远程",$E553/60+$F553*2,$E553/60+$F553+$G553/2+$H553)</f>
        <v>0.05772357724</v>
      </c>
      <c r="N553" s="104" t="str">
        <f>IF(DPS_Graph_Tooltip_Speed=TRUE,IF($A553&lt;=DPS_Graph_Max,IF($A553&gt;=DPS_Graph_Speed_Min,1/M553,),),)</f>
        <v/>
      </c>
      <c r="R553" s="104" t="str">
        <f>IF(DPS_Graph_Tooltip_Speed=TRUE,IF($E$8=$A553,1/$N$6,),)</f>
        <v/>
      </c>
    </row>
    <row r="554">
      <c r="A554" s="370">
        <v>3.11</v>
      </c>
      <c r="B554" s="213">
        <f>If(DPS_Weapon_Type="远程",($E554+1)/60+(ROUNDDOWN($F554*60+1,0)/60)*2,(ROUNDDOWN(($E554+1)+ROUNDDOWN($F554*60+1,0)+ROUNDDOWN($G554/2*60+1,0)+ROUNDDOWN($H554*60+1,0)+1,0))/60+If(DPS_ATK_TYPE="挥砍",1/60)+If(DPS_ATK_TYPE="挥砍/刺击",1/120))+DPS_Weapon_Randomization/60</f>
        <v>0.105</v>
      </c>
      <c r="C554" s="104" t="str">
        <f>IF(DPS_Graph_True_Speed=TRUE,IF($A554&lt;=DPS_Graph_Max,IF($A554&gt;=DPS_Graph_Speed_Min,1/B554,),),)</f>
        <v/>
      </c>
      <c r="D554" s="115" t="str">
        <f>IF(DPS_Graph_True_Speed=TRUE,IF($E$8=$A554,DPS_Attacks_P_Sec,),)</f>
        <v/>
      </c>
      <c r="E554" s="222">
        <f>ROUNDDOWN(MAX(2,IF(A554&gt;=0, DPS_Base_Wpn_Spd/(1+A554),DPS_Base_Wpn_Spd*(1+ABS(A554)))),0)</f>
        <v>2</v>
      </c>
      <c r="F554" s="232">
        <f>IF(A554&gt;=0, DPS_Base_Recoil/(1+A554),DPS_Base_Recoil)</f>
        <v>0.01216545012</v>
      </c>
      <c r="G554" s="377">
        <f t="shared" si="7"/>
        <v>0.51</v>
      </c>
      <c r="H554" s="377">
        <f t="shared" si="8"/>
        <v>0.01936108422</v>
      </c>
      <c r="I554" s="104"/>
      <c r="J554" s="377">
        <f>MAX(0, Max(25,(DPS_Base_Range + ((DPS_Range_Stat) / 2))) / MIN(MAX(70, (70 * (1 + ($A554 / 3)))), 120))</f>
        <v>3.333333333</v>
      </c>
      <c r="K554" s="115" t="str">
        <f>IF(A554&lt;=DPS_Graph_Max,IF(A554&gt;=DPS_Graph_Speed_Min,A554,),)</f>
        <v/>
      </c>
      <c r="M554" s="213">
        <f>If(DPS_Weapon_Type="远程",$E554/60+$F554*2,$E554/60+$F554+$G554/2+$H554)</f>
        <v>0.05766423358</v>
      </c>
      <c r="N554" s="104" t="str">
        <f>IF(DPS_Graph_Tooltip_Speed=TRUE,IF($A554&lt;=DPS_Graph_Max,IF($A554&gt;=DPS_Graph_Speed_Min,1/M554,),),)</f>
        <v/>
      </c>
      <c r="R554" s="104" t="str">
        <f>IF(DPS_Graph_Tooltip_Speed=TRUE,IF($E$8=$A554,1/$N$6,),)</f>
        <v/>
      </c>
    </row>
    <row r="555">
      <c r="A555" s="370">
        <v>3.12</v>
      </c>
      <c r="B555" s="213">
        <f>If(DPS_Weapon_Type="远程",($E555+1)/60+(ROUNDDOWN($F555*60+1,0)/60)*2,(ROUNDDOWN(($E555+1)+ROUNDDOWN($F555*60+1,0)+ROUNDDOWN($G555/2*60+1,0)+ROUNDDOWN($H555*60+1,0)+1,0))/60+If(DPS_ATK_TYPE="挥砍",1/60)+If(DPS_ATK_TYPE="挥砍/刺击",1/120))+DPS_Weapon_Randomization/60</f>
        <v>0.105</v>
      </c>
      <c r="C555" s="104" t="str">
        <f>IF(DPS_Graph_True_Speed=TRUE,IF($A555&lt;=DPS_Graph_Max,IF($A555&gt;=DPS_Graph_Speed_Min,1/B555,),),)</f>
        <v/>
      </c>
      <c r="D555" s="115" t="str">
        <f>IF(DPS_Graph_True_Speed=TRUE,IF($E$8=$A555,DPS_Attacks_P_Sec,),)</f>
        <v/>
      </c>
      <c r="E555" s="222">
        <f>ROUNDDOWN(MAX(2,IF(A555&gt;=0, DPS_Base_Wpn_Spd/(1+A555),DPS_Base_Wpn_Spd*(1+ABS(A555)))),0)</f>
        <v>2</v>
      </c>
      <c r="F555" s="232">
        <f>IF(A555&gt;=0, DPS_Base_Recoil/(1+A555),DPS_Base_Recoil)</f>
        <v>0.01213592233</v>
      </c>
      <c r="G555" s="377">
        <f t="shared" si="7"/>
        <v>0.51</v>
      </c>
      <c r="H555" s="377">
        <f t="shared" si="8"/>
        <v>0.01930501931</v>
      </c>
      <c r="I555" s="104"/>
      <c r="J555" s="377">
        <f>MAX(0, Max(25,(DPS_Base_Range + ((DPS_Range_Stat) / 2))) / MIN(MAX(70, (70 * (1 + ($A555 / 3)))), 120))</f>
        <v>3.333333333</v>
      </c>
      <c r="K555" s="115" t="str">
        <f>IF(A555&lt;=DPS_Graph_Max,IF(A555&gt;=DPS_Graph_Speed_Min,A555,),)</f>
        <v/>
      </c>
      <c r="M555" s="213">
        <f>If(DPS_Weapon_Type="远程",$E555/60+$F555*2,$E555/60+$F555+$G555/2+$H555)</f>
        <v>0.05760517799</v>
      </c>
      <c r="N555" s="104" t="str">
        <f>IF(DPS_Graph_Tooltip_Speed=TRUE,IF($A555&lt;=DPS_Graph_Max,IF($A555&gt;=DPS_Graph_Speed_Min,1/M555,),),)</f>
        <v/>
      </c>
      <c r="R555" s="104" t="str">
        <f>IF(DPS_Graph_Tooltip_Speed=TRUE,IF($E$8=$A555,1/$N$6,),)</f>
        <v/>
      </c>
    </row>
    <row r="556">
      <c r="A556" s="370">
        <v>3.13</v>
      </c>
      <c r="B556" s="213">
        <f>If(DPS_Weapon_Type="远程",($E556+1)/60+(ROUNDDOWN($F556*60+1,0)/60)*2,(ROUNDDOWN(($E556+1)+ROUNDDOWN($F556*60+1,0)+ROUNDDOWN($G556/2*60+1,0)+ROUNDDOWN($H556*60+1,0)+1,0))/60+If(DPS_ATK_TYPE="挥砍",1/60)+If(DPS_ATK_TYPE="挥砍/刺击",1/120))+DPS_Weapon_Randomization/60</f>
        <v>0.105</v>
      </c>
      <c r="C556" s="104" t="str">
        <f>IF(DPS_Graph_True_Speed=TRUE,IF($A556&lt;=DPS_Graph_Max,IF($A556&gt;=DPS_Graph_Speed_Min,1/B556,),),)</f>
        <v/>
      </c>
      <c r="D556" s="115" t="str">
        <f>IF(DPS_Graph_True_Speed=TRUE,IF($E$8=$A556,DPS_Attacks_P_Sec,),)</f>
        <v/>
      </c>
      <c r="E556" s="222">
        <f>ROUNDDOWN(MAX(2,IF(A556&gt;=0, DPS_Base_Wpn_Spd/(1+A556),DPS_Base_Wpn_Spd*(1+ABS(A556)))),0)</f>
        <v>2</v>
      </c>
      <c r="F556" s="232">
        <f>IF(A556&gt;=0, DPS_Base_Recoil/(1+A556),DPS_Base_Recoil)</f>
        <v>0.01210653753</v>
      </c>
      <c r="G556" s="377">
        <f t="shared" si="7"/>
        <v>0.51</v>
      </c>
      <c r="H556" s="377">
        <f t="shared" si="8"/>
        <v>0.01924927815</v>
      </c>
      <c r="I556" s="104"/>
      <c r="J556" s="377">
        <f>MAX(0, Max(25,(DPS_Base_Range + ((DPS_Range_Stat) / 2))) / MIN(MAX(70, (70 * (1 + ($A556 / 3)))), 120))</f>
        <v>3.333333333</v>
      </c>
      <c r="K556" s="115" t="str">
        <f>IF(A556&lt;=DPS_Graph_Max,IF(A556&gt;=DPS_Graph_Speed_Min,A556,),)</f>
        <v/>
      </c>
      <c r="M556" s="213">
        <f>If(DPS_Weapon_Type="远程",$E556/60+$F556*2,$E556/60+$F556+$G556/2+$H556)</f>
        <v>0.05754640839</v>
      </c>
      <c r="N556" s="104" t="str">
        <f>IF(DPS_Graph_Tooltip_Speed=TRUE,IF($A556&lt;=DPS_Graph_Max,IF($A556&gt;=DPS_Graph_Speed_Min,1/M556,),),)</f>
        <v/>
      </c>
      <c r="R556" s="104" t="str">
        <f>IF(DPS_Graph_Tooltip_Speed=TRUE,IF($E$8=$A556,1/$N$6,),)</f>
        <v/>
      </c>
    </row>
    <row r="557">
      <c r="A557" s="370">
        <v>3.14</v>
      </c>
      <c r="B557" s="213">
        <f>If(DPS_Weapon_Type="远程",($E557+1)/60+(ROUNDDOWN($F557*60+1,0)/60)*2,(ROUNDDOWN(($E557+1)+ROUNDDOWN($F557*60+1,0)+ROUNDDOWN($G557/2*60+1,0)+ROUNDDOWN($H557*60+1,0)+1,0))/60+If(DPS_ATK_TYPE="挥砍",1/60)+If(DPS_ATK_TYPE="挥砍/刺击",1/120))+DPS_Weapon_Randomization/60</f>
        <v>0.105</v>
      </c>
      <c r="C557" s="104" t="str">
        <f>IF(DPS_Graph_True_Speed=TRUE,IF($A557&lt;=DPS_Graph_Max,IF($A557&gt;=DPS_Graph_Speed_Min,1/B557,),),)</f>
        <v/>
      </c>
      <c r="D557" s="115" t="str">
        <f>IF(DPS_Graph_True_Speed=TRUE,IF($E$8=$A557,DPS_Attacks_P_Sec,),)</f>
        <v/>
      </c>
      <c r="E557" s="222">
        <f>ROUNDDOWN(MAX(2,IF(A557&gt;=0, DPS_Base_Wpn_Spd/(1+A557),DPS_Base_Wpn_Spd*(1+ABS(A557)))),0)</f>
        <v>2</v>
      </c>
      <c r="F557" s="232">
        <f>IF(A557&gt;=0, DPS_Base_Recoil/(1+A557),DPS_Base_Recoil)</f>
        <v>0.01207729469</v>
      </c>
      <c r="G557" s="377">
        <f t="shared" si="7"/>
        <v>0.51</v>
      </c>
      <c r="H557" s="377">
        <f t="shared" si="8"/>
        <v>0.01919385797</v>
      </c>
      <c r="I557" s="104"/>
      <c r="J557" s="377">
        <f>MAX(0, Max(25,(DPS_Base_Range + ((DPS_Range_Stat) / 2))) / MIN(MAX(70, (70 * (1 + ($A557 / 3)))), 120))</f>
        <v>3.333333333</v>
      </c>
      <c r="K557" s="115" t="str">
        <f>IF(A557&lt;=DPS_Graph_Max,IF(A557&gt;=DPS_Graph_Speed_Min,A557,),)</f>
        <v/>
      </c>
      <c r="M557" s="213">
        <f>If(DPS_Weapon_Type="远程",$E557/60+$F557*2,$E557/60+$F557+$G557/2+$H557)</f>
        <v>0.05748792271</v>
      </c>
      <c r="N557" s="104" t="str">
        <f>IF(DPS_Graph_Tooltip_Speed=TRUE,IF($A557&lt;=DPS_Graph_Max,IF($A557&gt;=DPS_Graph_Speed_Min,1/M557,),),)</f>
        <v/>
      </c>
      <c r="R557" s="104" t="str">
        <f>IF(DPS_Graph_Tooltip_Speed=TRUE,IF($E$8=$A557,1/$N$6,),)</f>
        <v/>
      </c>
    </row>
    <row r="558">
      <c r="A558" s="370">
        <v>3.15</v>
      </c>
      <c r="B558" s="213">
        <f>If(DPS_Weapon_Type="远程",($E558+1)/60+(ROUNDDOWN($F558*60+1,0)/60)*2,(ROUNDDOWN(($E558+1)+ROUNDDOWN($F558*60+1,0)+ROUNDDOWN($G558/2*60+1,0)+ROUNDDOWN($H558*60+1,0)+1,0))/60+If(DPS_ATK_TYPE="挥砍",1/60)+If(DPS_ATK_TYPE="挥砍/刺击",1/120))+DPS_Weapon_Randomization/60</f>
        <v>0.105</v>
      </c>
      <c r="C558" s="104" t="str">
        <f>IF(DPS_Graph_True_Speed=TRUE,IF($A558&lt;=DPS_Graph_Max,IF($A558&gt;=DPS_Graph_Speed_Min,1/B558,),),)</f>
        <v/>
      </c>
      <c r="D558" s="115" t="str">
        <f>IF(DPS_Graph_True_Speed=TRUE,IF($E$8=$A558,DPS_Attacks_P_Sec,),)</f>
        <v/>
      </c>
      <c r="E558" s="222">
        <f>ROUNDDOWN(MAX(2,IF(A558&gt;=0, DPS_Base_Wpn_Spd/(1+A558),DPS_Base_Wpn_Spd*(1+ABS(A558)))),0)</f>
        <v>2</v>
      </c>
      <c r="F558" s="232">
        <f>IF(A558&gt;=0, DPS_Base_Recoil/(1+A558),DPS_Base_Recoil)</f>
        <v>0.01204819277</v>
      </c>
      <c r="G558" s="377">
        <f t="shared" si="7"/>
        <v>0.51</v>
      </c>
      <c r="H558" s="377">
        <f t="shared" si="8"/>
        <v>0.01913875598</v>
      </c>
      <c r="I558" s="104"/>
      <c r="J558" s="377">
        <f>MAX(0, Max(25,(DPS_Base_Range + ((DPS_Range_Stat) / 2))) / MIN(MAX(70, (70 * (1 + ($A558 / 3)))), 120))</f>
        <v>3.333333333</v>
      </c>
      <c r="K558" s="115" t="str">
        <f>IF(A558&lt;=DPS_Graph_Max,IF(A558&gt;=DPS_Graph_Speed_Min,A558,),)</f>
        <v/>
      </c>
      <c r="M558" s="213">
        <f>If(DPS_Weapon_Type="远程",$E558/60+$F558*2,$E558/60+$F558+$G558/2+$H558)</f>
        <v>0.05742971888</v>
      </c>
      <c r="N558" s="104" t="str">
        <f>IF(DPS_Graph_Tooltip_Speed=TRUE,IF($A558&lt;=DPS_Graph_Max,IF($A558&gt;=DPS_Graph_Speed_Min,1/M558,),),)</f>
        <v/>
      </c>
      <c r="R558" s="104" t="str">
        <f>IF(DPS_Graph_Tooltip_Speed=TRUE,IF($E$8=$A558,1/$N$6,),)</f>
        <v/>
      </c>
    </row>
    <row r="559">
      <c r="A559" s="370">
        <v>3.16</v>
      </c>
      <c r="B559" s="213">
        <f>If(DPS_Weapon_Type="远程",($E559+1)/60+(ROUNDDOWN($F559*60+1,0)/60)*2,(ROUNDDOWN(($E559+1)+ROUNDDOWN($F559*60+1,0)+ROUNDDOWN($G559/2*60+1,0)+ROUNDDOWN($H559*60+1,0)+1,0))/60+If(DPS_ATK_TYPE="挥砍",1/60)+If(DPS_ATK_TYPE="挥砍/刺击",1/120))+DPS_Weapon_Randomization/60</f>
        <v>0.105</v>
      </c>
      <c r="C559" s="104" t="str">
        <f>IF(DPS_Graph_True_Speed=TRUE,IF($A559&lt;=DPS_Graph_Max,IF($A559&gt;=DPS_Graph_Speed_Min,1/B559,),),)</f>
        <v/>
      </c>
      <c r="D559" s="115" t="str">
        <f>IF(DPS_Graph_True_Speed=TRUE,IF($E$8=$A559,DPS_Attacks_P_Sec,),)</f>
        <v/>
      </c>
      <c r="E559" s="222">
        <f>ROUNDDOWN(MAX(2,IF(A559&gt;=0, DPS_Base_Wpn_Spd/(1+A559),DPS_Base_Wpn_Spd*(1+ABS(A559)))),0)</f>
        <v>2</v>
      </c>
      <c r="F559" s="232">
        <f>IF(A559&gt;=0, DPS_Base_Recoil/(1+A559),DPS_Base_Recoil)</f>
        <v>0.01201923077</v>
      </c>
      <c r="G559" s="377">
        <f t="shared" si="7"/>
        <v>0.51</v>
      </c>
      <c r="H559" s="377">
        <f t="shared" si="8"/>
        <v>0.01908396947</v>
      </c>
      <c r="I559" s="104"/>
      <c r="J559" s="377">
        <f>MAX(0, Max(25,(DPS_Base_Range + ((DPS_Range_Stat) / 2))) / MIN(MAX(70, (70 * (1 + ($A559 / 3)))), 120))</f>
        <v>3.333333333</v>
      </c>
      <c r="K559" s="115" t="str">
        <f>IF(A559&lt;=DPS_Graph_Max,IF(A559&gt;=DPS_Graph_Speed_Min,A559,),)</f>
        <v/>
      </c>
      <c r="M559" s="213">
        <f>If(DPS_Weapon_Type="远程",$E559/60+$F559*2,$E559/60+$F559+$G559/2+$H559)</f>
        <v>0.05737179487</v>
      </c>
      <c r="N559" s="104" t="str">
        <f>IF(DPS_Graph_Tooltip_Speed=TRUE,IF($A559&lt;=DPS_Graph_Max,IF($A559&gt;=DPS_Graph_Speed_Min,1/M559,),),)</f>
        <v/>
      </c>
      <c r="R559" s="104" t="str">
        <f>IF(DPS_Graph_Tooltip_Speed=TRUE,IF($E$8=$A559,1/$N$6,),)</f>
        <v/>
      </c>
    </row>
    <row r="560">
      <c r="A560" s="370">
        <v>3.17</v>
      </c>
      <c r="B560" s="213">
        <f>If(DPS_Weapon_Type="远程",($E560+1)/60+(ROUNDDOWN($F560*60+1,0)/60)*2,(ROUNDDOWN(($E560+1)+ROUNDDOWN($F560*60+1,0)+ROUNDDOWN($G560/2*60+1,0)+ROUNDDOWN($H560*60+1,0)+1,0))/60+If(DPS_ATK_TYPE="挥砍",1/60)+If(DPS_ATK_TYPE="挥砍/刺击",1/120))+DPS_Weapon_Randomization/60</f>
        <v>0.105</v>
      </c>
      <c r="C560" s="104" t="str">
        <f>IF(DPS_Graph_True_Speed=TRUE,IF($A560&lt;=DPS_Graph_Max,IF($A560&gt;=DPS_Graph_Speed_Min,1/B560,),),)</f>
        <v/>
      </c>
      <c r="D560" s="115" t="str">
        <f>IF(DPS_Graph_True_Speed=TRUE,IF($E$8=$A560,DPS_Attacks_P_Sec,),)</f>
        <v/>
      </c>
      <c r="E560" s="222">
        <f>ROUNDDOWN(MAX(2,IF(A560&gt;=0, DPS_Base_Wpn_Spd/(1+A560),DPS_Base_Wpn_Spd*(1+ABS(A560)))),0)</f>
        <v>2</v>
      </c>
      <c r="F560" s="232">
        <f>IF(A560&gt;=0, DPS_Base_Recoil/(1+A560),DPS_Base_Recoil)</f>
        <v>0.01199040767</v>
      </c>
      <c r="G560" s="377">
        <f t="shared" si="7"/>
        <v>0.51</v>
      </c>
      <c r="H560" s="377">
        <f t="shared" si="8"/>
        <v>0.01902949572</v>
      </c>
      <c r="I560" s="104"/>
      <c r="J560" s="377">
        <f>MAX(0, Max(25,(DPS_Base_Range + ((DPS_Range_Stat) / 2))) / MIN(MAX(70, (70 * (1 + ($A560 / 3)))), 120))</f>
        <v>3.333333333</v>
      </c>
      <c r="K560" s="115" t="str">
        <f>IF(A560&lt;=DPS_Graph_Max,IF(A560&gt;=DPS_Graph_Speed_Min,A560,),)</f>
        <v/>
      </c>
      <c r="M560" s="213">
        <f>If(DPS_Weapon_Type="远程",$E560/60+$F560*2,$E560/60+$F560+$G560/2+$H560)</f>
        <v>0.05731414868</v>
      </c>
      <c r="N560" s="104" t="str">
        <f>IF(DPS_Graph_Tooltip_Speed=TRUE,IF($A560&lt;=DPS_Graph_Max,IF($A560&gt;=DPS_Graph_Speed_Min,1/M560,),),)</f>
        <v/>
      </c>
      <c r="R560" s="104" t="str">
        <f>IF(DPS_Graph_Tooltip_Speed=TRUE,IF($E$8=$A560,1/$N$6,),)</f>
        <v/>
      </c>
    </row>
    <row r="561">
      <c r="A561" s="370">
        <v>3.18</v>
      </c>
      <c r="B561" s="213">
        <f>If(DPS_Weapon_Type="远程",($E561+1)/60+(ROUNDDOWN($F561*60+1,0)/60)*2,(ROUNDDOWN(($E561+1)+ROUNDDOWN($F561*60+1,0)+ROUNDDOWN($G561/2*60+1,0)+ROUNDDOWN($H561*60+1,0)+1,0))/60+If(DPS_ATK_TYPE="挥砍",1/60)+If(DPS_ATK_TYPE="挥砍/刺击",1/120))+DPS_Weapon_Randomization/60</f>
        <v>0.105</v>
      </c>
      <c r="C561" s="104" t="str">
        <f>IF(DPS_Graph_True_Speed=TRUE,IF($A561&lt;=DPS_Graph_Max,IF($A561&gt;=DPS_Graph_Speed_Min,1/B561,),),)</f>
        <v/>
      </c>
      <c r="D561" s="115" t="str">
        <f>IF(DPS_Graph_True_Speed=TRUE,IF($E$8=$A561,DPS_Attacks_P_Sec,),)</f>
        <v/>
      </c>
      <c r="E561" s="222">
        <f>ROUNDDOWN(MAX(2,IF(A561&gt;=0, DPS_Base_Wpn_Spd/(1+A561),DPS_Base_Wpn_Spd*(1+ABS(A561)))),0)</f>
        <v>2</v>
      </c>
      <c r="F561" s="232">
        <f>IF(A561&gt;=0, DPS_Base_Recoil/(1+A561),DPS_Base_Recoil)</f>
        <v>0.01196172249</v>
      </c>
      <c r="G561" s="377">
        <f t="shared" si="7"/>
        <v>0.51</v>
      </c>
      <c r="H561" s="377">
        <f t="shared" si="8"/>
        <v>0.01897533207</v>
      </c>
      <c r="I561" s="104"/>
      <c r="J561" s="377">
        <f>MAX(0, Max(25,(DPS_Base_Range + ((DPS_Range_Stat) / 2))) / MIN(MAX(70, (70 * (1 + ($A561 / 3)))), 120))</f>
        <v>3.333333333</v>
      </c>
      <c r="K561" s="115" t="str">
        <f>IF(A561&lt;=DPS_Graph_Max,IF(A561&gt;=DPS_Graph_Speed_Min,A561,),)</f>
        <v/>
      </c>
      <c r="M561" s="213">
        <f>If(DPS_Weapon_Type="远程",$E561/60+$F561*2,$E561/60+$F561+$G561/2+$H561)</f>
        <v>0.05725677831</v>
      </c>
      <c r="N561" s="104" t="str">
        <f>IF(DPS_Graph_Tooltip_Speed=TRUE,IF($A561&lt;=DPS_Graph_Max,IF($A561&gt;=DPS_Graph_Speed_Min,1/M561,),),)</f>
        <v/>
      </c>
      <c r="R561" s="104" t="str">
        <f>IF(DPS_Graph_Tooltip_Speed=TRUE,IF($E$8=$A561,1/$N$6,),)</f>
        <v/>
      </c>
    </row>
    <row r="562">
      <c r="A562" s="370">
        <v>3.19</v>
      </c>
      <c r="B562" s="213">
        <f>If(DPS_Weapon_Type="远程",($E562+1)/60+(ROUNDDOWN($F562*60+1,0)/60)*2,(ROUNDDOWN(($E562+1)+ROUNDDOWN($F562*60+1,0)+ROUNDDOWN($G562/2*60+1,0)+ROUNDDOWN($H562*60+1,0)+1,0))/60+If(DPS_ATK_TYPE="挥砍",1/60)+If(DPS_ATK_TYPE="挥砍/刺击",1/120))+DPS_Weapon_Randomization/60</f>
        <v>0.105</v>
      </c>
      <c r="C562" s="104" t="str">
        <f>IF(DPS_Graph_True_Speed=TRUE,IF($A562&lt;=DPS_Graph_Max,IF($A562&gt;=DPS_Graph_Speed_Min,1/B562,),),)</f>
        <v/>
      </c>
      <c r="D562" s="115" t="str">
        <f>IF(DPS_Graph_True_Speed=TRUE,IF($E$8=$A562,DPS_Attacks_P_Sec,),)</f>
        <v/>
      </c>
      <c r="E562" s="222">
        <f>ROUNDDOWN(MAX(2,IF(A562&gt;=0, DPS_Base_Wpn_Spd/(1+A562),DPS_Base_Wpn_Spd*(1+ABS(A562)))),0)</f>
        <v>2</v>
      </c>
      <c r="F562" s="232">
        <f>IF(A562&gt;=0, DPS_Base_Recoil/(1+A562),DPS_Base_Recoil)</f>
        <v>0.01193317422</v>
      </c>
      <c r="G562" s="377">
        <f t="shared" si="7"/>
        <v>0.51</v>
      </c>
      <c r="H562" s="377">
        <f t="shared" si="8"/>
        <v>0.01892147588</v>
      </c>
      <c r="I562" s="104"/>
      <c r="J562" s="377">
        <f>MAX(0, Max(25,(DPS_Base_Range + ((DPS_Range_Stat) / 2))) / MIN(MAX(70, (70 * (1 + ($A562 / 3)))), 120))</f>
        <v>3.333333333</v>
      </c>
      <c r="K562" s="115" t="str">
        <f>IF(A562&lt;=DPS_Graph_Max,IF(A562&gt;=DPS_Graph_Speed_Min,A562,),)</f>
        <v/>
      </c>
      <c r="M562" s="213">
        <f>If(DPS_Weapon_Type="远程",$E562/60+$F562*2,$E562/60+$F562+$G562/2+$H562)</f>
        <v>0.05719968178</v>
      </c>
      <c r="N562" s="104" t="str">
        <f>IF(DPS_Graph_Tooltip_Speed=TRUE,IF($A562&lt;=DPS_Graph_Max,IF($A562&gt;=DPS_Graph_Speed_Min,1/M562,),),)</f>
        <v/>
      </c>
      <c r="R562" s="104" t="str">
        <f>IF(DPS_Graph_Tooltip_Speed=TRUE,IF($E$8=$A562,1/$N$6,),)</f>
        <v/>
      </c>
    </row>
    <row r="563">
      <c r="A563" s="370">
        <v>3.2</v>
      </c>
      <c r="B563" s="213">
        <f>If(DPS_Weapon_Type="远程",($E563+1)/60+(ROUNDDOWN($F563*60+1,0)/60)*2,(ROUNDDOWN(($E563+1)+ROUNDDOWN($F563*60+1,0)+ROUNDDOWN($G563/2*60+1,0)+ROUNDDOWN($H563*60+1,0)+1,0))/60+If(DPS_ATK_TYPE="挥砍",1/60)+If(DPS_ATK_TYPE="挥砍/刺击",1/120))+DPS_Weapon_Randomization/60</f>
        <v>0.105</v>
      </c>
      <c r="C563" s="104" t="str">
        <f>IF(DPS_Graph_True_Speed=TRUE,IF($A563&lt;=DPS_Graph_Max,IF($A563&gt;=DPS_Graph_Speed_Min,1/B563,),),)</f>
        <v/>
      </c>
      <c r="D563" s="115" t="str">
        <f>IF(DPS_Graph_True_Speed=TRUE,IF($E$8=$A563,DPS_Attacks_P_Sec,),)</f>
        <v/>
      </c>
      <c r="E563" s="222">
        <f>ROUNDDOWN(MAX(2,IF(A563&gt;=0, DPS_Base_Wpn_Spd/(1+A563),DPS_Base_Wpn_Spd*(1+ABS(A563)))),0)</f>
        <v>2</v>
      </c>
      <c r="F563" s="232">
        <f>IF(A563&gt;=0, DPS_Base_Recoil/(1+A563),DPS_Base_Recoil)</f>
        <v>0.0119047619</v>
      </c>
      <c r="G563" s="377">
        <f t="shared" si="7"/>
        <v>0.51</v>
      </c>
      <c r="H563" s="377">
        <f t="shared" si="8"/>
        <v>0.01886792453</v>
      </c>
      <c r="I563" s="104"/>
      <c r="J563" s="377">
        <f>MAX(0, Max(25,(DPS_Base_Range + ((DPS_Range_Stat) / 2))) / MIN(MAX(70, (70 * (1 + ($A563 / 3)))), 120))</f>
        <v>3.333333333</v>
      </c>
      <c r="K563" s="115" t="str">
        <f>IF(A563&lt;=DPS_Graph_Max,IF(A563&gt;=DPS_Graph_Speed_Min,A563,),)</f>
        <v/>
      </c>
      <c r="M563" s="213">
        <f>If(DPS_Weapon_Type="远程",$E563/60+$F563*2,$E563/60+$F563+$G563/2+$H563)</f>
        <v>0.05714285714</v>
      </c>
      <c r="N563" s="104" t="str">
        <f>IF(DPS_Graph_Tooltip_Speed=TRUE,IF($A563&lt;=DPS_Graph_Max,IF($A563&gt;=DPS_Graph_Speed_Min,1/M563,),),)</f>
        <v/>
      </c>
      <c r="R563" s="104" t="str">
        <f>IF(DPS_Graph_Tooltip_Speed=TRUE,IF($E$8=$A563,1/$N$6,),)</f>
        <v/>
      </c>
    </row>
    <row r="564">
      <c r="A564" s="370">
        <v>3.21</v>
      </c>
      <c r="B564" s="213">
        <f>If(DPS_Weapon_Type="远程",($E564+1)/60+(ROUNDDOWN($F564*60+1,0)/60)*2,(ROUNDDOWN(($E564+1)+ROUNDDOWN($F564*60+1,0)+ROUNDDOWN($G564/2*60+1,0)+ROUNDDOWN($H564*60+1,0)+1,0))/60+If(DPS_ATK_TYPE="挥砍",1/60)+If(DPS_ATK_TYPE="挥砍/刺击",1/120))+DPS_Weapon_Randomization/60</f>
        <v>0.105</v>
      </c>
      <c r="C564" s="104" t="str">
        <f>IF(DPS_Graph_True_Speed=TRUE,IF($A564&lt;=DPS_Graph_Max,IF($A564&gt;=DPS_Graph_Speed_Min,1/B564,),),)</f>
        <v/>
      </c>
      <c r="D564" s="115" t="str">
        <f>IF(DPS_Graph_True_Speed=TRUE,IF($E$8=$A564,DPS_Attacks_P_Sec,),)</f>
        <v/>
      </c>
      <c r="E564" s="222">
        <f>ROUNDDOWN(MAX(2,IF(A564&gt;=0, DPS_Base_Wpn_Spd/(1+A564),DPS_Base_Wpn_Spd*(1+ABS(A564)))),0)</f>
        <v>2</v>
      </c>
      <c r="F564" s="232">
        <f>IF(A564&gt;=0, DPS_Base_Recoil/(1+A564),DPS_Base_Recoil)</f>
        <v>0.01187648456</v>
      </c>
      <c r="G564" s="377">
        <f t="shared" si="7"/>
        <v>0.51</v>
      </c>
      <c r="H564" s="377">
        <f t="shared" si="8"/>
        <v>0.01881467545</v>
      </c>
      <c r="I564" s="104"/>
      <c r="J564" s="377">
        <f>MAX(0, Max(25,(DPS_Base_Range + ((DPS_Range_Stat) / 2))) / MIN(MAX(70, (70 * (1 + ($A564 / 3)))), 120))</f>
        <v>3.333333333</v>
      </c>
      <c r="K564" s="115" t="str">
        <f>IF(A564&lt;=DPS_Graph_Max,IF(A564&gt;=DPS_Graph_Speed_Min,A564,),)</f>
        <v/>
      </c>
      <c r="M564" s="213">
        <f>If(DPS_Weapon_Type="远程",$E564/60+$F564*2,$E564/60+$F564+$G564/2+$H564)</f>
        <v>0.05708630245</v>
      </c>
      <c r="N564" s="104" t="str">
        <f>IF(DPS_Graph_Tooltip_Speed=TRUE,IF($A564&lt;=DPS_Graph_Max,IF($A564&gt;=DPS_Graph_Speed_Min,1/M564,),),)</f>
        <v/>
      </c>
      <c r="R564" s="104" t="str">
        <f>IF(DPS_Graph_Tooltip_Speed=TRUE,IF($E$8=$A564,1/$N$6,),)</f>
        <v/>
      </c>
    </row>
    <row r="565">
      <c r="A565" s="370">
        <v>3.22</v>
      </c>
      <c r="B565" s="213">
        <f>If(DPS_Weapon_Type="远程",($E565+1)/60+(ROUNDDOWN($F565*60+1,0)/60)*2,(ROUNDDOWN(($E565+1)+ROUNDDOWN($F565*60+1,0)+ROUNDDOWN($G565/2*60+1,0)+ROUNDDOWN($H565*60+1,0)+1,0))/60+If(DPS_ATK_TYPE="挥砍",1/60)+If(DPS_ATK_TYPE="挥砍/刺击",1/120))+DPS_Weapon_Randomization/60</f>
        <v>0.105</v>
      </c>
      <c r="C565" s="104" t="str">
        <f>IF(DPS_Graph_True_Speed=TRUE,IF($A565&lt;=DPS_Graph_Max,IF($A565&gt;=DPS_Graph_Speed_Min,1/B565,),),)</f>
        <v/>
      </c>
      <c r="D565" s="115" t="str">
        <f>IF(DPS_Graph_True_Speed=TRUE,IF($E$8=$A565,DPS_Attacks_P_Sec,),)</f>
        <v/>
      </c>
      <c r="E565" s="222">
        <f>ROUNDDOWN(MAX(2,IF(A565&gt;=0, DPS_Base_Wpn_Spd/(1+A565),DPS_Base_Wpn_Spd*(1+ABS(A565)))),0)</f>
        <v>2</v>
      </c>
      <c r="F565" s="232">
        <f>IF(A565&gt;=0, DPS_Base_Recoil/(1+A565),DPS_Base_Recoil)</f>
        <v>0.01184834123</v>
      </c>
      <c r="G565" s="377">
        <f t="shared" si="7"/>
        <v>0.51</v>
      </c>
      <c r="H565" s="377">
        <f t="shared" si="8"/>
        <v>0.01876172608</v>
      </c>
      <c r="I565" s="104"/>
      <c r="J565" s="377">
        <f>MAX(0, Max(25,(DPS_Base_Range + ((DPS_Range_Stat) / 2))) / MIN(MAX(70, (70 * (1 + ($A565 / 3)))), 120))</f>
        <v>3.333333333</v>
      </c>
      <c r="K565" s="115" t="str">
        <f>IF(A565&lt;=DPS_Graph_Max,IF(A565&gt;=DPS_Graph_Speed_Min,A565,),)</f>
        <v/>
      </c>
      <c r="M565" s="213">
        <f>If(DPS_Weapon_Type="远程",$E565/60+$F565*2,$E565/60+$F565+$G565/2+$H565)</f>
        <v>0.0570300158</v>
      </c>
      <c r="N565" s="104" t="str">
        <f>IF(DPS_Graph_Tooltip_Speed=TRUE,IF($A565&lt;=DPS_Graph_Max,IF($A565&gt;=DPS_Graph_Speed_Min,1/M565,),),)</f>
        <v/>
      </c>
      <c r="R565" s="104" t="str">
        <f>IF(DPS_Graph_Tooltip_Speed=TRUE,IF($E$8=$A565,1/$N$6,),)</f>
        <v/>
      </c>
    </row>
    <row r="566">
      <c r="A566" s="370">
        <v>3.23</v>
      </c>
      <c r="B566" s="213">
        <f>If(DPS_Weapon_Type="远程",($E566+1)/60+(ROUNDDOWN($F566*60+1,0)/60)*2,(ROUNDDOWN(($E566+1)+ROUNDDOWN($F566*60+1,0)+ROUNDDOWN($G566/2*60+1,0)+ROUNDDOWN($H566*60+1,0)+1,0))/60+If(DPS_ATK_TYPE="挥砍",1/60)+If(DPS_ATK_TYPE="挥砍/刺击",1/120))+DPS_Weapon_Randomization/60</f>
        <v>0.105</v>
      </c>
      <c r="C566" s="104" t="str">
        <f>IF(DPS_Graph_True_Speed=TRUE,IF($A566&lt;=DPS_Graph_Max,IF($A566&gt;=DPS_Graph_Speed_Min,1/B566,),),)</f>
        <v/>
      </c>
      <c r="D566" s="115" t="str">
        <f>IF(DPS_Graph_True_Speed=TRUE,IF($E$8=$A566,DPS_Attacks_P_Sec,),)</f>
        <v/>
      </c>
      <c r="E566" s="222">
        <f>ROUNDDOWN(MAX(2,IF(A566&gt;=0, DPS_Base_Wpn_Spd/(1+A566),DPS_Base_Wpn_Spd*(1+ABS(A566)))),0)</f>
        <v>2</v>
      </c>
      <c r="F566" s="232">
        <f>IF(A566&gt;=0, DPS_Base_Recoil/(1+A566),DPS_Base_Recoil)</f>
        <v>0.01182033097</v>
      </c>
      <c r="G566" s="377">
        <f t="shared" si="7"/>
        <v>0.51</v>
      </c>
      <c r="H566" s="377">
        <f t="shared" si="8"/>
        <v>0.0187090739</v>
      </c>
      <c r="I566" s="104"/>
      <c r="J566" s="377">
        <f>MAX(0, Max(25,(DPS_Base_Range + ((DPS_Range_Stat) / 2))) / MIN(MAX(70, (70 * (1 + ($A566 / 3)))), 120))</f>
        <v>3.333333333</v>
      </c>
      <c r="K566" s="115" t="str">
        <f>IF(A566&lt;=DPS_Graph_Max,IF(A566&gt;=DPS_Graph_Speed_Min,A566,),)</f>
        <v/>
      </c>
      <c r="M566" s="213">
        <f>If(DPS_Weapon_Type="远程",$E566/60+$F566*2,$E566/60+$F566+$G566/2+$H566)</f>
        <v>0.05697399527</v>
      </c>
      <c r="N566" s="104" t="str">
        <f>IF(DPS_Graph_Tooltip_Speed=TRUE,IF($A566&lt;=DPS_Graph_Max,IF($A566&gt;=DPS_Graph_Speed_Min,1/M566,),),)</f>
        <v/>
      </c>
      <c r="R566" s="104" t="str">
        <f>IF(DPS_Graph_Tooltip_Speed=TRUE,IF($E$8=$A566,1/$N$6,),)</f>
        <v/>
      </c>
    </row>
    <row r="567">
      <c r="A567" s="370">
        <v>3.24</v>
      </c>
      <c r="B567" s="213">
        <f>If(DPS_Weapon_Type="远程",($E567+1)/60+(ROUNDDOWN($F567*60+1,0)/60)*2,(ROUNDDOWN(($E567+1)+ROUNDDOWN($F567*60+1,0)+ROUNDDOWN($G567/2*60+1,0)+ROUNDDOWN($H567*60+1,0)+1,0))/60+If(DPS_ATK_TYPE="挥砍",1/60)+If(DPS_ATK_TYPE="挥砍/刺击",1/120))+DPS_Weapon_Randomization/60</f>
        <v>0.105</v>
      </c>
      <c r="C567" s="104" t="str">
        <f>IF(DPS_Graph_True_Speed=TRUE,IF($A567&lt;=DPS_Graph_Max,IF($A567&gt;=DPS_Graph_Speed_Min,1/B567,),),)</f>
        <v/>
      </c>
      <c r="D567" s="115" t="str">
        <f>IF(DPS_Graph_True_Speed=TRUE,IF($E$8=$A567,DPS_Attacks_P_Sec,),)</f>
        <v/>
      </c>
      <c r="E567" s="222">
        <f>ROUNDDOWN(MAX(2,IF(A567&gt;=0, DPS_Base_Wpn_Spd/(1+A567),DPS_Base_Wpn_Spd*(1+ABS(A567)))),0)</f>
        <v>2</v>
      </c>
      <c r="F567" s="232">
        <f>IF(A567&gt;=0, DPS_Base_Recoil/(1+A567),DPS_Base_Recoil)</f>
        <v>0.01179245283</v>
      </c>
      <c r="G567" s="377">
        <f t="shared" si="7"/>
        <v>0.51</v>
      </c>
      <c r="H567" s="377">
        <f t="shared" si="8"/>
        <v>0.01865671642</v>
      </c>
      <c r="I567" s="104"/>
      <c r="J567" s="377">
        <f>MAX(0, Max(25,(DPS_Base_Range + ((DPS_Range_Stat) / 2))) / MIN(MAX(70, (70 * (1 + ($A567 / 3)))), 120))</f>
        <v>3.333333333</v>
      </c>
      <c r="K567" s="115" t="str">
        <f>IF(A567&lt;=DPS_Graph_Max,IF(A567&gt;=DPS_Graph_Speed_Min,A567,),)</f>
        <v/>
      </c>
      <c r="M567" s="213">
        <f>If(DPS_Weapon_Type="远程",$E567/60+$F567*2,$E567/60+$F567+$G567/2+$H567)</f>
        <v>0.05691823899</v>
      </c>
      <c r="N567" s="104" t="str">
        <f>IF(DPS_Graph_Tooltip_Speed=TRUE,IF($A567&lt;=DPS_Graph_Max,IF($A567&gt;=DPS_Graph_Speed_Min,1/M567,),),)</f>
        <v/>
      </c>
      <c r="R567" s="104" t="str">
        <f>IF(DPS_Graph_Tooltip_Speed=TRUE,IF($E$8=$A567,1/$N$6,),)</f>
        <v/>
      </c>
    </row>
    <row r="568">
      <c r="A568" s="370">
        <v>3.25</v>
      </c>
      <c r="B568" s="213">
        <f>If(DPS_Weapon_Type="远程",($E568+1)/60+(ROUNDDOWN($F568*60+1,0)/60)*2,(ROUNDDOWN(($E568+1)+ROUNDDOWN($F568*60+1,0)+ROUNDDOWN($G568/2*60+1,0)+ROUNDDOWN($H568*60+1,0)+1,0))/60+If(DPS_ATK_TYPE="挥砍",1/60)+If(DPS_ATK_TYPE="挥砍/刺击",1/120))+DPS_Weapon_Randomization/60</f>
        <v>0.105</v>
      </c>
      <c r="C568" s="104" t="str">
        <f>IF(DPS_Graph_True_Speed=TRUE,IF($A568&lt;=DPS_Graph_Max,IF($A568&gt;=DPS_Graph_Speed_Min,1/B568,),),)</f>
        <v/>
      </c>
      <c r="D568" s="115" t="str">
        <f>IF(DPS_Graph_True_Speed=TRUE,IF($E$8=$A568,DPS_Attacks_P_Sec,),)</f>
        <v/>
      </c>
      <c r="E568" s="222">
        <f>ROUNDDOWN(MAX(2,IF(A568&gt;=0, DPS_Base_Wpn_Spd/(1+A568),DPS_Base_Wpn_Spd*(1+ABS(A568)))),0)</f>
        <v>2</v>
      </c>
      <c r="F568" s="232">
        <f>IF(A568&gt;=0, DPS_Base_Recoil/(1+A568),DPS_Base_Recoil)</f>
        <v>0.01176470588</v>
      </c>
      <c r="G568" s="377">
        <f t="shared" si="7"/>
        <v>0.51</v>
      </c>
      <c r="H568" s="377">
        <f t="shared" si="8"/>
        <v>0.01860465116</v>
      </c>
      <c r="I568" s="104"/>
      <c r="J568" s="377">
        <f>MAX(0, Max(25,(DPS_Base_Range + ((DPS_Range_Stat) / 2))) / MIN(MAX(70, (70 * (1 + ($A568 / 3)))), 120))</f>
        <v>3.333333333</v>
      </c>
      <c r="K568" s="115" t="str">
        <f>IF(A568&lt;=DPS_Graph_Max,IF(A568&gt;=DPS_Graph_Speed_Min,A568,),)</f>
        <v/>
      </c>
      <c r="M568" s="213">
        <f>If(DPS_Weapon_Type="远程",$E568/60+$F568*2,$E568/60+$F568+$G568/2+$H568)</f>
        <v>0.0568627451</v>
      </c>
      <c r="N568" s="104" t="str">
        <f>IF(DPS_Graph_Tooltip_Speed=TRUE,IF($A568&lt;=DPS_Graph_Max,IF($A568&gt;=DPS_Graph_Speed_Min,1/M568,),),)</f>
        <v/>
      </c>
      <c r="R568" s="104" t="str">
        <f>IF(DPS_Graph_Tooltip_Speed=TRUE,IF($E$8=$A568,1/$N$6,),)</f>
        <v/>
      </c>
    </row>
    <row r="569">
      <c r="A569" s="370">
        <v>3.26</v>
      </c>
      <c r="B569" s="213">
        <f>If(DPS_Weapon_Type="远程",($E569+1)/60+(ROUNDDOWN($F569*60+1,0)/60)*2,(ROUNDDOWN(($E569+1)+ROUNDDOWN($F569*60+1,0)+ROUNDDOWN($G569/2*60+1,0)+ROUNDDOWN($H569*60+1,0)+1,0))/60+If(DPS_ATK_TYPE="挥砍",1/60)+If(DPS_ATK_TYPE="挥砍/刺击",1/120))+DPS_Weapon_Randomization/60</f>
        <v>0.105</v>
      </c>
      <c r="C569" s="104" t="str">
        <f>IF(DPS_Graph_True_Speed=TRUE,IF($A569&lt;=DPS_Graph_Max,IF($A569&gt;=DPS_Graph_Speed_Min,1/B569,),),)</f>
        <v/>
      </c>
      <c r="D569" s="115" t="str">
        <f>IF(DPS_Graph_True_Speed=TRUE,IF($E$8=$A569,DPS_Attacks_P_Sec,),)</f>
        <v/>
      </c>
      <c r="E569" s="222">
        <f>ROUNDDOWN(MAX(2,IF(A569&gt;=0, DPS_Base_Wpn_Spd/(1+A569),DPS_Base_Wpn_Spd*(1+ABS(A569)))),0)</f>
        <v>2</v>
      </c>
      <c r="F569" s="232">
        <f>IF(A569&gt;=0, DPS_Base_Recoil/(1+A569),DPS_Base_Recoil)</f>
        <v>0.0117370892</v>
      </c>
      <c r="G569" s="377">
        <f t="shared" si="7"/>
        <v>0.51</v>
      </c>
      <c r="H569" s="377">
        <f t="shared" si="8"/>
        <v>0.0185528757</v>
      </c>
      <c r="I569" s="104"/>
      <c r="J569" s="377">
        <f>MAX(0, Max(25,(DPS_Base_Range + ((DPS_Range_Stat) / 2))) / MIN(MAX(70, (70 * (1 + ($A569 / 3)))), 120))</f>
        <v>3.333333333</v>
      </c>
      <c r="K569" s="115" t="str">
        <f>IF(A569&lt;=DPS_Graph_Max,IF(A569&gt;=DPS_Graph_Speed_Min,A569,),)</f>
        <v/>
      </c>
      <c r="M569" s="213">
        <f>If(DPS_Weapon_Type="远程",$E569/60+$F569*2,$E569/60+$F569+$G569/2+$H569)</f>
        <v>0.05680751174</v>
      </c>
      <c r="N569" s="104" t="str">
        <f>IF(DPS_Graph_Tooltip_Speed=TRUE,IF($A569&lt;=DPS_Graph_Max,IF($A569&gt;=DPS_Graph_Speed_Min,1/M569,),),)</f>
        <v/>
      </c>
      <c r="R569" s="104" t="str">
        <f>IF(DPS_Graph_Tooltip_Speed=TRUE,IF($E$8=$A569,1/$N$6,),)</f>
        <v/>
      </c>
    </row>
    <row r="570">
      <c r="A570" s="370">
        <v>3.27</v>
      </c>
      <c r="B570" s="213">
        <f>If(DPS_Weapon_Type="远程",($E570+1)/60+(ROUNDDOWN($F570*60+1,0)/60)*2,(ROUNDDOWN(($E570+1)+ROUNDDOWN($F570*60+1,0)+ROUNDDOWN($G570/2*60+1,0)+ROUNDDOWN($H570*60+1,0)+1,0))/60+If(DPS_ATK_TYPE="挥砍",1/60)+If(DPS_ATK_TYPE="挥砍/刺击",1/120))+DPS_Weapon_Randomization/60</f>
        <v>0.105</v>
      </c>
      <c r="C570" s="104" t="str">
        <f>IF(DPS_Graph_True_Speed=TRUE,IF($A570&lt;=DPS_Graph_Max,IF($A570&gt;=DPS_Graph_Speed_Min,1/B570,),),)</f>
        <v/>
      </c>
      <c r="D570" s="115" t="str">
        <f>IF(DPS_Graph_True_Speed=TRUE,IF($E$8=$A570,DPS_Attacks_P_Sec,),)</f>
        <v/>
      </c>
      <c r="E570" s="222">
        <f>ROUNDDOWN(MAX(2,IF(A570&gt;=0, DPS_Base_Wpn_Spd/(1+A570),DPS_Base_Wpn_Spd*(1+ABS(A570)))),0)</f>
        <v>2</v>
      </c>
      <c r="F570" s="232">
        <f>IF(A570&gt;=0, DPS_Base_Recoil/(1+A570),DPS_Base_Recoil)</f>
        <v>0.01170960187</v>
      </c>
      <c r="G570" s="377">
        <f t="shared" si="7"/>
        <v>0.51</v>
      </c>
      <c r="H570" s="377">
        <f t="shared" si="8"/>
        <v>0.0185013876</v>
      </c>
      <c r="I570" s="104"/>
      <c r="J570" s="377">
        <f>MAX(0, Max(25,(DPS_Base_Range + ((DPS_Range_Stat) / 2))) / MIN(MAX(70, (70 * (1 + ($A570 / 3)))), 120))</f>
        <v>3.333333333</v>
      </c>
      <c r="K570" s="115" t="str">
        <f>IF(A570&lt;=DPS_Graph_Max,IF(A570&gt;=DPS_Graph_Speed_Min,A570,),)</f>
        <v/>
      </c>
      <c r="M570" s="213">
        <f>If(DPS_Weapon_Type="远程",$E570/60+$F570*2,$E570/60+$F570+$G570/2+$H570)</f>
        <v>0.05675253708</v>
      </c>
      <c r="N570" s="104" t="str">
        <f>IF(DPS_Graph_Tooltip_Speed=TRUE,IF($A570&lt;=DPS_Graph_Max,IF($A570&gt;=DPS_Graph_Speed_Min,1/M570,),),)</f>
        <v/>
      </c>
      <c r="R570" s="104" t="str">
        <f>IF(DPS_Graph_Tooltip_Speed=TRUE,IF($E$8=$A570,1/$N$6,),)</f>
        <v/>
      </c>
    </row>
    <row r="571">
      <c r="A571" s="370">
        <v>3.28</v>
      </c>
      <c r="B571" s="213">
        <f>If(DPS_Weapon_Type="远程",($E571+1)/60+(ROUNDDOWN($F571*60+1,0)/60)*2,(ROUNDDOWN(($E571+1)+ROUNDDOWN($F571*60+1,0)+ROUNDDOWN($G571/2*60+1,0)+ROUNDDOWN($H571*60+1,0)+1,0))/60+If(DPS_ATK_TYPE="挥砍",1/60)+If(DPS_ATK_TYPE="挥砍/刺击",1/120))+DPS_Weapon_Randomization/60</f>
        <v>0.105</v>
      </c>
      <c r="C571" s="104" t="str">
        <f>IF(DPS_Graph_True_Speed=TRUE,IF($A571&lt;=DPS_Graph_Max,IF($A571&gt;=DPS_Graph_Speed_Min,1/B571,),),)</f>
        <v/>
      </c>
      <c r="D571" s="115" t="str">
        <f>IF(DPS_Graph_True_Speed=TRUE,IF($E$8=$A571,DPS_Attacks_P_Sec,),)</f>
        <v/>
      </c>
      <c r="E571" s="222">
        <f>ROUNDDOWN(MAX(2,IF(A571&gt;=0, DPS_Base_Wpn_Spd/(1+A571),DPS_Base_Wpn_Spd*(1+ABS(A571)))),0)</f>
        <v>2</v>
      </c>
      <c r="F571" s="232">
        <f>IF(A571&gt;=0, DPS_Base_Recoil/(1+A571),DPS_Base_Recoil)</f>
        <v>0.01168224299</v>
      </c>
      <c r="G571" s="377">
        <f t="shared" si="7"/>
        <v>0.51</v>
      </c>
      <c r="H571" s="377">
        <f t="shared" si="8"/>
        <v>0.0184501845</v>
      </c>
      <c r="I571" s="104"/>
      <c r="J571" s="377">
        <f>MAX(0, Max(25,(DPS_Base_Range + ((DPS_Range_Stat) / 2))) / MIN(MAX(70, (70 * (1 + ($A571 / 3)))), 120))</f>
        <v>3.333333333</v>
      </c>
      <c r="K571" s="115" t="str">
        <f>IF(A571&lt;=DPS_Graph_Max,IF(A571&gt;=DPS_Graph_Speed_Min,A571,),)</f>
        <v/>
      </c>
      <c r="M571" s="213">
        <f>If(DPS_Weapon_Type="远程",$E571/60+$F571*2,$E571/60+$F571+$G571/2+$H571)</f>
        <v>0.05669781931</v>
      </c>
      <c r="N571" s="104" t="str">
        <f>IF(DPS_Graph_Tooltip_Speed=TRUE,IF($A571&lt;=DPS_Graph_Max,IF($A571&gt;=DPS_Graph_Speed_Min,1/M571,),),)</f>
        <v/>
      </c>
      <c r="R571" s="104" t="str">
        <f>IF(DPS_Graph_Tooltip_Speed=TRUE,IF($E$8=$A571,1/$N$6,),)</f>
        <v/>
      </c>
    </row>
    <row r="572">
      <c r="A572" s="370">
        <v>3.29</v>
      </c>
      <c r="B572" s="213">
        <f>If(DPS_Weapon_Type="远程",($E572+1)/60+(ROUNDDOWN($F572*60+1,0)/60)*2,(ROUNDDOWN(($E572+1)+ROUNDDOWN($F572*60+1,0)+ROUNDDOWN($G572/2*60+1,0)+ROUNDDOWN($H572*60+1,0)+1,0))/60+If(DPS_ATK_TYPE="挥砍",1/60)+If(DPS_ATK_TYPE="挥砍/刺击",1/120))+DPS_Weapon_Randomization/60</f>
        <v>0.105</v>
      </c>
      <c r="C572" s="104" t="str">
        <f>IF(DPS_Graph_True_Speed=TRUE,IF($A572&lt;=DPS_Graph_Max,IF($A572&gt;=DPS_Graph_Speed_Min,1/B572,),),)</f>
        <v/>
      </c>
      <c r="D572" s="115" t="str">
        <f>IF(DPS_Graph_True_Speed=TRUE,IF($E$8=$A572,DPS_Attacks_P_Sec,),)</f>
        <v/>
      </c>
      <c r="E572" s="222">
        <f>ROUNDDOWN(MAX(2,IF(A572&gt;=0, DPS_Base_Wpn_Spd/(1+A572),DPS_Base_Wpn_Spd*(1+ABS(A572)))),0)</f>
        <v>2</v>
      </c>
      <c r="F572" s="232">
        <f>IF(A572&gt;=0, DPS_Base_Recoil/(1+A572),DPS_Base_Recoil)</f>
        <v>0.01165501166</v>
      </c>
      <c r="G572" s="377">
        <f t="shared" si="7"/>
        <v>0.51</v>
      </c>
      <c r="H572" s="377">
        <f t="shared" si="8"/>
        <v>0.01839926403</v>
      </c>
      <c r="I572" s="104"/>
      <c r="J572" s="377">
        <f>MAX(0, Max(25,(DPS_Base_Range + ((DPS_Range_Stat) / 2))) / MIN(MAX(70, (70 * (1 + ($A572 / 3)))), 120))</f>
        <v>3.333333333</v>
      </c>
      <c r="K572" s="115" t="str">
        <f>IF(A572&lt;=DPS_Graph_Max,IF(A572&gt;=DPS_Graph_Speed_Min,A572,),)</f>
        <v/>
      </c>
      <c r="M572" s="213">
        <f>If(DPS_Weapon_Type="远程",$E572/60+$F572*2,$E572/60+$F572+$G572/2+$H572)</f>
        <v>0.05664335664</v>
      </c>
      <c r="N572" s="104" t="str">
        <f>IF(DPS_Graph_Tooltip_Speed=TRUE,IF($A572&lt;=DPS_Graph_Max,IF($A572&gt;=DPS_Graph_Speed_Min,1/M572,),),)</f>
        <v/>
      </c>
      <c r="R572" s="104" t="str">
        <f>IF(DPS_Graph_Tooltip_Speed=TRUE,IF($E$8=$A572,1/$N$6,),)</f>
        <v/>
      </c>
    </row>
    <row r="573">
      <c r="A573" s="370">
        <v>3.3</v>
      </c>
      <c r="B573" s="213">
        <f>If(DPS_Weapon_Type="远程",($E573+1)/60+(ROUNDDOWN($F573*60+1,0)/60)*2,(ROUNDDOWN(($E573+1)+ROUNDDOWN($F573*60+1,0)+ROUNDDOWN($G573/2*60+1,0)+ROUNDDOWN($H573*60+1,0)+1,0))/60+If(DPS_ATK_TYPE="挥砍",1/60)+If(DPS_ATK_TYPE="挥砍/刺击",1/120))+DPS_Weapon_Randomization/60</f>
        <v>0.105</v>
      </c>
      <c r="C573" s="104" t="str">
        <f>IF(DPS_Graph_True_Speed=TRUE,IF($A573&lt;=DPS_Graph_Max,IF($A573&gt;=DPS_Graph_Speed_Min,1/B573,),),)</f>
        <v/>
      </c>
      <c r="D573" s="115" t="str">
        <f>IF(DPS_Graph_True_Speed=TRUE,IF($E$8=$A573,DPS_Attacks_P_Sec,),)</f>
        <v/>
      </c>
      <c r="E573" s="222">
        <f>ROUNDDOWN(MAX(2,IF(A573&gt;=0, DPS_Base_Wpn_Spd/(1+A573),DPS_Base_Wpn_Spd*(1+ABS(A573)))),0)</f>
        <v>2</v>
      </c>
      <c r="F573" s="232">
        <f>IF(A573&gt;=0, DPS_Base_Recoil/(1+A573),DPS_Base_Recoil)</f>
        <v>0.01162790698</v>
      </c>
      <c r="G573" s="377">
        <f t="shared" si="7"/>
        <v>0.51</v>
      </c>
      <c r="H573" s="377">
        <f t="shared" si="8"/>
        <v>0.01834862385</v>
      </c>
      <c r="I573" s="104"/>
      <c r="J573" s="377">
        <f>MAX(0, Max(25,(DPS_Base_Range + ((DPS_Range_Stat) / 2))) / MIN(MAX(70, (70 * (1 + ($A573 / 3)))), 120))</f>
        <v>3.333333333</v>
      </c>
      <c r="K573" s="115" t="str">
        <f>IF(A573&lt;=DPS_Graph_Max,IF(A573&gt;=DPS_Graph_Speed_Min,A573,),)</f>
        <v/>
      </c>
      <c r="M573" s="213">
        <f>If(DPS_Weapon_Type="远程",$E573/60+$F573*2,$E573/60+$F573+$G573/2+$H573)</f>
        <v>0.05658914729</v>
      </c>
      <c r="N573" s="104" t="str">
        <f>IF(DPS_Graph_Tooltip_Speed=TRUE,IF($A573&lt;=DPS_Graph_Max,IF($A573&gt;=DPS_Graph_Speed_Min,1/M573,),),)</f>
        <v/>
      </c>
      <c r="R573" s="104" t="str">
        <f>IF(DPS_Graph_Tooltip_Speed=TRUE,IF($E$8=$A573,1/$N$6,),)</f>
        <v/>
      </c>
    </row>
    <row r="574">
      <c r="A574" s="370">
        <v>3.31</v>
      </c>
      <c r="B574" s="213">
        <f>If(DPS_Weapon_Type="远程",($E574+1)/60+(ROUNDDOWN($F574*60+1,0)/60)*2,(ROUNDDOWN(($E574+1)+ROUNDDOWN($F574*60+1,0)+ROUNDDOWN($G574/2*60+1,0)+ROUNDDOWN($H574*60+1,0)+1,0))/60+If(DPS_ATK_TYPE="挥砍",1/60)+If(DPS_ATK_TYPE="挥砍/刺击",1/120))+DPS_Weapon_Randomization/60</f>
        <v>0.105</v>
      </c>
      <c r="C574" s="104" t="str">
        <f>IF(DPS_Graph_True_Speed=TRUE,IF($A574&lt;=DPS_Graph_Max,IF($A574&gt;=DPS_Graph_Speed_Min,1/B574,),),)</f>
        <v/>
      </c>
      <c r="D574" s="115" t="str">
        <f>IF(DPS_Graph_True_Speed=TRUE,IF($E$8=$A574,DPS_Attacks_P_Sec,),)</f>
        <v/>
      </c>
      <c r="E574" s="222">
        <f>ROUNDDOWN(MAX(2,IF(A574&gt;=0, DPS_Base_Wpn_Spd/(1+A574),DPS_Base_Wpn_Spd*(1+ABS(A574)))),0)</f>
        <v>2</v>
      </c>
      <c r="F574" s="232">
        <f>IF(A574&gt;=0, DPS_Base_Recoil/(1+A574),DPS_Base_Recoil)</f>
        <v>0.01160092807</v>
      </c>
      <c r="G574" s="377">
        <f t="shared" si="7"/>
        <v>0.51</v>
      </c>
      <c r="H574" s="377">
        <f t="shared" si="8"/>
        <v>0.01829826167</v>
      </c>
      <c r="I574" s="104"/>
      <c r="J574" s="377">
        <f>MAX(0, Max(25,(DPS_Base_Range + ((DPS_Range_Stat) / 2))) / MIN(MAX(70, (70 * (1 + ($A574 / 3)))), 120))</f>
        <v>3.333333333</v>
      </c>
      <c r="K574" s="115" t="str">
        <f>IF(A574&lt;=DPS_Graph_Max,IF(A574&gt;=DPS_Graph_Speed_Min,A574,),)</f>
        <v/>
      </c>
      <c r="M574" s="213">
        <f>If(DPS_Weapon_Type="远程",$E574/60+$F574*2,$E574/60+$F574+$G574/2+$H574)</f>
        <v>0.05653518948</v>
      </c>
      <c r="N574" s="104" t="str">
        <f>IF(DPS_Graph_Tooltip_Speed=TRUE,IF($A574&lt;=DPS_Graph_Max,IF($A574&gt;=DPS_Graph_Speed_Min,1/M574,),),)</f>
        <v/>
      </c>
      <c r="R574" s="104" t="str">
        <f>IF(DPS_Graph_Tooltip_Speed=TRUE,IF($E$8=$A574,1/$N$6,),)</f>
        <v/>
      </c>
    </row>
    <row r="575">
      <c r="A575" s="370">
        <v>3.32</v>
      </c>
      <c r="B575" s="213">
        <f>If(DPS_Weapon_Type="远程",($E575+1)/60+(ROUNDDOWN($F575*60+1,0)/60)*2,(ROUNDDOWN(($E575+1)+ROUNDDOWN($F575*60+1,0)+ROUNDDOWN($G575/2*60+1,0)+ROUNDDOWN($H575*60+1,0)+1,0))/60+If(DPS_ATK_TYPE="挥砍",1/60)+If(DPS_ATK_TYPE="挥砍/刺击",1/120))+DPS_Weapon_Randomization/60</f>
        <v>0.105</v>
      </c>
      <c r="C575" s="104" t="str">
        <f>IF(DPS_Graph_True_Speed=TRUE,IF($A575&lt;=DPS_Graph_Max,IF($A575&gt;=DPS_Graph_Speed_Min,1/B575,),),)</f>
        <v/>
      </c>
      <c r="D575" s="115" t="str">
        <f>IF(DPS_Graph_True_Speed=TRUE,IF($E$8=$A575,DPS_Attacks_P_Sec,),)</f>
        <v/>
      </c>
      <c r="E575" s="222">
        <f>ROUNDDOWN(MAX(2,IF(A575&gt;=0, DPS_Base_Wpn_Spd/(1+A575),DPS_Base_Wpn_Spd*(1+ABS(A575)))),0)</f>
        <v>2</v>
      </c>
      <c r="F575" s="232">
        <f>IF(A575&gt;=0, DPS_Base_Recoil/(1+A575),DPS_Base_Recoil)</f>
        <v>0.01157407407</v>
      </c>
      <c r="G575" s="377">
        <f t="shared" si="7"/>
        <v>0.51</v>
      </c>
      <c r="H575" s="377">
        <f t="shared" si="8"/>
        <v>0.01824817518</v>
      </c>
      <c r="I575" s="104"/>
      <c r="J575" s="377">
        <f>MAX(0, Max(25,(DPS_Base_Range + ((DPS_Range_Stat) / 2))) / MIN(MAX(70, (70 * (1 + ($A575 / 3)))), 120))</f>
        <v>3.333333333</v>
      </c>
      <c r="K575" s="115" t="str">
        <f>IF(A575&lt;=DPS_Graph_Max,IF(A575&gt;=DPS_Graph_Speed_Min,A575,),)</f>
        <v/>
      </c>
      <c r="M575" s="213">
        <f>If(DPS_Weapon_Type="远程",$E575/60+$F575*2,$E575/60+$F575+$G575/2+$H575)</f>
        <v>0.05648148148</v>
      </c>
      <c r="N575" s="104" t="str">
        <f>IF(DPS_Graph_Tooltip_Speed=TRUE,IF($A575&lt;=DPS_Graph_Max,IF($A575&gt;=DPS_Graph_Speed_Min,1/M575,),),)</f>
        <v/>
      </c>
      <c r="R575" s="104" t="str">
        <f>IF(DPS_Graph_Tooltip_Speed=TRUE,IF($E$8=$A575,1/$N$6,),)</f>
        <v/>
      </c>
    </row>
    <row r="576">
      <c r="A576" s="370">
        <v>3.33</v>
      </c>
      <c r="B576" s="213">
        <f>If(DPS_Weapon_Type="远程",($E576+1)/60+(ROUNDDOWN($F576*60+1,0)/60)*2,(ROUNDDOWN(($E576+1)+ROUNDDOWN($F576*60+1,0)+ROUNDDOWN($G576/2*60+1,0)+ROUNDDOWN($H576*60+1,0)+1,0))/60+If(DPS_ATK_TYPE="挥砍",1/60)+If(DPS_ATK_TYPE="挥砍/刺击",1/120))+DPS_Weapon_Randomization/60</f>
        <v>0.105</v>
      </c>
      <c r="C576" s="104" t="str">
        <f>IF(DPS_Graph_True_Speed=TRUE,IF($A576&lt;=DPS_Graph_Max,IF($A576&gt;=DPS_Graph_Speed_Min,1/B576,),),)</f>
        <v/>
      </c>
      <c r="D576" s="115" t="str">
        <f>IF(DPS_Graph_True_Speed=TRUE,IF($E$8=$A576,DPS_Attacks_P_Sec,),)</f>
        <v/>
      </c>
      <c r="E576" s="222">
        <f>ROUNDDOWN(MAX(2,IF(A576&gt;=0, DPS_Base_Wpn_Spd/(1+A576),DPS_Base_Wpn_Spd*(1+ABS(A576)))),0)</f>
        <v>2</v>
      </c>
      <c r="F576" s="232">
        <f>IF(A576&gt;=0, DPS_Base_Recoil/(1+A576),DPS_Base_Recoil)</f>
        <v>0.01154734411</v>
      </c>
      <c r="G576" s="377">
        <f t="shared" si="7"/>
        <v>0.51</v>
      </c>
      <c r="H576" s="377">
        <f t="shared" si="8"/>
        <v>0.01819836215</v>
      </c>
      <c r="I576" s="104"/>
      <c r="J576" s="377">
        <f>MAX(0, Max(25,(DPS_Base_Range + ((DPS_Range_Stat) / 2))) / MIN(MAX(70, (70 * (1 + ($A576 / 3)))), 120))</f>
        <v>3.333333333</v>
      </c>
      <c r="K576" s="115" t="str">
        <f>IF(A576&lt;=DPS_Graph_Max,IF(A576&gt;=DPS_Graph_Speed_Min,A576,),)</f>
        <v/>
      </c>
      <c r="M576" s="213">
        <f>If(DPS_Weapon_Type="远程",$E576/60+$F576*2,$E576/60+$F576+$G576/2+$H576)</f>
        <v>0.05642802156</v>
      </c>
      <c r="N576" s="104" t="str">
        <f>IF(DPS_Graph_Tooltip_Speed=TRUE,IF($A576&lt;=DPS_Graph_Max,IF($A576&gt;=DPS_Graph_Speed_Min,1/M576,),),)</f>
        <v/>
      </c>
      <c r="R576" s="104" t="str">
        <f>IF(DPS_Graph_Tooltip_Speed=TRUE,IF($E$8=$A576,1/$N$6,),)</f>
        <v/>
      </c>
    </row>
    <row r="577">
      <c r="A577" s="370">
        <v>3.34</v>
      </c>
      <c r="B577" s="213">
        <f>If(DPS_Weapon_Type="远程",($E577+1)/60+(ROUNDDOWN($F577*60+1,0)/60)*2,(ROUNDDOWN(($E577+1)+ROUNDDOWN($F577*60+1,0)+ROUNDDOWN($G577/2*60+1,0)+ROUNDDOWN($H577*60+1,0)+1,0))/60+If(DPS_ATK_TYPE="挥砍",1/60)+If(DPS_ATK_TYPE="挥砍/刺击",1/120))+DPS_Weapon_Randomization/60</f>
        <v>0.105</v>
      </c>
      <c r="C577" s="104" t="str">
        <f>IF(DPS_Graph_True_Speed=TRUE,IF($A577&lt;=DPS_Graph_Max,IF($A577&gt;=DPS_Graph_Speed_Min,1/B577,),),)</f>
        <v/>
      </c>
      <c r="D577" s="115" t="str">
        <f>IF(DPS_Graph_True_Speed=TRUE,IF($E$8=$A577,DPS_Attacks_P_Sec,),)</f>
        <v/>
      </c>
      <c r="E577" s="222">
        <f>ROUNDDOWN(MAX(2,IF(A577&gt;=0, DPS_Base_Wpn_Spd/(1+A577),DPS_Base_Wpn_Spd*(1+ABS(A577)))),0)</f>
        <v>2</v>
      </c>
      <c r="F577" s="232">
        <f>IF(A577&gt;=0, DPS_Base_Recoil/(1+A577),DPS_Base_Recoil)</f>
        <v>0.01152073733</v>
      </c>
      <c r="G577" s="377">
        <f t="shared" si="7"/>
        <v>0.51</v>
      </c>
      <c r="H577" s="377">
        <f t="shared" si="8"/>
        <v>0.01814882033</v>
      </c>
      <c r="I577" s="104"/>
      <c r="J577" s="377">
        <f>MAX(0, Max(25,(DPS_Base_Range + ((DPS_Range_Stat) / 2))) / MIN(MAX(70, (70 * (1 + ($A577 / 3)))), 120))</f>
        <v>3.333333333</v>
      </c>
      <c r="K577" s="115" t="str">
        <f>IF(A577&lt;=DPS_Graph_Max,IF(A577&gt;=DPS_Graph_Speed_Min,A577,),)</f>
        <v/>
      </c>
      <c r="M577" s="213">
        <f>If(DPS_Weapon_Type="远程",$E577/60+$F577*2,$E577/60+$F577+$G577/2+$H577)</f>
        <v>0.05637480799</v>
      </c>
      <c r="N577" s="104" t="str">
        <f>IF(DPS_Graph_Tooltip_Speed=TRUE,IF($A577&lt;=DPS_Graph_Max,IF($A577&gt;=DPS_Graph_Speed_Min,1/M577,),),)</f>
        <v/>
      </c>
      <c r="R577" s="104" t="str">
        <f>IF(DPS_Graph_Tooltip_Speed=TRUE,IF($E$8=$A577,1/$N$6,),)</f>
        <v/>
      </c>
    </row>
    <row r="578">
      <c r="A578" s="370">
        <v>3.35</v>
      </c>
      <c r="B578" s="213">
        <f>If(DPS_Weapon_Type="远程",($E578+1)/60+(ROUNDDOWN($F578*60+1,0)/60)*2,(ROUNDDOWN(($E578+1)+ROUNDDOWN($F578*60+1,0)+ROUNDDOWN($G578/2*60+1,0)+ROUNDDOWN($H578*60+1,0)+1,0))/60+If(DPS_ATK_TYPE="挥砍",1/60)+If(DPS_ATK_TYPE="挥砍/刺击",1/120))+DPS_Weapon_Randomization/60</f>
        <v>0.105</v>
      </c>
      <c r="C578" s="104" t="str">
        <f>IF(DPS_Graph_True_Speed=TRUE,IF($A578&lt;=DPS_Graph_Max,IF($A578&gt;=DPS_Graph_Speed_Min,1/B578,),),)</f>
        <v/>
      </c>
      <c r="D578" s="115" t="str">
        <f>IF(DPS_Graph_True_Speed=TRUE,IF($E$8=$A578,DPS_Attacks_P_Sec,),)</f>
        <v/>
      </c>
      <c r="E578" s="222">
        <f>ROUNDDOWN(MAX(2,IF(A578&gt;=0, DPS_Base_Wpn_Spd/(1+A578),DPS_Base_Wpn_Spd*(1+ABS(A578)))),0)</f>
        <v>2</v>
      </c>
      <c r="F578" s="232">
        <f>IF(A578&gt;=0, DPS_Base_Recoil/(1+A578),DPS_Base_Recoil)</f>
        <v>0.01149425287</v>
      </c>
      <c r="G578" s="377">
        <f t="shared" si="7"/>
        <v>0.51</v>
      </c>
      <c r="H578" s="377">
        <f t="shared" si="8"/>
        <v>0.01809954751</v>
      </c>
      <c r="I578" s="104"/>
      <c r="J578" s="377">
        <f>MAX(0, Max(25,(DPS_Base_Range + ((DPS_Range_Stat) / 2))) / MIN(MAX(70, (70 * (1 + ($A578 / 3)))), 120))</f>
        <v>3.333333333</v>
      </c>
      <c r="K578" s="115" t="str">
        <f>IF(A578&lt;=DPS_Graph_Max,IF(A578&gt;=DPS_Graph_Speed_Min,A578,),)</f>
        <v/>
      </c>
      <c r="M578" s="213">
        <f>If(DPS_Weapon_Type="远程",$E578/60+$F578*2,$E578/60+$F578+$G578/2+$H578)</f>
        <v>0.05632183908</v>
      </c>
      <c r="N578" s="104" t="str">
        <f>IF(DPS_Graph_Tooltip_Speed=TRUE,IF($A578&lt;=DPS_Graph_Max,IF($A578&gt;=DPS_Graph_Speed_Min,1/M578,),),)</f>
        <v/>
      </c>
      <c r="R578" s="104" t="str">
        <f>IF(DPS_Graph_Tooltip_Speed=TRUE,IF($E$8=$A578,1/$N$6,),)</f>
        <v/>
      </c>
    </row>
    <row r="579">
      <c r="A579" s="370">
        <v>3.36</v>
      </c>
      <c r="B579" s="213">
        <f>If(DPS_Weapon_Type="远程",($E579+1)/60+(ROUNDDOWN($F579*60+1,0)/60)*2,(ROUNDDOWN(($E579+1)+ROUNDDOWN($F579*60+1,0)+ROUNDDOWN($G579/2*60+1,0)+ROUNDDOWN($H579*60+1,0)+1,0))/60+If(DPS_ATK_TYPE="挥砍",1/60)+If(DPS_ATK_TYPE="挥砍/刺击",1/120))+DPS_Weapon_Randomization/60</f>
        <v>0.105</v>
      </c>
      <c r="C579" s="104" t="str">
        <f>IF(DPS_Graph_True_Speed=TRUE,IF($A579&lt;=DPS_Graph_Max,IF($A579&gt;=DPS_Graph_Speed_Min,1/B579,),),)</f>
        <v/>
      </c>
      <c r="D579" s="115" t="str">
        <f>IF(DPS_Graph_True_Speed=TRUE,IF($E$8=$A579,DPS_Attacks_P_Sec,),)</f>
        <v/>
      </c>
      <c r="E579" s="222">
        <f>ROUNDDOWN(MAX(2,IF(A579&gt;=0, DPS_Base_Wpn_Spd/(1+A579),DPS_Base_Wpn_Spd*(1+ABS(A579)))),0)</f>
        <v>2</v>
      </c>
      <c r="F579" s="232">
        <f>IF(A579&gt;=0, DPS_Base_Recoil/(1+A579),DPS_Base_Recoil)</f>
        <v>0.01146788991</v>
      </c>
      <c r="G579" s="377">
        <f t="shared" si="7"/>
        <v>0.51</v>
      </c>
      <c r="H579" s="377">
        <f t="shared" si="8"/>
        <v>0.01805054152</v>
      </c>
      <c r="I579" s="104"/>
      <c r="J579" s="377">
        <f>MAX(0, Max(25,(DPS_Base_Range + ((DPS_Range_Stat) / 2))) / MIN(MAX(70, (70 * (1 + ($A579 / 3)))), 120))</f>
        <v>3.333333333</v>
      </c>
      <c r="K579" s="115" t="str">
        <f>IF(A579&lt;=DPS_Graph_Max,IF(A579&gt;=DPS_Graph_Speed_Min,A579,),)</f>
        <v/>
      </c>
      <c r="M579" s="213">
        <f>If(DPS_Weapon_Type="远程",$E579/60+$F579*2,$E579/60+$F579+$G579/2+$H579)</f>
        <v>0.05626911315</v>
      </c>
      <c r="N579" s="104" t="str">
        <f>IF(DPS_Graph_Tooltip_Speed=TRUE,IF($A579&lt;=DPS_Graph_Max,IF($A579&gt;=DPS_Graph_Speed_Min,1/M579,),),)</f>
        <v/>
      </c>
      <c r="R579" s="104" t="str">
        <f>IF(DPS_Graph_Tooltip_Speed=TRUE,IF($E$8=$A579,1/$N$6,),)</f>
        <v/>
      </c>
    </row>
    <row r="580">
      <c r="A580" s="370">
        <v>3.37</v>
      </c>
      <c r="B580" s="213">
        <f>If(DPS_Weapon_Type="远程",($E580+1)/60+(ROUNDDOWN($F580*60+1,0)/60)*2,(ROUNDDOWN(($E580+1)+ROUNDDOWN($F580*60+1,0)+ROUNDDOWN($G580/2*60+1,0)+ROUNDDOWN($H580*60+1,0)+1,0))/60+If(DPS_ATK_TYPE="挥砍",1/60)+If(DPS_ATK_TYPE="挥砍/刺击",1/120))+DPS_Weapon_Randomization/60</f>
        <v>0.105</v>
      </c>
      <c r="C580" s="104" t="str">
        <f>IF(DPS_Graph_True_Speed=TRUE,IF($A580&lt;=DPS_Graph_Max,IF($A580&gt;=DPS_Graph_Speed_Min,1/B580,),),)</f>
        <v/>
      </c>
      <c r="D580" s="115" t="str">
        <f>IF(DPS_Graph_True_Speed=TRUE,IF($E$8=$A580,DPS_Attacks_P_Sec,),)</f>
        <v/>
      </c>
      <c r="E580" s="222">
        <f>ROUNDDOWN(MAX(2,IF(A580&gt;=0, DPS_Base_Wpn_Spd/(1+A580),DPS_Base_Wpn_Spd*(1+ABS(A580)))),0)</f>
        <v>2</v>
      </c>
      <c r="F580" s="232">
        <f>IF(A580&gt;=0, DPS_Base_Recoil/(1+A580),DPS_Base_Recoil)</f>
        <v>0.0114416476</v>
      </c>
      <c r="G580" s="377">
        <f t="shared" si="7"/>
        <v>0.51</v>
      </c>
      <c r="H580" s="377">
        <f t="shared" si="8"/>
        <v>0.01800180018</v>
      </c>
      <c r="I580" s="104"/>
      <c r="J580" s="377">
        <f>MAX(0, Max(25,(DPS_Base_Range + ((DPS_Range_Stat) / 2))) / MIN(MAX(70, (70 * (1 + ($A580 / 3)))), 120))</f>
        <v>3.333333333</v>
      </c>
      <c r="K580" s="115" t="str">
        <f>IF(A580&lt;=DPS_Graph_Max,IF(A580&gt;=DPS_Graph_Speed_Min,A580,),)</f>
        <v/>
      </c>
      <c r="M580" s="213">
        <f>If(DPS_Weapon_Type="远程",$E580/60+$F580*2,$E580/60+$F580+$G580/2+$H580)</f>
        <v>0.05621662853</v>
      </c>
      <c r="N580" s="104" t="str">
        <f>IF(DPS_Graph_Tooltip_Speed=TRUE,IF($A580&lt;=DPS_Graph_Max,IF($A580&gt;=DPS_Graph_Speed_Min,1/M580,),),)</f>
        <v/>
      </c>
      <c r="R580" s="104" t="str">
        <f>IF(DPS_Graph_Tooltip_Speed=TRUE,IF($E$8=$A580,1/$N$6,),)</f>
        <v/>
      </c>
    </row>
    <row r="581">
      <c r="A581" s="370">
        <v>3.38</v>
      </c>
      <c r="B581" s="213">
        <f>If(DPS_Weapon_Type="远程",($E581+1)/60+(ROUNDDOWN($F581*60+1,0)/60)*2,(ROUNDDOWN(($E581+1)+ROUNDDOWN($F581*60+1,0)+ROUNDDOWN($G581/2*60+1,0)+ROUNDDOWN($H581*60+1,0)+1,0))/60+If(DPS_ATK_TYPE="挥砍",1/60)+If(DPS_ATK_TYPE="挥砍/刺击",1/120))+DPS_Weapon_Randomization/60</f>
        <v>0.105</v>
      </c>
      <c r="C581" s="104" t="str">
        <f>IF(DPS_Graph_True_Speed=TRUE,IF($A581&lt;=DPS_Graph_Max,IF($A581&gt;=DPS_Graph_Speed_Min,1/B581,),),)</f>
        <v/>
      </c>
      <c r="D581" s="115" t="str">
        <f>IF(DPS_Graph_True_Speed=TRUE,IF($E$8=$A581,DPS_Attacks_P_Sec,),)</f>
        <v/>
      </c>
      <c r="E581" s="222">
        <f>ROUNDDOWN(MAX(2,IF(A581&gt;=0, DPS_Base_Wpn_Spd/(1+A581),DPS_Base_Wpn_Spd*(1+ABS(A581)))),0)</f>
        <v>2</v>
      </c>
      <c r="F581" s="232">
        <f>IF(A581&gt;=0, DPS_Base_Recoil/(1+A581),DPS_Base_Recoil)</f>
        <v>0.01141552511</v>
      </c>
      <c r="G581" s="377">
        <f t="shared" si="7"/>
        <v>0.51</v>
      </c>
      <c r="H581" s="377">
        <f t="shared" si="8"/>
        <v>0.01795332136</v>
      </c>
      <c r="I581" s="104"/>
      <c r="J581" s="377">
        <f>MAX(0, Max(25,(DPS_Base_Range + ((DPS_Range_Stat) / 2))) / MIN(MAX(70, (70 * (1 + ($A581 / 3)))), 120))</f>
        <v>3.333333333</v>
      </c>
      <c r="K581" s="115" t="str">
        <f>IF(A581&lt;=DPS_Graph_Max,IF(A581&gt;=DPS_Graph_Speed_Min,A581,),)</f>
        <v/>
      </c>
      <c r="M581" s="213">
        <f>If(DPS_Weapon_Type="远程",$E581/60+$F581*2,$E581/60+$F581+$G581/2+$H581)</f>
        <v>0.05616438356</v>
      </c>
      <c r="N581" s="104" t="str">
        <f>IF(DPS_Graph_Tooltip_Speed=TRUE,IF($A581&lt;=DPS_Graph_Max,IF($A581&gt;=DPS_Graph_Speed_Min,1/M581,),),)</f>
        <v/>
      </c>
      <c r="R581" s="104" t="str">
        <f>IF(DPS_Graph_Tooltip_Speed=TRUE,IF($E$8=$A581,1/$N$6,),)</f>
        <v/>
      </c>
    </row>
    <row r="582">
      <c r="A582" s="370">
        <v>3.39</v>
      </c>
      <c r="B582" s="213">
        <f>If(DPS_Weapon_Type="远程",($E582+1)/60+(ROUNDDOWN($F582*60+1,0)/60)*2,(ROUNDDOWN(($E582+1)+ROUNDDOWN($F582*60+1,0)+ROUNDDOWN($G582/2*60+1,0)+ROUNDDOWN($H582*60+1,0)+1,0))/60+If(DPS_ATK_TYPE="挥砍",1/60)+If(DPS_ATK_TYPE="挥砍/刺击",1/120))+DPS_Weapon_Randomization/60</f>
        <v>0.105</v>
      </c>
      <c r="C582" s="104" t="str">
        <f>IF(DPS_Graph_True_Speed=TRUE,IF($A582&lt;=DPS_Graph_Max,IF($A582&gt;=DPS_Graph_Speed_Min,1/B582,),),)</f>
        <v/>
      </c>
      <c r="D582" s="115" t="str">
        <f>IF(DPS_Graph_True_Speed=TRUE,IF($E$8=$A582,DPS_Attacks_P_Sec,),)</f>
        <v/>
      </c>
      <c r="E582" s="222">
        <f>ROUNDDOWN(MAX(2,IF(A582&gt;=0, DPS_Base_Wpn_Spd/(1+A582),DPS_Base_Wpn_Spd*(1+ABS(A582)))),0)</f>
        <v>2</v>
      </c>
      <c r="F582" s="232">
        <f>IF(A582&gt;=0, DPS_Base_Recoil/(1+A582),DPS_Base_Recoil)</f>
        <v>0.01138952164</v>
      </c>
      <c r="G582" s="377">
        <f t="shared" si="7"/>
        <v>0.51</v>
      </c>
      <c r="H582" s="377">
        <f t="shared" si="8"/>
        <v>0.01790510295</v>
      </c>
      <c r="I582" s="104"/>
      <c r="J582" s="377">
        <f>MAX(0, Max(25,(DPS_Base_Range + ((DPS_Range_Stat) / 2))) / MIN(MAX(70, (70 * (1 + ($A582 / 3)))), 120))</f>
        <v>3.333333333</v>
      </c>
      <c r="K582" s="115" t="str">
        <f>IF(A582&lt;=DPS_Graph_Max,IF(A582&gt;=DPS_Graph_Speed_Min,A582,),)</f>
        <v/>
      </c>
      <c r="M582" s="213">
        <f>If(DPS_Weapon_Type="远程",$E582/60+$F582*2,$E582/60+$F582+$G582/2+$H582)</f>
        <v>0.05611237661</v>
      </c>
      <c r="N582" s="104" t="str">
        <f>IF(DPS_Graph_Tooltip_Speed=TRUE,IF($A582&lt;=DPS_Graph_Max,IF($A582&gt;=DPS_Graph_Speed_Min,1/M582,),),)</f>
        <v/>
      </c>
      <c r="R582" s="104" t="str">
        <f>IF(DPS_Graph_Tooltip_Speed=TRUE,IF($E$8=$A582,1/$N$6,),)</f>
        <v/>
      </c>
    </row>
    <row r="583">
      <c r="A583" s="370">
        <v>3.4</v>
      </c>
      <c r="B583" s="213">
        <f>If(DPS_Weapon_Type="远程",($E583+1)/60+(ROUNDDOWN($F583*60+1,0)/60)*2,(ROUNDDOWN(($E583+1)+ROUNDDOWN($F583*60+1,0)+ROUNDDOWN($G583/2*60+1,0)+ROUNDDOWN($H583*60+1,0)+1,0))/60+If(DPS_ATK_TYPE="挥砍",1/60)+If(DPS_ATK_TYPE="挥砍/刺击",1/120))+DPS_Weapon_Randomization/60</f>
        <v>0.105</v>
      </c>
      <c r="C583" s="104" t="str">
        <f>IF(DPS_Graph_True_Speed=TRUE,IF($A583&lt;=DPS_Graph_Max,IF($A583&gt;=DPS_Graph_Speed_Min,1/B583,),),)</f>
        <v/>
      </c>
      <c r="D583" s="115" t="str">
        <f>IF(DPS_Graph_True_Speed=TRUE,IF($E$8=$A583,DPS_Attacks_P_Sec,),)</f>
        <v/>
      </c>
      <c r="E583" s="222">
        <f>ROUNDDOWN(MAX(2,IF(A583&gt;=0, DPS_Base_Wpn_Spd/(1+A583),DPS_Base_Wpn_Spd*(1+ABS(A583)))),0)</f>
        <v>2</v>
      </c>
      <c r="F583" s="232">
        <f>IF(A583&gt;=0, DPS_Base_Recoil/(1+A583),DPS_Base_Recoil)</f>
        <v>0.01136363636</v>
      </c>
      <c r="G583" s="377">
        <f t="shared" si="7"/>
        <v>0.51</v>
      </c>
      <c r="H583" s="377">
        <f t="shared" si="8"/>
        <v>0.01785714286</v>
      </c>
      <c r="I583" s="104"/>
      <c r="J583" s="377">
        <f>MAX(0, Max(25,(DPS_Base_Range + ((DPS_Range_Stat) / 2))) / MIN(MAX(70, (70 * (1 + ($A583 / 3)))), 120))</f>
        <v>3.333333333</v>
      </c>
      <c r="K583" s="115" t="str">
        <f>IF(A583&lt;=DPS_Graph_Max,IF(A583&gt;=DPS_Graph_Speed_Min,A583,),)</f>
        <v/>
      </c>
      <c r="M583" s="213">
        <f>If(DPS_Weapon_Type="远程",$E583/60+$F583*2,$E583/60+$F583+$G583/2+$H583)</f>
        <v>0.05606060606</v>
      </c>
      <c r="N583" s="104" t="str">
        <f>IF(DPS_Graph_Tooltip_Speed=TRUE,IF($A583&lt;=DPS_Graph_Max,IF($A583&gt;=DPS_Graph_Speed_Min,1/M583,),),)</f>
        <v/>
      </c>
      <c r="R583" s="104" t="str">
        <f>IF(DPS_Graph_Tooltip_Speed=TRUE,IF($E$8=$A583,1/$N$6,),)</f>
        <v/>
      </c>
    </row>
    <row r="584">
      <c r="A584" s="370">
        <v>3.41</v>
      </c>
      <c r="B584" s="213">
        <f>If(DPS_Weapon_Type="远程",($E584+1)/60+(ROUNDDOWN($F584*60+1,0)/60)*2,(ROUNDDOWN(($E584+1)+ROUNDDOWN($F584*60+1,0)+ROUNDDOWN($G584/2*60+1,0)+ROUNDDOWN($H584*60+1,0)+1,0))/60+If(DPS_ATK_TYPE="挥砍",1/60)+If(DPS_ATK_TYPE="挥砍/刺击",1/120))+DPS_Weapon_Randomization/60</f>
        <v>0.105</v>
      </c>
      <c r="C584" s="104" t="str">
        <f>IF(DPS_Graph_True_Speed=TRUE,IF($A584&lt;=DPS_Graph_Max,IF($A584&gt;=DPS_Graph_Speed_Min,1/B584,),),)</f>
        <v/>
      </c>
      <c r="D584" s="115" t="str">
        <f>IF(DPS_Graph_True_Speed=TRUE,IF($E$8=$A584,DPS_Attacks_P_Sec,),)</f>
        <v/>
      </c>
      <c r="E584" s="222">
        <f>ROUNDDOWN(MAX(2,IF(A584&gt;=0, DPS_Base_Wpn_Spd/(1+A584),DPS_Base_Wpn_Spd*(1+ABS(A584)))),0)</f>
        <v>2</v>
      </c>
      <c r="F584" s="232">
        <f>IF(A584&gt;=0, DPS_Base_Recoil/(1+A584),DPS_Base_Recoil)</f>
        <v>0.01133786848</v>
      </c>
      <c r="G584" s="377">
        <f t="shared" si="7"/>
        <v>0.51</v>
      </c>
      <c r="H584" s="377">
        <f t="shared" si="8"/>
        <v>0.017809439</v>
      </c>
      <c r="I584" s="104"/>
      <c r="J584" s="377">
        <f>MAX(0, Max(25,(DPS_Base_Range + ((DPS_Range_Stat) / 2))) / MIN(MAX(70, (70 * (1 + ($A584 / 3)))), 120))</f>
        <v>3.333333333</v>
      </c>
      <c r="K584" s="115" t="str">
        <f>IF(A584&lt;=DPS_Graph_Max,IF(A584&gt;=DPS_Graph_Speed_Min,A584,),)</f>
        <v/>
      </c>
      <c r="M584" s="213">
        <f>If(DPS_Weapon_Type="远程",$E584/60+$F584*2,$E584/60+$F584+$G584/2+$H584)</f>
        <v>0.05600907029</v>
      </c>
      <c r="N584" s="104" t="str">
        <f>IF(DPS_Graph_Tooltip_Speed=TRUE,IF($A584&lt;=DPS_Graph_Max,IF($A584&gt;=DPS_Graph_Speed_Min,1/M584,),),)</f>
        <v/>
      </c>
      <c r="R584" s="104" t="str">
        <f>IF(DPS_Graph_Tooltip_Speed=TRUE,IF($E$8=$A584,1/$N$6,),)</f>
        <v/>
      </c>
    </row>
    <row r="585">
      <c r="A585" s="370">
        <v>3.42</v>
      </c>
      <c r="B585" s="213">
        <f>If(DPS_Weapon_Type="远程",($E585+1)/60+(ROUNDDOWN($F585*60+1,0)/60)*2,(ROUNDDOWN(($E585+1)+ROUNDDOWN($F585*60+1,0)+ROUNDDOWN($G585/2*60+1,0)+ROUNDDOWN($H585*60+1,0)+1,0))/60+If(DPS_ATK_TYPE="挥砍",1/60)+If(DPS_ATK_TYPE="挥砍/刺击",1/120))+DPS_Weapon_Randomization/60</f>
        <v>0.105</v>
      </c>
      <c r="C585" s="104" t="str">
        <f>IF(DPS_Graph_True_Speed=TRUE,IF($A585&lt;=DPS_Graph_Max,IF($A585&gt;=DPS_Graph_Speed_Min,1/B585,),),)</f>
        <v/>
      </c>
      <c r="D585" s="115" t="str">
        <f>IF(DPS_Graph_True_Speed=TRUE,IF($E$8=$A585,DPS_Attacks_P_Sec,),)</f>
        <v/>
      </c>
      <c r="E585" s="222">
        <f>ROUNDDOWN(MAX(2,IF(A585&gt;=0, DPS_Base_Wpn_Spd/(1+A585),DPS_Base_Wpn_Spd*(1+ABS(A585)))),0)</f>
        <v>2</v>
      </c>
      <c r="F585" s="232">
        <f>IF(A585&gt;=0, DPS_Base_Recoil/(1+A585),DPS_Base_Recoil)</f>
        <v>0.01131221719</v>
      </c>
      <c r="G585" s="377">
        <f t="shared" si="7"/>
        <v>0.51</v>
      </c>
      <c r="H585" s="377">
        <f t="shared" si="8"/>
        <v>0.01776198934</v>
      </c>
      <c r="I585" s="104"/>
      <c r="J585" s="377">
        <f>MAX(0, Max(25,(DPS_Base_Range + ((DPS_Range_Stat) / 2))) / MIN(MAX(70, (70 * (1 + ($A585 / 3)))), 120))</f>
        <v>3.333333333</v>
      </c>
      <c r="K585" s="115" t="str">
        <f>IF(A585&lt;=DPS_Graph_Max,IF(A585&gt;=DPS_Graph_Speed_Min,A585,),)</f>
        <v/>
      </c>
      <c r="M585" s="213">
        <f>If(DPS_Weapon_Type="远程",$E585/60+$F585*2,$E585/60+$F585+$G585/2+$H585)</f>
        <v>0.05595776772</v>
      </c>
      <c r="N585" s="104" t="str">
        <f>IF(DPS_Graph_Tooltip_Speed=TRUE,IF($A585&lt;=DPS_Graph_Max,IF($A585&gt;=DPS_Graph_Speed_Min,1/M585,),),)</f>
        <v/>
      </c>
      <c r="R585" s="104" t="str">
        <f>IF(DPS_Graph_Tooltip_Speed=TRUE,IF($E$8=$A585,1/$N$6,),)</f>
        <v/>
      </c>
    </row>
    <row r="586">
      <c r="A586" s="370">
        <v>3.43</v>
      </c>
      <c r="B586" s="213">
        <f>If(DPS_Weapon_Type="远程",($E586+1)/60+(ROUNDDOWN($F586*60+1,0)/60)*2,(ROUNDDOWN(($E586+1)+ROUNDDOWN($F586*60+1,0)+ROUNDDOWN($G586/2*60+1,0)+ROUNDDOWN($H586*60+1,0)+1,0))/60+If(DPS_ATK_TYPE="挥砍",1/60)+If(DPS_ATK_TYPE="挥砍/刺击",1/120))+DPS_Weapon_Randomization/60</f>
        <v>0.105</v>
      </c>
      <c r="C586" s="104" t="str">
        <f>IF(DPS_Graph_True_Speed=TRUE,IF($A586&lt;=DPS_Graph_Max,IF($A586&gt;=DPS_Graph_Speed_Min,1/B586,),),)</f>
        <v/>
      </c>
      <c r="D586" s="115" t="str">
        <f>IF(DPS_Graph_True_Speed=TRUE,IF($E$8=$A586,DPS_Attacks_P_Sec,),)</f>
        <v/>
      </c>
      <c r="E586" s="222">
        <f>ROUNDDOWN(MAX(2,IF(A586&gt;=0, DPS_Base_Wpn_Spd/(1+A586),DPS_Base_Wpn_Spd*(1+ABS(A586)))),0)</f>
        <v>2</v>
      </c>
      <c r="F586" s="232">
        <f>IF(A586&gt;=0, DPS_Base_Recoil/(1+A586),DPS_Base_Recoil)</f>
        <v>0.01128668172</v>
      </c>
      <c r="G586" s="377">
        <f t="shared" si="7"/>
        <v>0.51</v>
      </c>
      <c r="H586" s="377">
        <f t="shared" si="8"/>
        <v>0.01771479185</v>
      </c>
      <c r="I586" s="104"/>
      <c r="J586" s="377">
        <f>MAX(0, Max(25,(DPS_Base_Range + ((DPS_Range_Stat) / 2))) / MIN(MAX(70, (70 * (1 + ($A586 / 3)))), 120))</f>
        <v>3.333333333</v>
      </c>
      <c r="K586" s="115" t="str">
        <f>IF(A586&lt;=DPS_Graph_Max,IF(A586&gt;=DPS_Graph_Speed_Min,A586,),)</f>
        <v/>
      </c>
      <c r="M586" s="213">
        <f>If(DPS_Weapon_Type="远程",$E586/60+$F586*2,$E586/60+$F586+$G586/2+$H586)</f>
        <v>0.05590669676</v>
      </c>
      <c r="N586" s="104" t="str">
        <f>IF(DPS_Graph_Tooltip_Speed=TRUE,IF($A586&lt;=DPS_Graph_Max,IF($A586&gt;=DPS_Graph_Speed_Min,1/M586,),),)</f>
        <v/>
      </c>
      <c r="R586" s="104" t="str">
        <f>IF(DPS_Graph_Tooltip_Speed=TRUE,IF($E$8=$A586,1/$N$6,),)</f>
        <v/>
      </c>
    </row>
    <row r="587">
      <c r="A587" s="370">
        <v>3.44</v>
      </c>
      <c r="B587" s="213">
        <f>If(DPS_Weapon_Type="远程",($E587+1)/60+(ROUNDDOWN($F587*60+1,0)/60)*2,(ROUNDDOWN(($E587+1)+ROUNDDOWN($F587*60+1,0)+ROUNDDOWN($G587/2*60+1,0)+ROUNDDOWN($H587*60+1,0)+1,0))/60+If(DPS_ATK_TYPE="挥砍",1/60)+If(DPS_ATK_TYPE="挥砍/刺击",1/120))+DPS_Weapon_Randomization/60</f>
        <v>0.105</v>
      </c>
      <c r="C587" s="104" t="str">
        <f>IF(DPS_Graph_True_Speed=TRUE,IF($A587&lt;=DPS_Graph_Max,IF($A587&gt;=DPS_Graph_Speed_Min,1/B587,),),)</f>
        <v/>
      </c>
      <c r="D587" s="115" t="str">
        <f>IF(DPS_Graph_True_Speed=TRUE,IF($E$8=$A587,DPS_Attacks_P_Sec,),)</f>
        <v/>
      </c>
      <c r="E587" s="222">
        <f>ROUNDDOWN(MAX(2,IF(A587&gt;=0, DPS_Base_Wpn_Spd/(1+A587),DPS_Base_Wpn_Spd*(1+ABS(A587)))),0)</f>
        <v>2</v>
      </c>
      <c r="F587" s="232">
        <f>IF(A587&gt;=0, DPS_Base_Recoil/(1+A587),DPS_Base_Recoil)</f>
        <v>0.01126126126</v>
      </c>
      <c r="G587" s="377">
        <f t="shared" si="7"/>
        <v>0.51</v>
      </c>
      <c r="H587" s="377">
        <f t="shared" si="8"/>
        <v>0.01766784452</v>
      </c>
      <c r="I587" s="104"/>
      <c r="J587" s="377">
        <f>MAX(0, Max(25,(DPS_Base_Range + ((DPS_Range_Stat) / 2))) / MIN(MAX(70, (70 * (1 + ($A587 / 3)))), 120))</f>
        <v>3.333333333</v>
      </c>
      <c r="K587" s="115" t="str">
        <f>IF(A587&lt;=DPS_Graph_Max,IF(A587&gt;=DPS_Graph_Speed_Min,A587,),)</f>
        <v/>
      </c>
      <c r="M587" s="213">
        <f>If(DPS_Weapon_Type="远程",$E587/60+$F587*2,$E587/60+$F587+$G587/2+$H587)</f>
        <v>0.05585585586</v>
      </c>
      <c r="N587" s="104" t="str">
        <f>IF(DPS_Graph_Tooltip_Speed=TRUE,IF($A587&lt;=DPS_Graph_Max,IF($A587&gt;=DPS_Graph_Speed_Min,1/M587,),),)</f>
        <v/>
      </c>
      <c r="R587" s="104" t="str">
        <f>IF(DPS_Graph_Tooltip_Speed=TRUE,IF($E$8=$A587,1/$N$6,),)</f>
        <v/>
      </c>
    </row>
    <row r="588">
      <c r="A588" s="370">
        <v>3.45</v>
      </c>
      <c r="B588" s="213">
        <f>If(DPS_Weapon_Type="远程",($E588+1)/60+(ROUNDDOWN($F588*60+1,0)/60)*2,(ROUNDDOWN(($E588+1)+ROUNDDOWN($F588*60+1,0)+ROUNDDOWN($G588/2*60+1,0)+ROUNDDOWN($H588*60+1,0)+1,0))/60+If(DPS_ATK_TYPE="挥砍",1/60)+If(DPS_ATK_TYPE="挥砍/刺击",1/120))+DPS_Weapon_Randomization/60</f>
        <v>0.105</v>
      </c>
      <c r="C588" s="104" t="str">
        <f>IF(DPS_Graph_True_Speed=TRUE,IF($A588&lt;=DPS_Graph_Max,IF($A588&gt;=DPS_Graph_Speed_Min,1/B588,),),)</f>
        <v/>
      </c>
      <c r="D588" s="115" t="str">
        <f>IF(DPS_Graph_True_Speed=TRUE,IF($E$8=$A588,DPS_Attacks_P_Sec,),)</f>
        <v/>
      </c>
      <c r="E588" s="222">
        <f>ROUNDDOWN(MAX(2,IF(A588&gt;=0, DPS_Base_Wpn_Spd/(1+A588),DPS_Base_Wpn_Spd*(1+ABS(A588)))),0)</f>
        <v>2</v>
      </c>
      <c r="F588" s="232">
        <f>IF(A588&gt;=0, DPS_Base_Recoil/(1+A588),DPS_Base_Recoil)</f>
        <v>0.01123595506</v>
      </c>
      <c r="G588" s="377">
        <f t="shared" si="7"/>
        <v>0.51</v>
      </c>
      <c r="H588" s="377">
        <f t="shared" si="8"/>
        <v>0.01762114537</v>
      </c>
      <c r="I588" s="104"/>
      <c r="J588" s="377">
        <f>MAX(0, Max(25,(DPS_Base_Range + ((DPS_Range_Stat) / 2))) / MIN(MAX(70, (70 * (1 + ($A588 / 3)))), 120))</f>
        <v>3.333333333</v>
      </c>
      <c r="K588" s="115" t="str">
        <f>IF(A588&lt;=DPS_Graph_Max,IF(A588&gt;=DPS_Graph_Speed_Min,A588,),)</f>
        <v/>
      </c>
      <c r="M588" s="213">
        <f>If(DPS_Weapon_Type="远程",$E588/60+$F588*2,$E588/60+$F588+$G588/2+$H588)</f>
        <v>0.05580524345</v>
      </c>
      <c r="N588" s="104" t="str">
        <f>IF(DPS_Graph_Tooltip_Speed=TRUE,IF($A588&lt;=DPS_Graph_Max,IF($A588&gt;=DPS_Graph_Speed_Min,1/M588,),),)</f>
        <v/>
      </c>
      <c r="R588" s="104" t="str">
        <f>IF(DPS_Graph_Tooltip_Speed=TRUE,IF($E$8=$A588,1/$N$6,),)</f>
        <v/>
      </c>
    </row>
    <row r="589">
      <c r="A589" s="370">
        <v>3.46</v>
      </c>
      <c r="B589" s="213">
        <f>If(DPS_Weapon_Type="远程",($E589+1)/60+(ROUNDDOWN($F589*60+1,0)/60)*2,(ROUNDDOWN(($E589+1)+ROUNDDOWN($F589*60+1,0)+ROUNDDOWN($G589/2*60+1,0)+ROUNDDOWN($H589*60+1,0)+1,0))/60+If(DPS_ATK_TYPE="挥砍",1/60)+If(DPS_ATK_TYPE="挥砍/刺击",1/120))+DPS_Weapon_Randomization/60</f>
        <v>0.105</v>
      </c>
      <c r="C589" s="104" t="str">
        <f>IF(DPS_Graph_True_Speed=TRUE,IF($A589&lt;=DPS_Graph_Max,IF($A589&gt;=DPS_Graph_Speed_Min,1/B589,),),)</f>
        <v/>
      </c>
      <c r="D589" s="115" t="str">
        <f>IF(DPS_Graph_True_Speed=TRUE,IF($E$8=$A589,DPS_Attacks_P_Sec,),)</f>
        <v/>
      </c>
      <c r="E589" s="222">
        <f>ROUNDDOWN(MAX(2,IF(A589&gt;=0, DPS_Base_Wpn_Spd/(1+A589),DPS_Base_Wpn_Spd*(1+ABS(A589)))),0)</f>
        <v>2</v>
      </c>
      <c r="F589" s="232">
        <f>IF(A589&gt;=0, DPS_Base_Recoil/(1+A589),DPS_Base_Recoil)</f>
        <v>0.01121076233</v>
      </c>
      <c r="G589" s="377">
        <f t="shared" si="7"/>
        <v>0.51</v>
      </c>
      <c r="H589" s="377">
        <f t="shared" si="8"/>
        <v>0.01757469244</v>
      </c>
      <c r="I589" s="104"/>
      <c r="J589" s="377">
        <f>MAX(0, Max(25,(DPS_Base_Range + ((DPS_Range_Stat) / 2))) / MIN(MAX(70, (70 * (1 + ($A589 / 3)))), 120))</f>
        <v>3.333333333</v>
      </c>
      <c r="K589" s="115" t="str">
        <f>IF(A589&lt;=DPS_Graph_Max,IF(A589&gt;=DPS_Graph_Speed_Min,A589,),)</f>
        <v/>
      </c>
      <c r="M589" s="213">
        <f>If(DPS_Weapon_Type="远程",$E589/60+$F589*2,$E589/60+$F589+$G589/2+$H589)</f>
        <v>0.055754858</v>
      </c>
      <c r="N589" s="104" t="str">
        <f>IF(DPS_Graph_Tooltip_Speed=TRUE,IF($A589&lt;=DPS_Graph_Max,IF($A589&gt;=DPS_Graph_Speed_Min,1/M589,),),)</f>
        <v/>
      </c>
      <c r="R589" s="104" t="str">
        <f>IF(DPS_Graph_Tooltip_Speed=TRUE,IF($E$8=$A589,1/$N$6,),)</f>
        <v/>
      </c>
    </row>
    <row r="590">
      <c r="A590" s="370">
        <v>3.47</v>
      </c>
      <c r="B590" s="213">
        <f>If(DPS_Weapon_Type="远程",($E590+1)/60+(ROUNDDOWN($F590*60+1,0)/60)*2,(ROUNDDOWN(($E590+1)+ROUNDDOWN($F590*60+1,0)+ROUNDDOWN($G590/2*60+1,0)+ROUNDDOWN($H590*60+1,0)+1,0))/60+If(DPS_ATK_TYPE="挥砍",1/60)+If(DPS_ATK_TYPE="挥砍/刺击",1/120))+DPS_Weapon_Randomization/60</f>
        <v>0.105</v>
      </c>
      <c r="C590" s="104" t="str">
        <f>IF(DPS_Graph_True_Speed=TRUE,IF($A590&lt;=DPS_Graph_Max,IF($A590&gt;=DPS_Graph_Speed_Min,1/B590,),),)</f>
        <v/>
      </c>
      <c r="D590" s="115" t="str">
        <f>IF(DPS_Graph_True_Speed=TRUE,IF($E$8=$A590,DPS_Attacks_P_Sec,),)</f>
        <v/>
      </c>
      <c r="E590" s="222">
        <f>ROUNDDOWN(MAX(2,IF(A590&gt;=0, DPS_Base_Wpn_Spd/(1+A590),DPS_Base_Wpn_Spd*(1+ABS(A590)))),0)</f>
        <v>2</v>
      </c>
      <c r="F590" s="232">
        <f>IF(A590&gt;=0, DPS_Base_Recoil/(1+A590),DPS_Base_Recoil)</f>
        <v>0.01118568233</v>
      </c>
      <c r="G590" s="377">
        <f t="shared" si="7"/>
        <v>0.51</v>
      </c>
      <c r="H590" s="377">
        <f t="shared" si="8"/>
        <v>0.01752848379</v>
      </c>
      <c r="I590" s="104"/>
      <c r="J590" s="377">
        <f>MAX(0, Max(25,(DPS_Base_Range + ((DPS_Range_Stat) / 2))) / MIN(MAX(70, (70 * (1 + ($A590 / 3)))), 120))</f>
        <v>3.333333333</v>
      </c>
      <c r="K590" s="115" t="str">
        <f>IF(A590&lt;=DPS_Graph_Max,IF(A590&gt;=DPS_Graph_Speed_Min,A590,),)</f>
        <v/>
      </c>
      <c r="M590" s="213">
        <f>If(DPS_Weapon_Type="远程",$E590/60+$F590*2,$E590/60+$F590+$G590/2+$H590)</f>
        <v>0.05570469799</v>
      </c>
      <c r="N590" s="104" t="str">
        <f>IF(DPS_Graph_Tooltip_Speed=TRUE,IF($A590&lt;=DPS_Graph_Max,IF($A590&gt;=DPS_Graph_Speed_Min,1/M590,),),)</f>
        <v/>
      </c>
      <c r="R590" s="104" t="str">
        <f>IF(DPS_Graph_Tooltip_Speed=TRUE,IF($E$8=$A590,1/$N$6,),)</f>
        <v/>
      </c>
    </row>
    <row r="591">
      <c r="A591" s="370">
        <v>3.48</v>
      </c>
      <c r="B591" s="213">
        <f>If(DPS_Weapon_Type="远程",($E591+1)/60+(ROUNDDOWN($F591*60+1,0)/60)*2,(ROUNDDOWN(($E591+1)+ROUNDDOWN($F591*60+1,0)+ROUNDDOWN($G591/2*60+1,0)+ROUNDDOWN($H591*60+1,0)+1,0))/60+If(DPS_ATK_TYPE="挥砍",1/60)+If(DPS_ATK_TYPE="挥砍/刺击",1/120))+DPS_Weapon_Randomization/60</f>
        <v>0.105</v>
      </c>
      <c r="C591" s="104" t="str">
        <f>IF(DPS_Graph_True_Speed=TRUE,IF($A591&lt;=DPS_Graph_Max,IF($A591&gt;=DPS_Graph_Speed_Min,1/B591,),),)</f>
        <v/>
      </c>
      <c r="D591" s="115" t="str">
        <f>IF(DPS_Graph_True_Speed=TRUE,IF($E$8=$A591,DPS_Attacks_P_Sec,),)</f>
        <v/>
      </c>
      <c r="E591" s="222">
        <f>ROUNDDOWN(MAX(2,IF(A591&gt;=0, DPS_Base_Wpn_Spd/(1+A591),DPS_Base_Wpn_Spd*(1+ABS(A591)))),0)</f>
        <v>2</v>
      </c>
      <c r="F591" s="232">
        <f>IF(A591&gt;=0, DPS_Base_Recoil/(1+A591),DPS_Base_Recoil)</f>
        <v>0.01116071429</v>
      </c>
      <c r="G591" s="377">
        <f t="shared" si="7"/>
        <v>0.51</v>
      </c>
      <c r="H591" s="377">
        <f t="shared" si="8"/>
        <v>0.01748251748</v>
      </c>
      <c r="I591" s="104"/>
      <c r="J591" s="377">
        <f>MAX(0, Max(25,(DPS_Base_Range + ((DPS_Range_Stat) / 2))) / MIN(MAX(70, (70 * (1 + ($A591 / 3)))), 120))</f>
        <v>3.333333333</v>
      </c>
      <c r="K591" s="115" t="str">
        <f>IF(A591&lt;=DPS_Graph_Max,IF(A591&gt;=DPS_Graph_Speed_Min,A591,),)</f>
        <v/>
      </c>
      <c r="M591" s="213">
        <f>If(DPS_Weapon_Type="远程",$E591/60+$F591*2,$E591/60+$F591+$G591/2+$H591)</f>
        <v>0.0556547619</v>
      </c>
      <c r="N591" s="104" t="str">
        <f>IF(DPS_Graph_Tooltip_Speed=TRUE,IF($A591&lt;=DPS_Graph_Max,IF($A591&gt;=DPS_Graph_Speed_Min,1/M591,),),)</f>
        <v/>
      </c>
      <c r="R591" s="104" t="str">
        <f>IF(DPS_Graph_Tooltip_Speed=TRUE,IF($E$8=$A591,1/$N$6,),)</f>
        <v/>
      </c>
    </row>
    <row r="592">
      <c r="A592" s="370">
        <v>3.49</v>
      </c>
      <c r="B592" s="213">
        <f>If(DPS_Weapon_Type="远程",($E592+1)/60+(ROUNDDOWN($F592*60+1,0)/60)*2,(ROUNDDOWN(($E592+1)+ROUNDDOWN($F592*60+1,0)+ROUNDDOWN($G592/2*60+1,0)+ROUNDDOWN($H592*60+1,0)+1,0))/60+If(DPS_ATK_TYPE="挥砍",1/60)+If(DPS_ATK_TYPE="挥砍/刺击",1/120))+DPS_Weapon_Randomization/60</f>
        <v>0.105</v>
      </c>
      <c r="C592" s="104" t="str">
        <f>IF(DPS_Graph_True_Speed=TRUE,IF($A592&lt;=DPS_Graph_Max,IF($A592&gt;=DPS_Graph_Speed_Min,1/B592,),),)</f>
        <v/>
      </c>
      <c r="D592" s="115" t="str">
        <f>IF(DPS_Graph_True_Speed=TRUE,IF($E$8=$A592,DPS_Attacks_P_Sec,),)</f>
        <v/>
      </c>
      <c r="E592" s="222">
        <f>ROUNDDOWN(MAX(2,IF(A592&gt;=0, DPS_Base_Wpn_Spd/(1+A592),DPS_Base_Wpn_Spd*(1+ABS(A592)))),0)</f>
        <v>2</v>
      </c>
      <c r="F592" s="232">
        <f>IF(A592&gt;=0, DPS_Base_Recoil/(1+A592),DPS_Base_Recoil)</f>
        <v>0.01113585746</v>
      </c>
      <c r="G592" s="377">
        <f t="shared" si="7"/>
        <v>0.51</v>
      </c>
      <c r="H592" s="377">
        <f t="shared" si="8"/>
        <v>0.01743679163</v>
      </c>
      <c r="I592" s="104"/>
      <c r="J592" s="377">
        <f>MAX(0, Max(25,(DPS_Base_Range + ((DPS_Range_Stat) / 2))) / MIN(MAX(70, (70 * (1 + ($A592 / 3)))), 120))</f>
        <v>3.333333333</v>
      </c>
      <c r="K592" s="115" t="str">
        <f>IF(A592&lt;=DPS_Graph_Max,IF(A592&gt;=DPS_Graph_Speed_Min,A592,),)</f>
        <v/>
      </c>
      <c r="M592" s="213">
        <f>If(DPS_Weapon_Type="远程",$E592/60+$F592*2,$E592/60+$F592+$G592/2+$H592)</f>
        <v>0.05560504826</v>
      </c>
      <c r="N592" s="104" t="str">
        <f>IF(DPS_Graph_Tooltip_Speed=TRUE,IF($A592&lt;=DPS_Graph_Max,IF($A592&gt;=DPS_Graph_Speed_Min,1/M592,),),)</f>
        <v/>
      </c>
      <c r="R592" s="104" t="str">
        <f>IF(DPS_Graph_Tooltip_Speed=TRUE,IF($E$8=$A592,1/$N$6,),)</f>
        <v/>
      </c>
    </row>
    <row r="593">
      <c r="A593" s="370">
        <v>3.5</v>
      </c>
      <c r="B593" s="213">
        <f>If(DPS_Weapon_Type="远程",($E593+1)/60+(ROUNDDOWN($F593*60+1,0)/60)*2,(ROUNDDOWN(($E593+1)+ROUNDDOWN($F593*60+1,0)+ROUNDDOWN($G593/2*60+1,0)+ROUNDDOWN($H593*60+1,0)+1,0))/60+If(DPS_ATK_TYPE="挥砍",1/60)+If(DPS_ATK_TYPE="挥砍/刺击",1/120))+DPS_Weapon_Randomization/60</f>
        <v>0.105</v>
      </c>
      <c r="C593" s="104" t="str">
        <f>IF(DPS_Graph_True_Speed=TRUE,IF($A593&lt;=DPS_Graph_Max,IF($A593&gt;=DPS_Graph_Speed_Min,1/B593,),),)</f>
        <v/>
      </c>
      <c r="D593" s="115" t="str">
        <f>IF(DPS_Graph_True_Speed=TRUE,IF($E$8=$A593,DPS_Attacks_P_Sec,),)</f>
        <v/>
      </c>
      <c r="E593" s="222">
        <f>ROUNDDOWN(MAX(2,IF(A593&gt;=0, DPS_Base_Wpn_Spd/(1+A593),DPS_Base_Wpn_Spd*(1+ABS(A593)))),0)</f>
        <v>2</v>
      </c>
      <c r="F593" s="232">
        <f>IF(A593&gt;=0, DPS_Base_Recoil/(1+A593),DPS_Base_Recoil)</f>
        <v>0.01111111111</v>
      </c>
      <c r="G593" s="377">
        <f t="shared" si="7"/>
        <v>0.51</v>
      </c>
      <c r="H593" s="377">
        <f t="shared" si="8"/>
        <v>0.01739130435</v>
      </c>
      <c r="I593" s="104"/>
      <c r="J593" s="377">
        <f>MAX(0, Max(25,(DPS_Base_Range + ((DPS_Range_Stat) / 2))) / MIN(MAX(70, (70 * (1 + ($A593 / 3)))), 120))</f>
        <v>3.333333333</v>
      </c>
      <c r="K593" s="115" t="str">
        <f>IF(A593&lt;=DPS_Graph_Max,IF(A593&gt;=DPS_Graph_Speed_Min,A593,),)</f>
        <v/>
      </c>
      <c r="M593" s="213">
        <f>If(DPS_Weapon_Type="远程",$E593/60+$F593*2,$E593/60+$F593+$G593/2+$H593)</f>
        <v>0.05555555556</v>
      </c>
      <c r="N593" s="104" t="str">
        <f>IF(DPS_Graph_Tooltip_Speed=TRUE,IF($A593&lt;=DPS_Graph_Max,IF($A593&gt;=DPS_Graph_Speed_Min,1/M593,),),)</f>
        <v/>
      </c>
      <c r="R593" s="104" t="str">
        <f>IF(DPS_Graph_Tooltip_Speed=TRUE,IF($E$8=$A593,1/$N$6,),)</f>
        <v/>
      </c>
    </row>
    <row r="594">
      <c r="A594" s="370">
        <v>3.51</v>
      </c>
      <c r="B594" s="213">
        <f>If(DPS_Weapon_Type="远程",($E594+1)/60+(ROUNDDOWN($F594*60+1,0)/60)*2,(ROUNDDOWN(($E594+1)+ROUNDDOWN($F594*60+1,0)+ROUNDDOWN($G594/2*60+1,0)+ROUNDDOWN($H594*60+1,0)+1,0))/60+If(DPS_ATK_TYPE="挥砍",1/60)+If(DPS_ATK_TYPE="挥砍/刺击",1/120))+DPS_Weapon_Randomization/60</f>
        <v>0.105</v>
      </c>
      <c r="C594" s="104" t="str">
        <f>IF(DPS_Graph_True_Speed=TRUE,IF($A594&lt;=DPS_Graph_Max,IF($A594&gt;=DPS_Graph_Speed_Min,1/B594,),),)</f>
        <v/>
      </c>
      <c r="D594" s="115" t="str">
        <f>IF(DPS_Graph_True_Speed=TRUE,IF($E$8=$A594,DPS_Attacks_P_Sec,),)</f>
        <v/>
      </c>
      <c r="E594" s="222">
        <f>ROUNDDOWN(MAX(2,IF(A594&gt;=0, DPS_Base_Wpn_Spd/(1+A594),DPS_Base_Wpn_Spd*(1+ABS(A594)))),0)</f>
        <v>2</v>
      </c>
      <c r="F594" s="232">
        <f>IF(A594&gt;=0, DPS_Base_Recoil/(1+A594),DPS_Base_Recoil)</f>
        <v>0.0110864745</v>
      </c>
      <c r="G594" s="377">
        <f t="shared" si="7"/>
        <v>0.51</v>
      </c>
      <c r="H594" s="377">
        <f t="shared" si="8"/>
        <v>0.01734605377</v>
      </c>
      <c r="I594" s="104"/>
      <c r="J594" s="377">
        <f>MAX(0, Max(25,(DPS_Base_Range + ((DPS_Range_Stat) / 2))) / MIN(MAX(70, (70 * (1 + ($A594 / 3)))), 120))</f>
        <v>3.333333333</v>
      </c>
      <c r="K594" s="115" t="str">
        <f>IF(A594&lt;=DPS_Graph_Max,IF(A594&gt;=DPS_Graph_Speed_Min,A594,),)</f>
        <v/>
      </c>
      <c r="M594" s="213">
        <f>If(DPS_Weapon_Type="远程",$E594/60+$F594*2,$E594/60+$F594+$G594/2+$H594)</f>
        <v>0.05550628234</v>
      </c>
      <c r="N594" s="104" t="str">
        <f>IF(DPS_Graph_Tooltip_Speed=TRUE,IF($A594&lt;=DPS_Graph_Max,IF($A594&gt;=DPS_Graph_Speed_Min,1/M594,),),)</f>
        <v/>
      </c>
      <c r="R594" s="104" t="str">
        <f>IF(DPS_Graph_Tooltip_Speed=TRUE,IF($E$8=$A594,1/$N$6,),)</f>
        <v/>
      </c>
    </row>
    <row r="595">
      <c r="A595" s="370">
        <v>3.52</v>
      </c>
      <c r="B595" s="213">
        <f>If(DPS_Weapon_Type="远程",($E595+1)/60+(ROUNDDOWN($F595*60+1,0)/60)*2,(ROUNDDOWN(($E595+1)+ROUNDDOWN($F595*60+1,0)+ROUNDDOWN($G595/2*60+1,0)+ROUNDDOWN($H595*60+1,0)+1,0))/60+If(DPS_ATK_TYPE="挥砍",1/60)+If(DPS_ATK_TYPE="挥砍/刺击",1/120))+DPS_Weapon_Randomization/60</f>
        <v>0.105</v>
      </c>
      <c r="C595" s="104" t="str">
        <f>IF(DPS_Graph_True_Speed=TRUE,IF($A595&lt;=DPS_Graph_Max,IF($A595&gt;=DPS_Graph_Speed_Min,1/B595,),),)</f>
        <v/>
      </c>
      <c r="D595" s="115" t="str">
        <f>IF(DPS_Graph_True_Speed=TRUE,IF($E$8=$A595,DPS_Attacks_P_Sec,),)</f>
        <v/>
      </c>
      <c r="E595" s="222">
        <f>ROUNDDOWN(MAX(2,IF(A595&gt;=0, DPS_Base_Wpn_Spd/(1+A595),DPS_Base_Wpn_Spd*(1+ABS(A595)))),0)</f>
        <v>2</v>
      </c>
      <c r="F595" s="232">
        <f>IF(A595&gt;=0, DPS_Base_Recoil/(1+A595),DPS_Base_Recoil)</f>
        <v>0.0110619469</v>
      </c>
      <c r="G595" s="377">
        <f t="shared" si="7"/>
        <v>0.51</v>
      </c>
      <c r="H595" s="377">
        <f t="shared" si="8"/>
        <v>0.01730103806</v>
      </c>
      <c r="I595" s="104"/>
      <c r="J595" s="377">
        <f>MAX(0, Max(25,(DPS_Base_Range + ((DPS_Range_Stat) / 2))) / MIN(MAX(70, (70 * (1 + ($A595 / 3)))), 120))</f>
        <v>3.333333333</v>
      </c>
      <c r="K595" s="115" t="str">
        <f>IF(A595&lt;=DPS_Graph_Max,IF(A595&gt;=DPS_Graph_Speed_Min,A595,),)</f>
        <v/>
      </c>
      <c r="M595" s="213">
        <f>If(DPS_Weapon_Type="远程",$E595/60+$F595*2,$E595/60+$F595+$G595/2+$H595)</f>
        <v>0.05545722714</v>
      </c>
      <c r="N595" s="104" t="str">
        <f>IF(DPS_Graph_Tooltip_Speed=TRUE,IF($A595&lt;=DPS_Graph_Max,IF($A595&gt;=DPS_Graph_Speed_Min,1/M595,),),)</f>
        <v/>
      </c>
      <c r="R595" s="104" t="str">
        <f>IF(DPS_Graph_Tooltip_Speed=TRUE,IF($E$8=$A595,1/$N$6,),)</f>
        <v/>
      </c>
    </row>
    <row r="596">
      <c r="A596" s="370">
        <v>3.53</v>
      </c>
      <c r="B596" s="213">
        <f>If(DPS_Weapon_Type="远程",($E596+1)/60+(ROUNDDOWN($F596*60+1,0)/60)*2,(ROUNDDOWN(($E596+1)+ROUNDDOWN($F596*60+1,0)+ROUNDDOWN($G596/2*60+1,0)+ROUNDDOWN($H596*60+1,0)+1,0))/60+If(DPS_ATK_TYPE="挥砍",1/60)+If(DPS_ATK_TYPE="挥砍/刺击",1/120))+DPS_Weapon_Randomization/60</f>
        <v>0.105</v>
      </c>
      <c r="C596" s="104" t="str">
        <f>IF(DPS_Graph_True_Speed=TRUE,IF($A596&lt;=DPS_Graph_Max,IF($A596&gt;=DPS_Graph_Speed_Min,1/B596,),),)</f>
        <v/>
      </c>
      <c r="D596" s="115" t="str">
        <f>IF(DPS_Graph_True_Speed=TRUE,IF($E$8=$A596,DPS_Attacks_P_Sec,),)</f>
        <v/>
      </c>
      <c r="E596" s="222">
        <f>ROUNDDOWN(MAX(2,IF(A596&gt;=0, DPS_Base_Wpn_Spd/(1+A596),DPS_Base_Wpn_Spd*(1+ABS(A596)))),0)</f>
        <v>2</v>
      </c>
      <c r="F596" s="232">
        <f>IF(A596&gt;=0, DPS_Base_Recoil/(1+A596),DPS_Base_Recoil)</f>
        <v>0.01103752759</v>
      </c>
      <c r="G596" s="377">
        <f t="shared" si="7"/>
        <v>0.51</v>
      </c>
      <c r="H596" s="377">
        <f t="shared" si="8"/>
        <v>0.01725625539</v>
      </c>
      <c r="I596" s="104"/>
      <c r="J596" s="377">
        <f>MAX(0, Max(25,(DPS_Base_Range + ((DPS_Range_Stat) / 2))) / MIN(MAX(70, (70 * (1 + ($A596 / 3)))), 120))</f>
        <v>3.333333333</v>
      </c>
      <c r="K596" s="115" t="str">
        <f>IF(A596&lt;=DPS_Graph_Max,IF(A596&gt;=DPS_Graph_Speed_Min,A596,),)</f>
        <v/>
      </c>
      <c r="M596" s="213">
        <f>If(DPS_Weapon_Type="远程",$E596/60+$F596*2,$E596/60+$F596+$G596/2+$H596)</f>
        <v>0.05540838852</v>
      </c>
      <c r="N596" s="104" t="str">
        <f>IF(DPS_Graph_Tooltip_Speed=TRUE,IF($A596&lt;=DPS_Graph_Max,IF($A596&gt;=DPS_Graph_Speed_Min,1/M596,),),)</f>
        <v/>
      </c>
      <c r="R596" s="104" t="str">
        <f>IF(DPS_Graph_Tooltip_Speed=TRUE,IF($E$8=$A596,1/$N$6,),)</f>
        <v/>
      </c>
    </row>
    <row r="597">
      <c r="A597" s="370">
        <v>3.54</v>
      </c>
      <c r="B597" s="213">
        <f>If(DPS_Weapon_Type="远程",($E597+1)/60+(ROUNDDOWN($F597*60+1,0)/60)*2,(ROUNDDOWN(($E597+1)+ROUNDDOWN($F597*60+1,0)+ROUNDDOWN($G597/2*60+1,0)+ROUNDDOWN($H597*60+1,0)+1,0))/60+If(DPS_ATK_TYPE="挥砍",1/60)+If(DPS_ATK_TYPE="挥砍/刺击",1/120))+DPS_Weapon_Randomization/60</f>
        <v>0.105</v>
      </c>
      <c r="C597" s="104" t="str">
        <f>IF(DPS_Graph_True_Speed=TRUE,IF($A597&lt;=DPS_Graph_Max,IF($A597&gt;=DPS_Graph_Speed_Min,1/B597,),),)</f>
        <v/>
      </c>
      <c r="D597" s="115" t="str">
        <f>IF(DPS_Graph_True_Speed=TRUE,IF($E$8=$A597,DPS_Attacks_P_Sec,),)</f>
        <v/>
      </c>
      <c r="E597" s="222">
        <f>ROUNDDOWN(MAX(2,IF(A597&gt;=0, DPS_Base_Wpn_Spd/(1+A597),DPS_Base_Wpn_Spd*(1+ABS(A597)))),0)</f>
        <v>2</v>
      </c>
      <c r="F597" s="232">
        <f>IF(A597&gt;=0, DPS_Base_Recoil/(1+A597),DPS_Base_Recoil)</f>
        <v>0.01101321586</v>
      </c>
      <c r="G597" s="377">
        <f t="shared" si="7"/>
        <v>0.51</v>
      </c>
      <c r="H597" s="377">
        <f t="shared" si="8"/>
        <v>0.01721170396</v>
      </c>
      <c r="I597" s="104"/>
      <c r="J597" s="377">
        <f>MAX(0, Max(25,(DPS_Base_Range + ((DPS_Range_Stat) / 2))) / MIN(MAX(70, (70 * (1 + ($A597 / 3)))), 120))</f>
        <v>3.333333333</v>
      </c>
      <c r="K597" s="115" t="str">
        <f>IF(A597&lt;=DPS_Graph_Max,IF(A597&gt;=DPS_Graph_Speed_Min,A597,),)</f>
        <v/>
      </c>
      <c r="M597" s="213">
        <f>If(DPS_Weapon_Type="远程",$E597/60+$F597*2,$E597/60+$F597+$G597/2+$H597)</f>
        <v>0.05535976505</v>
      </c>
      <c r="N597" s="104" t="str">
        <f>IF(DPS_Graph_Tooltip_Speed=TRUE,IF($A597&lt;=DPS_Graph_Max,IF($A597&gt;=DPS_Graph_Speed_Min,1/M597,),),)</f>
        <v/>
      </c>
      <c r="R597" s="104" t="str">
        <f>IF(DPS_Graph_Tooltip_Speed=TRUE,IF($E$8=$A597,1/$N$6,),)</f>
        <v/>
      </c>
    </row>
    <row r="598">
      <c r="A598" s="370">
        <v>3.55</v>
      </c>
      <c r="B598" s="213">
        <f>If(DPS_Weapon_Type="远程",($E598+1)/60+(ROUNDDOWN($F598*60+1,0)/60)*2,(ROUNDDOWN(($E598+1)+ROUNDDOWN($F598*60+1,0)+ROUNDDOWN($G598/2*60+1,0)+ROUNDDOWN($H598*60+1,0)+1,0))/60+If(DPS_ATK_TYPE="挥砍",1/60)+If(DPS_ATK_TYPE="挥砍/刺击",1/120))+DPS_Weapon_Randomization/60</f>
        <v>0.105</v>
      </c>
      <c r="C598" s="104" t="str">
        <f>IF(DPS_Graph_True_Speed=TRUE,IF($A598&lt;=DPS_Graph_Max,IF($A598&gt;=DPS_Graph_Speed_Min,1/B598,),),)</f>
        <v/>
      </c>
      <c r="D598" s="115" t="str">
        <f>IF(DPS_Graph_True_Speed=TRUE,IF($E$8=$A598,DPS_Attacks_P_Sec,),)</f>
        <v/>
      </c>
      <c r="E598" s="222">
        <f>ROUNDDOWN(MAX(2,IF(A598&gt;=0, DPS_Base_Wpn_Spd/(1+A598),DPS_Base_Wpn_Spd*(1+ABS(A598)))),0)</f>
        <v>2</v>
      </c>
      <c r="F598" s="232">
        <f>IF(A598&gt;=0, DPS_Base_Recoil/(1+A598),DPS_Base_Recoil)</f>
        <v>0.01098901099</v>
      </c>
      <c r="G598" s="377">
        <f t="shared" si="7"/>
        <v>0.51</v>
      </c>
      <c r="H598" s="377">
        <f t="shared" si="8"/>
        <v>0.01716738197</v>
      </c>
      <c r="I598" s="104"/>
      <c r="J598" s="377">
        <f>MAX(0, Max(25,(DPS_Base_Range + ((DPS_Range_Stat) / 2))) / MIN(MAX(70, (70 * (1 + ($A598 / 3)))), 120))</f>
        <v>3.333333333</v>
      </c>
      <c r="K598" s="115" t="str">
        <f>IF(A598&lt;=DPS_Graph_Max,IF(A598&gt;=DPS_Graph_Speed_Min,A598,),)</f>
        <v/>
      </c>
      <c r="M598" s="213">
        <f>If(DPS_Weapon_Type="远程",$E598/60+$F598*2,$E598/60+$F598+$G598/2+$H598)</f>
        <v>0.05531135531</v>
      </c>
      <c r="N598" s="104" t="str">
        <f>IF(DPS_Graph_Tooltip_Speed=TRUE,IF($A598&lt;=DPS_Graph_Max,IF($A598&gt;=DPS_Graph_Speed_Min,1/M598,),),)</f>
        <v/>
      </c>
      <c r="R598" s="104" t="str">
        <f>IF(DPS_Graph_Tooltip_Speed=TRUE,IF($E$8=$A598,1/$N$6,),)</f>
        <v/>
      </c>
    </row>
    <row r="599">
      <c r="A599" s="370">
        <v>3.56</v>
      </c>
      <c r="B599" s="213">
        <f>If(DPS_Weapon_Type="远程",($E599+1)/60+(ROUNDDOWN($F599*60+1,0)/60)*2,(ROUNDDOWN(($E599+1)+ROUNDDOWN($F599*60+1,0)+ROUNDDOWN($G599/2*60+1,0)+ROUNDDOWN($H599*60+1,0)+1,0))/60+If(DPS_ATK_TYPE="挥砍",1/60)+If(DPS_ATK_TYPE="挥砍/刺击",1/120))+DPS_Weapon_Randomization/60</f>
        <v>0.105</v>
      </c>
      <c r="C599" s="104" t="str">
        <f>IF(DPS_Graph_True_Speed=TRUE,IF($A599&lt;=DPS_Graph_Max,IF($A599&gt;=DPS_Graph_Speed_Min,1/B599,),),)</f>
        <v/>
      </c>
      <c r="D599" s="115" t="str">
        <f>IF(DPS_Graph_True_Speed=TRUE,IF($E$8=$A599,DPS_Attacks_P_Sec,),)</f>
        <v/>
      </c>
      <c r="E599" s="222">
        <f>ROUNDDOWN(MAX(2,IF(A599&gt;=0, DPS_Base_Wpn_Spd/(1+A599),DPS_Base_Wpn_Spd*(1+ABS(A599)))),0)</f>
        <v>2</v>
      </c>
      <c r="F599" s="232">
        <f>IF(A599&gt;=0, DPS_Base_Recoil/(1+A599),DPS_Base_Recoil)</f>
        <v>0.01096491228</v>
      </c>
      <c r="G599" s="377">
        <f t="shared" si="7"/>
        <v>0.51</v>
      </c>
      <c r="H599" s="377">
        <f t="shared" si="8"/>
        <v>0.01712328767</v>
      </c>
      <c r="I599" s="104"/>
      <c r="J599" s="377">
        <f>MAX(0, Max(25,(DPS_Base_Range + ((DPS_Range_Stat) / 2))) / MIN(MAX(70, (70 * (1 + ($A599 / 3)))), 120))</f>
        <v>3.333333333</v>
      </c>
      <c r="K599" s="115" t="str">
        <f>IF(A599&lt;=DPS_Graph_Max,IF(A599&gt;=DPS_Graph_Speed_Min,A599,),)</f>
        <v/>
      </c>
      <c r="M599" s="213">
        <f>If(DPS_Weapon_Type="远程",$E599/60+$F599*2,$E599/60+$F599+$G599/2+$H599)</f>
        <v>0.05526315789</v>
      </c>
      <c r="N599" s="104" t="str">
        <f>IF(DPS_Graph_Tooltip_Speed=TRUE,IF($A599&lt;=DPS_Graph_Max,IF($A599&gt;=DPS_Graph_Speed_Min,1/M599,),),)</f>
        <v/>
      </c>
      <c r="R599" s="104" t="str">
        <f>IF(DPS_Graph_Tooltip_Speed=TRUE,IF($E$8=$A599,1/$N$6,),)</f>
        <v/>
      </c>
    </row>
    <row r="600">
      <c r="A600" s="370">
        <v>3.57</v>
      </c>
      <c r="B600" s="213">
        <f>If(DPS_Weapon_Type="远程",($E600+1)/60+(ROUNDDOWN($F600*60+1,0)/60)*2,(ROUNDDOWN(($E600+1)+ROUNDDOWN($F600*60+1,0)+ROUNDDOWN($G600/2*60+1,0)+ROUNDDOWN($H600*60+1,0)+1,0))/60+If(DPS_ATK_TYPE="挥砍",1/60)+If(DPS_ATK_TYPE="挥砍/刺击",1/120))+DPS_Weapon_Randomization/60</f>
        <v>0.105</v>
      </c>
      <c r="C600" s="104" t="str">
        <f>IF(DPS_Graph_True_Speed=TRUE,IF($A600&lt;=DPS_Graph_Max,IF($A600&gt;=DPS_Graph_Speed_Min,1/B600,),),)</f>
        <v/>
      </c>
      <c r="D600" s="115" t="str">
        <f>IF(DPS_Graph_True_Speed=TRUE,IF($E$8=$A600,DPS_Attacks_P_Sec,),)</f>
        <v/>
      </c>
      <c r="E600" s="222">
        <f>ROUNDDOWN(MAX(2,IF(A600&gt;=0, DPS_Base_Wpn_Spd/(1+A600),DPS_Base_Wpn_Spd*(1+ABS(A600)))),0)</f>
        <v>2</v>
      </c>
      <c r="F600" s="232">
        <f>IF(A600&gt;=0, DPS_Base_Recoil/(1+A600),DPS_Base_Recoil)</f>
        <v>0.01094091904</v>
      </c>
      <c r="G600" s="377">
        <f t="shared" si="7"/>
        <v>0.51</v>
      </c>
      <c r="H600" s="377">
        <f t="shared" si="8"/>
        <v>0.0170794193</v>
      </c>
      <c r="I600" s="104"/>
      <c r="J600" s="377">
        <f>MAX(0, Max(25,(DPS_Base_Range + ((DPS_Range_Stat) / 2))) / MIN(MAX(70, (70 * (1 + ($A600 / 3)))), 120))</f>
        <v>3.333333333</v>
      </c>
      <c r="K600" s="115" t="str">
        <f>IF(A600&lt;=DPS_Graph_Max,IF(A600&gt;=DPS_Graph_Speed_Min,A600,),)</f>
        <v/>
      </c>
      <c r="M600" s="213">
        <f>If(DPS_Weapon_Type="远程",$E600/60+$F600*2,$E600/60+$F600+$G600/2+$H600)</f>
        <v>0.05521517141</v>
      </c>
      <c r="N600" s="104" t="str">
        <f>IF(DPS_Graph_Tooltip_Speed=TRUE,IF($A600&lt;=DPS_Graph_Max,IF($A600&gt;=DPS_Graph_Speed_Min,1/M600,),),)</f>
        <v/>
      </c>
      <c r="R600" s="104" t="str">
        <f>IF(DPS_Graph_Tooltip_Speed=TRUE,IF($E$8=$A600,1/$N$6,),)</f>
        <v/>
      </c>
    </row>
    <row r="601">
      <c r="A601" s="370">
        <v>3.58</v>
      </c>
      <c r="B601" s="213">
        <f>If(DPS_Weapon_Type="远程",($E601+1)/60+(ROUNDDOWN($F601*60+1,0)/60)*2,(ROUNDDOWN(($E601+1)+ROUNDDOWN($F601*60+1,0)+ROUNDDOWN($G601/2*60+1,0)+ROUNDDOWN($H601*60+1,0)+1,0))/60+If(DPS_ATK_TYPE="挥砍",1/60)+If(DPS_ATK_TYPE="挥砍/刺击",1/120))+DPS_Weapon_Randomization/60</f>
        <v>0.105</v>
      </c>
      <c r="C601" s="104" t="str">
        <f>IF(DPS_Graph_True_Speed=TRUE,IF($A601&lt;=DPS_Graph_Max,IF($A601&gt;=DPS_Graph_Speed_Min,1/B601,),),)</f>
        <v/>
      </c>
      <c r="D601" s="115" t="str">
        <f>IF(DPS_Graph_True_Speed=TRUE,IF($E$8=$A601,DPS_Attacks_P_Sec,),)</f>
        <v/>
      </c>
      <c r="E601" s="222">
        <f>ROUNDDOWN(MAX(2,IF(A601&gt;=0, DPS_Base_Wpn_Spd/(1+A601),DPS_Base_Wpn_Spd*(1+ABS(A601)))),0)</f>
        <v>2</v>
      </c>
      <c r="F601" s="232">
        <f>IF(A601&gt;=0, DPS_Base_Recoil/(1+A601),DPS_Base_Recoil)</f>
        <v>0.01091703057</v>
      </c>
      <c r="G601" s="377">
        <f t="shared" si="7"/>
        <v>0.51</v>
      </c>
      <c r="H601" s="377">
        <f t="shared" si="8"/>
        <v>0.01703577513</v>
      </c>
      <c r="I601" s="104"/>
      <c r="J601" s="377">
        <f>MAX(0, Max(25,(DPS_Base_Range + ((DPS_Range_Stat) / 2))) / MIN(MAX(70, (70 * (1 + ($A601 / 3)))), 120))</f>
        <v>3.333333333</v>
      </c>
      <c r="K601" s="115" t="str">
        <f>IF(A601&lt;=DPS_Graph_Max,IF(A601&gt;=DPS_Graph_Speed_Min,A601,),)</f>
        <v/>
      </c>
      <c r="M601" s="213">
        <f>If(DPS_Weapon_Type="远程",$E601/60+$F601*2,$E601/60+$F601+$G601/2+$H601)</f>
        <v>0.05516739447</v>
      </c>
      <c r="N601" s="104" t="str">
        <f>IF(DPS_Graph_Tooltip_Speed=TRUE,IF($A601&lt;=DPS_Graph_Max,IF($A601&gt;=DPS_Graph_Speed_Min,1/M601,),),)</f>
        <v/>
      </c>
      <c r="R601" s="104" t="str">
        <f>IF(DPS_Graph_Tooltip_Speed=TRUE,IF($E$8=$A601,1/$N$6,),)</f>
        <v/>
      </c>
    </row>
    <row r="602">
      <c r="A602" s="370">
        <v>3.59</v>
      </c>
      <c r="B602" s="213">
        <f>If(DPS_Weapon_Type="远程",($E602+1)/60+(ROUNDDOWN($F602*60+1,0)/60)*2,(ROUNDDOWN(($E602+1)+ROUNDDOWN($F602*60+1,0)+ROUNDDOWN($G602/2*60+1,0)+ROUNDDOWN($H602*60+1,0)+1,0))/60+If(DPS_ATK_TYPE="挥砍",1/60)+If(DPS_ATK_TYPE="挥砍/刺击",1/120))+DPS_Weapon_Randomization/60</f>
        <v>0.105</v>
      </c>
      <c r="C602" s="104" t="str">
        <f>IF(DPS_Graph_True_Speed=TRUE,IF($A602&lt;=DPS_Graph_Max,IF($A602&gt;=DPS_Graph_Speed_Min,1/B602,),),)</f>
        <v/>
      </c>
      <c r="D602" s="115" t="str">
        <f>IF(DPS_Graph_True_Speed=TRUE,IF($E$8=$A602,DPS_Attacks_P_Sec,),)</f>
        <v/>
      </c>
      <c r="E602" s="222">
        <f>ROUNDDOWN(MAX(2,IF(A602&gt;=0, DPS_Base_Wpn_Spd/(1+A602),DPS_Base_Wpn_Spd*(1+ABS(A602)))),0)</f>
        <v>2</v>
      </c>
      <c r="F602" s="232">
        <f>IF(A602&gt;=0, DPS_Base_Recoil/(1+A602),DPS_Base_Recoil)</f>
        <v>0.01089324619</v>
      </c>
      <c r="G602" s="377">
        <f t="shared" si="7"/>
        <v>0.51</v>
      </c>
      <c r="H602" s="377">
        <f t="shared" si="8"/>
        <v>0.01699235344</v>
      </c>
      <c r="I602" s="104"/>
      <c r="J602" s="377">
        <f>MAX(0, Max(25,(DPS_Base_Range + ((DPS_Range_Stat) / 2))) / MIN(MAX(70, (70 * (1 + ($A602 / 3)))), 120))</f>
        <v>3.333333333</v>
      </c>
      <c r="K602" s="115" t="str">
        <f>IF(A602&lt;=DPS_Graph_Max,IF(A602&gt;=DPS_Graph_Speed_Min,A602,),)</f>
        <v/>
      </c>
      <c r="M602" s="213">
        <f>If(DPS_Weapon_Type="远程",$E602/60+$F602*2,$E602/60+$F602+$G602/2+$H602)</f>
        <v>0.05511982571</v>
      </c>
      <c r="N602" s="104" t="str">
        <f>IF(DPS_Graph_Tooltip_Speed=TRUE,IF($A602&lt;=DPS_Graph_Max,IF($A602&gt;=DPS_Graph_Speed_Min,1/M602,),),)</f>
        <v/>
      </c>
      <c r="R602" s="104" t="str">
        <f>IF(DPS_Graph_Tooltip_Speed=TRUE,IF($E$8=$A602,1/$N$6,),)</f>
        <v/>
      </c>
    </row>
    <row r="603">
      <c r="A603" s="370">
        <v>3.6</v>
      </c>
      <c r="B603" s="213">
        <f>If(DPS_Weapon_Type="远程",($E603+1)/60+(ROUNDDOWN($F603*60+1,0)/60)*2,(ROUNDDOWN(($E603+1)+ROUNDDOWN($F603*60+1,0)+ROUNDDOWN($G603/2*60+1,0)+ROUNDDOWN($H603*60+1,0)+1,0))/60+If(DPS_ATK_TYPE="挥砍",1/60)+If(DPS_ATK_TYPE="挥砍/刺击",1/120))+DPS_Weapon_Randomization/60</f>
        <v>0.105</v>
      </c>
      <c r="C603" s="104" t="str">
        <f>IF(DPS_Graph_True_Speed=TRUE,IF($A603&lt;=DPS_Graph_Max,IF($A603&gt;=DPS_Graph_Speed_Min,1/B603,),),)</f>
        <v/>
      </c>
      <c r="D603" s="115" t="str">
        <f>IF(DPS_Graph_True_Speed=TRUE,IF($E$8=$A603,DPS_Attacks_P_Sec,),)</f>
        <v/>
      </c>
      <c r="E603" s="222">
        <f>ROUNDDOWN(MAX(2,IF(A603&gt;=0, DPS_Base_Wpn_Spd/(1+A603),DPS_Base_Wpn_Spd*(1+ABS(A603)))),0)</f>
        <v>2</v>
      </c>
      <c r="F603" s="232">
        <f>IF(A603&gt;=0, DPS_Base_Recoil/(1+A603),DPS_Base_Recoil)</f>
        <v>0.01086956522</v>
      </c>
      <c r="G603" s="377">
        <f t="shared" si="7"/>
        <v>0.51</v>
      </c>
      <c r="H603" s="377">
        <f t="shared" si="8"/>
        <v>0.01694915254</v>
      </c>
      <c r="I603" s="104"/>
      <c r="J603" s="377">
        <f>MAX(0, Max(25,(DPS_Base_Range + ((DPS_Range_Stat) / 2))) / MIN(MAX(70, (70 * (1 + ($A603 / 3)))), 120))</f>
        <v>3.333333333</v>
      </c>
      <c r="K603" s="115" t="str">
        <f>IF(A603&lt;=DPS_Graph_Max,IF(A603&gt;=DPS_Graph_Speed_Min,A603,),)</f>
        <v/>
      </c>
      <c r="M603" s="213">
        <f>If(DPS_Weapon_Type="远程",$E603/60+$F603*2,$E603/60+$F603+$G603/2+$H603)</f>
        <v>0.05507246377</v>
      </c>
      <c r="N603" s="104" t="str">
        <f>IF(DPS_Graph_Tooltip_Speed=TRUE,IF($A603&lt;=DPS_Graph_Max,IF($A603&gt;=DPS_Graph_Speed_Min,1/M603,),),)</f>
        <v/>
      </c>
      <c r="R603" s="104" t="str">
        <f>IF(DPS_Graph_Tooltip_Speed=TRUE,IF($E$8=$A603,1/$N$6,),)</f>
        <v/>
      </c>
    </row>
    <row r="604">
      <c r="A604" s="370">
        <v>3.61</v>
      </c>
      <c r="B604" s="213">
        <f>If(DPS_Weapon_Type="远程",($E604+1)/60+(ROUNDDOWN($F604*60+1,0)/60)*2,(ROUNDDOWN(($E604+1)+ROUNDDOWN($F604*60+1,0)+ROUNDDOWN($G604/2*60+1,0)+ROUNDDOWN($H604*60+1,0)+1,0))/60+If(DPS_ATK_TYPE="挥砍",1/60)+If(DPS_ATK_TYPE="挥砍/刺击",1/120))+DPS_Weapon_Randomization/60</f>
        <v>0.105</v>
      </c>
      <c r="C604" s="104" t="str">
        <f>IF(DPS_Graph_True_Speed=TRUE,IF($A604&lt;=DPS_Graph_Max,IF($A604&gt;=DPS_Graph_Speed_Min,1/B604,),),)</f>
        <v/>
      </c>
      <c r="D604" s="115" t="str">
        <f>IF(DPS_Graph_True_Speed=TRUE,IF($E$8=$A604,DPS_Attacks_P_Sec,),)</f>
        <v/>
      </c>
      <c r="E604" s="222">
        <f>ROUNDDOWN(MAX(2,IF(A604&gt;=0, DPS_Base_Wpn_Spd/(1+A604),DPS_Base_Wpn_Spd*(1+ABS(A604)))),0)</f>
        <v>2</v>
      </c>
      <c r="F604" s="232">
        <f>IF(A604&gt;=0, DPS_Base_Recoil/(1+A604),DPS_Base_Recoil)</f>
        <v>0.01084598698</v>
      </c>
      <c r="G604" s="377">
        <f t="shared" si="7"/>
        <v>0.51</v>
      </c>
      <c r="H604" s="377">
        <f t="shared" si="8"/>
        <v>0.01690617075</v>
      </c>
      <c r="I604" s="104"/>
      <c r="J604" s="377">
        <f>MAX(0, Max(25,(DPS_Base_Range + ((DPS_Range_Stat) / 2))) / MIN(MAX(70, (70 * (1 + ($A604 / 3)))), 120))</f>
        <v>3.333333333</v>
      </c>
      <c r="K604" s="115" t="str">
        <f>IF(A604&lt;=DPS_Graph_Max,IF(A604&gt;=DPS_Graph_Speed_Min,A604,),)</f>
        <v/>
      </c>
      <c r="M604" s="213">
        <f>If(DPS_Weapon_Type="远程",$E604/60+$F604*2,$E604/60+$F604+$G604/2+$H604)</f>
        <v>0.0550253073</v>
      </c>
      <c r="N604" s="104" t="str">
        <f>IF(DPS_Graph_Tooltip_Speed=TRUE,IF($A604&lt;=DPS_Graph_Max,IF($A604&gt;=DPS_Graph_Speed_Min,1/M604,),),)</f>
        <v/>
      </c>
      <c r="R604" s="104" t="str">
        <f>IF(DPS_Graph_Tooltip_Speed=TRUE,IF($E$8=$A604,1/$N$6,),)</f>
        <v/>
      </c>
    </row>
    <row r="605">
      <c r="A605" s="370">
        <v>3.62</v>
      </c>
      <c r="B605" s="213">
        <f>If(DPS_Weapon_Type="远程",($E605+1)/60+(ROUNDDOWN($F605*60+1,0)/60)*2,(ROUNDDOWN(($E605+1)+ROUNDDOWN($F605*60+1,0)+ROUNDDOWN($G605/2*60+1,0)+ROUNDDOWN($H605*60+1,0)+1,0))/60+If(DPS_ATK_TYPE="挥砍",1/60)+If(DPS_ATK_TYPE="挥砍/刺击",1/120))+DPS_Weapon_Randomization/60</f>
        <v>0.105</v>
      </c>
      <c r="C605" s="104" t="str">
        <f>IF(DPS_Graph_True_Speed=TRUE,IF($A605&lt;=DPS_Graph_Max,IF($A605&gt;=DPS_Graph_Speed_Min,1/B605,),),)</f>
        <v/>
      </c>
      <c r="D605" s="115" t="str">
        <f>IF(DPS_Graph_True_Speed=TRUE,IF($E$8=$A605,DPS_Attacks_P_Sec,),)</f>
        <v/>
      </c>
      <c r="E605" s="222">
        <f>ROUNDDOWN(MAX(2,IF(A605&gt;=0, DPS_Base_Wpn_Spd/(1+A605),DPS_Base_Wpn_Spd*(1+ABS(A605)))),0)</f>
        <v>2</v>
      </c>
      <c r="F605" s="232">
        <f>IF(A605&gt;=0, DPS_Base_Recoil/(1+A605),DPS_Base_Recoil)</f>
        <v>0.01082251082</v>
      </c>
      <c r="G605" s="377">
        <f t="shared" si="7"/>
        <v>0.51</v>
      </c>
      <c r="H605" s="377">
        <f t="shared" si="8"/>
        <v>0.01686340641</v>
      </c>
      <c r="I605" s="104"/>
      <c r="J605" s="377">
        <f>MAX(0, Max(25,(DPS_Base_Range + ((DPS_Range_Stat) / 2))) / MIN(MAX(70, (70 * (1 + ($A605 / 3)))), 120))</f>
        <v>3.333333333</v>
      </c>
      <c r="K605" s="115" t="str">
        <f>IF(A605&lt;=DPS_Graph_Max,IF(A605&gt;=DPS_Graph_Speed_Min,A605,),)</f>
        <v/>
      </c>
      <c r="M605" s="213">
        <f>If(DPS_Weapon_Type="远程",$E605/60+$F605*2,$E605/60+$F605+$G605/2+$H605)</f>
        <v>0.05497835498</v>
      </c>
      <c r="N605" s="104" t="str">
        <f>IF(DPS_Graph_Tooltip_Speed=TRUE,IF($A605&lt;=DPS_Graph_Max,IF($A605&gt;=DPS_Graph_Speed_Min,1/M605,),),)</f>
        <v/>
      </c>
      <c r="R605" s="104" t="str">
        <f>IF(DPS_Graph_Tooltip_Speed=TRUE,IF($E$8=$A605,1/$N$6,),)</f>
        <v/>
      </c>
    </row>
    <row r="606">
      <c r="A606" s="370">
        <v>3.63</v>
      </c>
      <c r="B606" s="213">
        <f>If(DPS_Weapon_Type="远程",($E606+1)/60+(ROUNDDOWN($F606*60+1,0)/60)*2,(ROUNDDOWN(($E606+1)+ROUNDDOWN($F606*60+1,0)+ROUNDDOWN($G606/2*60+1,0)+ROUNDDOWN($H606*60+1,0)+1,0))/60+If(DPS_ATK_TYPE="挥砍",1/60)+If(DPS_ATK_TYPE="挥砍/刺击",1/120))+DPS_Weapon_Randomization/60</f>
        <v>0.105</v>
      </c>
      <c r="C606" s="104" t="str">
        <f>IF(DPS_Graph_True_Speed=TRUE,IF($A606&lt;=DPS_Graph_Max,IF($A606&gt;=DPS_Graph_Speed_Min,1/B606,),),)</f>
        <v/>
      </c>
      <c r="D606" s="115" t="str">
        <f>IF(DPS_Graph_True_Speed=TRUE,IF($E$8=$A606,DPS_Attacks_P_Sec,),)</f>
        <v/>
      </c>
      <c r="E606" s="222">
        <f>ROUNDDOWN(MAX(2,IF(A606&gt;=0, DPS_Base_Wpn_Spd/(1+A606),DPS_Base_Wpn_Spd*(1+ABS(A606)))),0)</f>
        <v>2</v>
      </c>
      <c r="F606" s="232">
        <f>IF(A606&gt;=0, DPS_Base_Recoil/(1+A606),DPS_Base_Recoil)</f>
        <v>0.01079913607</v>
      </c>
      <c r="G606" s="377">
        <f t="shared" si="7"/>
        <v>0.51</v>
      </c>
      <c r="H606" s="377">
        <f t="shared" si="8"/>
        <v>0.01682085786</v>
      </c>
      <c r="I606" s="104"/>
      <c r="J606" s="377">
        <f>MAX(0, Max(25,(DPS_Base_Range + ((DPS_Range_Stat) / 2))) / MIN(MAX(70, (70 * (1 + ($A606 / 3)))), 120))</f>
        <v>3.333333333</v>
      </c>
      <c r="K606" s="115" t="str">
        <f>IF(A606&lt;=DPS_Graph_Max,IF(A606&gt;=DPS_Graph_Speed_Min,A606,),)</f>
        <v/>
      </c>
      <c r="M606" s="213">
        <f>If(DPS_Weapon_Type="远程",$E606/60+$F606*2,$E606/60+$F606+$G606/2+$H606)</f>
        <v>0.05493160547</v>
      </c>
      <c r="N606" s="104" t="str">
        <f>IF(DPS_Graph_Tooltip_Speed=TRUE,IF($A606&lt;=DPS_Graph_Max,IF($A606&gt;=DPS_Graph_Speed_Min,1/M606,),),)</f>
        <v/>
      </c>
      <c r="R606" s="104" t="str">
        <f>IF(DPS_Graph_Tooltip_Speed=TRUE,IF($E$8=$A606,1/$N$6,),)</f>
        <v/>
      </c>
    </row>
    <row r="607">
      <c r="A607" s="370">
        <v>3.64</v>
      </c>
      <c r="B607" s="213">
        <f>If(DPS_Weapon_Type="远程",($E607+1)/60+(ROUNDDOWN($F607*60+1,0)/60)*2,(ROUNDDOWN(($E607+1)+ROUNDDOWN($F607*60+1,0)+ROUNDDOWN($G607/2*60+1,0)+ROUNDDOWN($H607*60+1,0)+1,0))/60+If(DPS_ATK_TYPE="挥砍",1/60)+If(DPS_ATK_TYPE="挥砍/刺击",1/120))+DPS_Weapon_Randomization/60</f>
        <v>0.105</v>
      </c>
      <c r="C607" s="104" t="str">
        <f>IF(DPS_Graph_True_Speed=TRUE,IF($A607&lt;=DPS_Graph_Max,IF($A607&gt;=DPS_Graph_Speed_Min,1/B607,),),)</f>
        <v/>
      </c>
      <c r="D607" s="115" t="str">
        <f>IF(DPS_Graph_True_Speed=TRUE,IF($E$8=$A607,DPS_Attacks_P_Sec,),)</f>
        <v/>
      </c>
      <c r="E607" s="222">
        <f>ROUNDDOWN(MAX(2,IF(A607&gt;=0, DPS_Base_Wpn_Spd/(1+A607),DPS_Base_Wpn_Spd*(1+ABS(A607)))),0)</f>
        <v>2</v>
      </c>
      <c r="F607" s="232">
        <f>IF(A607&gt;=0, DPS_Base_Recoil/(1+A607),DPS_Base_Recoil)</f>
        <v>0.01077586207</v>
      </c>
      <c r="G607" s="377">
        <f t="shared" si="7"/>
        <v>0.51</v>
      </c>
      <c r="H607" s="377">
        <f t="shared" si="8"/>
        <v>0.01677852349</v>
      </c>
      <c r="I607" s="104"/>
      <c r="J607" s="377">
        <f>MAX(0, Max(25,(DPS_Base_Range + ((DPS_Range_Stat) / 2))) / MIN(MAX(70, (70 * (1 + ($A607 / 3)))), 120))</f>
        <v>3.333333333</v>
      </c>
      <c r="K607" s="115" t="str">
        <f>IF(A607&lt;=DPS_Graph_Max,IF(A607&gt;=DPS_Graph_Speed_Min,A607,),)</f>
        <v/>
      </c>
      <c r="M607" s="213">
        <f>If(DPS_Weapon_Type="远程",$E607/60+$F607*2,$E607/60+$F607+$G607/2+$H607)</f>
        <v>0.05488505747</v>
      </c>
      <c r="N607" s="104" t="str">
        <f>IF(DPS_Graph_Tooltip_Speed=TRUE,IF($A607&lt;=DPS_Graph_Max,IF($A607&gt;=DPS_Graph_Speed_Min,1/M607,),),)</f>
        <v/>
      </c>
      <c r="R607" s="104" t="str">
        <f>IF(DPS_Graph_Tooltip_Speed=TRUE,IF($E$8=$A607,1/$N$6,),)</f>
        <v/>
      </c>
    </row>
    <row r="608">
      <c r="A608" s="370">
        <v>3.65</v>
      </c>
      <c r="B608" s="213">
        <f>If(DPS_Weapon_Type="远程",($E608+1)/60+(ROUNDDOWN($F608*60+1,0)/60)*2,(ROUNDDOWN(($E608+1)+ROUNDDOWN($F608*60+1,0)+ROUNDDOWN($G608/2*60+1,0)+ROUNDDOWN($H608*60+1,0)+1,0))/60+If(DPS_ATK_TYPE="挥砍",1/60)+If(DPS_ATK_TYPE="挥砍/刺击",1/120))+DPS_Weapon_Randomization/60</f>
        <v>0.105</v>
      </c>
      <c r="C608" s="104" t="str">
        <f>IF(DPS_Graph_True_Speed=TRUE,IF($A608&lt;=DPS_Graph_Max,IF($A608&gt;=DPS_Graph_Speed_Min,1/B608,),),)</f>
        <v/>
      </c>
      <c r="D608" s="115" t="str">
        <f>IF(DPS_Graph_True_Speed=TRUE,IF($E$8=$A608,DPS_Attacks_P_Sec,),)</f>
        <v/>
      </c>
      <c r="E608" s="222">
        <f>ROUNDDOWN(MAX(2,IF(A608&gt;=0, DPS_Base_Wpn_Spd/(1+A608),DPS_Base_Wpn_Spd*(1+ABS(A608)))),0)</f>
        <v>2</v>
      </c>
      <c r="F608" s="232">
        <f>IF(A608&gt;=0, DPS_Base_Recoil/(1+A608),DPS_Base_Recoil)</f>
        <v>0.01075268817</v>
      </c>
      <c r="G608" s="377">
        <f t="shared" si="7"/>
        <v>0.51</v>
      </c>
      <c r="H608" s="377">
        <f t="shared" si="8"/>
        <v>0.01673640167</v>
      </c>
      <c r="I608" s="104"/>
      <c r="J608" s="377">
        <f>MAX(0, Max(25,(DPS_Base_Range + ((DPS_Range_Stat) / 2))) / MIN(MAX(70, (70 * (1 + ($A608 / 3)))), 120))</f>
        <v>3.333333333</v>
      </c>
      <c r="K608" s="115" t="str">
        <f>IF(A608&lt;=DPS_Graph_Max,IF(A608&gt;=DPS_Graph_Speed_Min,A608,),)</f>
        <v/>
      </c>
      <c r="M608" s="213">
        <f>If(DPS_Weapon_Type="远程",$E608/60+$F608*2,$E608/60+$F608+$G608/2+$H608)</f>
        <v>0.05483870968</v>
      </c>
      <c r="N608" s="104" t="str">
        <f>IF(DPS_Graph_Tooltip_Speed=TRUE,IF($A608&lt;=DPS_Graph_Max,IF($A608&gt;=DPS_Graph_Speed_Min,1/M608,),),)</f>
        <v/>
      </c>
      <c r="R608" s="104" t="str">
        <f>IF(DPS_Graph_Tooltip_Speed=TRUE,IF($E$8=$A608,1/$N$6,),)</f>
        <v/>
      </c>
    </row>
    <row r="609">
      <c r="A609" s="370">
        <v>3.66</v>
      </c>
      <c r="B609" s="213">
        <f>If(DPS_Weapon_Type="远程",($E609+1)/60+(ROUNDDOWN($F609*60+1,0)/60)*2,(ROUNDDOWN(($E609+1)+ROUNDDOWN($F609*60+1,0)+ROUNDDOWN($G609/2*60+1,0)+ROUNDDOWN($H609*60+1,0)+1,0))/60+If(DPS_ATK_TYPE="挥砍",1/60)+If(DPS_ATK_TYPE="挥砍/刺击",1/120))+DPS_Weapon_Randomization/60</f>
        <v>0.105</v>
      </c>
      <c r="C609" s="104" t="str">
        <f>IF(DPS_Graph_True_Speed=TRUE,IF($A609&lt;=DPS_Graph_Max,IF($A609&gt;=DPS_Graph_Speed_Min,1/B609,),),)</f>
        <v/>
      </c>
      <c r="D609" s="115" t="str">
        <f>IF(DPS_Graph_True_Speed=TRUE,IF($E$8=$A609,DPS_Attacks_P_Sec,),)</f>
        <v/>
      </c>
      <c r="E609" s="222">
        <f>ROUNDDOWN(MAX(2,IF(A609&gt;=0, DPS_Base_Wpn_Spd/(1+A609),DPS_Base_Wpn_Spd*(1+ABS(A609)))),0)</f>
        <v>2</v>
      </c>
      <c r="F609" s="232">
        <f>IF(A609&gt;=0, DPS_Base_Recoil/(1+A609),DPS_Base_Recoil)</f>
        <v>0.01072961373</v>
      </c>
      <c r="G609" s="377">
        <f t="shared" si="7"/>
        <v>0.51</v>
      </c>
      <c r="H609" s="377">
        <f t="shared" si="8"/>
        <v>0.01669449082</v>
      </c>
      <c r="I609" s="104"/>
      <c r="J609" s="377">
        <f>MAX(0, Max(25,(DPS_Base_Range + ((DPS_Range_Stat) / 2))) / MIN(MAX(70, (70 * (1 + ($A609 / 3)))), 120))</f>
        <v>3.333333333</v>
      </c>
      <c r="K609" s="115" t="str">
        <f>IF(A609&lt;=DPS_Graph_Max,IF(A609&gt;=DPS_Graph_Speed_Min,A609,),)</f>
        <v/>
      </c>
      <c r="M609" s="213">
        <f>If(DPS_Weapon_Type="远程",$E609/60+$F609*2,$E609/60+$F609+$G609/2+$H609)</f>
        <v>0.0547925608</v>
      </c>
      <c r="N609" s="104" t="str">
        <f>IF(DPS_Graph_Tooltip_Speed=TRUE,IF($A609&lt;=DPS_Graph_Max,IF($A609&gt;=DPS_Graph_Speed_Min,1/M609,),),)</f>
        <v/>
      </c>
      <c r="R609" s="104" t="str">
        <f>IF(DPS_Graph_Tooltip_Speed=TRUE,IF($E$8=$A609,1/$N$6,),)</f>
        <v/>
      </c>
    </row>
    <row r="610">
      <c r="A610" s="370">
        <v>3.67</v>
      </c>
      <c r="B610" s="213">
        <f>If(DPS_Weapon_Type="远程",($E610+1)/60+(ROUNDDOWN($F610*60+1,0)/60)*2,(ROUNDDOWN(($E610+1)+ROUNDDOWN($F610*60+1,0)+ROUNDDOWN($G610/2*60+1,0)+ROUNDDOWN($H610*60+1,0)+1,0))/60+If(DPS_ATK_TYPE="挥砍",1/60)+If(DPS_ATK_TYPE="挥砍/刺击",1/120))+DPS_Weapon_Randomization/60</f>
        <v>0.105</v>
      </c>
      <c r="C610" s="104" t="str">
        <f>IF(DPS_Graph_True_Speed=TRUE,IF($A610&lt;=DPS_Graph_Max,IF($A610&gt;=DPS_Graph_Speed_Min,1/B610,),),)</f>
        <v/>
      </c>
      <c r="D610" s="115" t="str">
        <f>IF(DPS_Graph_True_Speed=TRUE,IF($E$8=$A610,DPS_Attacks_P_Sec,),)</f>
        <v/>
      </c>
      <c r="E610" s="222">
        <f>ROUNDDOWN(MAX(2,IF(A610&gt;=0, DPS_Base_Wpn_Spd/(1+A610),DPS_Base_Wpn_Spd*(1+ABS(A610)))),0)</f>
        <v>2</v>
      </c>
      <c r="F610" s="232">
        <f>IF(A610&gt;=0, DPS_Base_Recoil/(1+A610),DPS_Base_Recoil)</f>
        <v>0.01070663812</v>
      </c>
      <c r="G610" s="377">
        <f t="shared" si="7"/>
        <v>0.51</v>
      </c>
      <c r="H610" s="377">
        <f t="shared" si="8"/>
        <v>0.01665278934</v>
      </c>
      <c r="I610" s="104"/>
      <c r="J610" s="377">
        <f>MAX(0, Max(25,(DPS_Base_Range + ((DPS_Range_Stat) / 2))) / MIN(MAX(70, (70 * (1 + ($A610 / 3)))), 120))</f>
        <v>3.333333333</v>
      </c>
      <c r="K610" s="115" t="str">
        <f>IF(A610&lt;=DPS_Graph_Max,IF(A610&gt;=DPS_Graph_Speed_Min,A610,),)</f>
        <v/>
      </c>
      <c r="M610" s="213">
        <f>If(DPS_Weapon_Type="远程",$E610/60+$F610*2,$E610/60+$F610+$G610/2+$H610)</f>
        <v>0.05474660956</v>
      </c>
      <c r="N610" s="104" t="str">
        <f>IF(DPS_Graph_Tooltip_Speed=TRUE,IF($A610&lt;=DPS_Graph_Max,IF($A610&gt;=DPS_Graph_Speed_Min,1/M610,),),)</f>
        <v/>
      </c>
      <c r="R610" s="104" t="str">
        <f>IF(DPS_Graph_Tooltip_Speed=TRUE,IF($E$8=$A610,1/$N$6,),)</f>
        <v/>
      </c>
    </row>
    <row r="611">
      <c r="A611" s="370">
        <v>3.68</v>
      </c>
      <c r="B611" s="213">
        <f>If(DPS_Weapon_Type="远程",($E611+1)/60+(ROUNDDOWN($F611*60+1,0)/60)*2,(ROUNDDOWN(($E611+1)+ROUNDDOWN($F611*60+1,0)+ROUNDDOWN($G611/2*60+1,0)+ROUNDDOWN($H611*60+1,0)+1,0))/60+If(DPS_ATK_TYPE="挥砍",1/60)+If(DPS_ATK_TYPE="挥砍/刺击",1/120))+DPS_Weapon_Randomization/60</f>
        <v>0.105</v>
      </c>
      <c r="C611" s="104" t="str">
        <f>IF(DPS_Graph_True_Speed=TRUE,IF($A611&lt;=DPS_Graph_Max,IF($A611&gt;=DPS_Graph_Speed_Min,1/B611,),),)</f>
        <v/>
      </c>
      <c r="D611" s="115" t="str">
        <f>IF(DPS_Graph_True_Speed=TRUE,IF($E$8=$A611,DPS_Attacks_P_Sec,),)</f>
        <v/>
      </c>
      <c r="E611" s="222">
        <f>ROUNDDOWN(MAX(2,IF(A611&gt;=0, DPS_Base_Wpn_Spd/(1+A611),DPS_Base_Wpn_Spd*(1+ABS(A611)))),0)</f>
        <v>2</v>
      </c>
      <c r="F611" s="232">
        <f>IF(A611&gt;=0, DPS_Base_Recoil/(1+A611),DPS_Base_Recoil)</f>
        <v>0.01068376068</v>
      </c>
      <c r="G611" s="377">
        <f t="shared" si="7"/>
        <v>0.51</v>
      </c>
      <c r="H611" s="377">
        <f t="shared" si="8"/>
        <v>0.01661129568</v>
      </c>
      <c r="I611" s="104"/>
      <c r="J611" s="377">
        <f>MAX(0, Max(25,(DPS_Base_Range + ((DPS_Range_Stat) / 2))) / MIN(MAX(70, (70 * (1 + ($A611 / 3)))), 120))</f>
        <v>3.333333333</v>
      </c>
      <c r="K611" s="115" t="str">
        <f>IF(A611&lt;=DPS_Graph_Max,IF(A611&gt;=DPS_Graph_Speed_Min,A611,),)</f>
        <v/>
      </c>
      <c r="M611" s="213">
        <f>If(DPS_Weapon_Type="远程",$E611/60+$F611*2,$E611/60+$F611+$G611/2+$H611)</f>
        <v>0.0547008547</v>
      </c>
      <c r="N611" s="104" t="str">
        <f>IF(DPS_Graph_Tooltip_Speed=TRUE,IF($A611&lt;=DPS_Graph_Max,IF($A611&gt;=DPS_Graph_Speed_Min,1/M611,),),)</f>
        <v/>
      </c>
      <c r="R611" s="104" t="str">
        <f>IF(DPS_Graph_Tooltip_Speed=TRUE,IF($E$8=$A611,1/$N$6,),)</f>
        <v/>
      </c>
    </row>
    <row r="612">
      <c r="A612" s="370">
        <v>3.69</v>
      </c>
      <c r="B612" s="213">
        <f>If(DPS_Weapon_Type="远程",($E612+1)/60+(ROUNDDOWN($F612*60+1,0)/60)*2,(ROUNDDOWN(($E612+1)+ROUNDDOWN($F612*60+1,0)+ROUNDDOWN($G612/2*60+1,0)+ROUNDDOWN($H612*60+1,0)+1,0))/60+If(DPS_ATK_TYPE="挥砍",1/60)+If(DPS_ATK_TYPE="挥砍/刺击",1/120))+DPS_Weapon_Randomization/60</f>
        <v>0.105</v>
      </c>
      <c r="C612" s="104" t="str">
        <f>IF(DPS_Graph_True_Speed=TRUE,IF($A612&lt;=DPS_Graph_Max,IF($A612&gt;=DPS_Graph_Speed_Min,1/B612,),),)</f>
        <v/>
      </c>
      <c r="D612" s="115" t="str">
        <f>IF(DPS_Graph_True_Speed=TRUE,IF($E$8=$A612,DPS_Attacks_P_Sec,),)</f>
        <v/>
      </c>
      <c r="E612" s="222">
        <f>ROUNDDOWN(MAX(2,IF(A612&gt;=0, DPS_Base_Wpn_Spd/(1+A612),DPS_Base_Wpn_Spd*(1+ABS(A612)))),0)</f>
        <v>2</v>
      </c>
      <c r="F612" s="232">
        <f>IF(A612&gt;=0, DPS_Base_Recoil/(1+A612),DPS_Base_Recoil)</f>
        <v>0.01066098081</v>
      </c>
      <c r="G612" s="377">
        <f t="shared" si="7"/>
        <v>0.51</v>
      </c>
      <c r="H612" s="377">
        <f t="shared" si="8"/>
        <v>0.01657000829</v>
      </c>
      <c r="I612" s="104"/>
      <c r="J612" s="377">
        <f>MAX(0, Max(25,(DPS_Base_Range + ((DPS_Range_Stat) / 2))) / MIN(MAX(70, (70 * (1 + ($A612 / 3)))), 120))</f>
        <v>3.333333333</v>
      </c>
      <c r="K612" s="115" t="str">
        <f>IF(A612&lt;=DPS_Graph_Max,IF(A612&gt;=DPS_Graph_Speed_Min,A612,),)</f>
        <v/>
      </c>
      <c r="M612" s="213">
        <f>If(DPS_Weapon_Type="远程",$E612/60+$F612*2,$E612/60+$F612+$G612/2+$H612)</f>
        <v>0.05465529495</v>
      </c>
      <c r="N612" s="104" t="str">
        <f>IF(DPS_Graph_Tooltip_Speed=TRUE,IF($A612&lt;=DPS_Graph_Max,IF($A612&gt;=DPS_Graph_Speed_Min,1/M612,),),)</f>
        <v/>
      </c>
      <c r="R612" s="104" t="str">
        <f>IF(DPS_Graph_Tooltip_Speed=TRUE,IF($E$8=$A612,1/$N$6,),)</f>
        <v/>
      </c>
    </row>
    <row r="613">
      <c r="A613" s="370">
        <v>3.7</v>
      </c>
      <c r="B613" s="213">
        <f>If(DPS_Weapon_Type="远程",($E613+1)/60+(ROUNDDOWN($F613*60+1,0)/60)*2,(ROUNDDOWN(($E613+1)+ROUNDDOWN($F613*60+1,0)+ROUNDDOWN($G613/2*60+1,0)+ROUNDDOWN($H613*60+1,0)+1,0))/60+If(DPS_ATK_TYPE="挥砍",1/60)+If(DPS_ATK_TYPE="挥砍/刺击",1/120))+DPS_Weapon_Randomization/60</f>
        <v>0.105</v>
      </c>
      <c r="C613" s="104" t="str">
        <f>IF(DPS_Graph_True_Speed=TRUE,IF($A613&lt;=DPS_Graph_Max,IF($A613&gt;=DPS_Graph_Speed_Min,1/B613,),),)</f>
        <v/>
      </c>
      <c r="D613" s="115" t="str">
        <f>IF(DPS_Graph_True_Speed=TRUE,IF($E$8=$A613,DPS_Attacks_P_Sec,),)</f>
        <v/>
      </c>
      <c r="E613" s="222">
        <f>ROUNDDOWN(MAX(2,IF(A613&gt;=0, DPS_Base_Wpn_Spd/(1+A613),DPS_Base_Wpn_Spd*(1+ABS(A613)))),0)</f>
        <v>2</v>
      </c>
      <c r="F613" s="232">
        <f>IF(A613&gt;=0, DPS_Base_Recoil/(1+A613),DPS_Base_Recoil)</f>
        <v>0.01063829787</v>
      </c>
      <c r="G613" s="377">
        <f t="shared" si="7"/>
        <v>0.51</v>
      </c>
      <c r="H613" s="377">
        <f t="shared" si="8"/>
        <v>0.01652892562</v>
      </c>
      <c r="I613" s="104"/>
      <c r="J613" s="377">
        <f>MAX(0, Max(25,(DPS_Base_Range + ((DPS_Range_Stat) / 2))) / MIN(MAX(70, (70 * (1 + ($A613 / 3)))), 120))</f>
        <v>3.333333333</v>
      </c>
      <c r="K613" s="115" t="str">
        <f>IF(A613&lt;=DPS_Graph_Max,IF(A613&gt;=DPS_Graph_Speed_Min,A613,),)</f>
        <v/>
      </c>
      <c r="M613" s="213">
        <f>If(DPS_Weapon_Type="远程",$E613/60+$F613*2,$E613/60+$F613+$G613/2+$H613)</f>
        <v>0.05460992908</v>
      </c>
      <c r="N613" s="104" t="str">
        <f>IF(DPS_Graph_Tooltip_Speed=TRUE,IF($A613&lt;=DPS_Graph_Max,IF($A613&gt;=DPS_Graph_Speed_Min,1/M613,),),)</f>
        <v/>
      </c>
      <c r="R613" s="104" t="str">
        <f>IF(DPS_Graph_Tooltip_Speed=TRUE,IF($E$8=$A613,1/$N$6,),)</f>
        <v/>
      </c>
    </row>
    <row r="614">
      <c r="A614" s="370">
        <v>3.71</v>
      </c>
      <c r="B614" s="213">
        <f>If(DPS_Weapon_Type="远程",($E614+1)/60+(ROUNDDOWN($F614*60+1,0)/60)*2,(ROUNDDOWN(($E614+1)+ROUNDDOWN($F614*60+1,0)+ROUNDDOWN($G614/2*60+1,0)+ROUNDDOWN($H614*60+1,0)+1,0))/60+If(DPS_ATK_TYPE="挥砍",1/60)+If(DPS_ATK_TYPE="挥砍/刺击",1/120))+DPS_Weapon_Randomization/60</f>
        <v>0.105</v>
      </c>
      <c r="C614" s="104" t="str">
        <f>IF(DPS_Graph_True_Speed=TRUE,IF($A614&lt;=DPS_Graph_Max,IF($A614&gt;=DPS_Graph_Speed_Min,1/B614,),),)</f>
        <v/>
      </c>
      <c r="D614" s="115" t="str">
        <f>IF(DPS_Graph_True_Speed=TRUE,IF($E$8=$A614,DPS_Attacks_P_Sec,),)</f>
        <v/>
      </c>
      <c r="E614" s="222">
        <f>ROUNDDOWN(MAX(2,IF(A614&gt;=0, DPS_Base_Wpn_Spd/(1+A614),DPS_Base_Wpn_Spd*(1+ABS(A614)))),0)</f>
        <v>2</v>
      </c>
      <c r="F614" s="232">
        <f>IF(A614&gt;=0, DPS_Base_Recoil/(1+A614),DPS_Base_Recoil)</f>
        <v>0.01061571125</v>
      </c>
      <c r="G614" s="377">
        <f t="shared" si="7"/>
        <v>0.51</v>
      </c>
      <c r="H614" s="377">
        <f t="shared" si="8"/>
        <v>0.01648804617</v>
      </c>
      <c r="I614" s="104"/>
      <c r="J614" s="377">
        <f>MAX(0, Max(25,(DPS_Base_Range + ((DPS_Range_Stat) / 2))) / MIN(MAX(70, (70 * (1 + ($A614 / 3)))), 120))</f>
        <v>3.333333333</v>
      </c>
      <c r="K614" s="115" t="str">
        <f>IF(A614&lt;=DPS_Graph_Max,IF(A614&gt;=DPS_Graph_Speed_Min,A614,),)</f>
        <v/>
      </c>
      <c r="M614" s="213">
        <f>If(DPS_Weapon_Type="远程",$E614/60+$F614*2,$E614/60+$F614+$G614/2+$H614)</f>
        <v>0.05456475584</v>
      </c>
      <c r="N614" s="104" t="str">
        <f>IF(DPS_Graph_Tooltip_Speed=TRUE,IF($A614&lt;=DPS_Graph_Max,IF($A614&gt;=DPS_Graph_Speed_Min,1/M614,),),)</f>
        <v/>
      </c>
      <c r="R614" s="104" t="str">
        <f>IF(DPS_Graph_Tooltip_Speed=TRUE,IF($E$8=$A614,1/$N$6,),)</f>
        <v/>
      </c>
    </row>
    <row r="615">
      <c r="A615" s="370">
        <v>3.72</v>
      </c>
      <c r="B615" s="213">
        <f>If(DPS_Weapon_Type="远程",($E615+1)/60+(ROUNDDOWN($F615*60+1,0)/60)*2,(ROUNDDOWN(($E615+1)+ROUNDDOWN($F615*60+1,0)+ROUNDDOWN($G615/2*60+1,0)+ROUNDDOWN($H615*60+1,0)+1,0))/60+If(DPS_ATK_TYPE="挥砍",1/60)+If(DPS_ATK_TYPE="挥砍/刺击",1/120))+DPS_Weapon_Randomization/60</f>
        <v>0.105</v>
      </c>
      <c r="C615" s="104" t="str">
        <f>IF(DPS_Graph_True_Speed=TRUE,IF($A615&lt;=DPS_Graph_Max,IF($A615&gt;=DPS_Graph_Speed_Min,1/B615,),),)</f>
        <v/>
      </c>
      <c r="D615" s="115" t="str">
        <f>IF(DPS_Graph_True_Speed=TRUE,IF($E$8=$A615,DPS_Attacks_P_Sec,),)</f>
        <v/>
      </c>
      <c r="E615" s="222">
        <f>ROUNDDOWN(MAX(2,IF(A615&gt;=0, DPS_Base_Wpn_Spd/(1+A615),DPS_Base_Wpn_Spd*(1+ABS(A615)))),0)</f>
        <v>2</v>
      </c>
      <c r="F615" s="232">
        <f>IF(A615&gt;=0, DPS_Base_Recoil/(1+A615),DPS_Base_Recoil)</f>
        <v>0.01059322034</v>
      </c>
      <c r="G615" s="377">
        <f t="shared" si="7"/>
        <v>0.51</v>
      </c>
      <c r="H615" s="377">
        <f t="shared" si="8"/>
        <v>0.01644736842</v>
      </c>
      <c r="I615" s="104"/>
      <c r="J615" s="377">
        <f>MAX(0, Max(25,(DPS_Base_Range + ((DPS_Range_Stat) / 2))) / MIN(MAX(70, (70 * (1 + ($A615 / 3)))), 120))</f>
        <v>3.333333333</v>
      </c>
      <c r="K615" s="115" t="str">
        <f>IF(A615&lt;=DPS_Graph_Max,IF(A615&gt;=DPS_Graph_Speed_Min,A615,),)</f>
        <v/>
      </c>
      <c r="M615" s="213">
        <f>If(DPS_Weapon_Type="远程",$E615/60+$F615*2,$E615/60+$F615+$G615/2+$H615)</f>
        <v>0.05451977401</v>
      </c>
      <c r="N615" s="104" t="str">
        <f>IF(DPS_Graph_Tooltip_Speed=TRUE,IF($A615&lt;=DPS_Graph_Max,IF($A615&gt;=DPS_Graph_Speed_Min,1/M615,),),)</f>
        <v/>
      </c>
      <c r="R615" s="104" t="str">
        <f>IF(DPS_Graph_Tooltip_Speed=TRUE,IF($E$8=$A615,1/$N$6,),)</f>
        <v/>
      </c>
    </row>
    <row r="616">
      <c r="A616" s="370">
        <v>3.73</v>
      </c>
      <c r="B616" s="213">
        <f>If(DPS_Weapon_Type="远程",($E616+1)/60+(ROUNDDOWN($F616*60+1,0)/60)*2,(ROUNDDOWN(($E616+1)+ROUNDDOWN($F616*60+1,0)+ROUNDDOWN($G616/2*60+1,0)+ROUNDDOWN($H616*60+1,0)+1,0))/60+If(DPS_ATK_TYPE="挥砍",1/60)+If(DPS_ATK_TYPE="挥砍/刺击",1/120))+DPS_Weapon_Randomization/60</f>
        <v>0.105</v>
      </c>
      <c r="C616" s="104" t="str">
        <f>IF(DPS_Graph_True_Speed=TRUE,IF($A616&lt;=DPS_Graph_Max,IF($A616&gt;=DPS_Graph_Speed_Min,1/B616,),),)</f>
        <v/>
      </c>
      <c r="D616" s="115" t="str">
        <f>IF(DPS_Graph_True_Speed=TRUE,IF($E$8=$A616,DPS_Attacks_P_Sec,),)</f>
        <v/>
      </c>
      <c r="E616" s="222">
        <f>ROUNDDOWN(MAX(2,IF(A616&gt;=0, DPS_Base_Wpn_Spd/(1+A616),DPS_Base_Wpn_Spd*(1+ABS(A616)))),0)</f>
        <v>2</v>
      </c>
      <c r="F616" s="232">
        <f>IF(A616&gt;=0, DPS_Base_Recoil/(1+A616),DPS_Base_Recoil)</f>
        <v>0.01057082452</v>
      </c>
      <c r="G616" s="377">
        <f t="shared" si="7"/>
        <v>0.51</v>
      </c>
      <c r="H616" s="377">
        <f t="shared" si="8"/>
        <v>0.01640689089</v>
      </c>
      <c r="I616" s="104"/>
      <c r="J616" s="377">
        <f>MAX(0, Max(25,(DPS_Base_Range + ((DPS_Range_Stat) / 2))) / MIN(MAX(70, (70 * (1 + ($A616 / 3)))), 120))</f>
        <v>3.333333333</v>
      </c>
      <c r="K616" s="115" t="str">
        <f>IF(A616&lt;=DPS_Graph_Max,IF(A616&gt;=DPS_Graph_Speed_Min,A616,),)</f>
        <v/>
      </c>
      <c r="M616" s="213">
        <f>If(DPS_Weapon_Type="远程",$E616/60+$F616*2,$E616/60+$F616+$G616/2+$H616)</f>
        <v>0.05447498238</v>
      </c>
      <c r="N616" s="104" t="str">
        <f>IF(DPS_Graph_Tooltip_Speed=TRUE,IF($A616&lt;=DPS_Graph_Max,IF($A616&gt;=DPS_Graph_Speed_Min,1/M616,),),)</f>
        <v/>
      </c>
      <c r="R616" s="104" t="str">
        <f>IF(DPS_Graph_Tooltip_Speed=TRUE,IF($E$8=$A616,1/$N$6,),)</f>
        <v/>
      </c>
    </row>
    <row r="617">
      <c r="A617" s="370">
        <v>3.74</v>
      </c>
      <c r="B617" s="213">
        <f>If(DPS_Weapon_Type="远程",($E617+1)/60+(ROUNDDOWN($F617*60+1,0)/60)*2,(ROUNDDOWN(($E617+1)+ROUNDDOWN($F617*60+1,0)+ROUNDDOWN($G617/2*60+1,0)+ROUNDDOWN($H617*60+1,0)+1,0))/60+If(DPS_ATK_TYPE="挥砍",1/60)+If(DPS_ATK_TYPE="挥砍/刺击",1/120))+DPS_Weapon_Randomization/60</f>
        <v>0.105</v>
      </c>
      <c r="C617" s="104" t="str">
        <f>IF(DPS_Graph_True_Speed=TRUE,IF($A617&lt;=DPS_Graph_Max,IF($A617&gt;=DPS_Graph_Speed_Min,1/B617,),),)</f>
        <v/>
      </c>
      <c r="D617" s="115" t="str">
        <f>IF(DPS_Graph_True_Speed=TRUE,IF($E$8=$A617,DPS_Attacks_P_Sec,),)</f>
        <v/>
      </c>
      <c r="E617" s="222">
        <f>ROUNDDOWN(MAX(2,IF(A617&gt;=0, DPS_Base_Wpn_Spd/(1+A617),DPS_Base_Wpn_Spd*(1+ABS(A617)))),0)</f>
        <v>2</v>
      </c>
      <c r="F617" s="232">
        <f>IF(A617&gt;=0, DPS_Base_Recoil/(1+A617),DPS_Base_Recoil)</f>
        <v>0.01054852321</v>
      </c>
      <c r="G617" s="377">
        <f t="shared" si="7"/>
        <v>0.51</v>
      </c>
      <c r="H617" s="377">
        <f t="shared" si="8"/>
        <v>0.01636661211</v>
      </c>
      <c r="I617" s="104"/>
      <c r="J617" s="377">
        <f>MAX(0, Max(25,(DPS_Base_Range + ((DPS_Range_Stat) / 2))) / MIN(MAX(70, (70 * (1 + ($A617 / 3)))), 120))</f>
        <v>3.333333333</v>
      </c>
      <c r="K617" s="115" t="str">
        <f>IF(A617&lt;=DPS_Graph_Max,IF(A617&gt;=DPS_Graph_Speed_Min,A617,),)</f>
        <v/>
      </c>
      <c r="M617" s="213">
        <f>If(DPS_Weapon_Type="远程",$E617/60+$F617*2,$E617/60+$F617+$G617/2+$H617)</f>
        <v>0.05443037975</v>
      </c>
      <c r="N617" s="104" t="str">
        <f>IF(DPS_Graph_Tooltip_Speed=TRUE,IF($A617&lt;=DPS_Graph_Max,IF($A617&gt;=DPS_Graph_Speed_Min,1/M617,),),)</f>
        <v/>
      </c>
      <c r="R617" s="104" t="str">
        <f>IF(DPS_Graph_Tooltip_Speed=TRUE,IF($E$8=$A617,1/$N$6,),)</f>
        <v/>
      </c>
    </row>
    <row r="618">
      <c r="A618" s="370">
        <v>3.75</v>
      </c>
      <c r="B618" s="213">
        <f>If(DPS_Weapon_Type="远程",($E618+1)/60+(ROUNDDOWN($F618*60+1,0)/60)*2,(ROUNDDOWN(($E618+1)+ROUNDDOWN($F618*60+1,0)+ROUNDDOWN($G618/2*60+1,0)+ROUNDDOWN($H618*60+1,0)+1,0))/60+If(DPS_ATK_TYPE="挥砍",1/60)+If(DPS_ATK_TYPE="挥砍/刺击",1/120))+DPS_Weapon_Randomization/60</f>
        <v>0.105</v>
      </c>
      <c r="C618" s="104" t="str">
        <f>IF(DPS_Graph_True_Speed=TRUE,IF($A618&lt;=DPS_Graph_Max,IF($A618&gt;=DPS_Graph_Speed_Min,1/B618,),),)</f>
        <v/>
      </c>
      <c r="D618" s="115" t="str">
        <f>IF(DPS_Graph_True_Speed=TRUE,IF($E$8=$A618,DPS_Attacks_P_Sec,),)</f>
        <v/>
      </c>
      <c r="E618" s="222">
        <f>ROUNDDOWN(MAX(2,IF(A618&gt;=0, DPS_Base_Wpn_Spd/(1+A618),DPS_Base_Wpn_Spd*(1+ABS(A618)))),0)</f>
        <v>2</v>
      </c>
      <c r="F618" s="232">
        <f>IF(A618&gt;=0, DPS_Base_Recoil/(1+A618),DPS_Base_Recoil)</f>
        <v>0.01052631579</v>
      </c>
      <c r="G618" s="377">
        <f t="shared" si="7"/>
        <v>0.51</v>
      </c>
      <c r="H618" s="377">
        <f t="shared" si="8"/>
        <v>0.01632653061</v>
      </c>
      <c r="I618" s="104"/>
      <c r="J618" s="377">
        <f>MAX(0, Max(25,(DPS_Base_Range + ((DPS_Range_Stat) / 2))) / MIN(MAX(70, (70 * (1 + ($A618 / 3)))), 120))</f>
        <v>3.333333333</v>
      </c>
      <c r="K618" s="115" t="str">
        <f>IF(A618&lt;=DPS_Graph_Max,IF(A618&gt;=DPS_Graph_Speed_Min,A618,),)</f>
        <v/>
      </c>
      <c r="M618" s="213">
        <f>If(DPS_Weapon_Type="远程",$E618/60+$F618*2,$E618/60+$F618+$G618/2+$H618)</f>
        <v>0.05438596491</v>
      </c>
      <c r="N618" s="104" t="str">
        <f>IF(DPS_Graph_Tooltip_Speed=TRUE,IF($A618&lt;=DPS_Graph_Max,IF($A618&gt;=DPS_Graph_Speed_Min,1/M618,),),)</f>
        <v/>
      </c>
      <c r="R618" s="104" t="str">
        <f>IF(DPS_Graph_Tooltip_Speed=TRUE,IF($E$8=$A618,1/$N$6,),)</f>
        <v/>
      </c>
    </row>
    <row r="619">
      <c r="A619" s="370">
        <v>3.76</v>
      </c>
      <c r="B619" s="213">
        <f>If(DPS_Weapon_Type="远程",($E619+1)/60+(ROUNDDOWN($F619*60+1,0)/60)*2,(ROUNDDOWN(($E619+1)+ROUNDDOWN($F619*60+1,0)+ROUNDDOWN($G619/2*60+1,0)+ROUNDDOWN($H619*60+1,0)+1,0))/60+If(DPS_ATK_TYPE="挥砍",1/60)+If(DPS_ATK_TYPE="挥砍/刺击",1/120))+DPS_Weapon_Randomization/60</f>
        <v>0.105</v>
      </c>
      <c r="C619" s="104" t="str">
        <f>IF(DPS_Graph_True_Speed=TRUE,IF($A619&lt;=DPS_Graph_Max,IF($A619&gt;=DPS_Graph_Speed_Min,1/B619,),),)</f>
        <v/>
      </c>
      <c r="D619" s="115" t="str">
        <f>IF(DPS_Graph_True_Speed=TRUE,IF($E$8=$A619,DPS_Attacks_P_Sec,),)</f>
        <v/>
      </c>
      <c r="E619" s="222">
        <f>ROUNDDOWN(MAX(2,IF(A619&gt;=0, DPS_Base_Wpn_Spd/(1+A619),DPS_Base_Wpn_Spd*(1+ABS(A619)))),0)</f>
        <v>2</v>
      </c>
      <c r="F619" s="232">
        <f>IF(A619&gt;=0, DPS_Base_Recoil/(1+A619),DPS_Base_Recoil)</f>
        <v>0.01050420168</v>
      </c>
      <c r="G619" s="377">
        <f t="shared" si="7"/>
        <v>0.51</v>
      </c>
      <c r="H619" s="377">
        <f t="shared" si="8"/>
        <v>0.01628664495</v>
      </c>
      <c r="I619" s="104"/>
      <c r="J619" s="377">
        <f>MAX(0, Max(25,(DPS_Base_Range + ((DPS_Range_Stat) / 2))) / MIN(MAX(70, (70 * (1 + ($A619 / 3)))), 120))</f>
        <v>3.333333333</v>
      </c>
      <c r="K619" s="115" t="str">
        <f>IF(A619&lt;=DPS_Graph_Max,IF(A619&gt;=DPS_Graph_Speed_Min,A619,),)</f>
        <v/>
      </c>
      <c r="M619" s="213">
        <f>If(DPS_Weapon_Type="远程",$E619/60+$F619*2,$E619/60+$F619+$G619/2+$H619)</f>
        <v>0.05434173669</v>
      </c>
      <c r="N619" s="104" t="str">
        <f>IF(DPS_Graph_Tooltip_Speed=TRUE,IF($A619&lt;=DPS_Graph_Max,IF($A619&gt;=DPS_Graph_Speed_Min,1/M619,),),)</f>
        <v/>
      </c>
      <c r="R619" s="104" t="str">
        <f>IF(DPS_Graph_Tooltip_Speed=TRUE,IF($E$8=$A619,1/$N$6,),)</f>
        <v/>
      </c>
    </row>
    <row r="620">
      <c r="A620" s="370">
        <v>3.77</v>
      </c>
      <c r="B620" s="213">
        <f>If(DPS_Weapon_Type="远程",($E620+1)/60+(ROUNDDOWN($F620*60+1,0)/60)*2,(ROUNDDOWN(($E620+1)+ROUNDDOWN($F620*60+1,0)+ROUNDDOWN($G620/2*60+1,0)+ROUNDDOWN($H620*60+1,0)+1,0))/60+If(DPS_ATK_TYPE="挥砍",1/60)+If(DPS_ATK_TYPE="挥砍/刺击",1/120))+DPS_Weapon_Randomization/60</f>
        <v>0.105</v>
      </c>
      <c r="C620" s="104" t="str">
        <f>IF(DPS_Graph_True_Speed=TRUE,IF($A620&lt;=DPS_Graph_Max,IF($A620&gt;=DPS_Graph_Speed_Min,1/B620,),),)</f>
        <v/>
      </c>
      <c r="D620" s="115" t="str">
        <f>IF(DPS_Graph_True_Speed=TRUE,IF($E$8=$A620,DPS_Attacks_P_Sec,),)</f>
        <v/>
      </c>
      <c r="E620" s="222">
        <f>ROUNDDOWN(MAX(2,IF(A620&gt;=0, DPS_Base_Wpn_Spd/(1+A620),DPS_Base_Wpn_Spd*(1+ABS(A620)))),0)</f>
        <v>2</v>
      </c>
      <c r="F620" s="232">
        <f>IF(A620&gt;=0, DPS_Base_Recoil/(1+A620),DPS_Base_Recoil)</f>
        <v>0.01048218029</v>
      </c>
      <c r="G620" s="377">
        <f t="shared" si="7"/>
        <v>0.51</v>
      </c>
      <c r="H620" s="377">
        <f t="shared" si="8"/>
        <v>0.0162469537</v>
      </c>
      <c r="I620" s="104"/>
      <c r="J620" s="377">
        <f>MAX(0, Max(25,(DPS_Base_Range + ((DPS_Range_Stat) / 2))) / MIN(MAX(70, (70 * (1 + ($A620 / 3)))), 120))</f>
        <v>3.333333333</v>
      </c>
      <c r="K620" s="115" t="str">
        <f>IF(A620&lt;=DPS_Graph_Max,IF(A620&gt;=DPS_Graph_Speed_Min,A620,),)</f>
        <v/>
      </c>
      <c r="M620" s="213">
        <f>If(DPS_Weapon_Type="远程",$E620/60+$F620*2,$E620/60+$F620+$G620/2+$H620)</f>
        <v>0.05429769392</v>
      </c>
      <c r="N620" s="104" t="str">
        <f>IF(DPS_Graph_Tooltip_Speed=TRUE,IF($A620&lt;=DPS_Graph_Max,IF($A620&gt;=DPS_Graph_Speed_Min,1/M620,),),)</f>
        <v/>
      </c>
      <c r="R620" s="104" t="str">
        <f>IF(DPS_Graph_Tooltip_Speed=TRUE,IF($E$8=$A620,1/$N$6,),)</f>
        <v/>
      </c>
    </row>
    <row r="621">
      <c r="A621" s="370">
        <v>3.78</v>
      </c>
      <c r="B621" s="213">
        <f>If(DPS_Weapon_Type="远程",($E621+1)/60+(ROUNDDOWN($F621*60+1,0)/60)*2,(ROUNDDOWN(($E621+1)+ROUNDDOWN($F621*60+1,0)+ROUNDDOWN($G621/2*60+1,0)+ROUNDDOWN($H621*60+1,0)+1,0))/60+If(DPS_ATK_TYPE="挥砍",1/60)+If(DPS_ATK_TYPE="挥砍/刺击",1/120))+DPS_Weapon_Randomization/60</f>
        <v>0.105</v>
      </c>
      <c r="C621" s="104" t="str">
        <f>IF(DPS_Graph_True_Speed=TRUE,IF($A621&lt;=DPS_Graph_Max,IF($A621&gt;=DPS_Graph_Speed_Min,1/B621,),),)</f>
        <v/>
      </c>
      <c r="D621" s="115" t="str">
        <f>IF(DPS_Graph_True_Speed=TRUE,IF($E$8=$A621,DPS_Attacks_P_Sec,),)</f>
        <v/>
      </c>
      <c r="E621" s="222">
        <f>ROUNDDOWN(MAX(2,IF(A621&gt;=0, DPS_Base_Wpn_Spd/(1+A621),DPS_Base_Wpn_Spd*(1+ABS(A621)))),0)</f>
        <v>2</v>
      </c>
      <c r="F621" s="232">
        <f>IF(A621&gt;=0, DPS_Base_Recoil/(1+A621),DPS_Base_Recoil)</f>
        <v>0.01046025105</v>
      </c>
      <c r="G621" s="377">
        <f t="shared" si="7"/>
        <v>0.51</v>
      </c>
      <c r="H621" s="377">
        <f t="shared" si="8"/>
        <v>0.01620745543</v>
      </c>
      <c r="I621" s="104"/>
      <c r="J621" s="377">
        <f>MAX(0, Max(25,(DPS_Base_Range + ((DPS_Range_Stat) / 2))) / MIN(MAX(70, (70 * (1 + ($A621 / 3)))), 120))</f>
        <v>3.333333333</v>
      </c>
      <c r="K621" s="115" t="str">
        <f>IF(A621&lt;=DPS_Graph_Max,IF(A621&gt;=DPS_Graph_Speed_Min,A621,),)</f>
        <v/>
      </c>
      <c r="M621" s="213">
        <f>If(DPS_Weapon_Type="远程",$E621/60+$F621*2,$E621/60+$F621+$G621/2+$H621)</f>
        <v>0.05425383543</v>
      </c>
      <c r="N621" s="104" t="str">
        <f>IF(DPS_Graph_Tooltip_Speed=TRUE,IF($A621&lt;=DPS_Graph_Max,IF($A621&gt;=DPS_Graph_Speed_Min,1/M621,),),)</f>
        <v/>
      </c>
      <c r="R621" s="104" t="str">
        <f>IF(DPS_Graph_Tooltip_Speed=TRUE,IF($E$8=$A621,1/$N$6,),)</f>
        <v/>
      </c>
    </row>
    <row r="622">
      <c r="A622" s="370">
        <v>3.79</v>
      </c>
      <c r="B622" s="213">
        <f>If(DPS_Weapon_Type="远程",($E622+1)/60+(ROUNDDOWN($F622*60+1,0)/60)*2,(ROUNDDOWN(($E622+1)+ROUNDDOWN($F622*60+1,0)+ROUNDDOWN($G622/2*60+1,0)+ROUNDDOWN($H622*60+1,0)+1,0))/60+If(DPS_ATK_TYPE="挥砍",1/60)+If(DPS_ATK_TYPE="挥砍/刺击",1/120))+DPS_Weapon_Randomization/60</f>
        <v>0.105</v>
      </c>
      <c r="C622" s="104" t="str">
        <f>IF(DPS_Graph_True_Speed=TRUE,IF($A622&lt;=DPS_Graph_Max,IF($A622&gt;=DPS_Graph_Speed_Min,1/B622,),),)</f>
        <v/>
      </c>
      <c r="D622" s="115" t="str">
        <f>IF(DPS_Graph_True_Speed=TRUE,IF($E$8=$A622,DPS_Attacks_P_Sec,),)</f>
        <v/>
      </c>
      <c r="E622" s="222">
        <f>ROUNDDOWN(MAX(2,IF(A622&gt;=0, DPS_Base_Wpn_Spd/(1+A622),DPS_Base_Wpn_Spd*(1+ABS(A622)))),0)</f>
        <v>2</v>
      </c>
      <c r="F622" s="232">
        <f>IF(A622&gt;=0, DPS_Base_Recoil/(1+A622),DPS_Base_Recoil)</f>
        <v>0.01043841336</v>
      </c>
      <c r="G622" s="377">
        <f t="shared" si="7"/>
        <v>0.51</v>
      </c>
      <c r="H622" s="377">
        <f t="shared" si="8"/>
        <v>0.01616814875</v>
      </c>
      <c r="I622" s="104"/>
      <c r="J622" s="377">
        <f>MAX(0, Max(25,(DPS_Base_Range + ((DPS_Range_Stat) / 2))) / MIN(MAX(70, (70 * (1 + ($A622 / 3)))), 120))</f>
        <v>3.333333333</v>
      </c>
      <c r="K622" s="115" t="str">
        <f>IF(A622&lt;=DPS_Graph_Max,IF(A622&gt;=DPS_Graph_Speed_Min,A622,),)</f>
        <v/>
      </c>
      <c r="M622" s="213">
        <f>If(DPS_Weapon_Type="远程",$E622/60+$F622*2,$E622/60+$F622+$G622/2+$H622)</f>
        <v>0.05421016006</v>
      </c>
      <c r="N622" s="104" t="str">
        <f>IF(DPS_Graph_Tooltip_Speed=TRUE,IF($A622&lt;=DPS_Graph_Max,IF($A622&gt;=DPS_Graph_Speed_Min,1/M622,),),)</f>
        <v/>
      </c>
      <c r="R622" s="104" t="str">
        <f>IF(DPS_Graph_Tooltip_Speed=TRUE,IF($E$8=$A622,1/$N$6,),)</f>
        <v/>
      </c>
    </row>
    <row r="623">
      <c r="A623" s="370">
        <v>3.8</v>
      </c>
      <c r="B623" s="213">
        <f>If(DPS_Weapon_Type="远程",($E623+1)/60+(ROUNDDOWN($F623*60+1,0)/60)*2,(ROUNDDOWN(($E623+1)+ROUNDDOWN($F623*60+1,0)+ROUNDDOWN($G623/2*60+1,0)+ROUNDDOWN($H623*60+1,0)+1,0))/60+If(DPS_ATK_TYPE="挥砍",1/60)+If(DPS_ATK_TYPE="挥砍/刺击",1/120))+DPS_Weapon_Randomization/60</f>
        <v>0.105</v>
      </c>
      <c r="C623" s="104" t="str">
        <f>IF(DPS_Graph_True_Speed=TRUE,IF($A623&lt;=DPS_Graph_Max,IF($A623&gt;=DPS_Graph_Speed_Min,1/B623,),),)</f>
        <v/>
      </c>
      <c r="D623" s="115" t="str">
        <f>IF(DPS_Graph_True_Speed=TRUE,IF($E$8=$A623,DPS_Attacks_P_Sec,),)</f>
        <v/>
      </c>
      <c r="E623" s="222">
        <f>ROUNDDOWN(MAX(2,IF(A623&gt;=0, DPS_Base_Wpn_Spd/(1+A623),DPS_Base_Wpn_Spd*(1+ABS(A623)))),0)</f>
        <v>2</v>
      </c>
      <c r="F623" s="232">
        <f>IF(A623&gt;=0, DPS_Base_Recoil/(1+A623),DPS_Base_Recoil)</f>
        <v>0.01041666667</v>
      </c>
      <c r="G623" s="377">
        <f t="shared" si="7"/>
        <v>0.51</v>
      </c>
      <c r="H623" s="377">
        <f t="shared" si="8"/>
        <v>0.01612903226</v>
      </c>
      <c r="I623" s="104"/>
      <c r="J623" s="377">
        <f>MAX(0, Max(25,(DPS_Base_Range + ((DPS_Range_Stat) / 2))) / MIN(MAX(70, (70 * (1 + ($A623 / 3)))), 120))</f>
        <v>3.333333333</v>
      </c>
      <c r="K623" s="115" t="str">
        <f>IF(A623&lt;=DPS_Graph_Max,IF(A623&gt;=DPS_Graph_Speed_Min,A623,),)</f>
        <v/>
      </c>
      <c r="M623" s="213">
        <f>If(DPS_Weapon_Type="远程",$E623/60+$F623*2,$E623/60+$F623+$G623/2+$H623)</f>
        <v>0.05416666667</v>
      </c>
      <c r="N623" s="104" t="str">
        <f>IF(DPS_Graph_Tooltip_Speed=TRUE,IF($A623&lt;=DPS_Graph_Max,IF($A623&gt;=DPS_Graph_Speed_Min,1/M623,),),)</f>
        <v/>
      </c>
      <c r="R623" s="104" t="str">
        <f>IF(DPS_Graph_Tooltip_Speed=TRUE,IF($E$8=$A623,1/$N$6,),)</f>
        <v/>
      </c>
    </row>
    <row r="624">
      <c r="A624" s="370">
        <v>3.81</v>
      </c>
      <c r="B624" s="213">
        <f>If(DPS_Weapon_Type="远程",($E624+1)/60+(ROUNDDOWN($F624*60+1,0)/60)*2,(ROUNDDOWN(($E624+1)+ROUNDDOWN($F624*60+1,0)+ROUNDDOWN($G624/2*60+1,0)+ROUNDDOWN($H624*60+1,0)+1,0))/60+If(DPS_ATK_TYPE="挥砍",1/60)+If(DPS_ATK_TYPE="挥砍/刺击",1/120))+DPS_Weapon_Randomization/60</f>
        <v>0.105</v>
      </c>
      <c r="C624" s="104" t="str">
        <f>IF(DPS_Graph_True_Speed=TRUE,IF($A624&lt;=DPS_Graph_Max,IF($A624&gt;=DPS_Graph_Speed_Min,1/B624,),),)</f>
        <v/>
      </c>
      <c r="D624" s="115" t="str">
        <f>IF(DPS_Graph_True_Speed=TRUE,IF($E$8=$A624,DPS_Attacks_P_Sec,),)</f>
        <v/>
      </c>
      <c r="E624" s="222">
        <f>ROUNDDOWN(MAX(2,IF(A624&gt;=0, DPS_Base_Wpn_Spd/(1+A624),DPS_Base_Wpn_Spd*(1+ABS(A624)))),0)</f>
        <v>2</v>
      </c>
      <c r="F624" s="232">
        <f>IF(A624&gt;=0, DPS_Base_Recoil/(1+A624),DPS_Base_Recoil)</f>
        <v>0.0103950104</v>
      </c>
      <c r="G624" s="377">
        <f t="shared" si="7"/>
        <v>0.51</v>
      </c>
      <c r="H624" s="377">
        <f t="shared" si="8"/>
        <v>0.01609010459</v>
      </c>
      <c r="I624" s="104"/>
      <c r="J624" s="377">
        <f>MAX(0, Max(25,(DPS_Base_Range + ((DPS_Range_Stat) / 2))) / MIN(MAX(70, (70 * (1 + ($A624 / 3)))), 120))</f>
        <v>3.333333333</v>
      </c>
      <c r="K624" s="115" t="str">
        <f>IF(A624&lt;=DPS_Graph_Max,IF(A624&gt;=DPS_Graph_Speed_Min,A624,),)</f>
        <v/>
      </c>
      <c r="M624" s="213">
        <f>If(DPS_Weapon_Type="远程",$E624/60+$F624*2,$E624/60+$F624+$G624/2+$H624)</f>
        <v>0.05412335412</v>
      </c>
      <c r="N624" s="104" t="str">
        <f>IF(DPS_Graph_Tooltip_Speed=TRUE,IF($A624&lt;=DPS_Graph_Max,IF($A624&gt;=DPS_Graph_Speed_Min,1/M624,),),)</f>
        <v/>
      </c>
      <c r="R624" s="104" t="str">
        <f>IF(DPS_Graph_Tooltip_Speed=TRUE,IF($E$8=$A624,1/$N$6,),)</f>
        <v/>
      </c>
    </row>
    <row r="625">
      <c r="A625" s="370">
        <v>3.82</v>
      </c>
      <c r="B625" s="213">
        <f>If(DPS_Weapon_Type="远程",($E625+1)/60+(ROUNDDOWN($F625*60+1,0)/60)*2,(ROUNDDOWN(($E625+1)+ROUNDDOWN($F625*60+1,0)+ROUNDDOWN($G625/2*60+1,0)+ROUNDDOWN($H625*60+1,0)+1,0))/60+If(DPS_ATK_TYPE="挥砍",1/60)+If(DPS_ATK_TYPE="挥砍/刺击",1/120))+DPS_Weapon_Randomization/60</f>
        <v>0.105</v>
      </c>
      <c r="C625" s="104" t="str">
        <f>IF(DPS_Graph_True_Speed=TRUE,IF($A625&lt;=DPS_Graph_Max,IF($A625&gt;=DPS_Graph_Speed_Min,1/B625,),),)</f>
        <v/>
      </c>
      <c r="D625" s="115" t="str">
        <f>IF(DPS_Graph_True_Speed=TRUE,IF($E$8=$A625,DPS_Attacks_P_Sec,),)</f>
        <v/>
      </c>
      <c r="E625" s="222">
        <f>ROUNDDOWN(MAX(2,IF(A625&gt;=0, DPS_Base_Wpn_Spd/(1+A625),DPS_Base_Wpn_Spd*(1+ABS(A625)))),0)</f>
        <v>2</v>
      </c>
      <c r="F625" s="232">
        <f>IF(A625&gt;=0, DPS_Base_Recoil/(1+A625),DPS_Base_Recoil)</f>
        <v>0.01037344398</v>
      </c>
      <c r="G625" s="377">
        <f t="shared" si="7"/>
        <v>0.51</v>
      </c>
      <c r="H625" s="377">
        <f t="shared" si="8"/>
        <v>0.01605136437</v>
      </c>
      <c r="I625" s="104"/>
      <c r="J625" s="377">
        <f>MAX(0, Max(25,(DPS_Base_Range + ((DPS_Range_Stat) / 2))) / MIN(MAX(70, (70 * (1 + ($A625 / 3)))), 120))</f>
        <v>3.333333333</v>
      </c>
      <c r="K625" s="115" t="str">
        <f>IF(A625&lt;=DPS_Graph_Max,IF(A625&gt;=DPS_Graph_Speed_Min,A625,),)</f>
        <v/>
      </c>
      <c r="M625" s="213">
        <f>If(DPS_Weapon_Type="远程",$E625/60+$F625*2,$E625/60+$F625+$G625/2+$H625)</f>
        <v>0.0540802213</v>
      </c>
      <c r="N625" s="104" t="str">
        <f>IF(DPS_Graph_Tooltip_Speed=TRUE,IF($A625&lt;=DPS_Graph_Max,IF($A625&gt;=DPS_Graph_Speed_Min,1/M625,),),)</f>
        <v/>
      </c>
      <c r="R625" s="104" t="str">
        <f>IF(DPS_Graph_Tooltip_Speed=TRUE,IF($E$8=$A625,1/$N$6,),)</f>
        <v/>
      </c>
    </row>
    <row r="626">
      <c r="A626" s="370">
        <v>3.83</v>
      </c>
      <c r="B626" s="213">
        <f>If(DPS_Weapon_Type="远程",($E626+1)/60+(ROUNDDOWN($F626*60+1,0)/60)*2,(ROUNDDOWN(($E626+1)+ROUNDDOWN($F626*60+1,0)+ROUNDDOWN($G626/2*60+1,0)+ROUNDDOWN($H626*60+1,0)+1,0))/60+If(DPS_ATK_TYPE="挥砍",1/60)+If(DPS_ATK_TYPE="挥砍/刺击",1/120))+DPS_Weapon_Randomization/60</f>
        <v>0.105</v>
      </c>
      <c r="C626" s="104" t="str">
        <f>IF(DPS_Graph_True_Speed=TRUE,IF($A626&lt;=DPS_Graph_Max,IF($A626&gt;=DPS_Graph_Speed_Min,1/B626,),),)</f>
        <v/>
      </c>
      <c r="D626" s="115" t="str">
        <f>IF(DPS_Graph_True_Speed=TRUE,IF($E$8=$A626,DPS_Attacks_P_Sec,),)</f>
        <v/>
      </c>
      <c r="E626" s="222">
        <f>ROUNDDOWN(MAX(2,IF(A626&gt;=0, DPS_Base_Wpn_Spd/(1+A626),DPS_Base_Wpn_Spd*(1+ABS(A626)))),0)</f>
        <v>2</v>
      </c>
      <c r="F626" s="232">
        <f>IF(A626&gt;=0, DPS_Base_Recoil/(1+A626),DPS_Base_Recoil)</f>
        <v>0.01035196687</v>
      </c>
      <c r="G626" s="377">
        <f t="shared" si="7"/>
        <v>0.51</v>
      </c>
      <c r="H626" s="377">
        <f t="shared" si="8"/>
        <v>0.01601281025</v>
      </c>
      <c r="I626" s="104"/>
      <c r="J626" s="377">
        <f>MAX(0, Max(25,(DPS_Base_Range + ((DPS_Range_Stat) / 2))) / MIN(MAX(70, (70 * (1 + ($A626 / 3)))), 120))</f>
        <v>3.333333333</v>
      </c>
      <c r="K626" s="115" t="str">
        <f>IF(A626&lt;=DPS_Graph_Max,IF(A626&gt;=DPS_Graph_Speed_Min,A626,),)</f>
        <v/>
      </c>
      <c r="M626" s="213">
        <f>If(DPS_Weapon_Type="远程",$E626/60+$F626*2,$E626/60+$F626+$G626/2+$H626)</f>
        <v>0.05403726708</v>
      </c>
      <c r="N626" s="104" t="str">
        <f>IF(DPS_Graph_Tooltip_Speed=TRUE,IF($A626&lt;=DPS_Graph_Max,IF($A626&gt;=DPS_Graph_Speed_Min,1/M626,),),)</f>
        <v/>
      </c>
      <c r="R626" s="104" t="str">
        <f>IF(DPS_Graph_Tooltip_Speed=TRUE,IF($E$8=$A626,1/$N$6,),)</f>
        <v/>
      </c>
    </row>
    <row r="627">
      <c r="A627" s="370">
        <v>3.84</v>
      </c>
      <c r="B627" s="213">
        <f>If(DPS_Weapon_Type="远程",($E627+1)/60+(ROUNDDOWN($F627*60+1,0)/60)*2,(ROUNDDOWN(($E627+1)+ROUNDDOWN($F627*60+1,0)+ROUNDDOWN($G627/2*60+1,0)+ROUNDDOWN($H627*60+1,0)+1,0))/60+If(DPS_ATK_TYPE="挥砍",1/60)+If(DPS_ATK_TYPE="挥砍/刺击",1/120))+DPS_Weapon_Randomization/60</f>
        <v>0.105</v>
      </c>
      <c r="C627" s="104" t="str">
        <f>IF(DPS_Graph_True_Speed=TRUE,IF($A627&lt;=DPS_Graph_Max,IF($A627&gt;=DPS_Graph_Speed_Min,1/B627,),),)</f>
        <v/>
      </c>
      <c r="D627" s="115" t="str">
        <f>IF(DPS_Graph_True_Speed=TRUE,IF($E$8=$A627,DPS_Attacks_P_Sec,),)</f>
        <v/>
      </c>
      <c r="E627" s="222">
        <f>ROUNDDOWN(MAX(2,IF(A627&gt;=0, DPS_Base_Wpn_Spd/(1+A627),DPS_Base_Wpn_Spd*(1+ABS(A627)))),0)</f>
        <v>2</v>
      </c>
      <c r="F627" s="232">
        <f>IF(A627&gt;=0, DPS_Base_Recoil/(1+A627),DPS_Base_Recoil)</f>
        <v>0.01033057851</v>
      </c>
      <c r="G627" s="377">
        <f t="shared" si="7"/>
        <v>0.51</v>
      </c>
      <c r="H627" s="377">
        <f t="shared" si="8"/>
        <v>0.01597444089</v>
      </c>
      <c r="I627" s="104"/>
      <c r="J627" s="377">
        <f>MAX(0, Max(25,(DPS_Base_Range + ((DPS_Range_Stat) / 2))) / MIN(MAX(70, (70 * (1 + ($A627 / 3)))), 120))</f>
        <v>3.333333333</v>
      </c>
      <c r="K627" s="115" t="str">
        <f>IF(A627&lt;=DPS_Graph_Max,IF(A627&gt;=DPS_Graph_Speed_Min,A627,),)</f>
        <v/>
      </c>
      <c r="M627" s="213">
        <f>If(DPS_Weapon_Type="远程",$E627/60+$F627*2,$E627/60+$F627+$G627/2+$H627)</f>
        <v>0.05399449036</v>
      </c>
      <c r="N627" s="104" t="str">
        <f>IF(DPS_Graph_Tooltip_Speed=TRUE,IF($A627&lt;=DPS_Graph_Max,IF($A627&gt;=DPS_Graph_Speed_Min,1/M627,),),)</f>
        <v/>
      </c>
      <c r="R627" s="104" t="str">
        <f>IF(DPS_Graph_Tooltip_Speed=TRUE,IF($E$8=$A627,1/$N$6,),)</f>
        <v/>
      </c>
    </row>
    <row r="628">
      <c r="A628" s="370">
        <v>3.85</v>
      </c>
      <c r="B628" s="213">
        <f>If(DPS_Weapon_Type="远程",($E628+1)/60+(ROUNDDOWN($F628*60+1,0)/60)*2,(ROUNDDOWN(($E628+1)+ROUNDDOWN($F628*60+1,0)+ROUNDDOWN($G628/2*60+1,0)+ROUNDDOWN($H628*60+1,0)+1,0))/60+If(DPS_ATK_TYPE="挥砍",1/60)+If(DPS_ATK_TYPE="挥砍/刺击",1/120))+DPS_Weapon_Randomization/60</f>
        <v>0.105</v>
      </c>
      <c r="C628" s="104" t="str">
        <f>IF(DPS_Graph_True_Speed=TRUE,IF($A628&lt;=DPS_Graph_Max,IF($A628&gt;=DPS_Graph_Speed_Min,1/B628,),),)</f>
        <v/>
      </c>
      <c r="D628" s="115" t="str">
        <f>IF(DPS_Graph_True_Speed=TRUE,IF($E$8=$A628,DPS_Attacks_P_Sec,),)</f>
        <v/>
      </c>
      <c r="E628" s="222">
        <f>ROUNDDOWN(MAX(2,IF(A628&gt;=0, DPS_Base_Wpn_Spd/(1+A628),DPS_Base_Wpn_Spd*(1+ABS(A628)))),0)</f>
        <v>2</v>
      </c>
      <c r="F628" s="232">
        <f>IF(A628&gt;=0, DPS_Base_Recoil/(1+A628),DPS_Base_Recoil)</f>
        <v>0.01030927835</v>
      </c>
      <c r="G628" s="377">
        <f t="shared" si="7"/>
        <v>0.51</v>
      </c>
      <c r="H628" s="377">
        <f t="shared" si="8"/>
        <v>0.01593625498</v>
      </c>
      <c r="I628" s="104"/>
      <c r="J628" s="377">
        <f>MAX(0, Max(25,(DPS_Base_Range + ((DPS_Range_Stat) / 2))) / MIN(MAX(70, (70 * (1 + ($A628 / 3)))), 120))</f>
        <v>3.333333333</v>
      </c>
      <c r="K628" s="115" t="str">
        <f>IF(A628&lt;=DPS_Graph_Max,IF(A628&gt;=DPS_Graph_Speed_Min,A628,),)</f>
        <v/>
      </c>
      <c r="M628" s="213">
        <f>If(DPS_Weapon_Type="远程",$E628/60+$F628*2,$E628/60+$F628+$G628/2+$H628)</f>
        <v>0.05395189003</v>
      </c>
      <c r="N628" s="104" t="str">
        <f>IF(DPS_Graph_Tooltip_Speed=TRUE,IF($A628&lt;=DPS_Graph_Max,IF($A628&gt;=DPS_Graph_Speed_Min,1/M628,),),)</f>
        <v/>
      </c>
      <c r="R628" s="104" t="str">
        <f>IF(DPS_Graph_Tooltip_Speed=TRUE,IF($E$8=$A628,1/$N$6,),)</f>
        <v/>
      </c>
    </row>
    <row r="629">
      <c r="A629" s="370">
        <v>3.86</v>
      </c>
      <c r="B629" s="213">
        <f>If(DPS_Weapon_Type="远程",($E629+1)/60+(ROUNDDOWN($F629*60+1,0)/60)*2,(ROUNDDOWN(($E629+1)+ROUNDDOWN($F629*60+1,0)+ROUNDDOWN($G629/2*60+1,0)+ROUNDDOWN($H629*60+1,0)+1,0))/60+If(DPS_ATK_TYPE="挥砍",1/60)+If(DPS_ATK_TYPE="挥砍/刺击",1/120))+DPS_Weapon_Randomization/60</f>
        <v>0.105</v>
      </c>
      <c r="C629" s="104" t="str">
        <f>IF(DPS_Graph_True_Speed=TRUE,IF($A629&lt;=DPS_Graph_Max,IF($A629&gt;=DPS_Graph_Speed_Min,1/B629,),),)</f>
        <v/>
      </c>
      <c r="D629" s="115" t="str">
        <f>IF(DPS_Graph_True_Speed=TRUE,IF($E$8=$A629,DPS_Attacks_P_Sec,),)</f>
        <v/>
      </c>
      <c r="E629" s="222">
        <f>ROUNDDOWN(MAX(2,IF(A629&gt;=0, DPS_Base_Wpn_Spd/(1+A629),DPS_Base_Wpn_Spd*(1+ABS(A629)))),0)</f>
        <v>2</v>
      </c>
      <c r="F629" s="232">
        <f>IF(A629&gt;=0, DPS_Base_Recoil/(1+A629),DPS_Base_Recoil)</f>
        <v>0.01028806584</v>
      </c>
      <c r="G629" s="377">
        <f t="shared" si="7"/>
        <v>0.51</v>
      </c>
      <c r="H629" s="377">
        <f t="shared" si="8"/>
        <v>0.01589825119</v>
      </c>
      <c r="I629" s="104"/>
      <c r="J629" s="377">
        <f>MAX(0, Max(25,(DPS_Base_Range + ((DPS_Range_Stat) / 2))) / MIN(MAX(70, (70 * (1 + ($A629 / 3)))), 120))</f>
        <v>3.333333333</v>
      </c>
      <c r="K629" s="115" t="str">
        <f>IF(A629&lt;=DPS_Graph_Max,IF(A629&gt;=DPS_Graph_Speed_Min,A629,),)</f>
        <v/>
      </c>
      <c r="M629" s="213">
        <f>If(DPS_Weapon_Type="远程",$E629/60+$F629*2,$E629/60+$F629+$G629/2+$H629)</f>
        <v>0.05390946502</v>
      </c>
      <c r="N629" s="104" t="str">
        <f>IF(DPS_Graph_Tooltip_Speed=TRUE,IF($A629&lt;=DPS_Graph_Max,IF($A629&gt;=DPS_Graph_Speed_Min,1/M629,),),)</f>
        <v/>
      </c>
      <c r="R629" s="104" t="str">
        <f>IF(DPS_Graph_Tooltip_Speed=TRUE,IF($E$8=$A629,1/$N$6,),)</f>
        <v/>
      </c>
    </row>
    <row r="630">
      <c r="A630" s="370">
        <v>3.87</v>
      </c>
      <c r="B630" s="213">
        <f>If(DPS_Weapon_Type="远程",($E630+1)/60+(ROUNDDOWN($F630*60+1,0)/60)*2,(ROUNDDOWN(($E630+1)+ROUNDDOWN($F630*60+1,0)+ROUNDDOWN($G630/2*60+1,0)+ROUNDDOWN($H630*60+1,0)+1,0))/60+If(DPS_ATK_TYPE="挥砍",1/60)+If(DPS_ATK_TYPE="挥砍/刺击",1/120))+DPS_Weapon_Randomization/60</f>
        <v>0.105</v>
      </c>
      <c r="C630" s="104" t="str">
        <f>IF(DPS_Graph_True_Speed=TRUE,IF($A630&lt;=DPS_Graph_Max,IF($A630&gt;=DPS_Graph_Speed_Min,1/B630,),),)</f>
        <v/>
      </c>
      <c r="D630" s="115" t="str">
        <f>IF(DPS_Graph_True_Speed=TRUE,IF($E$8=$A630,DPS_Attacks_P_Sec,),)</f>
        <v/>
      </c>
      <c r="E630" s="222">
        <f>ROUNDDOWN(MAX(2,IF(A630&gt;=0, DPS_Base_Wpn_Spd/(1+A630),DPS_Base_Wpn_Spd*(1+ABS(A630)))),0)</f>
        <v>2</v>
      </c>
      <c r="F630" s="232">
        <f>IF(A630&gt;=0, DPS_Base_Recoil/(1+A630),DPS_Base_Recoil)</f>
        <v>0.01026694045</v>
      </c>
      <c r="G630" s="377">
        <f t="shared" si="7"/>
        <v>0.51</v>
      </c>
      <c r="H630" s="377">
        <f t="shared" si="8"/>
        <v>0.01586042823</v>
      </c>
      <c r="I630" s="104"/>
      <c r="J630" s="377">
        <f>MAX(0, Max(25,(DPS_Base_Range + ((DPS_Range_Stat) / 2))) / MIN(MAX(70, (70 * (1 + ($A630 / 3)))), 120))</f>
        <v>3.333333333</v>
      </c>
      <c r="K630" s="115" t="str">
        <f>IF(A630&lt;=DPS_Graph_Max,IF(A630&gt;=DPS_Graph_Speed_Min,A630,),)</f>
        <v/>
      </c>
      <c r="M630" s="213">
        <f>If(DPS_Weapon_Type="远程",$E630/60+$F630*2,$E630/60+$F630+$G630/2+$H630)</f>
        <v>0.05386721424</v>
      </c>
      <c r="N630" s="104" t="str">
        <f>IF(DPS_Graph_Tooltip_Speed=TRUE,IF($A630&lt;=DPS_Graph_Max,IF($A630&gt;=DPS_Graph_Speed_Min,1/M630,),),)</f>
        <v/>
      </c>
      <c r="R630" s="104" t="str">
        <f>IF(DPS_Graph_Tooltip_Speed=TRUE,IF($E$8=$A630,1/$N$6,),)</f>
        <v/>
      </c>
    </row>
    <row r="631">
      <c r="A631" s="370">
        <v>3.88</v>
      </c>
      <c r="B631" s="213">
        <f>If(DPS_Weapon_Type="远程",($E631+1)/60+(ROUNDDOWN($F631*60+1,0)/60)*2,(ROUNDDOWN(($E631+1)+ROUNDDOWN($F631*60+1,0)+ROUNDDOWN($G631/2*60+1,0)+ROUNDDOWN($H631*60+1,0)+1,0))/60+If(DPS_ATK_TYPE="挥砍",1/60)+If(DPS_ATK_TYPE="挥砍/刺击",1/120))+DPS_Weapon_Randomization/60</f>
        <v>0.105</v>
      </c>
      <c r="C631" s="104" t="str">
        <f>IF(DPS_Graph_True_Speed=TRUE,IF($A631&lt;=DPS_Graph_Max,IF($A631&gt;=DPS_Graph_Speed_Min,1/B631,),),)</f>
        <v/>
      </c>
      <c r="D631" s="115" t="str">
        <f>IF(DPS_Graph_True_Speed=TRUE,IF($E$8=$A631,DPS_Attacks_P_Sec,),)</f>
        <v/>
      </c>
      <c r="E631" s="222">
        <f>ROUNDDOWN(MAX(2,IF(A631&gt;=0, DPS_Base_Wpn_Spd/(1+A631),DPS_Base_Wpn_Spd*(1+ABS(A631)))),0)</f>
        <v>2</v>
      </c>
      <c r="F631" s="232">
        <f>IF(A631&gt;=0, DPS_Base_Recoil/(1+A631),DPS_Base_Recoil)</f>
        <v>0.01024590164</v>
      </c>
      <c r="G631" s="377">
        <f t="shared" si="7"/>
        <v>0.51</v>
      </c>
      <c r="H631" s="377">
        <f t="shared" si="8"/>
        <v>0.01582278481</v>
      </c>
      <c r="I631" s="104"/>
      <c r="J631" s="377">
        <f>MAX(0, Max(25,(DPS_Base_Range + ((DPS_Range_Stat) / 2))) / MIN(MAX(70, (70 * (1 + ($A631 / 3)))), 120))</f>
        <v>3.333333333</v>
      </c>
      <c r="K631" s="115" t="str">
        <f>IF(A631&lt;=DPS_Graph_Max,IF(A631&gt;=DPS_Graph_Speed_Min,A631,),)</f>
        <v/>
      </c>
      <c r="M631" s="213">
        <f>If(DPS_Weapon_Type="远程",$E631/60+$F631*2,$E631/60+$F631+$G631/2+$H631)</f>
        <v>0.05382513661</v>
      </c>
      <c r="N631" s="104" t="str">
        <f>IF(DPS_Graph_Tooltip_Speed=TRUE,IF($A631&lt;=DPS_Graph_Max,IF($A631&gt;=DPS_Graph_Speed_Min,1/M631,),),)</f>
        <v/>
      </c>
      <c r="R631" s="104" t="str">
        <f>IF(DPS_Graph_Tooltip_Speed=TRUE,IF($E$8=$A631,1/$N$6,),)</f>
        <v/>
      </c>
    </row>
    <row r="632">
      <c r="A632" s="370">
        <v>3.89</v>
      </c>
      <c r="B632" s="213">
        <f>If(DPS_Weapon_Type="远程",($E632+1)/60+(ROUNDDOWN($F632*60+1,0)/60)*2,(ROUNDDOWN(($E632+1)+ROUNDDOWN($F632*60+1,0)+ROUNDDOWN($G632/2*60+1,0)+ROUNDDOWN($H632*60+1,0)+1,0))/60+If(DPS_ATK_TYPE="挥砍",1/60)+If(DPS_ATK_TYPE="挥砍/刺击",1/120))+DPS_Weapon_Randomization/60</f>
        <v>0.105</v>
      </c>
      <c r="C632" s="104" t="str">
        <f>IF(DPS_Graph_True_Speed=TRUE,IF($A632&lt;=DPS_Graph_Max,IF($A632&gt;=DPS_Graph_Speed_Min,1/B632,),),)</f>
        <v/>
      </c>
      <c r="D632" s="115" t="str">
        <f>IF(DPS_Graph_True_Speed=TRUE,IF($E$8=$A632,DPS_Attacks_P_Sec,),)</f>
        <v/>
      </c>
      <c r="E632" s="222">
        <f>ROUNDDOWN(MAX(2,IF(A632&gt;=0, DPS_Base_Wpn_Spd/(1+A632),DPS_Base_Wpn_Spd*(1+ABS(A632)))),0)</f>
        <v>2</v>
      </c>
      <c r="F632" s="232">
        <f>IF(A632&gt;=0, DPS_Base_Recoil/(1+A632),DPS_Base_Recoil)</f>
        <v>0.01022494888</v>
      </c>
      <c r="G632" s="377">
        <f t="shared" si="7"/>
        <v>0.51</v>
      </c>
      <c r="H632" s="377">
        <f t="shared" si="8"/>
        <v>0.01578531965</v>
      </c>
      <c r="I632" s="104"/>
      <c r="J632" s="377">
        <f>MAX(0, Max(25,(DPS_Base_Range + ((DPS_Range_Stat) / 2))) / MIN(MAX(70, (70 * (1 + ($A632 / 3)))), 120))</f>
        <v>3.333333333</v>
      </c>
      <c r="K632" s="115" t="str">
        <f>IF(A632&lt;=DPS_Graph_Max,IF(A632&gt;=DPS_Graph_Speed_Min,A632,),)</f>
        <v/>
      </c>
      <c r="M632" s="213">
        <f>If(DPS_Weapon_Type="远程",$E632/60+$F632*2,$E632/60+$F632+$G632/2+$H632)</f>
        <v>0.05378323108</v>
      </c>
      <c r="N632" s="104" t="str">
        <f>IF(DPS_Graph_Tooltip_Speed=TRUE,IF($A632&lt;=DPS_Graph_Max,IF($A632&gt;=DPS_Graph_Speed_Min,1/M632,),),)</f>
        <v/>
      </c>
      <c r="R632" s="104" t="str">
        <f>IF(DPS_Graph_Tooltip_Speed=TRUE,IF($E$8=$A632,1/$N$6,),)</f>
        <v/>
      </c>
    </row>
    <row r="633">
      <c r="A633" s="370">
        <v>3.9</v>
      </c>
      <c r="B633" s="213">
        <f>If(DPS_Weapon_Type="远程",($E633+1)/60+(ROUNDDOWN($F633*60+1,0)/60)*2,(ROUNDDOWN(($E633+1)+ROUNDDOWN($F633*60+1,0)+ROUNDDOWN($G633/2*60+1,0)+ROUNDDOWN($H633*60+1,0)+1,0))/60+If(DPS_ATK_TYPE="挥砍",1/60)+If(DPS_ATK_TYPE="挥砍/刺击",1/120))+DPS_Weapon_Randomization/60</f>
        <v>0.105</v>
      </c>
      <c r="C633" s="104" t="str">
        <f>IF(DPS_Graph_True_Speed=TRUE,IF($A633&lt;=DPS_Graph_Max,IF($A633&gt;=DPS_Graph_Speed_Min,1/B633,),),)</f>
        <v/>
      </c>
      <c r="D633" s="115" t="str">
        <f>IF(DPS_Graph_True_Speed=TRUE,IF($E$8=$A633,DPS_Attacks_P_Sec,),)</f>
        <v/>
      </c>
      <c r="E633" s="222">
        <f>ROUNDDOWN(MAX(2,IF(A633&gt;=0, DPS_Base_Wpn_Spd/(1+A633),DPS_Base_Wpn_Spd*(1+ABS(A633)))),0)</f>
        <v>2</v>
      </c>
      <c r="F633" s="232">
        <f>IF(A633&gt;=0, DPS_Base_Recoil/(1+A633),DPS_Base_Recoil)</f>
        <v>0.01020408163</v>
      </c>
      <c r="G633" s="377">
        <f t="shared" si="7"/>
        <v>0.51</v>
      </c>
      <c r="H633" s="377">
        <f t="shared" si="8"/>
        <v>0.0157480315</v>
      </c>
      <c r="I633" s="104"/>
      <c r="J633" s="377">
        <f>MAX(0, Max(25,(DPS_Base_Range + ((DPS_Range_Stat) / 2))) / MIN(MAX(70, (70 * (1 + ($A633 / 3)))), 120))</f>
        <v>3.333333333</v>
      </c>
      <c r="K633" s="115" t="str">
        <f>IF(A633&lt;=DPS_Graph_Max,IF(A633&gt;=DPS_Graph_Speed_Min,A633,),)</f>
        <v/>
      </c>
      <c r="M633" s="213">
        <f>If(DPS_Weapon_Type="远程",$E633/60+$F633*2,$E633/60+$F633+$G633/2+$H633)</f>
        <v>0.0537414966</v>
      </c>
      <c r="N633" s="104" t="str">
        <f>IF(DPS_Graph_Tooltip_Speed=TRUE,IF($A633&lt;=DPS_Graph_Max,IF($A633&gt;=DPS_Graph_Speed_Min,1/M633,),),)</f>
        <v/>
      </c>
      <c r="R633" s="104" t="str">
        <f>IF(DPS_Graph_Tooltip_Speed=TRUE,IF($E$8=$A633,1/$N$6,),)</f>
        <v/>
      </c>
    </row>
    <row r="634">
      <c r="A634" s="370">
        <v>3.91</v>
      </c>
      <c r="B634" s="213">
        <f>If(DPS_Weapon_Type="远程",($E634+1)/60+(ROUNDDOWN($F634*60+1,0)/60)*2,(ROUNDDOWN(($E634+1)+ROUNDDOWN($F634*60+1,0)+ROUNDDOWN($G634/2*60+1,0)+ROUNDDOWN($H634*60+1,0)+1,0))/60+If(DPS_ATK_TYPE="挥砍",1/60)+If(DPS_ATK_TYPE="挥砍/刺击",1/120))+DPS_Weapon_Randomization/60</f>
        <v>0.105</v>
      </c>
      <c r="C634" s="104" t="str">
        <f>IF(DPS_Graph_True_Speed=TRUE,IF($A634&lt;=DPS_Graph_Max,IF($A634&gt;=DPS_Graph_Speed_Min,1/B634,),),)</f>
        <v/>
      </c>
      <c r="D634" s="115" t="str">
        <f>IF(DPS_Graph_True_Speed=TRUE,IF($E$8=$A634,DPS_Attacks_P_Sec,),)</f>
        <v/>
      </c>
      <c r="E634" s="222">
        <f>ROUNDDOWN(MAX(2,IF(A634&gt;=0, DPS_Base_Wpn_Spd/(1+A634),DPS_Base_Wpn_Spd*(1+ABS(A634)))),0)</f>
        <v>2</v>
      </c>
      <c r="F634" s="232">
        <f>IF(A634&gt;=0, DPS_Base_Recoil/(1+A634),DPS_Base_Recoil)</f>
        <v>0.01018329939</v>
      </c>
      <c r="G634" s="377">
        <f t="shared" si="7"/>
        <v>0.51</v>
      </c>
      <c r="H634" s="377">
        <f t="shared" si="8"/>
        <v>0.01571091909</v>
      </c>
      <c r="I634" s="104"/>
      <c r="J634" s="377">
        <f>MAX(0, Max(25,(DPS_Base_Range + ((DPS_Range_Stat) / 2))) / MIN(MAX(70, (70 * (1 + ($A634 / 3)))), 120))</f>
        <v>3.333333333</v>
      </c>
      <c r="K634" s="115" t="str">
        <f>IF(A634&lt;=DPS_Graph_Max,IF(A634&gt;=DPS_Graph_Speed_Min,A634,),)</f>
        <v/>
      </c>
      <c r="M634" s="213">
        <f>If(DPS_Weapon_Type="远程",$E634/60+$F634*2,$E634/60+$F634+$G634/2+$H634)</f>
        <v>0.05369993211</v>
      </c>
      <c r="N634" s="104" t="str">
        <f>IF(DPS_Graph_Tooltip_Speed=TRUE,IF($A634&lt;=DPS_Graph_Max,IF($A634&gt;=DPS_Graph_Speed_Min,1/M634,),),)</f>
        <v/>
      </c>
      <c r="R634" s="104" t="str">
        <f>IF(DPS_Graph_Tooltip_Speed=TRUE,IF($E$8=$A634,1/$N$6,),)</f>
        <v/>
      </c>
    </row>
    <row r="635">
      <c r="A635" s="370">
        <v>3.92</v>
      </c>
      <c r="B635" s="213">
        <f>If(DPS_Weapon_Type="远程",($E635+1)/60+(ROUNDDOWN($F635*60+1,0)/60)*2,(ROUNDDOWN(($E635+1)+ROUNDDOWN($F635*60+1,0)+ROUNDDOWN($G635/2*60+1,0)+ROUNDDOWN($H635*60+1,0)+1,0))/60+If(DPS_ATK_TYPE="挥砍",1/60)+If(DPS_ATK_TYPE="挥砍/刺击",1/120))+DPS_Weapon_Randomization/60</f>
        <v>0.105</v>
      </c>
      <c r="C635" s="104" t="str">
        <f>IF(DPS_Graph_True_Speed=TRUE,IF($A635&lt;=DPS_Graph_Max,IF($A635&gt;=DPS_Graph_Speed_Min,1/B635,),),)</f>
        <v/>
      </c>
      <c r="D635" s="115" t="str">
        <f>IF(DPS_Graph_True_Speed=TRUE,IF($E$8=$A635,DPS_Attacks_P_Sec,),)</f>
        <v/>
      </c>
      <c r="E635" s="222">
        <f>ROUNDDOWN(MAX(2,IF(A635&gt;=0, DPS_Base_Wpn_Spd/(1+A635),DPS_Base_Wpn_Spd*(1+ABS(A635)))),0)</f>
        <v>2</v>
      </c>
      <c r="F635" s="232">
        <f>IF(A635&gt;=0, DPS_Base_Recoil/(1+A635),DPS_Base_Recoil)</f>
        <v>0.01016260163</v>
      </c>
      <c r="G635" s="377">
        <f t="shared" si="7"/>
        <v>0.51</v>
      </c>
      <c r="H635" s="377">
        <f t="shared" si="8"/>
        <v>0.01567398119</v>
      </c>
      <c r="I635" s="104"/>
      <c r="J635" s="377">
        <f>MAX(0, Max(25,(DPS_Base_Range + ((DPS_Range_Stat) / 2))) / MIN(MAX(70, (70 * (1 + ($A635 / 3)))), 120))</f>
        <v>3.333333333</v>
      </c>
      <c r="K635" s="115" t="str">
        <f>IF(A635&lt;=DPS_Graph_Max,IF(A635&gt;=DPS_Graph_Speed_Min,A635,),)</f>
        <v/>
      </c>
      <c r="M635" s="213">
        <f>If(DPS_Weapon_Type="远程",$E635/60+$F635*2,$E635/60+$F635+$G635/2+$H635)</f>
        <v>0.05365853659</v>
      </c>
      <c r="N635" s="104" t="str">
        <f>IF(DPS_Graph_Tooltip_Speed=TRUE,IF($A635&lt;=DPS_Graph_Max,IF($A635&gt;=DPS_Graph_Speed_Min,1/M635,),),)</f>
        <v/>
      </c>
      <c r="R635" s="104" t="str">
        <f>IF(DPS_Graph_Tooltip_Speed=TRUE,IF($E$8=$A635,1/$N$6,),)</f>
        <v/>
      </c>
    </row>
    <row r="636">
      <c r="A636" s="370">
        <v>3.93</v>
      </c>
      <c r="B636" s="213">
        <f>If(DPS_Weapon_Type="远程",($E636+1)/60+(ROUNDDOWN($F636*60+1,0)/60)*2,(ROUNDDOWN(($E636+1)+ROUNDDOWN($F636*60+1,0)+ROUNDDOWN($G636/2*60+1,0)+ROUNDDOWN($H636*60+1,0)+1,0))/60+If(DPS_ATK_TYPE="挥砍",1/60)+If(DPS_ATK_TYPE="挥砍/刺击",1/120))+DPS_Weapon_Randomization/60</f>
        <v>0.105</v>
      </c>
      <c r="C636" s="104" t="str">
        <f>IF(DPS_Graph_True_Speed=TRUE,IF($A636&lt;=DPS_Graph_Max,IF($A636&gt;=DPS_Graph_Speed_Min,1/B636,),),)</f>
        <v/>
      </c>
      <c r="D636" s="115" t="str">
        <f>IF(DPS_Graph_True_Speed=TRUE,IF($E$8=$A636,DPS_Attacks_P_Sec,),)</f>
        <v/>
      </c>
      <c r="E636" s="222">
        <f>ROUNDDOWN(MAX(2,IF(A636&gt;=0, DPS_Base_Wpn_Spd/(1+A636),DPS_Base_Wpn_Spd*(1+ABS(A636)))),0)</f>
        <v>2</v>
      </c>
      <c r="F636" s="232">
        <f>IF(A636&gt;=0, DPS_Base_Recoil/(1+A636),DPS_Base_Recoil)</f>
        <v>0.01014198783</v>
      </c>
      <c r="G636" s="377">
        <f t="shared" si="7"/>
        <v>0.51</v>
      </c>
      <c r="H636" s="377">
        <f t="shared" si="8"/>
        <v>0.01563721658</v>
      </c>
      <c r="I636" s="104"/>
      <c r="J636" s="377">
        <f>MAX(0, Max(25,(DPS_Base_Range + ((DPS_Range_Stat) / 2))) / MIN(MAX(70, (70 * (1 + ($A636 / 3)))), 120))</f>
        <v>3.333333333</v>
      </c>
      <c r="K636" s="115" t="str">
        <f>IF(A636&lt;=DPS_Graph_Max,IF(A636&gt;=DPS_Graph_Speed_Min,A636,),)</f>
        <v/>
      </c>
      <c r="M636" s="213">
        <f>If(DPS_Weapon_Type="远程",$E636/60+$F636*2,$E636/60+$F636+$G636/2+$H636)</f>
        <v>0.05361730899</v>
      </c>
      <c r="N636" s="104" t="str">
        <f>IF(DPS_Graph_Tooltip_Speed=TRUE,IF($A636&lt;=DPS_Graph_Max,IF($A636&gt;=DPS_Graph_Speed_Min,1/M636,),),)</f>
        <v/>
      </c>
      <c r="R636" s="104" t="str">
        <f>IF(DPS_Graph_Tooltip_Speed=TRUE,IF($E$8=$A636,1/$N$6,),)</f>
        <v/>
      </c>
    </row>
    <row r="637">
      <c r="A637" s="370">
        <v>3.94</v>
      </c>
      <c r="B637" s="213">
        <f>If(DPS_Weapon_Type="远程",($E637+1)/60+(ROUNDDOWN($F637*60+1,0)/60)*2,(ROUNDDOWN(($E637+1)+ROUNDDOWN($F637*60+1,0)+ROUNDDOWN($G637/2*60+1,0)+ROUNDDOWN($H637*60+1,0)+1,0))/60+If(DPS_ATK_TYPE="挥砍",1/60)+If(DPS_ATK_TYPE="挥砍/刺击",1/120))+DPS_Weapon_Randomization/60</f>
        <v>0.105</v>
      </c>
      <c r="C637" s="104" t="str">
        <f>IF(DPS_Graph_True_Speed=TRUE,IF($A637&lt;=DPS_Graph_Max,IF($A637&gt;=DPS_Graph_Speed_Min,1/B637,),),)</f>
        <v/>
      </c>
      <c r="D637" s="115" t="str">
        <f>IF(DPS_Graph_True_Speed=TRUE,IF($E$8=$A637,DPS_Attacks_P_Sec,),)</f>
        <v/>
      </c>
      <c r="E637" s="222">
        <f>ROUNDDOWN(MAX(2,IF(A637&gt;=0, DPS_Base_Wpn_Spd/(1+A637),DPS_Base_Wpn_Spd*(1+ABS(A637)))),0)</f>
        <v>2</v>
      </c>
      <c r="F637" s="232">
        <f>IF(A637&gt;=0, DPS_Base_Recoil/(1+A637),DPS_Base_Recoil)</f>
        <v>0.01012145749</v>
      </c>
      <c r="G637" s="377">
        <f t="shared" si="7"/>
        <v>0.51</v>
      </c>
      <c r="H637" s="377">
        <f t="shared" si="8"/>
        <v>0.01560062402</v>
      </c>
      <c r="I637" s="104"/>
      <c r="J637" s="377">
        <f>MAX(0, Max(25,(DPS_Base_Range + ((DPS_Range_Stat) / 2))) / MIN(MAX(70, (70 * (1 + ($A637 / 3)))), 120))</f>
        <v>3.333333333</v>
      </c>
      <c r="K637" s="115" t="str">
        <f>IF(A637&lt;=DPS_Graph_Max,IF(A637&gt;=DPS_Graph_Speed_Min,A637,),)</f>
        <v/>
      </c>
      <c r="M637" s="213">
        <f>If(DPS_Weapon_Type="远程",$E637/60+$F637*2,$E637/60+$F637+$G637/2+$H637)</f>
        <v>0.05357624831</v>
      </c>
      <c r="N637" s="104" t="str">
        <f>IF(DPS_Graph_Tooltip_Speed=TRUE,IF($A637&lt;=DPS_Graph_Max,IF($A637&gt;=DPS_Graph_Speed_Min,1/M637,),),)</f>
        <v/>
      </c>
      <c r="R637" s="104" t="str">
        <f>IF(DPS_Graph_Tooltip_Speed=TRUE,IF($E$8=$A637,1/$N$6,),)</f>
        <v/>
      </c>
    </row>
    <row r="638">
      <c r="A638" s="370">
        <v>3.95</v>
      </c>
      <c r="B638" s="213">
        <f>If(DPS_Weapon_Type="远程",($E638+1)/60+(ROUNDDOWN($F638*60+1,0)/60)*2,(ROUNDDOWN(($E638+1)+ROUNDDOWN($F638*60+1,0)+ROUNDDOWN($G638/2*60+1,0)+ROUNDDOWN($H638*60+1,0)+1,0))/60+If(DPS_ATK_TYPE="挥砍",1/60)+If(DPS_ATK_TYPE="挥砍/刺击",1/120))+DPS_Weapon_Randomization/60</f>
        <v>0.105</v>
      </c>
      <c r="C638" s="104" t="str">
        <f>IF(DPS_Graph_True_Speed=TRUE,IF($A638&lt;=DPS_Graph_Max,IF($A638&gt;=DPS_Graph_Speed_Min,1/B638,),),)</f>
        <v/>
      </c>
      <c r="D638" s="115" t="str">
        <f>IF(DPS_Graph_True_Speed=TRUE,IF($E$8=$A638,DPS_Attacks_P_Sec,),)</f>
        <v/>
      </c>
      <c r="E638" s="222">
        <f>ROUNDDOWN(MAX(2,IF(A638&gt;=0, DPS_Base_Wpn_Spd/(1+A638),DPS_Base_Wpn_Spd*(1+ABS(A638)))),0)</f>
        <v>2</v>
      </c>
      <c r="F638" s="232">
        <f>IF(A638&gt;=0, DPS_Base_Recoil/(1+A638),DPS_Base_Recoil)</f>
        <v>0.0101010101</v>
      </c>
      <c r="G638" s="377">
        <f t="shared" si="7"/>
        <v>0.51</v>
      </c>
      <c r="H638" s="377">
        <f t="shared" si="8"/>
        <v>0.01556420233</v>
      </c>
      <c r="I638" s="104"/>
      <c r="J638" s="377">
        <f>MAX(0, Max(25,(DPS_Base_Range + ((DPS_Range_Stat) / 2))) / MIN(MAX(70, (70 * (1 + ($A638 / 3)))), 120))</f>
        <v>3.333333333</v>
      </c>
      <c r="K638" s="115" t="str">
        <f>IF(A638&lt;=DPS_Graph_Max,IF(A638&gt;=DPS_Graph_Speed_Min,A638,),)</f>
        <v/>
      </c>
      <c r="M638" s="213">
        <f>If(DPS_Weapon_Type="远程",$E638/60+$F638*2,$E638/60+$F638+$G638/2+$H638)</f>
        <v>0.05353535354</v>
      </c>
      <c r="N638" s="104" t="str">
        <f>IF(DPS_Graph_Tooltip_Speed=TRUE,IF($A638&lt;=DPS_Graph_Max,IF($A638&gt;=DPS_Graph_Speed_Min,1/M638,),),)</f>
        <v/>
      </c>
      <c r="R638" s="104" t="str">
        <f>IF(DPS_Graph_Tooltip_Speed=TRUE,IF($E$8=$A638,1/$N$6,),)</f>
        <v/>
      </c>
    </row>
    <row r="639">
      <c r="A639" s="370">
        <v>3.96</v>
      </c>
      <c r="B639" s="213">
        <f>If(DPS_Weapon_Type="远程",($E639+1)/60+(ROUNDDOWN($F639*60+1,0)/60)*2,(ROUNDDOWN(($E639+1)+ROUNDDOWN($F639*60+1,0)+ROUNDDOWN($G639/2*60+1,0)+ROUNDDOWN($H639*60+1,0)+1,0))/60+If(DPS_ATK_TYPE="挥砍",1/60)+If(DPS_ATK_TYPE="挥砍/刺击",1/120))+DPS_Weapon_Randomization/60</f>
        <v>0.105</v>
      </c>
      <c r="C639" s="104" t="str">
        <f>IF(DPS_Graph_True_Speed=TRUE,IF($A639&lt;=DPS_Graph_Max,IF($A639&gt;=DPS_Graph_Speed_Min,1/B639,),),)</f>
        <v/>
      </c>
      <c r="D639" s="115" t="str">
        <f>IF(DPS_Graph_True_Speed=TRUE,IF($E$8=$A639,DPS_Attacks_P_Sec,),)</f>
        <v/>
      </c>
      <c r="E639" s="222">
        <f>ROUNDDOWN(MAX(2,IF(A639&gt;=0, DPS_Base_Wpn_Spd/(1+A639),DPS_Base_Wpn_Spd*(1+ABS(A639)))),0)</f>
        <v>2</v>
      </c>
      <c r="F639" s="232">
        <f>IF(A639&gt;=0, DPS_Base_Recoil/(1+A639),DPS_Base_Recoil)</f>
        <v>0.01008064516</v>
      </c>
      <c r="G639" s="377">
        <f t="shared" si="7"/>
        <v>0.51</v>
      </c>
      <c r="H639" s="377">
        <f t="shared" si="8"/>
        <v>0.01552795031</v>
      </c>
      <c r="I639" s="104"/>
      <c r="J639" s="377">
        <f>MAX(0, Max(25,(DPS_Base_Range + ((DPS_Range_Stat) / 2))) / MIN(MAX(70, (70 * (1 + ($A639 / 3)))), 120))</f>
        <v>3.333333333</v>
      </c>
      <c r="K639" s="115" t="str">
        <f>IF(A639&lt;=DPS_Graph_Max,IF(A639&gt;=DPS_Graph_Speed_Min,A639,),)</f>
        <v/>
      </c>
      <c r="M639" s="213">
        <f>If(DPS_Weapon_Type="远程",$E639/60+$F639*2,$E639/60+$F639+$G639/2+$H639)</f>
        <v>0.05349462366</v>
      </c>
      <c r="N639" s="104" t="str">
        <f>IF(DPS_Graph_Tooltip_Speed=TRUE,IF($A639&lt;=DPS_Graph_Max,IF($A639&gt;=DPS_Graph_Speed_Min,1/M639,),),)</f>
        <v/>
      </c>
      <c r="R639" s="104" t="str">
        <f>IF(DPS_Graph_Tooltip_Speed=TRUE,IF($E$8=$A639,1/$N$6,),)</f>
        <v/>
      </c>
    </row>
    <row r="640">
      <c r="A640" s="370">
        <v>3.97</v>
      </c>
      <c r="B640" s="213">
        <f>If(DPS_Weapon_Type="远程",($E640+1)/60+(ROUNDDOWN($F640*60+1,0)/60)*2,(ROUNDDOWN(($E640+1)+ROUNDDOWN($F640*60+1,0)+ROUNDDOWN($G640/2*60+1,0)+ROUNDDOWN($H640*60+1,0)+1,0))/60+If(DPS_ATK_TYPE="挥砍",1/60)+If(DPS_ATK_TYPE="挥砍/刺击",1/120))+DPS_Weapon_Randomization/60</f>
        <v>0.105</v>
      </c>
      <c r="C640" s="104" t="str">
        <f>IF(DPS_Graph_True_Speed=TRUE,IF($A640&lt;=DPS_Graph_Max,IF($A640&gt;=DPS_Graph_Speed_Min,1/B640,),),)</f>
        <v/>
      </c>
      <c r="D640" s="115" t="str">
        <f>IF(DPS_Graph_True_Speed=TRUE,IF($E$8=$A640,DPS_Attacks_P_Sec,),)</f>
        <v/>
      </c>
      <c r="E640" s="222">
        <f>ROUNDDOWN(MAX(2,IF(A640&gt;=0, DPS_Base_Wpn_Spd/(1+A640),DPS_Base_Wpn_Spd*(1+ABS(A640)))),0)</f>
        <v>2</v>
      </c>
      <c r="F640" s="232">
        <f>IF(A640&gt;=0, DPS_Base_Recoil/(1+A640),DPS_Base_Recoil)</f>
        <v>0.01006036217</v>
      </c>
      <c r="G640" s="377">
        <f t="shared" si="7"/>
        <v>0.51</v>
      </c>
      <c r="H640" s="377">
        <f t="shared" si="8"/>
        <v>0.01549186677</v>
      </c>
      <c r="I640" s="104"/>
      <c r="J640" s="377">
        <f>MAX(0, Max(25,(DPS_Base_Range + ((DPS_Range_Stat) / 2))) / MIN(MAX(70, (70 * (1 + ($A640 / 3)))), 120))</f>
        <v>3.333333333</v>
      </c>
      <c r="K640" s="115" t="str">
        <f>IF(A640&lt;=DPS_Graph_Max,IF(A640&gt;=DPS_Graph_Speed_Min,A640,),)</f>
        <v/>
      </c>
      <c r="M640" s="213">
        <f>If(DPS_Weapon_Type="远程",$E640/60+$F640*2,$E640/60+$F640+$G640/2+$H640)</f>
        <v>0.05345405768</v>
      </c>
      <c r="N640" s="104" t="str">
        <f>IF(DPS_Graph_Tooltip_Speed=TRUE,IF($A640&lt;=DPS_Graph_Max,IF($A640&gt;=DPS_Graph_Speed_Min,1/M640,),),)</f>
        <v/>
      </c>
      <c r="R640" s="104" t="str">
        <f>IF(DPS_Graph_Tooltip_Speed=TRUE,IF($E$8=$A640,1/$N$6,),)</f>
        <v/>
      </c>
    </row>
    <row r="641">
      <c r="A641" s="370">
        <v>3.98</v>
      </c>
      <c r="B641" s="213">
        <f>If(DPS_Weapon_Type="远程",($E641+1)/60+(ROUNDDOWN($F641*60+1,0)/60)*2,(ROUNDDOWN(($E641+1)+ROUNDDOWN($F641*60+1,0)+ROUNDDOWN($G641/2*60+1,0)+ROUNDDOWN($H641*60+1,0)+1,0))/60+If(DPS_ATK_TYPE="挥砍",1/60)+If(DPS_ATK_TYPE="挥砍/刺击",1/120))+DPS_Weapon_Randomization/60</f>
        <v>0.105</v>
      </c>
      <c r="C641" s="104" t="str">
        <f>IF(DPS_Graph_True_Speed=TRUE,IF($A641&lt;=DPS_Graph_Max,IF($A641&gt;=DPS_Graph_Speed_Min,1/B641,),),)</f>
        <v/>
      </c>
      <c r="D641" s="115" t="str">
        <f>IF(DPS_Graph_True_Speed=TRUE,IF($E$8=$A641,DPS_Attacks_P_Sec,),)</f>
        <v/>
      </c>
      <c r="E641" s="222">
        <f>ROUNDDOWN(MAX(2,IF(A641&gt;=0, DPS_Base_Wpn_Spd/(1+A641),DPS_Base_Wpn_Spd*(1+ABS(A641)))),0)</f>
        <v>2</v>
      </c>
      <c r="F641" s="232">
        <f>IF(A641&gt;=0, DPS_Base_Recoil/(1+A641),DPS_Base_Recoil)</f>
        <v>0.01004016064</v>
      </c>
      <c r="G641" s="377">
        <f t="shared" si="7"/>
        <v>0.51</v>
      </c>
      <c r="H641" s="377">
        <f t="shared" si="8"/>
        <v>0.01545595054</v>
      </c>
      <c r="I641" s="104"/>
      <c r="J641" s="377">
        <f>MAX(0, Max(25,(DPS_Base_Range + ((DPS_Range_Stat) / 2))) / MIN(MAX(70, (70 * (1 + ($A641 / 3)))), 120))</f>
        <v>3.333333333</v>
      </c>
      <c r="K641" s="115" t="str">
        <f>IF(A641&lt;=DPS_Graph_Max,IF(A641&gt;=DPS_Graph_Speed_Min,A641,),)</f>
        <v/>
      </c>
      <c r="M641" s="213">
        <f>If(DPS_Weapon_Type="远程",$E641/60+$F641*2,$E641/60+$F641+$G641/2+$H641)</f>
        <v>0.05341365462</v>
      </c>
      <c r="N641" s="104" t="str">
        <f>IF(DPS_Graph_Tooltip_Speed=TRUE,IF($A641&lt;=DPS_Graph_Max,IF($A641&gt;=DPS_Graph_Speed_Min,1/M641,),),)</f>
        <v/>
      </c>
      <c r="R641" s="104" t="str">
        <f>IF(DPS_Graph_Tooltip_Speed=TRUE,IF($E$8=$A641,1/$N$6,),)</f>
        <v/>
      </c>
    </row>
    <row r="642">
      <c r="A642" s="370">
        <v>3.99</v>
      </c>
      <c r="B642" s="213">
        <f>If(DPS_Weapon_Type="远程",($E642+1)/60+(ROUNDDOWN($F642*60+1,0)/60)*2,(ROUNDDOWN(($E642+1)+ROUNDDOWN($F642*60+1,0)+ROUNDDOWN($G642/2*60+1,0)+ROUNDDOWN($H642*60+1,0)+1,0))/60+If(DPS_ATK_TYPE="挥砍",1/60)+If(DPS_ATK_TYPE="挥砍/刺击",1/120))+DPS_Weapon_Randomization/60</f>
        <v>0.105</v>
      </c>
      <c r="C642" s="104" t="str">
        <f>IF(DPS_Graph_True_Speed=TRUE,IF($A642&lt;=DPS_Graph_Max,IF($A642&gt;=DPS_Graph_Speed_Min,1/B642,),),)</f>
        <v/>
      </c>
      <c r="D642" s="115" t="str">
        <f>IF(DPS_Graph_True_Speed=TRUE,IF($E$8=$A642,DPS_Attacks_P_Sec,),)</f>
        <v/>
      </c>
      <c r="E642" s="222">
        <f>ROUNDDOWN(MAX(2,IF(A642&gt;=0, DPS_Base_Wpn_Spd/(1+A642),DPS_Base_Wpn_Spd*(1+ABS(A642)))),0)</f>
        <v>2</v>
      </c>
      <c r="F642" s="232">
        <f>IF(A642&gt;=0, DPS_Base_Recoil/(1+A642),DPS_Base_Recoil)</f>
        <v>0.01002004008</v>
      </c>
      <c r="G642" s="377">
        <f t="shared" si="7"/>
        <v>0.51</v>
      </c>
      <c r="H642" s="377">
        <f t="shared" si="8"/>
        <v>0.01542020046</v>
      </c>
      <c r="I642" s="104"/>
      <c r="J642" s="377">
        <f>MAX(0, Max(25,(DPS_Base_Range + ((DPS_Range_Stat) / 2))) / MIN(MAX(70, (70 * (1 + ($A642 / 3)))), 120))</f>
        <v>3.333333333</v>
      </c>
      <c r="K642" s="115" t="str">
        <f>IF(A642&lt;=DPS_Graph_Max,IF(A642&gt;=DPS_Graph_Speed_Min,A642,),)</f>
        <v/>
      </c>
      <c r="M642" s="213">
        <f>If(DPS_Weapon_Type="远程",$E642/60+$F642*2,$E642/60+$F642+$G642/2+$H642)</f>
        <v>0.05337341349</v>
      </c>
      <c r="N642" s="104" t="str">
        <f>IF(DPS_Graph_Tooltip_Speed=TRUE,IF($A642&lt;=DPS_Graph_Max,IF($A642&gt;=DPS_Graph_Speed_Min,1/M642,),),)</f>
        <v/>
      </c>
      <c r="R642" s="104" t="str">
        <f>IF(DPS_Graph_Tooltip_Speed=TRUE,IF($E$8=$A642,1/$N$6,),)</f>
        <v/>
      </c>
    </row>
    <row r="643">
      <c r="A643" s="370">
        <v>4.0</v>
      </c>
      <c r="B643" s="213">
        <f>If(DPS_Weapon_Type="远程",($E643+1)/60+(ROUNDDOWN($F643*60+1,0)/60)*2,(ROUNDDOWN(($E643+1)+ROUNDDOWN($F643*60+1,0)+ROUNDDOWN($G643/2*60+1,0)+ROUNDDOWN($H643*60+1,0)+1,0))/60+If(DPS_ATK_TYPE="挥砍",1/60)+If(DPS_ATK_TYPE="挥砍/刺击",1/120))+DPS_Weapon_Randomization/60</f>
        <v>0.105</v>
      </c>
      <c r="C643" s="104" t="str">
        <f>IF(DPS_Graph_True_Speed=TRUE,IF($A643&lt;=DPS_Graph_Max,IF($A643&gt;=DPS_Graph_Speed_Min,1/B643,),),)</f>
        <v/>
      </c>
      <c r="D643" s="115" t="str">
        <f>IF(DPS_Graph_True_Speed=TRUE,IF($E$8=$A643,DPS_Attacks_P_Sec,),)</f>
        <v/>
      </c>
      <c r="E643" s="222">
        <f>ROUNDDOWN(MAX(2,IF(A643&gt;=0, DPS_Base_Wpn_Spd/(1+A643),DPS_Base_Wpn_Spd*(1+ABS(A643)))),0)</f>
        <v>2</v>
      </c>
      <c r="F643" s="232">
        <f>IF(A643&gt;=0, DPS_Base_Recoil/(1+A643),DPS_Base_Recoil)</f>
        <v>0.01</v>
      </c>
      <c r="G643" s="377">
        <f t="shared" si="7"/>
        <v>0.51</v>
      </c>
      <c r="H643" s="377">
        <f t="shared" si="8"/>
        <v>0.01538461538</v>
      </c>
      <c r="I643" s="104"/>
      <c r="J643" s="377">
        <f>MAX(0, Max(25,(DPS_Base_Range + ((DPS_Range_Stat) / 2))) / MIN(MAX(70, (70 * (1 + ($A643 / 3)))), 120))</f>
        <v>3.333333333</v>
      </c>
      <c r="K643" s="115" t="str">
        <f>IF(A643&lt;=DPS_Graph_Max,IF(A643&gt;=DPS_Graph_Speed_Min,A643,),)</f>
        <v/>
      </c>
      <c r="M643" s="213">
        <f>If(DPS_Weapon_Type="远程",$E643/60+$F643*2,$E643/60+$F643+$G643/2+$H643)</f>
        <v>0.05333333333</v>
      </c>
      <c r="N643" s="104" t="str">
        <f>IF(DPS_Graph_Tooltip_Speed=TRUE,IF($A643&lt;=DPS_Graph_Max,IF($A643&gt;=DPS_Graph_Speed_Min,1/M643,),),)</f>
        <v/>
      </c>
      <c r="R643" s="104" t="str">
        <f>IF(DPS_Graph_Tooltip_Speed=TRUE,IF($E$8=$A643,1/$N$6,),)</f>
        <v/>
      </c>
    </row>
    <row r="644">
      <c r="A644" s="370">
        <v>4.01</v>
      </c>
      <c r="B644" s="213">
        <f>If(DPS_Weapon_Type="远程",($E644+1)/60+(ROUNDDOWN($F644*60+1,0)/60)*2,(ROUNDDOWN(($E644+1)+ROUNDDOWN($F644*60+1,0)+ROUNDDOWN($G644/2*60+1,0)+ROUNDDOWN($H644*60+1,0)+1,0))/60+If(DPS_ATK_TYPE="挥砍",1/60)+If(DPS_ATK_TYPE="挥砍/刺击",1/120))+DPS_Weapon_Randomization/60</f>
        <v>0.105</v>
      </c>
      <c r="C644" s="104" t="str">
        <f>IF(DPS_Graph_True_Speed=TRUE,IF($A644&lt;=DPS_Graph_Max,IF($A644&gt;=DPS_Graph_Speed_Min,1/B644,),),)</f>
        <v/>
      </c>
      <c r="D644" s="115" t="str">
        <f>IF(DPS_Graph_True_Speed=TRUE,IF($E$8=$A644,DPS_Attacks_P_Sec,),)</f>
        <v/>
      </c>
      <c r="E644" s="222">
        <f>ROUNDDOWN(MAX(2,IF(A644&gt;=0, DPS_Base_Wpn_Spd/(1+A644),DPS_Base_Wpn_Spd*(1+ABS(A644)))),0)</f>
        <v>2</v>
      </c>
      <c r="F644" s="232">
        <f>IF(A644&gt;=0, DPS_Base_Recoil/(1+A644),DPS_Base_Recoil)</f>
        <v>0.00998003992</v>
      </c>
      <c r="G644" s="377">
        <f t="shared" si="7"/>
        <v>0.51</v>
      </c>
      <c r="H644" s="377">
        <f t="shared" si="8"/>
        <v>0.01534919417</v>
      </c>
      <c r="I644" s="104"/>
      <c r="J644" s="377">
        <f>MAX(0, Max(25,(DPS_Base_Range + ((DPS_Range_Stat) / 2))) / MIN(MAX(70, (70 * (1 + ($A644 / 3)))), 120))</f>
        <v>3.333333333</v>
      </c>
      <c r="K644" s="115" t="str">
        <f>IF(A644&lt;=DPS_Graph_Max,IF(A644&gt;=DPS_Graph_Speed_Min,A644,),)</f>
        <v/>
      </c>
      <c r="M644" s="213">
        <f>If(DPS_Weapon_Type="远程",$E644/60+$F644*2,$E644/60+$F644+$G644/2+$H644)</f>
        <v>0.05329341317</v>
      </c>
      <c r="N644" s="104" t="str">
        <f>IF(DPS_Graph_Tooltip_Speed=TRUE,IF($A644&lt;=DPS_Graph_Max,IF($A644&gt;=DPS_Graph_Speed_Min,1/M644,),),)</f>
        <v/>
      </c>
      <c r="R644" s="104" t="str">
        <f>IF(DPS_Graph_Tooltip_Speed=TRUE,IF($E$8=$A644,1/$N$6,),)</f>
        <v/>
      </c>
    </row>
    <row r="645">
      <c r="A645" s="370">
        <v>4.02</v>
      </c>
      <c r="B645" s="213">
        <f>If(DPS_Weapon_Type="远程",($E645+1)/60+(ROUNDDOWN($F645*60+1,0)/60)*2,(ROUNDDOWN(($E645+1)+ROUNDDOWN($F645*60+1,0)+ROUNDDOWN($G645/2*60+1,0)+ROUNDDOWN($H645*60+1,0)+1,0))/60+If(DPS_ATK_TYPE="挥砍",1/60)+If(DPS_ATK_TYPE="挥砍/刺击",1/120))+DPS_Weapon_Randomization/60</f>
        <v>0.105</v>
      </c>
      <c r="C645" s="104" t="str">
        <f>IF(DPS_Graph_True_Speed=TRUE,IF($A645&lt;=DPS_Graph_Max,IF($A645&gt;=DPS_Graph_Speed_Min,1/B645,),),)</f>
        <v/>
      </c>
      <c r="D645" s="115" t="str">
        <f>IF(DPS_Graph_True_Speed=TRUE,IF($E$8=$A645,DPS_Attacks_P_Sec,),)</f>
        <v/>
      </c>
      <c r="E645" s="222">
        <f>ROUNDDOWN(MAX(2,IF(A645&gt;=0, DPS_Base_Wpn_Spd/(1+A645),DPS_Base_Wpn_Spd*(1+ABS(A645)))),0)</f>
        <v>2</v>
      </c>
      <c r="F645" s="232">
        <f>IF(A645&gt;=0, DPS_Base_Recoil/(1+A645),DPS_Base_Recoil)</f>
        <v>0.009960159363</v>
      </c>
      <c r="G645" s="377">
        <f t="shared" si="7"/>
        <v>0.51</v>
      </c>
      <c r="H645" s="377">
        <f t="shared" si="8"/>
        <v>0.01531393568</v>
      </c>
      <c r="I645" s="104"/>
      <c r="J645" s="377">
        <f>MAX(0, Max(25,(DPS_Base_Range + ((DPS_Range_Stat) / 2))) / MIN(MAX(70, (70 * (1 + ($A645 / 3)))), 120))</f>
        <v>3.333333333</v>
      </c>
      <c r="K645" s="115" t="str">
        <f>IF(A645&lt;=DPS_Graph_Max,IF(A645&gt;=DPS_Graph_Speed_Min,A645,),)</f>
        <v/>
      </c>
      <c r="M645" s="213">
        <f>If(DPS_Weapon_Type="远程",$E645/60+$F645*2,$E645/60+$F645+$G645/2+$H645)</f>
        <v>0.05325365206</v>
      </c>
      <c r="N645" s="104" t="str">
        <f>IF(DPS_Graph_Tooltip_Speed=TRUE,IF($A645&lt;=DPS_Graph_Max,IF($A645&gt;=DPS_Graph_Speed_Min,1/M645,),),)</f>
        <v/>
      </c>
      <c r="R645" s="104" t="str">
        <f>IF(DPS_Graph_Tooltip_Speed=TRUE,IF($E$8=$A645,1/$N$6,),)</f>
        <v/>
      </c>
    </row>
    <row r="646">
      <c r="A646" s="370">
        <v>4.03</v>
      </c>
      <c r="B646" s="213">
        <f>If(DPS_Weapon_Type="远程",($E646+1)/60+(ROUNDDOWN($F646*60+1,0)/60)*2,(ROUNDDOWN(($E646+1)+ROUNDDOWN($F646*60+1,0)+ROUNDDOWN($G646/2*60+1,0)+ROUNDDOWN($H646*60+1,0)+1,0))/60+If(DPS_ATK_TYPE="挥砍",1/60)+If(DPS_ATK_TYPE="挥砍/刺击",1/120))+DPS_Weapon_Randomization/60</f>
        <v>0.105</v>
      </c>
      <c r="C646" s="104" t="str">
        <f>IF(DPS_Graph_True_Speed=TRUE,IF($A646&lt;=DPS_Graph_Max,IF($A646&gt;=DPS_Graph_Speed_Min,1/B646,),),)</f>
        <v/>
      </c>
      <c r="D646" s="115" t="str">
        <f>IF(DPS_Graph_True_Speed=TRUE,IF($E$8=$A646,DPS_Attacks_P_Sec,),)</f>
        <v/>
      </c>
      <c r="E646" s="222">
        <f>ROUNDDOWN(MAX(2,IF(A646&gt;=0, DPS_Base_Wpn_Spd/(1+A646),DPS_Base_Wpn_Spd*(1+ABS(A646)))),0)</f>
        <v>2</v>
      </c>
      <c r="F646" s="232">
        <f>IF(A646&gt;=0, DPS_Base_Recoil/(1+A646),DPS_Base_Recoil)</f>
        <v>0.009940357853</v>
      </c>
      <c r="G646" s="377">
        <f t="shared" si="7"/>
        <v>0.51</v>
      </c>
      <c r="H646" s="377">
        <f t="shared" si="8"/>
        <v>0.01527883881</v>
      </c>
      <c r="I646" s="104"/>
      <c r="J646" s="377">
        <f>MAX(0, Max(25,(DPS_Base_Range + ((DPS_Range_Stat) / 2))) / MIN(MAX(70, (70 * (1 + ($A646 / 3)))), 120))</f>
        <v>3.333333333</v>
      </c>
      <c r="K646" s="115" t="str">
        <f>IF(A646&lt;=DPS_Graph_Max,IF(A646&gt;=DPS_Graph_Speed_Min,A646,),)</f>
        <v/>
      </c>
      <c r="M646" s="213">
        <f>If(DPS_Weapon_Type="远程",$E646/60+$F646*2,$E646/60+$F646+$G646/2+$H646)</f>
        <v>0.05321404904</v>
      </c>
      <c r="N646" s="104" t="str">
        <f>IF(DPS_Graph_Tooltip_Speed=TRUE,IF($A646&lt;=DPS_Graph_Max,IF($A646&gt;=DPS_Graph_Speed_Min,1/M646,),),)</f>
        <v/>
      </c>
      <c r="R646" s="104" t="str">
        <f>IF(DPS_Graph_Tooltip_Speed=TRUE,IF($E$8=$A646,1/$N$6,),)</f>
        <v/>
      </c>
    </row>
    <row r="647">
      <c r="A647" s="370">
        <v>4.04</v>
      </c>
      <c r="B647" s="213">
        <f>If(DPS_Weapon_Type="远程",($E647+1)/60+(ROUNDDOWN($F647*60+1,0)/60)*2,(ROUNDDOWN(($E647+1)+ROUNDDOWN($F647*60+1,0)+ROUNDDOWN($G647/2*60+1,0)+ROUNDDOWN($H647*60+1,0)+1,0))/60+If(DPS_ATK_TYPE="挥砍",1/60)+If(DPS_ATK_TYPE="挥砍/刺击",1/120))+DPS_Weapon_Randomization/60</f>
        <v>0.105</v>
      </c>
      <c r="C647" s="104" t="str">
        <f>IF(DPS_Graph_True_Speed=TRUE,IF($A647&lt;=DPS_Graph_Max,IF($A647&gt;=DPS_Graph_Speed_Min,1/B647,),),)</f>
        <v/>
      </c>
      <c r="D647" s="115" t="str">
        <f>IF(DPS_Graph_True_Speed=TRUE,IF($E$8=$A647,DPS_Attacks_P_Sec,),)</f>
        <v/>
      </c>
      <c r="E647" s="222">
        <f>ROUNDDOWN(MAX(2,IF(A647&gt;=0, DPS_Base_Wpn_Spd/(1+A647),DPS_Base_Wpn_Spd*(1+ABS(A647)))),0)</f>
        <v>2</v>
      </c>
      <c r="F647" s="232">
        <f>IF(A647&gt;=0, DPS_Base_Recoil/(1+A647),DPS_Base_Recoil)</f>
        <v>0.009920634921</v>
      </c>
      <c r="G647" s="377">
        <f t="shared" si="7"/>
        <v>0.51</v>
      </c>
      <c r="H647" s="377">
        <f t="shared" si="8"/>
        <v>0.01524390244</v>
      </c>
      <c r="I647" s="104"/>
      <c r="J647" s="377">
        <f>MAX(0, Max(25,(DPS_Base_Range + ((DPS_Range_Stat) / 2))) / MIN(MAX(70, (70 * (1 + ($A647 / 3)))), 120))</f>
        <v>3.333333333</v>
      </c>
      <c r="K647" s="115" t="str">
        <f>IF(A647&lt;=DPS_Graph_Max,IF(A647&gt;=DPS_Graph_Speed_Min,A647,),)</f>
        <v/>
      </c>
      <c r="M647" s="213">
        <f>If(DPS_Weapon_Type="远程",$E647/60+$F647*2,$E647/60+$F647+$G647/2+$H647)</f>
        <v>0.05317460317</v>
      </c>
      <c r="N647" s="104" t="str">
        <f>IF(DPS_Graph_Tooltip_Speed=TRUE,IF($A647&lt;=DPS_Graph_Max,IF($A647&gt;=DPS_Graph_Speed_Min,1/M647,),),)</f>
        <v/>
      </c>
      <c r="R647" s="104" t="str">
        <f>IF(DPS_Graph_Tooltip_Speed=TRUE,IF($E$8=$A647,1/$N$6,),)</f>
        <v/>
      </c>
    </row>
    <row r="648">
      <c r="A648" s="370">
        <v>4.05</v>
      </c>
      <c r="B648" s="213">
        <f>If(DPS_Weapon_Type="远程",($E648+1)/60+(ROUNDDOWN($F648*60+1,0)/60)*2,(ROUNDDOWN(($E648+1)+ROUNDDOWN($F648*60+1,0)+ROUNDDOWN($G648/2*60+1,0)+ROUNDDOWN($H648*60+1,0)+1,0))/60+If(DPS_ATK_TYPE="挥砍",1/60)+If(DPS_ATK_TYPE="挥砍/刺击",1/120))+DPS_Weapon_Randomization/60</f>
        <v>0.105</v>
      </c>
      <c r="C648" s="104" t="str">
        <f>IF(DPS_Graph_True_Speed=TRUE,IF($A648&lt;=DPS_Graph_Max,IF($A648&gt;=DPS_Graph_Speed_Min,1/B648,),),)</f>
        <v/>
      </c>
      <c r="D648" s="115" t="str">
        <f>IF(DPS_Graph_True_Speed=TRUE,IF($E$8=$A648,DPS_Attacks_P_Sec,),)</f>
        <v/>
      </c>
      <c r="E648" s="222">
        <f>ROUNDDOWN(MAX(2,IF(A648&gt;=0, DPS_Base_Wpn_Spd/(1+A648),DPS_Base_Wpn_Spd*(1+ABS(A648)))),0)</f>
        <v>2</v>
      </c>
      <c r="F648" s="232">
        <f>IF(A648&gt;=0, DPS_Base_Recoil/(1+A648),DPS_Base_Recoil)</f>
        <v>0.009900990099</v>
      </c>
      <c r="G648" s="377">
        <f t="shared" si="7"/>
        <v>0.51</v>
      </c>
      <c r="H648" s="377">
        <f t="shared" si="8"/>
        <v>0.01520912548</v>
      </c>
      <c r="I648" s="104"/>
      <c r="J648" s="377">
        <f>MAX(0, Max(25,(DPS_Base_Range + ((DPS_Range_Stat) / 2))) / MIN(MAX(70, (70 * (1 + ($A648 / 3)))), 120))</f>
        <v>3.333333333</v>
      </c>
      <c r="K648" s="115" t="str">
        <f>IF(A648&lt;=DPS_Graph_Max,IF(A648&gt;=DPS_Graph_Speed_Min,A648,),)</f>
        <v/>
      </c>
      <c r="M648" s="213">
        <f>If(DPS_Weapon_Type="远程",$E648/60+$F648*2,$E648/60+$F648+$G648/2+$H648)</f>
        <v>0.05313531353</v>
      </c>
      <c r="N648" s="104" t="str">
        <f>IF(DPS_Graph_Tooltip_Speed=TRUE,IF($A648&lt;=DPS_Graph_Max,IF($A648&gt;=DPS_Graph_Speed_Min,1/M648,),),)</f>
        <v/>
      </c>
      <c r="R648" s="104" t="str">
        <f>IF(DPS_Graph_Tooltip_Speed=TRUE,IF($E$8=$A648,1/$N$6,),)</f>
        <v/>
      </c>
    </row>
    <row r="649">
      <c r="A649" s="370">
        <v>4.06</v>
      </c>
      <c r="B649" s="213">
        <f>If(DPS_Weapon_Type="远程",($E649+1)/60+(ROUNDDOWN($F649*60+1,0)/60)*2,(ROUNDDOWN(($E649+1)+ROUNDDOWN($F649*60+1,0)+ROUNDDOWN($G649/2*60+1,0)+ROUNDDOWN($H649*60+1,0)+1,0))/60+If(DPS_ATK_TYPE="挥砍",1/60)+If(DPS_ATK_TYPE="挥砍/刺击",1/120))+DPS_Weapon_Randomization/60</f>
        <v>0.105</v>
      </c>
      <c r="C649" s="104" t="str">
        <f>IF(DPS_Graph_True_Speed=TRUE,IF($A649&lt;=DPS_Graph_Max,IF($A649&gt;=DPS_Graph_Speed_Min,1/B649,),),)</f>
        <v/>
      </c>
      <c r="D649" s="115" t="str">
        <f>IF(DPS_Graph_True_Speed=TRUE,IF($E$8=$A649,DPS_Attacks_P_Sec,),)</f>
        <v/>
      </c>
      <c r="E649" s="222">
        <f>ROUNDDOWN(MAX(2,IF(A649&gt;=0, DPS_Base_Wpn_Spd/(1+A649),DPS_Base_Wpn_Spd*(1+ABS(A649)))),0)</f>
        <v>2</v>
      </c>
      <c r="F649" s="232">
        <f>IF(A649&gt;=0, DPS_Base_Recoil/(1+A649),DPS_Base_Recoil)</f>
        <v>0.009881422925</v>
      </c>
      <c r="G649" s="377">
        <f t="shared" si="7"/>
        <v>0.51</v>
      </c>
      <c r="H649" s="377">
        <f t="shared" si="8"/>
        <v>0.01517450683</v>
      </c>
      <c r="I649" s="104"/>
      <c r="J649" s="377">
        <f>MAX(0, Max(25,(DPS_Base_Range + ((DPS_Range_Stat) / 2))) / MIN(MAX(70, (70 * (1 + ($A649 / 3)))), 120))</f>
        <v>3.333333333</v>
      </c>
      <c r="K649" s="115" t="str">
        <f>IF(A649&lt;=DPS_Graph_Max,IF(A649&gt;=DPS_Graph_Speed_Min,A649,),)</f>
        <v/>
      </c>
      <c r="M649" s="213">
        <f>If(DPS_Weapon_Type="远程",$E649/60+$F649*2,$E649/60+$F649+$G649/2+$H649)</f>
        <v>0.05309617918</v>
      </c>
      <c r="N649" s="104" t="str">
        <f>IF(DPS_Graph_Tooltip_Speed=TRUE,IF($A649&lt;=DPS_Graph_Max,IF($A649&gt;=DPS_Graph_Speed_Min,1/M649,),),)</f>
        <v/>
      </c>
      <c r="R649" s="104" t="str">
        <f>IF(DPS_Graph_Tooltip_Speed=TRUE,IF($E$8=$A649,1/$N$6,),)</f>
        <v/>
      </c>
    </row>
    <row r="650">
      <c r="A650" s="370">
        <v>4.07</v>
      </c>
      <c r="B650" s="213">
        <f>If(DPS_Weapon_Type="远程",($E650+1)/60+(ROUNDDOWN($F650*60+1,0)/60)*2,(ROUNDDOWN(($E650+1)+ROUNDDOWN($F650*60+1,0)+ROUNDDOWN($G650/2*60+1,0)+ROUNDDOWN($H650*60+1,0)+1,0))/60+If(DPS_ATK_TYPE="挥砍",1/60)+If(DPS_ATK_TYPE="挥砍/刺击",1/120))+DPS_Weapon_Randomization/60</f>
        <v>0.105</v>
      </c>
      <c r="C650" s="104" t="str">
        <f>IF(DPS_Graph_True_Speed=TRUE,IF($A650&lt;=DPS_Graph_Max,IF($A650&gt;=DPS_Graph_Speed_Min,1/B650,),),)</f>
        <v/>
      </c>
      <c r="D650" s="115" t="str">
        <f>IF(DPS_Graph_True_Speed=TRUE,IF($E$8=$A650,DPS_Attacks_P_Sec,),)</f>
        <v/>
      </c>
      <c r="E650" s="222">
        <f>ROUNDDOWN(MAX(2,IF(A650&gt;=0, DPS_Base_Wpn_Spd/(1+A650),DPS_Base_Wpn_Spd*(1+ABS(A650)))),0)</f>
        <v>2</v>
      </c>
      <c r="F650" s="232">
        <f>IF(A650&gt;=0, DPS_Base_Recoil/(1+A650),DPS_Base_Recoil)</f>
        <v>0.009861932939</v>
      </c>
      <c r="G650" s="377">
        <f t="shared" si="7"/>
        <v>0.51</v>
      </c>
      <c r="H650" s="377">
        <f t="shared" si="8"/>
        <v>0.01514004542</v>
      </c>
      <c r="I650" s="104"/>
      <c r="J650" s="377">
        <f>MAX(0, Max(25,(DPS_Base_Range + ((DPS_Range_Stat) / 2))) / MIN(MAX(70, (70 * (1 + ($A650 / 3)))), 120))</f>
        <v>3.333333333</v>
      </c>
      <c r="K650" s="115" t="str">
        <f>IF(A650&lt;=DPS_Graph_Max,IF(A650&gt;=DPS_Graph_Speed_Min,A650,),)</f>
        <v/>
      </c>
      <c r="M650" s="213">
        <f>If(DPS_Weapon_Type="远程",$E650/60+$F650*2,$E650/60+$F650+$G650/2+$H650)</f>
        <v>0.05305719921</v>
      </c>
      <c r="N650" s="104" t="str">
        <f>IF(DPS_Graph_Tooltip_Speed=TRUE,IF($A650&lt;=DPS_Graph_Max,IF($A650&gt;=DPS_Graph_Speed_Min,1/M650,),),)</f>
        <v/>
      </c>
      <c r="R650" s="104" t="str">
        <f>IF(DPS_Graph_Tooltip_Speed=TRUE,IF($E$8=$A650,1/$N$6,),)</f>
        <v/>
      </c>
    </row>
    <row r="651">
      <c r="A651" s="370">
        <v>4.08</v>
      </c>
      <c r="B651" s="213">
        <f>If(DPS_Weapon_Type="远程",($E651+1)/60+(ROUNDDOWN($F651*60+1,0)/60)*2,(ROUNDDOWN(($E651+1)+ROUNDDOWN($F651*60+1,0)+ROUNDDOWN($G651/2*60+1,0)+ROUNDDOWN($H651*60+1,0)+1,0))/60+If(DPS_ATK_TYPE="挥砍",1/60)+If(DPS_ATK_TYPE="挥砍/刺击",1/120))+DPS_Weapon_Randomization/60</f>
        <v>0.105</v>
      </c>
      <c r="C651" s="104" t="str">
        <f>IF(DPS_Graph_True_Speed=TRUE,IF($A651&lt;=DPS_Graph_Max,IF($A651&gt;=DPS_Graph_Speed_Min,1/B651,),),)</f>
        <v/>
      </c>
      <c r="D651" s="115" t="str">
        <f>IF(DPS_Graph_True_Speed=TRUE,IF($E$8=$A651,DPS_Attacks_P_Sec,),)</f>
        <v/>
      </c>
      <c r="E651" s="222">
        <f>ROUNDDOWN(MAX(2,IF(A651&gt;=0, DPS_Base_Wpn_Spd/(1+A651),DPS_Base_Wpn_Spd*(1+ABS(A651)))),0)</f>
        <v>2</v>
      </c>
      <c r="F651" s="232">
        <f>IF(A651&gt;=0, DPS_Base_Recoil/(1+A651),DPS_Base_Recoil)</f>
        <v>0.009842519685</v>
      </c>
      <c r="G651" s="377">
        <f t="shared" si="7"/>
        <v>0.51</v>
      </c>
      <c r="H651" s="377">
        <f t="shared" si="8"/>
        <v>0.01510574018</v>
      </c>
      <c r="I651" s="104"/>
      <c r="J651" s="377">
        <f>MAX(0, Max(25,(DPS_Base_Range + ((DPS_Range_Stat) / 2))) / MIN(MAX(70, (70 * (1 + ($A651 / 3)))), 120))</f>
        <v>3.333333333</v>
      </c>
      <c r="K651" s="115" t="str">
        <f>IF(A651&lt;=DPS_Graph_Max,IF(A651&gt;=DPS_Graph_Speed_Min,A651,),)</f>
        <v/>
      </c>
      <c r="M651" s="213">
        <f>If(DPS_Weapon_Type="远程",$E651/60+$F651*2,$E651/60+$F651+$G651/2+$H651)</f>
        <v>0.0530183727</v>
      </c>
      <c r="N651" s="104" t="str">
        <f>IF(DPS_Graph_Tooltip_Speed=TRUE,IF($A651&lt;=DPS_Graph_Max,IF($A651&gt;=DPS_Graph_Speed_Min,1/M651,),),)</f>
        <v/>
      </c>
      <c r="R651" s="104" t="str">
        <f>IF(DPS_Graph_Tooltip_Speed=TRUE,IF($E$8=$A651,1/$N$6,),)</f>
        <v/>
      </c>
    </row>
    <row r="652">
      <c r="A652" s="370">
        <v>4.09</v>
      </c>
      <c r="B652" s="213">
        <f>If(DPS_Weapon_Type="远程",($E652+1)/60+(ROUNDDOWN($F652*60+1,0)/60)*2,(ROUNDDOWN(($E652+1)+ROUNDDOWN($F652*60+1,0)+ROUNDDOWN($G652/2*60+1,0)+ROUNDDOWN($H652*60+1,0)+1,0))/60+If(DPS_ATK_TYPE="挥砍",1/60)+If(DPS_ATK_TYPE="挥砍/刺击",1/120))+DPS_Weapon_Randomization/60</f>
        <v>0.105</v>
      </c>
      <c r="C652" s="104" t="str">
        <f>IF(DPS_Graph_True_Speed=TRUE,IF($A652&lt;=DPS_Graph_Max,IF($A652&gt;=DPS_Graph_Speed_Min,1/B652,),),)</f>
        <v/>
      </c>
      <c r="D652" s="115" t="str">
        <f>IF(DPS_Graph_True_Speed=TRUE,IF($E$8=$A652,DPS_Attacks_P_Sec,),)</f>
        <v/>
      </c>
      <c r="E652" s="222">
        <f>ROUNDDOWN(MAX(2,IF(A652&gt;=0, DPS_Base_Wpn_Spd/(1+A652),DPS_Base_Wpn_Spd*(1+ABS(A652)))),0)</f>
        <v>2</v>
      </c>
      <c r="F652" s="232">
        <f>IF(A652&gt;=0, DPS_Base_Recoil/(1+A652),DPS_Base_Recoil)</f>
        <v>0.009823182711</v>
      </c>
      <c r="G652" s="377">
        <f t="shared" si="7"/>
        <v>0.51</v>
      </c>
      <c r="H652" s="377">
        <f t="shared" si="8"/>
        <v>0.01507159005</v>
      </c>
      <c r="I652" s="104"/>
      <c r="J652" s="377">
        <f>MAX(0, Max(25,(DPS_Base_Range + ((DPS_Range_Stat) / 2))) / MIN(MAX(70, (70 * (1 + ($A652 / 3)))), 120))</f>
        <v>3.333333333</v>
      </c>
      <c r="K652" s="115" t="str">
        <f>IF(A652&lt;=DPS_Graph_Max,IF(A652&gt;=DPS_Graph_Speed_Min,A652,),)</f>
        <v/>
      </c>
      <c r="M652" s="213">
        <f>If(DPS_Weapon_Type="远程",$E652/60+$F652*2,$E652/60+$F652+$G652/2+$H652)</f>
        <v>0.05297969876</v>
      </c>
      <c r="N652" s="104" t="str">
        <f>IF(DPS_Graph_Tooltip_Speed=TRUE,IF($A652&lt;=DPS_Graph_Max,IF($A652&gt;=DPS_Graph_Speed_Min,1/M652,),),)</f>
        <v/>
      </c>
      <c r="R652" s="104" t="str">
        <f>IF(DPS_Graph_Tooltip_Speed=TRUE,IF($E$8=$A652,1/$N$6,),)</f>
        <v/>
      </c>
    </row>
    <row r="653">
      <c r="A653" s="370">
        <v>4.1</v>
      </c>
      <c r="B653" s="213">
        <f>If(DPS_Weapon_Type="远程",($E653+1)/60+(ROUNDDOWN($F653*60+1,0)/60)*2,(ROUNDDOWN(($E653+1)+ROUNDDOWN($F653*60+1,0)+ROUNDDOWN($G653/2*60+1,0)+ROUNDDOWN($H653*60+1,0)+1,0))/60+If(DPS_ATK_TYPE="挥砍",1/60)+If(DPS_ATK_TYPE="挥砍/刺击",1/120))+DPS_Weapon_Randomization/60</f>
        <v>0.105</v>
      </c>
      <c r="C653" s="104" t="str">
        <f>IF(DPS_Graph_True_Speed=TRUE,IF($A653&lt;=DPS_Graph_Max,IF($A653&gt;=DPS_Graph_Speed_Min,1/B653,),),)</f>
        <v/>
      </c>
      <c r="D653" s="115" t="str">
        <f>IF(DPS_Graph_True_Speed=TRUE,IF($E$8=$A653,DPS_Attacks_P_Sec,),)</f>
        <v/>
      </c>
      <c r="E653" s="222">
        <f>ROUNDDOWN(MAX(2,IF(A653&gt;=0, DPS_Base_Wpn_Spd/(1+A653),DPS_Base_Wpn_Spd*(1+ABS(A653)))),0)</f>
        <v>2</v>
      </c>
      <c r="F653" s="232">
        <f>IF(A653&gt;=0, DPS_Base_Recoil/(1+A653),DPS_Base_Recoil)</f>
        <v>0.009803921569</v>
      </c>
      <c r="G653" s="377">
        <f t="shared" si="7"/>
        <v>0.51</v>
      </c>
      <c r="H653" s="377">
        <f t="shared" si="8"/>
        <v>0.01503759398</v>
      </c>
      <c r="I653" s="104"/>
      <c r="J653" s="377">
        <f>MAX(0, Max(25,(DPS_Base_Range + ((DPS_Range_Stat) / 2))) / MIN(MAX(70, (70 * (1 + ($A653 / 3)))), 120))</f>
        <v>3.333333333</v>
      </c>
      <c r="K653" s="115" t="str">
        <f>IF(A653&lt;=DPS_Graph_Max,IF(A653&gt;=DPS_Graph_Speed_Min,A653,),)</f>
        <v/>
      </c>
      <c r="M653" s="213">
        <f>If(DPS_Weapon_Type="远程",$E653/60+$F653*2,$E653/60+$F653+$G653/2+$H653)</f>
        <v>0.05294117647</v>
      </c>
      <c r="N653" s="104" t="str">
        <f>IF(DPS_Graph_Tooltip_Speed=TRUE,IF($A653&lt;=DPS_Graph_Max,IF($A653&gt;=DPS_Graph_Speed_Min,1/M653,),),)</f>
        <v/>
      </c>
      <c r="R653" s="104" t="str">
        <f>IF(DPS_Graph_Tooltip_Speed=TRUE,IF($E$8=$A653,1/$N$6,),)</f>
        <v/>
      </c>
    </row>
    <row r="654">
      <c r="A654" s="370">
        <v>4.11</v>
      </c>
      <c r="B654" s="213">
        <f>If(DPS_Weapon_Type="远程",($E654+1)/60+(ROUNDDOWN($F654*60+1,0)/60)*2,(ROUNDDOWN(($E654+1)+ROUNDDOWN($F654*60+1,0)+ROUNDDOWN($G654/2*60+1,0)+ROUNDDOWN($H654*60+1,0)+1,0))/60+If(DPS_ATK_TYPE="挥砍",1/60)+If(DPS_ATK_TYPE="挥砍/刺击",1/120))+DPS_Weapon_Randomization/60</f>
        <v>0.105</v>
      </c>
      <c r="C654" s="104" t="str">
        <f>IF(DPS_Graph_True_Speed=TRUE,IF($A654&lt;=DPS_Graph_Max,IF($A654&gt;=DPS_Graph_Speed_Min,1/B654,),),)</f>
        <v/>
      </c>
      <c r="D654" s="115" t="str">
        <f>IF(DPS_Graph_True_Speed=TRUE,IF($E$8=$A654,DPS_Attacks_P_Sec,),)</f>
        <v/>
      </c>
      <c r="E654" s="222">
        <f>ROUNDDOWN(MAX(2,IF(A654&gt;=0, DPS_Base_Wpn_Spd/(1+A654),DPS_Base_Wpn_Spd*(1+ABS(A654)))),0)</f>
        <v>2</v>
      </c>
      <c r="F654" s="232">
        <f>IF(A654&gt;=0, DPS_Base_Recoil/(1+A654),DPS_Base_Recoil)</f>
        <v>0.009784735812</v>
      </c>
      <c r="G654" s="377">
        <f t="shared" si="7"/>
        <v>0.51</v>
      </c>
      <c r="H654" s="377">
        <f t="shared" si="8"/>
        <v>0.01500375094</v>
      </c>
      <c r="I654" s="104"/>
      <c r="J654" s="377">
        <f>MAX(0, Max(25,(DPS_Base_Range + ((DPS_Range_Stat) / 2))) / MIN(MAX(70, (70 * (1 + ($A654 / 3)))), 120))</f>
        <v>3.333333333</v>
      </c>
      <c r="K654" s="115" t="str">
        <f>IF(A654&lt;=DPS_Graph_Max,IF(A654&gt;=DPS_Graph_Speed_Min,A654,),)</f>
        <v/>
      </c>
      <c r="M654" s="213">
        <f>If(DPS_Weapon_Type="远程",$E654/60+$F654*2,$E654/60+$F654+$G654/2+$H654)</f>
        <v>0.05290280496</v>
      </c>
      <c r="N654" s="104" t="str">
        <f>IF(DPS_Graph_Tooltip_Speed=TRUE,IF($A654&lt;=DPS_Graph_Max,IF($A654&gt;=DPS_Graph_Speed_Min,1/M654,),),)</f>
        <v/>
      </c>
      <c r="R654" s="104" t="str">
        <f>IF(DPS_Graph_Tooltip_Speed=TRUE,IF($E$8=$A654,1/$N$6,),)</f>
        <v/>
      </c>
    </row>
    <row r="655">
      <c r="A655" s="370">
        <v>4.12</v>
      </c>
      <c r="B655" s="213">
        <f>If(DPS_Weapon_Type="远程",($E655+1)/60+(ROUNDDOWN($F655*60+1,0)/60)*2,(ROUNDDOWN(($E655+1)+ROUNDDOWN($F655*60+1,0)+ROUNDDOWN($G655/2*60+1,0)+ROUNDDOWN($H655*60+1,0)+1,0))/60+If(DPS_ATK_TYPE="挥砍",1/60)+If(DPS_ATK_TYPE="挥砍/刺击",1/120))+DPS_Weapon_Randomization/60</f>
        <v>0.105</v>
      </c>
      <c r="C655" s="104" t="str">
        <f>IF(DPS_Graph_True_Speed=TRUE,IF($A655&lt;=DPS_Graph_Max,IF($A655&gt;=DPS_Graph_Speed_Min,1/B655,),),)</f>
        <v/>
      </c>
      <c r="D655" s="115" t="str">
        <f>IF(DPS_Graph_True_Speed=TRUE,IF($E$8=$A655,DPS_Attacks_P_Sec,),)</f>
        <v/>
      </c>
      <c r="E655" s="222">
        <f>ROUNDDOWN(MAX(2,IF(A655&gt;=0, DPS_Base_Wpn_Spd/(1+A655),DPS_Base_Wpn_Spd*(1+ABS(A655)))),0)</f>
        <v>2</v>
      </c>
      <c r="F655" s="232">
        <f>IF(A655&gt;=0, DPS_Base_Recoil/(1+A655),DPS_Base_Recoil)</f>
        <v>0.009765625</v>
      </c>
      <c r="G655" s="377">
        <f t="shared" si="7"/>
        <v>0.51</v>
      </c>
      <c r="H655" s="377">
        <f t="shared" si="8"/>
        <v>0.01497005988</v>
      </c>
      <c r="I655" s="104"/>
      <c r="J655" s="377">
        <f>MAX(0, Max(25,(DPS_Base_Range + ((DPS_Range_Stat) / 2))) / MIN(MAX(70, (70 * (1 + ($A655 / 3)))), 120))</f>
        <v>3.333333333</v>
      </c>
      <c r="K655" s="115" t="str">
        <f>IF(A655&lt;=DPS_Graph_Max,IF(A655&gt;=DPS_Graph_Speed_Min,A655,),)</f>
        <v/>
      </c>
      <c r="M655" s="213">
        <f>If(DPS_Weapon_Type="远程",$E655/60+$F655*2,$E655/60+$F655+$G655/2+$H655)</f>
        <v>0.05286458333</v>
      </c>
      <c r="N655" s="104" t="str">
        <f>IF(DPS_Graph_Tooltip_Speed=TRUE,IF($A655&lt;=DPS_Graph_Max,IF($A655&gt;=DPS_Graph_Speed_Min,1/M655,),),)</f>
        <v/>
      </c>
      <c r="R655" s="104" t="str">
        <f>IF(DPS_Graph_Tooltip_Speed=TRUE,IF($E$8=$A655,1/$N$6,),)</f>
        <v/>
      </c>
    </row>
    <row r="656">
      <c r="A656" s="370">
        <v>4.13</v>
      </c>
      <c r="B656" s="213">
        <f>If(DPS_Weapon_Type="远程",($E656+1)/60+(ROUNDDOWN($F656*60+1,0)/60)*2,(ROUNDDOWN(($E656+1)+ROUNDDOWN($F656*60+1,0)+ROUNDDOWN($G656/2*60+1,0)+ROUNDDOWN($H656*60+1,0)+1,0))/60+If(DPS_ATK_TYPE="挥砍",1/60)+If(DPS_ATK_TYPE="挥砍/刺击",1/120))+DPS_Weapon_Randomization/60</f>
        <v>0.105</v>
      </c>
      <c r="C656" s="104" t="str">
        <f>IF(DPS_Graph_True_Speed=TRUE,IF($A656&lt;=DPS_Graph_Max,IF($A656&gt;=DPS_Graph_Speed_Min,1/B656,),),)</f>
        <v/>
      </c>
      <c r="D656" s="115" t="str">
        <f>IF(DPS_Graph_True_Speed=TRUE,IF($E$8=$A656,DPS_Attacks_P_Sec,),)</f>
        <v/>
      </c>
      <c r="E656" s="222">
        <f>ROUNDDOWN(MAX(2,IF(A656&gt;=0, DPS_Base_Wpn_Spd/(1+A656),DPS_Base_Wpn_Spd*(1+ABS(A656)))),0)</f>
        <v>2</v>
      </c>
      <c r="F656" s="232">
        <f>IF(A656&gt;=0, DPS_Base_Recoil/(1+A656),DPS_Base_Recoil)</f>
        <v>0.009746588694</v>
      </c>
      <c r="G656" s="377">
        <f t="shared" si="7"/>
        <v>0.51</v>
      </c>
      <c r="H656" s="377">
        <f t="shared" si="8"/>
        <v>0.01493651979</v>
      </c>
      <c r="I656" s="104"/>
      <c r="J656" s="377">
        <f>MAX(0, Max(25,(DPS_Base_Range + ((DPS_Range_Stat) / 2))) / MIN(MAX(70, (70 * (1 + ($A656 / 3)))), 120))</f>
        <v>3.333333333</v>
      </c>
      <c r="K656" s="115" t="str">
        <f>IF(A656&lt;=DPS_Graph_Max,IF(A656&gt;=DPS_Graph_Speed_Min,A656,),)</f>
        <v/>
      </c>
      <c r="M656" s="213">
        <f>If(DPS_Weapon_Type="远程",$E656/60+$F656*2,$E656/60+$F656+$G656/2+$H656)</f>
        <v>0.05282651072</v>
      </c>
      <c r="N656" s="104" t="str">
        <f>IF(DPS_Graph_Tooltip_Speed=TRUE,IF($A656&lt;=DPS_Graph_Max,IF($A656&gt;=DPS_Graph_Speed_Min,1/M656,),),)</f>
        <v/>
      </c>
      <c r="R656" s="104" t="str">
        <f>IF(DPS_Graph_Tooltip_Speed=TRUE,IF($E$8=$A656,1/$N$6,),)</f>
        <v/>
      </c>
    </row>
    <row r="657">
      <c r="A657" s="370">
        <v>4.14</v>
      </c>
      <c r="B657" s="213">
        <f>If(DPS_Weapon_Type="远程",($E657+1)/60+(ROUNDDOWN($F657*60+1,0)/60)*2,(ROUNDDOWN(($E657+1)+ROUNDDOWN($F657*60+1,0)+ROUNDDOWN($G657/2*60+1,0)+ROUNDDOWN($H657*60+1,0)+1,0))/60+If(DPS_ATK_TYPE="挥砍",1/60)+If(DPS_ATK_TYPE="挥砍/刺击",1/120))+DPS_Weapon_Randomization/60</f>
        <v>0.105</v>
      </c>
      <c r="C657" s="104" t="str">
        <f>IF(DPS_Graph_True_Speed=TRUE,IF($A657&lt;=DPS_Graph_Max,IF($A657&gt;=DPS_Graph_Speed_Min,1/B657,),),)</f>
        <v/>
      </c>
      <c r="D657" s="115" t="str">
        <f>IF(DPS_Graph_True_Speed=TRUE,IF($E$8=$A657,DPS_Attacks_P_Sec,),)</f>
        <v/>
      </c>
      <c r="E657" s="222">
        <f>ROUNDDOWN(MAX(2,IF(A657&gt;=0, DPS_Base_Wpn_Spd/(1+A657),DPS_Base_Wpn_Spd*(1+ABS(A657)))),0)</f>
        <v>2</v>
      </c>
      <c r="F657" s="232">
        <f>IF(A657&gt;=0, DPS_Base_Recoil/(1+A657),DPS_Base_Recoil)</f>
        <v>0.009727626459</v>
      </c>
      <c r="G657" s="377">
        <f t="shared" si="7"/>
        <v>0.51</v>
      </c>
      <c r="H657" s="377">
        <f t="shared" si="8"/>
        <v>0.01490312966</v>
      </c>
      <c r="I657" s="104"/>
      <c r="J657" s="377">
        <f>MAX(0, Max(25,(DPS_Base_Range + ((DPS_Range_Stat) / 2))) / MIN(MAX(70, (70 * (1 + ($A657 / 3)))), 120))</f>
        <v>3.333333333</v>
      </c>
      <c r="K657" s="115" t="str">
        <f>IF(A657&lt;=DPS_Graph_Max,IF(A657&gt;=DPS_Graph_Speed_Min,A657,),)</f>
        <v/>
      </c>
      <c r="M657" s="213">
        <f>If(DPS_Weapon_Type="远程",$E657/60+$F657*2,$E657/60+$F657+$G657/2+$H657)</f>
        <v>0.05278858625</v>
      </c>
      <c r="N657" s="104" t="str">
        <f>IF(DPS_Graph_Tooltip_Speed=TRUE,IF($A657&lt;=DPS_Graph_Max,IF($A657&gt;=DPS_Graph_Speed_Min,1/M657,),),)</f>
        <v/>
      </c>
      <c r="R657" s="104" t="str">
        <f>IF(DPS_Graph_Tooltip_Speed=TRUE,IF($E$8=$A657,1/$N$6,),)</f>
        <v/>
      </c>
    </row>
    <row r="658">
      <c r="A658" s="370">
        <v>4.15</v>
      </c>
      <c r="B658" s="213">
        <f>If(DPS_Weapon_Type="远程",($E658+1)/60+(ROUNDDOWN($F658*60+1,0)/60)*2,(ROUNDDOWN(($E658+1)+ROUNDDOWN($F658*60+1,0)+ROUNDDOWN($G658/2*60+1,0)+ROUNDDOWN($H658*60+1,0)+1,0))/60+If(DPS_ATK_TYPE="挥砍",1/60)+If(DPS_ATK_TYPE="挥砍/刺击",1/120))+DPS_Weapon_Randomization/60</f>
        <v>0.105</v>
      </c>
      <c r="C658" s="104" t="str">
        <f>IF(DPS_Graph_True_Speed=TRUE,IF($A658&lt;=DPS_Graph_Max,IF($A658&gt;=DPS_Graph_Speed_Min,1/B658,),),)</f>
        <v/>
      </c>
      <c r="D658" s="115" t="str">
        <f>IF(DPS_Graph_True_Speed=TRUE,IF($E$8=$A658,DPS_Attacks_P_Sec,),)</f>
        <v/>
      </c>
      <c r="E658" s="222">
        <f>ROUNDDOWN(MAX(2,IF(A658&gt;=0, DPS_Base_Wpn_Spd/(1+A658),DPS_Base_Wpn_Spd*(1+ABS(A658)))),0)</f>
        <v>2</v>
      </c>
      <c r="F658" s="232">
        <f>IF(A658&gt;=0, DPS_Base_Recoil/(1+A658),DPS_Base_Recoil)</f>
        <v>0.009708737864</v>
      </c>
      <c r="G658" s="377">
        <f t="shared" si="7"/>
        <v>0.51</v>
      </c>
      <c r="H658" s="377">
        <f t="shared" si="8"/>
        <v>0.01486988848</v>
      </c>
      <c r="I658" s="104"/>
      <c r="J658" s="377">
        <f>MAX(0, Max(25,(DPS_Base_Range + ((DPS_Range_Stat) / 2))) / MIN(MAX(70, (70 * (1 + ($A658 / 3)))), 120))</f>
        <v>3.333333333</v>
      </c>
      <c r="K658" s="115" t="str">
        <f>IF(A658&lt;=DPS_Graph_Max,IF(A658&gt;=DPS_Graph_Speed_Min,A658,),)</f>
        <v/>
      </c>
      <c r="M658" s="213">
        <f>If(DPS_Weapon_Type="远程",$E658/60+$F658*2,$E658/60+$F658+$G658/2+$H658)</f>
        <v>0.05275080906</v>
      </c>
      <c r="N658" s="104" t="str">
        <f>IF(DPS_Graph_Tooltip_Speed=TRUE,IF($A658&lt;=DPS_Graph_Max,IF($A658&gt;=DPS_Graph_Speed_Min,1/M658,),),)</f>
        <v/>
      </c>
      <c r="R658" s="104" t="str">
        <f>IF(DPS_Graph_Tooltip_Speed=TRUE,IF($E$8=$A658,1/$N$6,),)</f>
        <v/>
      </c>
    </row>
    <row r="659">
      <c r="A659" s="370">
        <v>4.16</v>
      </c>
      <c r="B659" s="213">
        <f>If(DPS_Weapon_Type="远程",($E659+1)/60+(ROUNDDOWN($F659*60+1,0)/60)*2,(ROUNDDOWN(($E659+1)+ROUNDDOWN($F659*60+1,0)+ROUNDDOWN($G659/2*60+1,0)+ROUNDDOWN($H659*60+1,0)+1,0))/60+If(DPS_ATK_TYPE="挥砍",1/60)+If(DPS_ATK_TYPE="挥砍/刺击",1/120))+DPS_Weapon_Randomization/60</f>
        <v>0.105</v>
      </c>
      <c r="C659" s="104" t="str">
        <f>IF(DPS_Graph_True_Speed=TRUE,IF($A659&lt;=DPS_Graph_Max,IF($A659&gt;=DPS_Graph_Speed_Min,1/B659,),),)</f>
        <v/>
      </c>
      <c r="D659" s="115" t="str">
        <f>IF(DPS_Graph_True_Speed=TRUE,IF($E$8=$A659,DPS_Attacks_P_Sec,),)</f>
        <v/>
      </c>
      <c r="E659" s="222">
        <f>ROUNDDOWN(MAX(2,IF(A659&gt;=0, DPS_Base_Wpn_Spd/(1+A659),DPS_Base_Wpn_Spd*(1+ABS(A659)))),0)</f>
        <v>2</v>
      </c>
      <c r="F659" s="232">
        <f>IF(A659&gt;=0, DPS_Base_Recoil/(1+A659),DPS_Base_Recoil)</f>
        <v>0.009689922481</v>
      </c>
      <c r="G659" s="377">
        <f t="shared" si="7"/>
        <v>0.51</v>
      </c>
      <c r="H659" s="377">
        <f t="shared" si="8"/>
        <v>0.01483679525</v>
      </c>
      <c r="I659" s="104"/>
      <c r="J659" s="377">
        <f>MAX(0, Max(25,(DPS_Base_Range + ((DPS_Range_Stat) / 2))) / MIN(MAX(70, (70 * (1 + ($A659 / 3)))), 120))</f>
        <v>3.333333333</v>
      </c>
      <c r="K659" s="115" t="str">
        <f>IF(A659&lt;=DPS_Graph_Max,IF(A659&gt;=DPS_Graph_Speed_Min,A659,),)</f>
        <v/>
      </c>
      <c r="M659" s="213">
        <f>If(DPS_Weapon_Type="远程",$E659/60+$F659*2,$E659/60+$F659+$G659/2+$H659)</f>
        <v>0.05271317829</v>
      </c>
      <c r="N659" s="104" t="str">
        <f>IF(DPS_Graph_Tooltip_Speed=TRUE,IF($A659&lt;=DPS_Graph_Max,IF($A659&gt;=DPS_Graph_Speed_Min,1/M659,),),)</f>
        <v/>
      </c>
      <c r="R659" s="104" t="str">
        <f>IF(DPS_Graph_Tooltip_Speed=TRUE,IF($E$8=$A659,1/$N$6,),)</f>
        <v/>
      </c>
    </row>
    <row r="660">
      <c r="A660" s="370">
        <v>4.17</v>
      </c>
      <c r="B660" s="213">
        <f>If(DPS_Weapon_Type="远程",($E660+1)/60+(ROUNDDOWN($F660*60+1,0)/60)*2,(ROUNDDOWN(($E660+1)+ROUNDDOWN($F660*60+1,0)+ROUNDDOWN($G660/2*60+1,0)+ROUNDDOWN($H660*60+1,0)+1,0))/60+If(DPS_ATK_TYPE="挥砍",1/60)+If(DPS_ATK_TYPE="挥砍/刺击",1/120))+DPS_Weapon_Randomization/60</f>
        <v>0.105</v>
      </c>
      <c r="C660" s="104" t="str">
        <f>IF(DPS_Graph_True_Speed=TRUE,IF($A660&lt;=DPS_Graph_Max,IF($A660&gt;=DPS_Graph_Speed_Min,1/B660,),),)</f>
        <v/>
      </c>
      <c r="D660" s="115" t="str">
        <f>IF(DPS_Graph_True_Speed=TRUE,IF($E$8=$A660,DPS_Attacks_P_Sec,),)</f>
        <v/>
      </c>
      <c r="E660" s="222">
        <f>ROUNDDOWN(MAX(2,IF(A660&gt;=0, DPS_Base_Wpn_Spd/(1+A660),DPS_Base_Wpn_Spd*(1+ABS(A660)))),0)</f>
        <v>2</v>
      </c>
      <c r="F660" s="232">
        <f>IF(A660&gt;=0, DPS_Base_Recoil/(1+A660),DPS_Base_Recoil)</f>
        <v>0.009671179884</v>
      </c>
      <c r="G660" s="377">
        <f t="shared" si="7"/>
        <v>0.51</v>
      </c>
      <c r="H660" s="377">
        <f t="shared" si="8"/>
        <v>0.014803849</v>
      </c>
      <c r="I660" s="104"/>
      <c r="J660" s="377">
        <f>MAX(0, Max(25,(DPS_Base_Range + ((DPS_Range_Stat) / 2))) / MIN(MAX(70, (70 * (1 + ($A660 / 3)))), 120))</f>
        <v>3.333333333</v>
      </c>
      <c r="K660" s="115" t="str">
        <f>IF(A660&lt;=DPS_Graph_Max,IF(A660&gt;=DPS_Graph_Speed_Min,A660,),)</f>
        <v/>
      </c>
      <c r="M660" s="213">
        <f>If(DPS_Weapon_Type="远程",$E660/60+$F660*2,$E660/60+$F660+$G660/2+$H660)</f>
        <v>0.0526756931</v>
      </c>
      <c r="N660" s="104" t="str">
        <f>IF(DPS_Graph_Tooltip_Speed=TRUE,IF($A660&lt;=DPS_Graph_Max,IF($A660&gt;=DPS_Graph_Speed_Min,1/M660,),),)</f>
        <v/>
      </c>
      <c r="R660" s="104" t="str">
        <f>IF(DPS_Graph_Tooltip_Speed=TRUE,IF($E$8=$A660,1/$N$6,),)</f>
        <v/>
      </c>
    </row>
    <row r="661">
      <c r="A661" s="370">
        <v>4.18</v>
      </c>
      <c r="B661" s="213">
        <f>If(DPS_Weapon_Type="远程",($E661+1)/60+(ROUNDDOWN($F661*60+1,0)/60)*2,(ROUNDDOWN(($E661+1)+ROUNDDOWN($F661*60+1,0)+ROUNDDOWN($G661/2*60+1,0)+ROUNDDOWN($H661*60+1,0)+1,0))/60+If(DPS_ATK_TYPE="挥砍",1/60)+If(DPS_ATK_TYPE="挥砍/刺击",1/120))+DPS_Weapon_Randomization/60</f>
        <v>0.105</v>
      </c>
      <c r="C661" s="104" t="str">
        <f>IF(DPS_Graph_True_Speed=TRUE,IF($A661&lt;=DPS_Graph_Max,IF($A661&gt;=DPS_Graph_Speed_Min,1/B661,),),)</f>
        <v/>
      </c>
      <c r="D661" s="115" t="str">
        <f>IF(DPS_Graph_True_Speed=TRUE,IF($E$8=$A661,DPS_Attacks_P_Sec,),)</f>
        <v/>
      </c>
      <c r="E661" s="222">
        <f>ROUNDDOWN(MAX(2,IF(A661&gt;=0, DPS_Base_Wpn_Spd/(1+A661),DPS_Base_Wpn_Spd*(1+ABS(A661)))),0)</f>
        <v>2</v>
      </c>
      <c r="F661" s="232">
        <f>IF(A661&gt;=0, DPS_Base_Recoil/(1+A661),DPS_Base_Recoil)</f>
        <v>0.009652509653</v>
      </c>
      <c r="G661" s="377">
        <f t="shared" si="7"/>
        <v>0.51</v>
      </c>
      <c r="H661" s="377">
        <f t="shared" si="8"/>
        <v>0.01477104874</v>
      </c>
      <c r="I661" s="104"/>
      <c r="J661" s="377">
        <f>MAX(0, Max(25,(DPS_Base_Range + ((DPS_Range_Stat) / 2))) / MIN(MAX(70, (70 * (1 + ($A661 / 3)))), 120))</f>
        <v>3.333333333</v>
      </c>
      <c r="K661" s="115" t="str">
        <f>IF(A661&lt;=DPS_Graph_Max,IF(A661&gt;=DPS_Graph_Speed_Min,A661,),)</f>
        <v/>
      </c>
      <c r="M661" s="213">
        <f>If(DPS_Weapon_Type="远程",$E661/60+$F661*2,$E661/60+$F661+$G661/2+$H661)</f>
        <v>0.05263835264</v>
      </c>
      <c r="N661" s="104" t="str">
        <f>IF(DPS_Graph_Tooltip_Speed=TRUE,IF($A661&lt;=DPS_Graph_Max,IF($A661&gt;=DPS_Graph_Speed_Min,1/M661,),),)</f>
        <v/>
      </c>
      <c r="R661" s="104" t="str">
        <f>IF(DPS_Graph_Tooltip_Speed=TRUE,IF($E$8=$A661,1/$N$6,),)</f>
        <v/>
      </c>
    </row>
    <row r="662">
      <c r="A662" s="370">
        <v>4.19</v>
      </c>
      <c r="B662" s="213">
        <f>If(DPS_Weapon_Type="远程",($E662+1)/60+(ROUNDDOWN($F662*60+1,0)/60)*2,(ROUNDDOWN(($E662+1)+ROUNDDOWN($F662*60+1,0)+ROUNDDOWN($G662/2*60+1,0)+ROUNDDOWN($H662*60+1,0)+1,0))/60+If(DPS_ATK_TYPE="挥砍",1/60)+If(DPS_ATK_TYPE="挥砍/刺击",1/120))+DPS_Weapon_Randomization/60</f>
        <v>0.105</v>
      </c>
      <c r="C662" s="104" t="str">
        <f>IF(DPS_Graph_True_Speed=TRUE,IF($A662&lt;=DPS_Graph_Max,IF($A662&gt;=DPS_Graph_Speed_Min,1/B662,),),)</f>
        <v/>
      </c>
      <c r="D662" s="115" t="str">
        <f>IF(DPS_Graph_True_Speed=TRUE,IF($E$8=$A662,DPS_Attacks_P_Sec,),)</f>
        <v/>
      </c>
      <c r="E662" s="222">
        <f>ROUNDDOWN(MAX(2,IF(A662&gt;=0, DPS_Base_Wpn_Spd/(1+A662),DPS_Base_Wpn_Spd*(1+ABS(A662)))),0)</f>
        <v>2</v>
      </c>
      <c r="F662" s="232">
        <f>IF(A662&gt;=0, DPS_Base_Recoil/(1+A662),DPS_Base_Recoil)</f>
        <v>0.009633911368</v>
      </c>
      <c r="G662" s="377">
        <f t="shared" si="7"/>
        <v>0.51</v>
      </c>
      <c r="H662" s="377">
        <f t="shared" si="8"/>
        <v>0.01473839352</v>
      </c>
      <c r="I662" s="104"/>
      <c r="J662" s="377">
        <f>MAX(0, Max(25,(DPS_Base_Range + ((DPS_Range_Stat) / 2))) / MIN(MAX(70, (70 * (1 + ($A662 / 3)))), 120))</f>
        <v>3.333333333</v>
      </c>
      <c r="K662" s="115" t="str">
        <f>IF(A662&lt;=DPS_Graph_Max,IF(A662&gt;=DPS_Graph_Speed_Min,A662,),)</f>
        <v/>
      </c>
      <c r="M662" s="213">
        <f>If(DPS_Weapon_Type="远程",$E662/60+$F662*2,$E662/60+$F662+$G662/2+$H662)</f>
        <v>0.05260115607</v>
      </c>
      <c r="N662" s="104" t="str">
        <f>IF(DPS_Graph_Tooltip_Speed=TRUE,IF($A662&lt;=DPS_Graph_Max,IF($A662&gt;=DPS_Graph_Speed_Min,1/M662,),),)</f>
        <v/>
      </c>
      <c r="R662" s="104" t="str">
        <f>IF(DPS_Graph_Tooltip_Speed=TRUE,IF($E$8=$A662,1/$N$6,),)</f>
        <v/>
      </c>
    </row>
    <row r="663">
      <c r="A663" s="370">
        <v>4.2</v>
      </c>
      <c r="B663" s="213">
        <f>If(DPS_Weapon_Type="远程",($E663+1)/60+(ROUNDDOWN($F663*60+1,0)/60)*2,(ROUNDDOWN(($E663+1)+ROUNDDOWN($F663*60+1,0)+ROUNDDOWN($G663/2*60+1,0)+ROUNDDOWN($H663*60+1,0)+1,0))/60+If(DPS_ATK_TYPE="挥砍",1/60)+If(DPS_ATK_TYPE="挥砍/刺击",1/120))+DPS_Weapon_Randomization/60</f>
        <v>0.105</v>
      </c>
      <c r="C663" s="104" t="str">
        <f>IF(DPS_Graph_True_Speed=TRUE,IF($A663&lt;=DPS_Graph_Max,IF($A663&gt;=DPS_Graph_Speed_Min,1/B663,),),)</f>
        <v/>
      </c>
      <c r="D663" s="115" t="str">
        <f>IF(DPS_Graph_True_Speed=TRUE,IF($E$8=$A663,DPS_Attacks_P_Sec,),)</f>
        <v/>
      </c>
      <c r="E663" s="222">
        <f>ROUNDDOWN(MAX(2,IF(A663&gt;=0, DPS_Base_Wpn_Spd/(1+A663),DPS_Base_Wpn_Spd*(1+ABS(A663)))),0)</f>
        <v>2</v>
      </c>
      <c r="F663" s="232">
        <f>IF(A663&gt;=0, DPS_Base_Recoil/(1+A663),DPS_Base_Recoil)</f>
        <v>0.009615384615</v>
      </c>
      <c r="G663" s="377">
        <f t="shared" si="7"/>
        <v>0.51</v>
      </c>
      <c r="H663" s="377">
        <f t="shared" si="8"/>
        <v>0.01470588235</v>
      </c>
      <c r="I663" s="104"/>
      <c r="J663" s="377">
        <f>MAX(0, Max(25,(DPS_Base_Range + ((DPS_Range_Stat) / 2))) / MIN(MAX(70, (70 * (1 + ($A663 / 3)))), 120))</f>
        <v>3.333333333</v>
      </c>
      <c r="K663" s="115" t="str">
        <f>IF(A663&lt;=DPS_Graph_Max,IF(A663&gt;=DPS_Graph_Speed_Min,A663,),)</f>
        <v/>
      </c>
      <c r="M663" s="213">
        <f>If(DPS_Weapon_Type="远程",$E663/60+$F663*2,$E663/60+$F663+$G663/2+$H663)</f>
        <v>0.05256410256</v>
      </c>
      <c r="N663" s="104" t="str">
        <f>IF(DPS_Graph_Tooltip_Speed=TRUE,IF($A663&lt;=DPS_Graph_Max,IF($A663&gt;=DPS_Graph_Speed_Min,1/M663,),),)</f>
        <v/>
      </c>
      <c r="R663" s="104" t="str">
        <f>IF(DPS_Graph_Tooltip_Speed=TRUE,IF($E$8=$A663,1/$N$6,),)</f>
        <v/>
      </c>
    </row>
    <row r="664">
      <c r="A664" s="370">
        <v>4.21</v>
      </c>
      <c r="B664" s="213">
        <f>If(DPS_Weapon_Type="远程",($E664+1)/60+(ROUNDDOWN($F664*60+1,0)/60)*2,(ROUNDDOWN(($E664+1)+ROUNDDOWN($F664*60+1,0)+ROUNDDOWN($G664/2*60+1,0)+ROUNDDOWN($H664*60+1,0)+1,0))/60+If(DPS_ATK_TYPE="挥砍",1/60)+If(DPS_ATK_TYPE="挥砍/刺击",1/120))+DPS_Weapon_Randomization/60</f>
        <v>0.105</v>
      </c>
      <c r="C664" s="104" t="str">
        <f>IF(DPS_Graph_True_Speed=TRUE,IF($A664&lt;=DPS_Graph_Max,IF($A664&gt;=DPS_Graph_Speed_Min,1/B664,),),)</f>
        <v/>
      </c>
      <c r="D664" s="115" t="str">
        <f>IF(DPS_Graph_True_Speed=TRUE,IF($E$8=$A664,DPS_Attacks_P_Sec,),)</f>
        <v/>
      </c>
      <c r="E664" s="222">
        <f>ROUNDDOWN(MAX(2,IF(A664&gt;=0, DPS_Base_Wpn_Spd/(1+A664),DPS_Base_Wpn_Spd*(1+ABS(A664)))),0)</f>
        <v>2</v>
      </c>
      <c r="F664" s="232">
        <f>IF(A664&gt;=0, DPS_Base_Recoil/(1+A664),DPS_Base_Recoil)</f>
        <v>0.009596928983</v>
      </c>
      <c r="G664" s="377">
        <f t="shared" si="7"/>
        <v>0.51</v>
      </c>
      <c r="H664" s="377">
        <f t="shared" si="8"/>
        <v>0.01467351431</v>
      </c>
      <c r="I664" s="104"/>
      <c r="J664" s="377">
        <f>MAX(0, Max(25,(DPS_Base_Range + ((DPS_Range_Stat) / 2))) / MIN(MAX(70, (70 * (1 + ($A664 / 3)))), 120))</f>
        <v>3.333333333</v>
      </c>
      <c r="K664" s="115" t="str">
        <f>IF(A664&lt;=DPS_Graph_Max,IF(A664&gt;=DPS_Graph_Speed_Min,A664,),)</f>
        <v/>
      </c>
      <c r="M664" s="213">
        <f>If(DPS_Weapon_Type="远程",$E664/60+$F664*2,$E664/60+$F664+$G664/2+$H664)</f>
        <v>0.0525271913</v>
      </c>
      <c r="N664" s="104" t="str">
        <f>IF(DPS_Graph_Tooltip_Speed=TRUE,IF($A664&lt;=DPS_Graph_Max,IF($A664&gt;=DPS_Graph_Speed_Min,1/M664,),),)</f>
        <v/>
      </c>
      <c r="R664" s="104" t="str">
        <f>IF(DPS_Graph_Tooltip_Speed=TRUE,IF($E$8=$A664,1/$N$6,),)</f>
        <v/>
      </c>
    </row>
    <row r="665">
      <c r="A665" s="370">
        <v>4.22</v>
      </c>
      <c r="B665" s="213">
        <f>If(DPS_Weapon_Type="远程",($E665+1)/60+(ROUNDDOWN($F665*60+1,0)/60)*2,(ROUNDDOWN(($E665+1)+ROUNDDOWN($F665*60+1,0)+ROUNDDOWN($G665/2*60+1,0)+ROUNDDOWN($H665*60+1,0)+1,0))/60+If(DPS_ATK_TYPE="挥砍",1/60)+If(DPS_ATK_TYPE="挥砍/刺击",1/120))+DPS_Weapon_Randomization/60</f>
        <v>0.105</v>
      </c>
      <c r="C665" s="104" t="str">
        <f>IF(DPS_Graph_True_Speed=TRUE,IF($A665&lt;=DPS_Graph_Max,IF($A665&gt;=DPS_Graph_Speed_Min,1/B665,),),)</f>
        <v/>
      </c>
      <c r="D665" s="115" t="str">
        <f>IF(DPS_Graph_True_Speed=TRUE,IF($E$8=$A665,DPS_Attacks_P_Sec,),)</f>
        <v/>
      </c>
      <c r="E665" s="222">
        <f>ROUNDDOWN(MAX(2,IF(A665&gt;=0, DPS_Base_Wpn_Spd/(1+A665),DPS_Base_Wpn_Spd*(1+ABS(A665)))),0)</f>
        <v>2</v>
      </c>
      <c r="F665" s="232">
        <f>IF(A665&gt;=0, DPS_Base_Recoil/(1+A665),DPS_Base_Recoil)</f>
        <v>0.009578544061</v>
      </c>
      <c r="G665" s="377">
        <f t="shared" si="7"/>
        <v>0.51</v>
      </c>
      <c r="H665" s="377">
        <f t="shared" si="8"/>
        <v>0.01464128843</v>
      </c>
      <c r="I665" s="104"/>
      <c r="J665" s="377">
        <f>MAX(0, Max(25,(DPS_Base_Range + ((DPS_Range_Stat) / 2))) / MIN(MAX(70, (70 * (1 + ($A665 / 3)))), 120))</f>
        <v>3.333333333</v>
      </c>
      <c r="K665" s="115" t="str">
        <f>IF(A665&lt;=DPS_Graph_Max,IF(A665&gt;=DPS_Graph_Speed_Min,A665,),)</f>
        <v/>
      </c>
      <c r="M665" s="213">
        <f>If(DPS_Weapon_Type="远程",$E665/60+$F665*2,$E665/60+$F665+$G665/2+$H665)</f>
        <v>0.05249042146</v>
      </c>
      <c r="N665" s="104" t="str">
        <f>IF(DPS_Graph_Tooltip_Speed=TRUE,IF($A665&lt;=DPS_Graph_Max,IF($A665&gt;=DPS_Graph_Speed_Min,1/M665,),),)</f>
        <v/>
      </c>
      <c r="R665" s="104" t="str">
        <f>IF(DPS_Graph_Tooltip_Speed=TRUE,IF($E$8=$A665,1/$N$6,),)</f>
        <v/>
      </c>
    </row>
    <row r="666">
      <c r="A666" s="370">
        <v>4.23</v>
      </c>
      <c r="B666" s="213">
        <f>If(DPS_Weapon_Type="远程",($E666+1)/60+(ROUNDDOWN($F666*60+1,0)/60)*2,(ROUNDDOWN(($E666+1)+ROUNDDOWN($F666*60+1,0)+ROUNDDOWN($G666/2*60+1,0)+ROUNDDOWN($H666*60+1,0)+1,0))/60+If(DPS_ATK_TYPE="挥砍",1/60)+If(DPS_ATK_TYPE="挥砍/刺击",1/120))+DPS_Weapon_Randomization/60</f>
        <v>0.105</v>
      </c>
      <c r="C666" s="104" t="str">
        <f>IF(DPS_Graph_True_Speed=TRUE,IF($A666&lt;=DPS_Graph_Max,IF($A666&gt;=DPS_Graph_Speed_Min,1/B666,),),)</f>
        <v/>
      </c>
      <c r="D666" s="115" t="str">
        <f>IF(DPS_Graph_True_Speed=TRUE,IF($E$8=$A666,DPS_Attacks_P_Sec,),)</f>
        <v/>
      </c>
      <c r="E666" s="222">
        <f>ROUNDDOWN(MAX(2,IF(A666&gt;=0, DPS_Base_Wpn_Spd/(1+A666),DPS_Base_Wpn_Spd*(1+ABS(A666)))),0)</f>
        <v>2</v>
      </c>
      <c r="F666" s="232">
        <f>IF(A666&gt;=0, DPS_Base_Recoil/(1+A666),DPS_Base_Recoil)</f>
        <v>0.009560229446</v>
      </c>
      <c r="G666" s="377">
        <f t="shared" si="7"/>
        <v>0.51</v>
      </c>
      <c r="H666" s="377">
        <f t="shared" si="8"/>
        <v>0.0146092038</v>
      </c>
      <c r="I666" s="104"/>
      <c r="J666" s="377">
        <f>MAX(0, Max(25,(DPS_Base_Range + ((DPS_Range_Stat) / 2))) / MIN(MAX(70, (70 * (1 + ($A666 / 3)))), 120))</f>
        <v>3.333333333</v>
      </c>
      <c r="K666" s="115" t="str">
        <f>IF(A666&lt;=DPS_Graph_Max,IF(A666&gt;=DPS_Graph_Speed_Min,A666,),)</f>
        <v/>
      </c>
      <c r="M666" s="213">
        <f>If(DPS_Weapon_Type="远程",$E666/60+$F666*2,$E666/60+$F666+$G666/2+$H666)</f>
        <v>0.05245379222</v>
      </c>
      <c r="N666" s="104" t="str">
        <f>IF(DPS_Graph_Tooltip_Speed=TRUE,IF($A666&lt;=DPS_Graph_Max,IF($A666&gt;=DPS_Graph_Speed_Min,1/M666,),),)</f>
        <v/>
      </c>
      <c r="R666" s="104" t="str">
        <f>IF(DPS_Graph_Tooltip_Speed=TRUE,IF($E$8=$A666,1/$N$6,),)</f>
        <v/>
      </c>
    </row>
    <row r="667">
      <c r="A667" s="370">
        <v>4.24</v>
      </c>
      <c r="B667" s="213">
        <f>If(DPS_Weapon_Type="远程",($E667+1)/60+(ROUNDDOWN($F667*60+1,0)/60)*2,(ROUNDDOWN(($E667+1)+ROUNDDOWN($F667*60+1,0)+ROUNDDOWN($G667/2*60+1,0)+ROUNDDOWN($H667*60+1,0)+1,0))/60+If(DPS_ATK_TYPE="挥砍",1/60)+If(DPS_ATK_TYPE="挥砍/刺击",1/120))+DPS_Weapon_Randomization/60</f>
        <v>0.105</v>
      </c>
      <c r="C667" s="104" t="str">
        <f>IF(DPS_Graph_True_Speed=TRUE,IF($A667&lt;=DPS_Graph_Max,IF($A667&gt;=DPS_Graph_Speed_Min,1/B667,),),)</f>
        <v/>
      </c>
      <c r="D667" s="115" t="str">
        <f>IF(DPS_Graph_True_Speed=TRUE,IF($E$8=$A667,DPS_Attacks_P_Sec,),)</f>
        <v/>
      </c>
      <c r="E667" s="222">
        <f>ROUNDDOWN(MAX(2,IF(A667&gt;=0, DPS_Base_Wpn_Spd/(1+A667),DPS_Base_Wpn_Spd*(1+ABS(A667)))),0)</f>
        <v>2</v>
      </c>
      <c r="F667" s="232">
        <f>IF(A667&gt;=0, DPS_Base_Recoil/(1+A667),DPS_Base_Recoil)</f>
        <v>0.009541984733</v>
      </c>
      <c r="G667" s="377">
        <f t="shared" si="7"/>
        <v>0.51</v>
      </c>
      <c r="H667" s="377">
        <f t="shared" si="8"/>
        <v>0.01457725948</v>
      </c>
      <c r="I667" s="104"/>
      <c r="J667" s="377">
        <f>MAX(0, Max(25,(DPS_Base_Range + ((DPS_Range_Stat) / 2))) / MIN(MAX(70, (70 * (1 + ($A667 / 3)))), 120))</f>
        <v>3.333333333</v>
      </c>
      <c r="K667" s="115" t="str">
        <f>IF(A667&lt;=DPS_Graph_Max,IF(A667&gt;=DPS_Graph_Speed_Min,A667,),)</f>
        <v/>
      </c>
      <c r="M667" s="213">
        <f>If(DPS_Weapon_Type="远程",$E667/60+$F667*2,$E667/60+$F667+$G667/2+$H667)</f>
        <v>0.0524173028</v>
      </c>
      <c r="N667" s="104" t="str">
        <f>IF(DPS_Graph_Tooltip_Speed=TRUE,IF($A667&lt;=DPS_Graph_Max,IF($A667&gt;=DPS_Graph_Speed_Min,1/M667,),),)</f>
        <v/>
      </c>
      <c r="R667" s="104" t="str">
        <f>IF(DPS_Graph_Tooltip_Speed=TRUE,IF($E$8=$A667,1/$N$6,),)</f>
        <v/>
      </c>
    </row>
    <row r="668">
      <c r="A668" s="370">
        <v>4.25</v>
      </c>
      <c r="B668" s="213">
        <f>If(DPS_Weapon_Type="远程",($E668+1)/60+(ROUNDDOWN($F668*60+1,0)/60)*2,(ROUNDDOWN(($E668+1)+ROUNDDOWN($F668*60+1,0)+ROUNDDOWN($G668/2*60+1,0)+ROUNDDOWN($H668*60+1,0)+1,0))/60+If(DPS_ATK_TYPE="挥砍",1/60)+If(DPS_ATK_TYPE="挥砍/刺击",1/120))+DPS_Weapon_Randomization/60</f>
        <v>0.105</v>
      </c>
      <c r="C668" s="104" t="str">
        <f>IF(DPS_Graph_True_Speed=TRUE,IF($A668&lt;=DPS_Graph_Max,IF($A668&gt;=DPS_Graph_Speed_Min,1/B668,),),)</f>
        <v/>
      </c>
      <c r="D668" s="115" t="str">
        <f>IF(DPS_Graph_True_Speed=TRUE,IF($E$8=$A668,DPS_Attacks_P_Sec,),)</f>
        <v/>
      </c>
      <c r="E668" s="222">
        <f>ROUNDDOWN(MAX(2,IF(A668&gt;=0, DPS_Base_Wpn_Spd/(1+A668),DPS_Base_Wpn_Spd*(1+ABS(A668)))),0)</f>
        <v>2</v>
      </c>
      <c r="F668" s="232">
        <f>IF(A668&gt;=0, DPS_Base_Recoil/(1+A668),DPS_Base_Recoil)</f>
        <v>0.009523809524</v>
      </c>
      <c r="G668" s="377">
        <f t="shared" si="7"/>
        <v>0.51</v>
      </c>
      <c r="H668" s="377">
        <f t="shared" si="8"/>
        <v>0.01454545455</v>
      </c>
      <c r="I668" s="104"/>
      <c r="J668" s="377">
        <f>MAX(0, Max(25,(DPS_Base_Range + ((DPS_Range_Stat) / 2))) / MIN(MAX(70, (70 * (1 + ($A668 / 3)))), 120))</f>
        <v>3.333333333</v>
      </c>
      <c r="K668" s="115" t="str">
        <f>IF(A668&lt;=DPS_Graph_Max,IF(A668&gt;=DPS_Graph_Speed_Min,A668,),)</f>
        <v/>
      </c>
      <c r="M668" s="213">
        <f>If(DPS_Weapon_Type="远程",$E668/60+$F668*2,$E668/60+$F668+$G668/2+$H668)</f>
        <v>0.05238095238</v>
      </c>
      <c r="N668" s="104" t="str">
        <f>IF(DPS_Graph_Tooltip_Speed=TRUE,IF($A668&lt;=DPS_Graph_Max,IF($A668&gt;=DPS_Graph_Speed_Min,1/M668,),),)</f>
        <v/>
      </c>
      <c r="R668" s="104" t="str">
        <f>IF(DPS_Graph_Tooltip_Speed=TRUE,IF($E$8=$A668,1/$N$6,),)</f>
        <v/>
      </c>
    </row>
    <row r="669">
      <c r="A669" s="370">
        <v>4.26</v>
      </c>
      <c r="B669" s="213">
        <f>If(DPS_Weapon_Type="远程",($E669+1)/60+(ROUNDDOWN($F669*60+1,0)/60)*2,(ROUNDDOWN(($E669+1)+ROUNDDOWN($F669*60+1,0)+ROUNDDOWN($G669/2*60+1,0)+ROUNDDOWN($H669*60+1,0)+1,0))/60+If(DPS_ATK_TYPE="挥砍",1/60)+If(DPS_ATK_TYPE="挥砍/刺击",1/120))+DPS_Weapon_Randomization/60</f>
        <v>0.105</v>
      </c>
      <c r="C669" s="104" t="str">
        <f>IF(DPS_Graph_True_Speed=TRUE,IF($A669&lt;=DPS_Graph_Max,IF($A669&gt;=DPS_Graph_Speed_Min,1/B669,),),)</f>
        <v/>
      </c>
      <c r="D669" s="115" t="str">
        <f>IF(DPS_Graph_True_Speed=TRUE,IF($E$8=$A669,DPS_Attacks_P_Sec,),)</f>
        <v/>
      </c>
      <c r="E669" s="222">
        <f>ROUNDDOWN(MAX(2,IF(A669&gt;=0, DPS_Base_Wpn_Spd/(1+A669),DPS_Base_Wpn_Spd*(1+ABS(A669)))),0)</f>
        <v>2</v>
      </c>
      <c r="F669" s="232">
        <f>IF(A669&gt;=0, DPS_Base_Recoil/(1+A669),DPS_Base_Recoil)</f>
        <v>0.009505703422</v>
      </c>
      <c r="G669" s="377">
        <f t="shared" si="7"/>
        <v>0.51</v>
      </c>
      <c r="H669" s="377">
        <f t="shared" si="8"/>
        <v>0.0145137881</v>
      </c>
      <c r="I669" s="104"/>
      <c r="J669" s="377">
        <f>MAX(0, Max(25,(DPS_Base_Range + ((DPS_Range_Stat) / 2))) / MIN(MAX(70, (70 * (1 + ($A669 / 3)))), 120))</f>
        <v>3.333333333</v>
      </c>
      <c r="K669" s="115" t="str">
        <f>IF(A669&lt;=DPS_Graph_Max,IF(A669&gt;=DPS_Graph_Speed_Min,A669,),)</f>
        <v/>
      </c>
      <c r="M669" s="213">
        <f>If(DPS_Weapon_Type="远程",$E669/60+$F669*2,$E669/60+$F669+$G669/2+$H669)</f>
        <v>0.05234474018</v>
      </c>
      <c r="N669" s="104" t="str">
        <f>IF(DPS_Graph_Tooltip_Speed=TRUE,IF($A669&lt;=DPS_Graph_Max,IF($A669&gt;=DPS_Graph_Speed_Min,1/M669,),),)</f>
        <v/>
      </c>
      <c r="R669" s="104" t="str">
        <f>IF(DPS_Graph_Tooltip_Speed=TRUE,IF($E$8=$A669,1/$N$6,),)</f>
        <v/>
      </c>
    </row>
    <row r="670">
      <c r="A670" s="370">
        <v>4.27</v>
      </c>
      <c r="B670" s="213">
        <f>If(DPS_Weapon_Type="远程",($E670+1)/60+(ROUNDDOWN($F670*60+1,0)/60)*2,(ROUNDDOWN(($E670+1)+ROUNDDOWN($F670*60+1,0)+ROUNDDOWN($G670/2*60+1,0)+ROUNDDOWN($H670*60+1,0)+1,0))/60+If(DPS_ATK_TYPE="挥砍",1/60)+If(DPS_ATK_TYPE="挥砍/刺击",1/120))+DPS_Weapon_Randomization/60</f>
        <v>0.105</v>
      </c>
      <c r="C670" s="104" t="str">
        <f>IF(DPS_Graph_True_Speed=TRUE,IF($A670&lt;=DPS_Graph_Max,IF($A670&gt;=DPS_Graph_Speed_Min,1/B670,),),)</f>
        <v/>
      </c>
      <c r="D670" s="115" t="str">
        <f>IF(DPS_Graph_True_Speed=TRUE,IF($E$8=$A670,DPS_Attacks_P_Sec,),)</f>
        <v/>
      </c>
      <c r="E670" s="222">
        <f>ROUNDDOWN(MAX(2,IF(A670&gt;=0, DPS_Base_Wpn_Spd/(1+A670),DPS_Base_Wpn_Spd*(1+ABS(A670)))),0)</f>
        <v>2</v>
      </c>
      <c r="F670" s="232">
        <f>IF(A670&gt;=0, DPS_Base_Recoil/(1+A670),DPS_Base_Recoil)</f>
        <v>0.009487666034</v>
      </c>
      <c r="G670" s="377">
        <f t="shared" si="7"/>
        <v>0.51</v>
      </c>
      <c r="H670" s="377">
        <f t="shared" si="8"/>
        <v>0.01448225923</v>
      </c>
      <c r="I670" s="104"/>
      <c r="J670" s="377">
        <f>MAX(0, Max(25,(DPS_Base_Range + ((DPS_Range_Stat) / 2))) / MIN(MAX(70, (70 * (1 + ($A670 / 3)))), 120))</f>
        <v>3.333333333</v>
      </c>
      <c r="K670" s="115" t="str">
        <f>IF(A670&lt;=DPS_Graph_Max,IF(A670&gt;=DPS_Graph_Speed_Min,A670,),)</f>
        <v/>
      </c>
      <c r="M670" s="213">
        <f>If(DPS_Weapon_Type="远程",$E670/60+$F670*2,$E670/60+$F670+$G670/2+$H670)</f>
        <v>0.0523086654</v>
      </c>
      <c r="N670" s="104" t="str">
        <f>IF(DPS_Graph_Tooltip_Speed=TRUE,IF($A670&lt;=DPS_Graph_Max,IF($A670&gt;=DPS_Graph_Speed_Min,1/M670,),),)</f>
        <v/>
      </c>
      <c r="R670" s="104" t="str">
        <f>IF(DPS_Graph_Tooltip_Speed=TRUE,IF($E$8=$A670,1/$N$6,),)</f>
        <v/>
      </c>
    </row>
    <row r="671">
      <c r="A671" s="370">
        <v>4.28</v>
      </c>
      <c r="B671" s="213">
        <f>If(DPS_Weapon_Type="远程",($E671+1)/60+(ROUNDDOWN($F671*60+1,0)/60)*2,(ROUNDDOWN(($E671+1)+ROUNDDOWN($F671*60+1,0)+ROUNDDOWN($G671/2*60+1,0)+ROUNDDOWN($H671*60+1,0)+1,0))/60+If(DPS_ATK_TYPE="挥砍",1/60)+If(DPS_ATK_TYPE="挥砍/刺击",1/120))+DPS_Weapon_Randomization/60</f>
        <v>0.105</v>
      </c>
      <c r="C671" s="104" t="str">
        <f>IF(DPS_Graph_True_Speed=TRUE,IF($A671&lt;=DPS_Graph_Max,IF($A671&gt;=DPS_Graph_Speed_Min,1/B671,),),)</f>
        <v/>
      </c>
      <c r="D671" s="115" t="str">
        <f>IF(DPS_Graph_True_Speed=TRUE,IF($E$8=$A671,DPS_Attacks_P_Sec,),)</f>
        <v/>
      </c>
      <c r="E671" s="222">
        <f>ROUNDDOWN(MAX(2,IF(A671&gt;=0, DPS_Base_Wpn_Spd/(1+A671),DPS_Base_Wpn_Spd*(1+ABS(A671)))),0)</f>
        <v>2</v>
      </c>
      <c r="F671" s="232">
        <f>IF(A671&gt;=0, DPS_Base_Recoil/(1+A671),DPS_Base_Recoil)</f>
        <v>0.00946969697</v>
      </c>
      <c r="G671" s="377">
        <f t="shared" si="7"/>
        <v>0.51</v>
      </c>
      <c r="H671" s="377">
        <f t="shared" si="8"/>
        <v>0.01445086705</v>
      </c>
      <c r="I671" s="104"/>
      <c r="J671" s="377">
        <f>MAX(0, Max(25,(DPS_Base_Range + ((DPS_Range_Stat) / 2))) / MIN(MAX(70, (70 * (1 + ($A671 / 3)))), 120))</f>
        <v>3.333333333</v>
      </c>
      <c r="K671" s="115" t="str">
        <f>IF(A671&lt;=DPS_Graph_Max,IF(A671&gt;=DPS_Graph_Speed_Min,A671,),)</f>
        <v/>
      </c>
      <c r="M671" s="213">
        <f>If(DPS_Weapon_Type="远程",$E671/60+$F671*2,$E671/60+$F671+$G671/2+$H671)</f>
        <v>0.05227272727</v>
      </c>
      <c r="N671" s="104" t="str">
        <f>IF(DPS_Graph_Tooltip_Speed=TRUE,IF($A671&lt;=DPS_Graph_Max,IF($A671&gt;=DPS_Graph_Speed_Min,1/M671,),),)</f>
        <v/>
      </c>
      <c r="R671" s="104" t="str">
        <f>IF(DPS_Graph_Tooltip_Speed=TRUE,IF($E$8=$A671,1/$N$6,),)</f>
        <v/>
      </c>
    </row>
    <row r="672">
      <c r="A672" s="370">
        <v>4.29</v>
      </c>
      <c r="B672" s="213">
        <f>If(DPS_Weapon_Type="远程",($E672+1)/60+(ROUNDDOWN($F672*60+1,0)/60)*2,(ROUNDDOWN(($E672+1)+ROUNDDOWN($F672*60+1,0)+ROUNDDOWN($G672/2*60+1,0)+ROUNDDOWN($H672*60+1,0)+1,0))/60+If(DPS_ATK_TYPE="挥砍",1/60)+If(DPS_ATK_TYPE="挥砍/刺击",1/120))+DPS_Weapon_Randomization/60</f>
        <v>0.105</v>
      </c>
      <c r="C672" s="104" t="str">
        <f>IF(DPS_Graph_True_Speed=TRUE,IF($A672&lt;=DPS_Graph_Max,IF($A672&gt;=DPS_Graph_Speed_Min,1/B672,),),)</f>
        <v/>
      </c>
      <c r="D672" s="115" t="str">
        <f>IF(DPS_Graph_True_Speed=TRUE,IF($E$8=$A672,DPS_Attacks_P_Sec,),)</f>
        <v/>
      </c>
      <c r="E672" s="222">
        <f>ROUNDDOWN(MAX(2,IF(A672&gt;=0, DPS_Base_Wpn_Spd/(1+A672),DPS_Base_Wpn_Spd*(1+ABS(A672)))),0)</f>
        <v>2</v>
      </c>
      <c r="F672" s="232">
        <f>IF(A672&gt;=0, DPS_Base_Recoil/(1+A672),DPS_Base_Recoil)</f>
        <v>0.009451795841</v>
      </c>
      <c r="G672" s="377">
        <f t="shared" si="7"/>
        <v>0.51</v>
      </c>
      <c r="H672" s="377">
        <f t="shared" si="8"/>
        <v>0.01441961067</v>
      </c>
      <c r="I672" s="104"/>
      <c r="J672" s="377">
        <f>MAX(0, Max(25,(DPS_Base_Range + ((DPS_Range_Stat) / 2))) / MIN(MAX(70, (70 * (1 + ($A672 / 3)))), 120))</f>
        <v>3.333333333</v>
      </c>
      <c r="K672" s="115" t="str">
        <f>IF(A672&lt;=DPS_Graph_Max,IF(A672&gt;=DPS_Graph_Speed_Min,A672,),)</f>
        <v/>
      </c>
      <c r="M672" s="213">
        <f>If(DPS_Weapon_Type="远程",$E672/60+$F672*2,$E672/60+$F672+$G672/2+$H672)</f>
        <v>0.05223692502</v>
      </c>
      <c r="N672" s="104" t="str">
        <f>IF(DPS_Graph_Tooltip_Speed=TRUE,IF($A672&lt;=DPS_Graph_Max,IF($A672&gt;=DPS_Graph_Speed_Min,1/M672,),),)</f>
        <v/>
      </c>
      <c r="R672" s="104" t="str">
        <f>IF(DPS_Graph_Tooltip_Speed=TRUE,IF($E$8=$A672,1/$N$6,),)</f>
        <v/>
      </c>
    </row>
    <row r="673">
      <c r="A673" s="370">
        <v>4.3</v>
      </c>
      <c r="B673" s="213">
        <f>If(DPS_Weapon_Type="远程",($E673+1)/60+(ROUNDDOWN($F673*60+1,0)/60)*2,(ROUNDDOWN(($E673+1)+ROUNDDOWN($F673*60+1,0)+ROUNDDOWN($G673/2*60+1,0)+ROUNDDOWN($H673*60+1,0)+1,0))/60+If(DPS_ATK_TYPE="挥砍",1/60)+If(DPS_ATK_TYPE="挥砍/刺击",1/120))+DPS_Weapon_Randomization/60</f>
        <v>0.105</v>
      </c>
      <c r="C673" s="104" t="str">
        <f>IF(DPS_Graph_True_Speed=TRUE,IF($A673&lt;=DPS_Graph_Max,IF($A673&gt;=DPS_Graph_Speed_Min,1/B673,),),)</f>
        <v/>
      </c>
      <c r="D673" s="115" t="str">
        <f>IF(DPS_Graph_True_Speed=TRUE,IF($E$8=$A673,DPS_Attacks_P_Sec,),)</f>
        <v/>
      </c>
      <c r="E673" s="222">
        <f>ROUNDDOWN(MAX(2,IF(A673&gt;=0, DPS_Base_Wpn_Spd/(1+A673),DPS_Base_Wpn_Spd*(1+ABS(A673)))),0)</f>
        <v>2</v>
      </c>
      <c r="F673" s="232">
        <f>IF(A673&gt;=0, DPS_Base_Recoil/(1+A673),DPS_Base_Recoil)</f>
        <v>0.009433962264</v>
      </c>
      <c r="G673" s="377">
        <f t="shared" si="7"/>
        <v>0.51</v>
      </c>
      <c r="H673" s="377">
        <f t="shared" si="8"/>
        <v>0.01438848921</v>
      </c>
      <c r="I673" s="104"/>
      <c r="J673" s="377">
        <f>MAX(0, Max(25,(DPS_Base_Range + ((DPS_Range_Stat) / 2))) / MIN(MAX(70, (70 * (1 + ($A673 / 3)))), 120))</f>
        <v>3.333333333</v>
      </c>
      <c r="K673" s="115" t="str">
        <f>IF(A673&lt;=DPS_Graph_Max,IF(A673&gt;=DPS_Graph_Speed_Min,A673,),)</f>
        <v/>
      </c>
      <c r="M673" s="213">
        <f>If(DPS_Weapon_Type="远程",$E673/60+$F673*2,$E673/60+$F673+$G673/2+$H673)</f>
        <v>0.05220125786</v>
      </c>
      <c r="N673" s="104" t="str">
        <f>IF(DPS_Graph_Tooltip_Speed=TRUE,IF($A673&lt;=DPS_Graph_Max,IF($A673&gt;=DPS_Graph_Speed_Min,1/M673,),),)</f>
        <v/>
      </c>
      <c r="R673" s="104" t="str">
        <f>IF(DPS_Graph_Tooltip_Speed=TRUE,IF($E$8=$A673,1/$N$6,),)</f>
        <v/>
      </c>
    </row>
    <row r="674">
      <c r="A674" s="370">
        <v>4.31</v>
      </c>
      <c r="B674" s="213">
        <f>If(DPS_Weapon_Type="远程",($E674+1)/60+(ROUNDDOWN($F674*60+1,0)/60)*2,(ROUNDDOWN(($E674+1)+ROUNDDOWN($F674*60+1,0)+ROUNDDOWN($G674/2*60+1,0)+ROUNDDOWN($H674*60+1,0)+1,0))/60+If(DPS_ATK_TYPE="挥砍",1/60)+If(DPS_ATK_TYPE="挥砍/刺击",1/120))+DPS_Weapon_Randomization/60</f>
        <v>0.105</v>
      </c>
      <c r="C674" s="104" t="str">
        <f>IF(DPS_Graph_True_Speed=TRUE,IF($A674&lt;=DPS_Graph_Max,IF($A674&gt;=DPS_Graph_Speed_Min,1/B674,),),)</f>
        <v/>
      </c>
      <c r="D674" s="115" t="str">
        <f>IF(DPS_Graph_True_Speed=TRUE,IF($E$8=$A674,DPS_Attacks_P_Sec,),)</f>
        <v/>
      </c>
      <c r="E674" s="222">
        <f>ROUNDDOWN(MAX(2,IF(A674&gt;=0, DPS_Base_Wpn_Spd/(1+A674),DPS_Base_Wpn_Spd*(1+ABS(A674)))),0)</f>
        <v>2</v>
      </c>
      <c r="F674" s="232">
        <f>IF(A674&gt;=0, DPS_Base_Recoil/(1+A674),DPS_Base_Recoil)</f>
        <v>0.009416195857</v>
      </c>
      <c r="G674" s="377">
        <f t="shared" si="7"/>
        <v>0.51</v>
      </c>
      <c r="H674" s="377">
        <f t="shared" si="8"/>
        <v>0.01435750179</v>
      </c>
      <c r="I674" s="104"/>
      <c r="J674" s="377">
        <f>MAX(0, Max(25,(DPS_Base_Range + ((DPS_Range_Stat) / 2))) / MIN(MAX(70, (70 * (1 + ($A674 / 3)))), 120))</f>
        <v>3.333333333</v>
      </c>
      <c r="K674" s="115" t="str">
        <f>IF(A674&lt;=DPS_Graph_Max,IF(A674&gt;=DPS_Graph_Speed_Min,A674,),)</f>
        <v/>
      </c>
      <c r="M674" s="213">
        <f>If(DPS_Weapon_Type="远程",$E674/60+$F674*2,$E674/60+$F674+$G674/2+$H674)</f>
        <v>0.05216572505</v>
      </c>
      <c r="N674" s="104" t="str">
        <f>IF(DPS_Graph_Tooltip_Speed=TRUE,IF($A674&lt;=DPS_Graph_Max,IF($A674&gt;=DPS_Graph_Speed_Min,1/M674,),),)</f>
        <v/>
      </c>
      <c r="R674" s="104" t="str">
        <f>IF(DPS_Graph_Tooltip_Speed=TRUE,IF($E$8=$A674,1/$N$6,),)</f>
        <v/>
      </c>
    </row>
    <row r="675">
      <c r="A675" s="370">
        <v>4.32</v>
      </c>
      <c r="B675" s="213">
        <f>If(DPS_Weapon_Type="远程",($E675+1)/60+(ROUNDDOWN($F675*60+1,0)/60)*2,(ROUNDDOWN(($E675+1)+ROUNDDOWN($F675*60+1,0)+ROUNDDOWN($G675/2*60+1,0)+ROUNDDOWN($H675*60+1,0)+1,0))/60+If(DPS_ATK_TYPE="挥砍",1/60)+If(DPS_ATK_TYPE="挥砍/刺击",1/120))+DPS_Weapon_Randomization/60</f>
        <v>0.105</v>
      </c>
      <c r="C675" s="104" t="str">
        <f>IF(DPS_Graph_True_Speed=TRUE,IF($A675&lt;=DPS_Graph_Max,IF($A675&gt;=DPS_Graph_Speed_Min,1/B675,),),)</f>
        <v/>
      </c>
      <c r="D675" s="115" t="str">
        <f>IF(DPS_Graph_True_Speed=TRUE,IF($E$8=$A675,DPS_Attacks_P_Sec,),)</f>
        <v/>
      </c>
      <c r="E675" s="222">
        <f>ROUNDDOWN(MAX(2,IF(A675&gt;=0, DPS_Base_Wpn_Spd/(1+A675),DPS_Base_Wpn_Spd*(1+ABS(A675)))),0)</f>
        <v>2</v>
      </c>
      <c r="F675" s="232">
        <f>IF(A675&gt;=0, DPS_Base_Recoil/(1+A675),DPS_Base_Recoil)</f>
        <v>0.009398496241</v>
      </c>
      <c r="G675" s="377">
        <f t="shared" si="7"/>
        <v>0.51</v>
      </c>
      <c r="H675" s="377">
        <f t="shared" si="8"/>
        <v>0.01432664756</v>
      </c>
      <c r="I675" s="104"/>
      <c r="J675" s="377">
        <f>MAX(0, Max(25,(DPS_Base_Range + ((DPS_Range_Stat) / 2))) / MIN(MAX(70, (70 * (1 + ($A675 / 3)))), 120))</f>
        <v>3.333333333</v>
      </c>
      <c r="K675" s="115" t="str">
        <f>IF(A675&lt;=DPS_Graph_Max,IF(A675&gt;=DPS_Graph_Speed_Min,A675,),)</f>
        <v/>
      </c>
      <c r="M675" s="213">
        <f>If(DPS_Weapon_Type="远程",$E675/60+$F675*2,$E675/60+$F675+$G675/2+$H675)</f>
        <v>0.05213032581</v>
      </c>
      <c r="N675" s="104" t="str">
        <f>IF(DPS_Graph_Tooltip_Speed=TRUE,IF($A675&lt;=DPS_Graph_Max,IF($A675&gt;=DPS_Graph_Speed_Min,1/M675,),),)</f>
        <v/>
      </c>
      <c r="R675" s="104" t="str">
        <f>IF(DPS_Graph_Tooltip_Speed=TRUE,IF($E$8=$A675,1/$N$6,),)</f>
        <v/>
      </c>
    </row>
    <row r="676">
      <c r="A676" s="370">
        <v>4.33</v>
      </c>
      <c r="B676" s="213">
        <f>If(DPS_Weapon_Type="远程",($E676+1)/60+(ROUNDDOWN($F676*60+1,0)/60)*2,(ROUNDDOWN(($E676+1)+ROUNDDOWN($F676*60+1,0)+ROUNDDOWN($G676/2*60+1,0)+ROUNDDOWN($H676*60+1,0)+1,0))/60+If(DPS_ATK_TYPE="挥砍",1/60)+If(DPS_ATK_TYPE="挥砍/刺击",1/120))+DPS_Weapon_Randomization/60</f>
        <v>0.105</v>
      </c>
      <c r="C676" s="104" t="str">
        <f>IF(DPS_Graph_True_Speed=TRUE,IF($A676&lt;=DPS_Graph_Max,IF($A676&gt;=DPS_Graph_Speed_Min,1/B676,),),)</f>
        <v/>
      </c>
      <c r="D676" s="115" t="str">
        <f>IF(DPS_Graph_True_Speed=TRUE,IF($E$8=$A676,DPS_Attacks_P_Sec,),)</f>
        <v/>
      </c>
      <c r="E676" s="222">
        <f>ROUNDDOWN(MAX(2,IF(A676&gt;=0, DPS_Base_Wpn_Spd/(1+A676),DPS_Base_Wpn_Spd*(1+ABS(A676)))),0)</f>
        <v>2</v>
      </c>
      <c r="F676" s="232">
        <f>IF(A676&gt;=0, DPS_Base_Recoil/(1+A676),DPS_Base_Recoil)</f>
        <v>0.009380863039</v>
      </c>
      <c r="G676" s="377">
        <f t="shared" si="7"/>
        <v>0.51</v>
      </c>
      <c r="H676" s="377">
        <f t="shared" si="8"/>
        <v>0.01429592566</v>
      </c>
      <c r="I676" s="104"/>
      <c r="J676" s="377">
        <f>MAX(0, Max(25,(DPS_Base_Range + ((DPS_Range_Stat) / 2))) / MIN(MAX(70, (70 * (1 + ($A676 / 3)))), 120))</f>
        <v>3.333333333</v>
      </c>
      <c r="K676" s="115" t="str">
        <f>IF(A676&lt;=DPS_Graph_Max,IF(A676&gt;=DPS_Graph_Speed_Min,A676,),)</f>
        <v/>
      </c>
      <c r="M676" s="213">
        <f>If(DPS_Weapon_Type="远程",$E676/60+$F676*2,$E676/60+$F676+$G676/2+$H676)</f>
        <v>0.05209505941</v>
      </c>
      <c r="N676" s="104" t="str">
        <f>IF(DPS_Graph_Tooltip_Speed=TRUE,IF($A676&lt;=DPS_Graph_Max,IF($A676&gt;=DPS_Graph_Speed_Min,1/M676,),),)</f>
        <v/>
      </c>
      <c r="R676" s="104" t="str">
        <f>IF(DPS_Graph_Tooltip_Speed=TRUE,IF($E$8=$A676,1/$N$6,),)</f>
        <v/>
      </c>
    </row>
    <row r="677">
      <c r="A677" s="370">
        <v>4.34</v>
      </c>
      <c r="B677" s="213">
        <f>If(DPS_Weapon_Type="远程",($E677+1)/60+(ROUNDDOWN($F677*60+1,0)/60)*2,(ROUNDDOWN(($E677+1)+ROUNDDOWN($F677*60+1,0)+ROUNDDOWN($G677/2*60+1,0)+ROUNDDOWN($H677*60+1,0)+1,0))/60+If(DPS_ATK_TYPE="挥砍",1/60)+If(DPS_ATK_TYPE="挥砍/刺击",1/120))+DPS_Weapon_Randomization/60</f>
        <v>0.105</v>
      </c>
      <c r="C677" s="104" t="str">
        <f>IF(DPS_Graph_True_Speed=TRUE,IF($A677&lt;=DPS_Graph_Max,IF($A677&gt;=DPS_Graph_Speed_Min,1/B677,),),)</f>
        <v/>
      </c>
      <c r="D677" s="115" t="str">
        <f>IF(DPS_Graph_True_Speed=TRUE,IF($E$8=$A677,DPS_Attacks_P_Sec,),)</f>
        <v/>
      </c>
      <c r="E677" s="222">
        <f>ROUNDDOWN(MAX(2,IF(A677&gt;=0, DPS_Base_Wpn_Spd/(1+A677),DPS_Base_Wpn_Spd*(1+ABS(A677)))),0)</f>
        <v>2</v>
      </c>
      <c r="F677" s="232">
        <f>IF(A677&gt;=0, DPS_Base_Recoil/(1+A677),DPS_Base_Recoil)</f>
        <v>0.00936329588</v>
      </c>
      <c r="G677" s="377">
        <f t="shared" si="7"/>
        <v>0.51</v>
      </c>
      <c r="H677" s="377">
        <f t="shared" si="8"/>
        <v>0.01426533524</v>
      </c>
      <c r="I677" s="104"/>
      <c r="J677" s="377">
        <f>MAX(0, Max(25,(DPS_Base_Range + ((DPS_Range_Stat) / 2))) / MIN(MAX(70, (70 * (1 + ($A677 / 3)))), 120))</f>
        <v>3.333333333</v>
      </c>
      <c r="K677" s="115" t="str">
        <f>IF(A677&lt;=DPS_Graph_Max,IF(A677&gt;=DPS_Graph_Speed_Min,A677,),)</f>
        <v/>
      </c>
      <c r="M677" s="213">
        <f>If(DPS_Weapon_Type="远程",$E677/60+$F677*2,$E677/60+$F677+$G677/2+$H677)</f>
        <v>0.05205992509</v>
      </c>
      <c r="N677" s="104" t="str">
        <f>IF(DPS_Graph_Tooltip_Speed=TRUE,IF($A677&lt;=DPS_Graph_Max,IF($A677&gt;=DPS_Graph_Speed_Min,1/M677,),),)</f>
        <v/>
      </c>
      <c r="R677" s="104" t="str">
        <f>IF(DPS_Graph_Tooltip_Speed=TRUE,IF($E$8=$A677,1/$N$6,),)</f>
        <v/>
      </c>
    </row>
    <row r="678">
      <c r="A678" s="370">
        <v>4.35</v>
      </c>
      <c r="B678" s="213">
        <f>If(DPS_Weapon_Type="远程",($E678+1)/60+(ROUNDDOWN($F678*60+1,0)/60)*2,(ROUNDDOWN(($E678+1)+ROUNDDOWN($F678*60+1,0)+ROUNDDOWN($G678/2*60+1,0)+ROUNDDOWN($H678*60+1,0)+1,0))/60+If(DPS_ATK_TYPE="挥砍",1/60)+If(DPS_ATK_TYPE="挥砍/刺击",1/120))+DPS_Weapon_Randomization/60</f>
        <v>0.105</v>
      </c>
      <c r="C678" s="104" t="str">
        <f>IF(DPS_Graph_True_Speed=TRUE,IF($A678&lt;=DPS_Graph_Max,IF($A678&gt;=DPS_Graph_Speed_Min,1/B678,),),)</f>
        <v/>
      </c>
      <c r="D678" s="115" t="str">
        <f>IF(DPS_Graph_True_Speed=TRUE,IF($E$8=$A678,DPS_Attacks_P_Sec,),)</f>
        <v/>
      </c>
      <c r="E678" s="222">
        <f>ROUNDDOWN(MAX(2,IF(A678&gt;=0, DPS_Base_Wpn_Spd/(1+A678),DPS_Base_Wpn_Spd*(1+ABS(A678)))),0)</f>
        <v>2</v>
      </c>
      <c r="F678" s="232">
        <f>IF(A678&gt;=0, DPS_Base_Recoil/(1+A678),DPS_Base_Recoil)</f>
        <v>0.009345794393</v>
      </c>
      <c r="G678" s="377">
        <f t="shared" si="7"/>
        <v>0.51</v>
      </c>
      <c r="H678" s="377">
        <f t="shared" si="8"/>
        <v>0.01423487544</v>
      </c>
      <c r="I678" s="104"/>
      <c r="J678" s="377">
        <f>MAX(0, Max(25,(DPS_Base_Range + ((DPS_Range_Stat) / 2))) / MIN(MAX(70, (70 * (1 + ($A678 / 3)))), 120))</f>
        <v>3.333333333</v>
      </c>
      <c r="K678" s="115" t="str">
        <f>IF(A678&lt;=DPS_Graph_Max,IF(A678&gt;=DPS_Graph_Speed_Min,A678,),)</f>
        <v/>
      </c>
      <c r="M678" s="213">
        <f>If(DPS_Weapon_Type="远程",$E678/60+$F678*2,$E678/60+$F678+$G678/2+$H678)</f>
        <v>0.05202492212</v>
      </c>
      <c r="N678" s="104" t="str">
        <f>IF(DPS_Graph_Tooltip_Speed=TRUE,IF($A678&lt;=DPS_Graph_Max,IF($A678&gt;=DPS_Graph_Speed_Min,1/M678,),),)</f>
        <v/>
      </c>
      <c r="R678" s="104" t="str">
        <f>IF(DPS_Graph_Tooltip_Speed=TRUE,IF($E$8=$A678,1/$N$6,),)</f>
        <v/>
      </c>
    </row>
    <row r="679">
      <c r="A679" s="370">
        <v>4.36</v>
      </c>
      <c r="B679" s="213">
        <f>If(DPS_Weapon_Type="远程",($E679+1)/60+(ROUNDDOWN($F679*60+1,0)/60)*2,(ROUNDDOWN(($E679+1)+ROUNDDOWN($F679*60+1,0)+ROUNDDOWN($G679/2*60+1,0)+ROUNDDOWN($H679*60+1,0)+1,0))/60+If(DPS_ATK_TYPE="挥砍",1/60)+If(DPS_ATK_TYPE="挥砍/刺击",1/120))+DPS_Weapon_Randomization/60</f>
        <v>0.105</v>
      </c>
      <c r="C679" s="104" t="str">
        <f>IF(DPS_Graph_True_Speed=TRUE,IF($A679&lt;=DPS_Graph_Max,IF($A679&gt;=DPS_Graph_Speed_Min,1/B679,),),)</f>
        <v/>
      </c>
      <c r="D679" s="115" t="str">
        <f>IF(DPS_Graph_True_Speed=TRUE,IF($E$8=$A679,DPS_Attacks_P_Sec,),)</f>
        <v/>
      </c>
      <c r="E679" s="222">
        <f>ROUNDDOWN(MAX(2,IF(A679&gt;=0, DPS_Base_Wpn_Spd/(1+A679),DPS_Base_Wpn_Spd*(1+ABS(A679)))),0)</f>
        <v>2</v>
      </c>
      <c r="F679" s="232">
        <f>IF(A679&gt;=0, DPS_Base_Recoil/(1+A679),DPS_Base_Recoil)</f>
        <v>0.009328358209</v>
      </c>
      <c r="G679" s="377">
        <f t="shared" si="7"/>
        <v>0.51</v>
      </c>
      <c r="H679" s="377">
        <f t="shared" si="8"/>
        <v>0.01420454545</v>
      </c>
      <c r="I679" s="104"/>
      <c r="J679" s="377">
        <f>MAX(0, Max(25,(DPS_Base_Range + ((DPS_Range_Stat) / 2))) / MIN(MAX(70, (70 * (1 + ($A679 / 3)))), 120))</f>
        <v>3.333333333</v>
      </c>
      <c r="K679" s="115" t="str">
        <f>IF(A679&lt;=DPS_Graph_Max,IF(A679&gt;=DPS_Graph_Speed_Min,A679,),)</f>
        <v/>
      </c>
      <c r="M679" s="213">
        <f>If(DPS_Weapon_Type="远程",$E679/60+$F679*2,$E679/60+$F679+$G679/2+$H679)</f>
        <v>0.05199004975</v>
      </c>
      <c r="N679" s="104" t="str">
        <f>IF(DPS_Graph_Tooltip_Speed=TRUE,IF($A679&lt;=DPS_Graph_Max,IF($A679&gt;=DPS_Graph_Speed_Min,1/M679,),),)</f>
        <v/>
      </c>
      <c r="R679" s="104" t="str">
        <f>IF(DPS_Graph_Tooltip_Speed=TRUE,IF($E$8=$A679,1/$N$6,),)</f>
        <v/>
      </c>
    </row>
    <row r="680">
      <c r="A680" s="370">
        <v>4.37</v>
      </c>
      <c r="B680" s="213">
        <f>If(DPS_Weapon_Type="远程",($E680+1)/60+(ROUNDDOWN($F680*60+1,0)/60)*2,(ROUNDDOWN(($E680+1)+ROUNDDOWN($F680*60+1,0)+ROUNDDOWN($G680/2*60+1,0)+ROUNDDOWN($H680*60+1,0)+1,0))/60+If(DPS_ATK_TYPE="挥砍",1/60)+If(DPS_ATK_TYPE="挥砍/刺击",1/120))+DPS_Weapon_Randomization/60</f>
        <v>0.105</v>
      </c>
      <c r="C680" s="104" t="str">
        <f>IF(DPS_Graph_True_Speed=TRUE,IF($A680&lt;=DPS_Graph_Max,IF($A680&gt;=DPS_Graph_Speed_Min,1/B680,),),)</f>
        <v/>
      </c>
      <c r="D680" s="115" t="str">
        <f>IF(DPS_Graph_True_Speed=TRUE,IF($E$8=$A680,DPS_Attacks_P_Sec,),)</f>
        <v/>
      </c>
      <c r="E680" s="222">
        <f>ROUNDDOWN(MAX(2,IF(A680&gt;=0, DPS_Base_Wpn_Spd/(1+A680),DPS_Base_Wpn_Spd*(1+ABS(A680)))),0)</f>
        <v>2</v>
      </c>
      <c r="F680" s="232">
        <f>IF(A680&gt;=0, DPS_Base_Recoil/(1+A680),DPS_Base_Recoil)</f>
        <v>0.009310986965</v>
      </c>
      <c r="G680" s="377">
        <f t="shared" si="7"/>
        <v>0.51</v>
      </c>
      <c r="H680" s="377">
        <f t="shared" si="8"/>
        <v>0.01417434444</v>
      </c>
      <c r="I680" s="104"/>
      <c r="J680" s="377">
        <f>MAX(0, Max(25,(DPS_Base_Range + ((DPS_Range_Stat) / 2))) / MIN(MAX(70, (70 * (1 + ($A680 / 3)))), 120))</f>
        <v>3.333333333</v>
      </c>
      <c r="K680" s="115" t="str">
        <f>IF(A680&lt;=DPS_Graph_Max,IF(A680&gt;=DPS_Graph_Speed_Min,A680,),)</f>
        <v/>
      </c>
      <c r="M680" s="213">
        <f>If(DPS_Weapon_Type="远程",$E680/60+$F680*2,$E680/60+$F680+$G680/2+$H680)</f>
        <v>0.05195530726</v>
      </c>
      <c r="N680" s="104" t="str">
        <f>IF(DPS_Graph_Tooltip_Speed=TRUE,IF($A680&lt;=DPS_Graph_Max,IF($A680&gt;=DPS_Graph_Speed_Min,1/M680,),),)</f>
        <v/>
      </c>
      <c r="R680" s="104" t="str">
        <f>IF(DPS_Graph_Tooltip_Speed=TRUE,IF($E$8=$A680,1/$N$6,),)</f>
        <v/>
      </c>
    </row>
    <row r="681">
      <c r="A681" s="370">
        <v>4.38</v>
      </c>
      <c r="B681" s="213">
        <f>If(DPS_Weapon_Type="远程",($E681+1)/60+(ROUNDDOWN($F681*60+1,0)/60)*2,(ROUNDDOWN(($E681+1)+ROUNDDOWN($F681*60+1,0)+ROUNDDOWN($G681/2*60+1,0)+ROUNDDOWN($H681*60+1,0)+1,0))/60+If(DPS_ATK_TYPE="挥砍",1/60)+If(DPS_ATK_TYPE="挥砍/刺击",1/120))+DPS_Weapon_Randomization/60</f>
        <v>0.105</v>
      </c>
      <c r="C681" s="104" t="str">
        <f>IF(DPS_Graph_True_Speed=TRUE,IF($A681&lt;=DPS_Graph_Max,IF($A681&gt;=DPS_Graph_Speed_Min,1/B681,),),)</f>
        <v/>
      </c>
      <c r="D681" s="115" t="str">
        <f>IF(DPS_Graph_True_Speed=TRUE,IF($E$8=$A681,DPS_Attacks_P_Sec,),)</f>
        <v/>
      </c>
      <c r="E681" s="222">
        <f>ROUNDDOWN(MAX(2,IF(A681&gt;=0, DPS_Base_Wpn_Spd/(1+A681),DPS_Base_Wpn_Spd*(1+ABS(A681)))),0)</f>
        <v>2</v>
      </c>
      <c r="F681" s="232">
        <f>IF(A681&gt;=0, DPS_Base_Recoil/(1+A681),DPS_Base_Recoil)</f>
        <v>0.009293680297</v>
      </c>
      <c r="G681" s="377">
        <f t="shared" si="7"/>
        <v>0.51</v>
      </c>
      <c r="H681" s="377">
        <f t="shared" si="8"/>
        <v>0.01414427157</v>
      </c>
      <c r="I681" s="104"/>
      <c r="J681" s="377">
        <f>MAX(0, Max(25,(DPS_Base_Range + ((DPS_Range_Stat) / 2))) / MIN(MAX(70, (70 * (1 + ($A681 / 3)))), 120))</f>
        <v>3.333333333</v>
      </c>
      <c r="K681" s="115" t="str">
        <f>IF(A681&lt;=DPS_Graph_Max,IF(A681&gt;=DPS_Graph_Speed_Min,A681,),)</f>
        <v/>
      </c>
      <c r="M681" s="213">
        <f>If(DPS_Weapon_Type="远程",$E681/60+$F681*2,$E681/60+$F681+$G681/2+$H681)</f>
        <v>0.05192069393</v>
      </c>
      <c r="N681" s="104" t="str">
        <f>IF(DPS_Graph_Tooltip_Speed=TRUE,IF($A681&lt;=DPS_Graph_Max,IF($A681&gt;=DPS_Graph_Speed_Min,1/M681,),),)</f>
        <v/>
      </c>
      <c r="R681" s="104" t="str">
        <f>IF(DPS_Graph_Tooltip_Speed=TRUE,IF($E$8=$A681,1/$N$6,),)</f>
        <v/>
      </c>
    </row>
    <row r="682">
      <c r="A682" s="370">
        <v>4.39</v>
      </c>
      <c r="B682" s="213">
        <f>If(DPS_Weapon_Type="远程",($E682+1)/60+(ROUNDDOWN($F682*60+1,0)/60)*2,(ROUNDDOWN(($E682+1)+ROUNDDOWN($F682*60+1,0)+ROUNDDOWN($G682/2*60+1,0)+ROUNDDOWN($H682*60+1,0)+1,0))/60+If(DPS_ATK_TYPE="挥砍",1/60)+If(DPS_ATK_TYPE="挥砍/刺击",1/120))+DPS_Weapon_Randomization/60</f>
        <v>0.105</v>
      </c>
      <c r="C682" s="104" t="str">
        <f>IF(DPS_Graph_True_Speed=TRUE,IF($A682&lt;=DPS_Graph_Max,IF($A682&gt;=DPS_Graph_Speed_Min,1/B682,),),)</f>
        <v/>
      </c>
      <c r="D682" s="115" t="str">
        <f>IF(DPS_Graph_True_Speed=TRUE,IF($E$8=$A682,DPS_Attacks_P_Sec,),)</f>
        <v/>
      </c>
      <c r="E682" s="222">
        <f>ROUNDDOWN(MAX(2,IF(A682&gt;=0, DPS_Base_Wpn_Spd/(1+A682),DPS_Base_Wpn_Spd*(1+ABS(A682)))),0)</f>
        <v>2</v>
      </c>
      <c r="F682" s="232">
        <f>IF(A682&gt;=0, DPS_Base_Recoil/(1+A682),DPS_Base_Recoil)</f>
        <v>0.009276437848</v>
      </c>
      <c r="G682" s="377">
        <f t="shared" si="7"/>
        <v>0.51</v>
      </c>
      <c r="H682" s="377">
        <f t="shared" si="8"/>
        <v>0.01411432604</v>
      </c>
      <c r="I682" s="104"/>
      <c r="J682" s="377">
        <f>MAX(0, Max(25,(DPS_Base_Range + ((DPS_Range_Stat) / 2))) / MIN(MAX(70, (70 * (1 + ($A682 / 3)))), 120))</f>
        <v>3.333333333</v>
      </c>
      <c r="K682" s="115" t="str">
        <f>IF(A682&lt;=DPS_Graph_Max,IF(A682&gt;=DPS_Graph_Speed_Min,A682,),)</f>
        <v/>
      </c>
      <c r="M682" s="213">
        <f>If(DPS_Weapon_Type="远程",$E682/60+$F682*2,$E682/60+$F682+$G682/2+$H682)</f>
        <v>0.05188620903</v>
      </c>
      <c r="N682" s="104" t="str">
        <f>IF(DPS_Graph_Tooltip_Speed=TRUE,IF($A682&lt;=DPS_Graph_Max,IF($A682&gt;=DPS_Graph_Speed_Min,1/M682,),),)</f>
        <v/>
      </c>
      <c r="R682" s="104" t="str">
        <f>IF(DPS_Graph_Tooltip_Speed=TRUE,IF($E$8=$A682,1/$N$6,),)</f>
        <v/>
      </c>
    </row>
    <row r="683">
      <c r="A683" s="370">
        <v>4.4</v>
      </c>
      <c r="B683" s="213">
        <f>If(DPS_Weapon_Type="远程",($E683+1)/60+(ROUNDDOWN($F683*60+1,0)/60)*2,(ROUNDDOWN(($E683+1)+ROUNDDOWN($F683*60+1,0)+ROUNDDOWN($G683/2*60+1,0)+ROUNDDOWN($H683*60+1,0)+1,0))/60+If(DPS_ATK_TYPE="挥砍",1/60)+If(DPS_ATK_TYPE="挥砍/刺击",1/120))+DPS_Weapon_Randomization/60</f>
        <v>0.105</v>
      </c>
      <c r="C683" s="104" t="str">
        <f>IF(DPS_Graph_True_Speed=TRUE,IF($A683&lt;=DPS_Graph_Max,IF($A683&gt;=DPS_Graph_Speed_Min,1/B683,),),)</f>
        <v/>
      </c>
      <c r="D683" s="115" t="str">
        <f>IF(DPS_Graph_True_Speed=TRUE,IF($E$8=$A683,DPS_Attacks_P_Sec,),)</f>
        <v/>
      </c>
      <c r="E683" s="222">
        <f>ROUNDDOWN(MAX(2,IF(A683&gt;=0, DPS_Base_Wpn_Spd/(1+A683),DPS_Base_Wpn_Spd*(1+ABS(A683)))),0)</f>
        <v>2</v>
      </c>
      <c r="F683" s="232">
        <f>IF(A683&gt;=0, DPS_Base_Recoil/(1+A683),DPS_Base_Recoil)</f>
        <v>0.009259259259</v>
      </c>
      <c r="G683" s="377">
        <f t="shared" si="7"/>
        <v>0.51</v>
      </c>
      <c r="H683" s="377">
        <f t="shared" si="8"/>
        <v>0.01408450704</v>
      </c>
      <c r="I683" s="104"/>
      <c r="J683" s="377">
        <f>MAX(0, Max(25,(DPS_Base_Range + ((DPS_Range_Stat) / 2))) / MIN(MAX(70, (70 * (1 + ($A683 / 3)))), 120))</f>
        <v>3.333333333</v>
      </c>
      <c r="K683" s="115" t="str">
        <f>IF(A683&lt;=DPS_Graph_Max,IF(A683&gt;=DPS_Graph_Speed_Min,A683,),)</f>
        <v/>
      </c>
      <c r="M683" s="213">
        <f>If(DPS_Weapon_Type="远程",$E683/60+$F683*2,$E683/60+$F683+$G683/2+$H683)</f>
        <v>0.05185185185</v>
      </c>
      <c r="N683" s="104" t="str">
        <f>IF(DPS_Graph_Tooltip_Speed=TRUE,IF($A683&lt;=DPS_Graph_Max,IF($A683&gt;=DPS_Graph_Speed_Min,1/M683,),),)</f>
        <v/>
      </c>
      <c r="R683" s="104" t="str">
        <f>IF(DPS_Graph_Tooltip_Speed=TRUE,IF($E$8=$A683,1/$N$6,),)</f>
        <v/>
      </c>
    </row>
    <row r="684">
      <c r="A684" s="370">
        <v>4.41</v>
      </c>
      <c r="B684" s="213">
        <f>If(DPS_Weapon_Type="远程",($E684+1)/60+(ROUNDDOWN($F684*60+1,0)/60)*2,(ROUNDDOWN(($E684+1)+ROUNDDOWN($F684*60+1,0)+ROUNDDOWN($G684/2*60+1,0)+ROUNDDOWN($H684*60+1,0)+1,0))/60+If(DPS_ATK_TYPE="挥砍",1/60)+If(DPS_ATK_TYPE="挥砍/刺击",1/120))+DPS_Weapon_Randomization/60</f>
        <v>0.105</v>
      </c>
      <c r="C684" s="104" t="str">
        <f>IF(DPS_Graph_True_Speed=TRUE,IF($A684&lt;=DPS_Graph_Max,IF($A684&gt;=DPS_Graph_Speed_Min,1/B684,),),)</f>
        <v/>
      </c>
      <c r="D684" s="115" t="str">
        <f>IF(DPS_Graph_True_Speed=TRUE,IF($E$8=$A684,DPS_Attacks_P_Sec,),)</f>
        <v/>
      </c>
      <c r="E684" s="222">
        <f>ROUNDDOWN(MAX(2,IF(A684&gt;=0, DPS_Base_Wpn_Spd/(1+A684),DPS_Base_Wpn_Spd*(1+ABS(A684)))),0)</f>
        <v>2</v>
      </c>
      <c r="F684" s="232">
        <f>IF(A684&gt;=0, DPS_Base_Recoil/(1+A684),DPS_Base_Recoil)</f>
        <v>0.009242144177</v>
      </c>
      <c r="G684" s="377">
        <f t="shared" si="7"/>
        <v>0.51</v>
      </c>
      <c r="H684" s="377">
        <f t="shared" si="8"/>
        <v>0.01405481377</v>
      </c>
      <c r="I684" s="104"/>
      <c r="J684" s="377">
        <f>MAX(0, Max(25,(DPS_Base_Range + ((DPS_Range_Stat) / 2))) / MIN(MAX(70, (70 * (1 + ($A684 / 3)))), 120))</f>
        <v>3.333333333</v>
      </c>
      <c r="K684" s="115" t="str">
        <f>IF(A684&lt;=DPS_Graph_Max,IF(A684&gt;=DPS_Graph_Speed_Min,A684,),)</f>
        <v/>
      </c>
      <c r="M684" s="213">
        <f>If(DPS_Weapon_Type="远程",$E684/60+$F684*2,$E684/60+$F684+$G684/2+$H684)</f>
        <v>0.05181762169</v>
      </c>
      <c r="N684" s="104" t="str">
        <f>IF(DPS_Graph_Tooltip_Speed=TRUE,IF($A684&lt;=DPS_Graph_Max,IF($A684&gt;=DPS_Graph_Speed_Min,1/M684,),),)</f>
        <v/>
      </c>
      <c r="R684" s="104" t="str">
        <f>IF(DPS_Graph_Tooltip_Speed=TRUE,IF($E$8=$A684,1/$N$6,),)</f>
        <v/>
      </c>
    </row>
    <row r="685">
      <c r="A685" s="370">
        <v>4.42</v>
      </c>
      <c r="B685" s="213">
        <f>If(DPS_Weapon_Type="远程",($E685+1)/60+(ROUNDDOWN($F685*60+1,0)/60)*2,(ROUNDDOWN(($E685+1)+ROUNDDOWN($F685*60+1,0)+ROUNDDOWN($G685/2*60+1,0)+ROUNDDOWN($H685*60+1,0)+1,0))/60+If(DPS_ATK_TYPE="挥砍",1/60)+If(DPS_ATK_TYPE="挥砍/刺击",1/120))+DPS_Weapon_Randomization/60</f>
        <v>0.105</v>
      </c>
      <c r="C685" s="104" t="str">
        <f>IF(DPS_Graph_True_Speed=TRUE,IF($A685&lt;=DPS_Graph_Max,IF($A685&gt;=DPS_Graph_Speed_Min,1/B685,),),)</f>
        <v/>
      </c>
      <c r="D685" s="115" t="str">
        <f>IF(DPS_Graph_True_Speed=TRUE,IF($E$8=$A685,DPS_Attacks_P_Sec,),)</f>
        <v/>
      </c>
      <c r="E685" s="222">
        <f>ROUNDDOWN(MAX(2,IF(A685&gt;=0, DPS_Base_Wpn_Spd/(1+A685),DPS_Base_Wpn_Spd*(1+ABS(A685)))),0)</f>
        <v>2</v>
      </c>
      <c r="F685" s="232">
        <f>IF(A685&gt;=0, DPS_Base_Recoil/(1+A685),DPS_Base_Recoil)</f>
        <v>0.009225092251</v>
      </c>
      <c r="G685" s="377">
        <f t="shared" si="7"/>
        <v>0.51</v>
      </c>
      <c r="H685" s="377">
        <f t="shared" si="8"/>
        <v>0.01402524544</v>
      </c>
      <c r="I685" s="104"/>
      <c r="J685" s="377">
        <f>MAX(0, Max(25,(DPS_Base_Range + ((DPS_Range_Stat) / 2))) / MIN(MAX(70, (70 * (1 + ($A685 / 3)))), 120))</f>
        <v>3.333333333</v>
      </c>
      <c r="K685" s="115" t="str">
        <f>IF(A685&lt;=DPS_Graph_Max,IF(A685&gt;=DPS_Graph_Speed_Min,A685,),)</f>
        <v/>
      </c>
      <c r="M685" s="213">
        <f>If(DPS_Weapon_Type="远程",$E685/60+$F685*2,$E685/60+$F685+$G685/2+$H685)</f>
        <v>0.05178351784</v>
      </c>
      <c r="N685" s="104" t="str">
        <f>IF(DPS_Graph_Tooltip_Speed=TRUE,IF($A685&lt;=DPS_Graph_Max,IF($A685&gt;=DPS_Graph_Speed_Min,1/M685,),),)</f>
        <v/>
      </c>
      <c r="R685" s="104" t="str">
        <f>IF(DPS_Graph_Tooltip_Speed=TRUE,IF($E$8=$A685,1/$N$6,),)</f>
        <v/>
      </c>
    </row>
    <row r="686">
      <c r="A686" s="370">
        <v>4.43</v>
      </c>
      <c r="B686" s="213">
        <f>If(DPS_Weapon_Type="远程",($E686+1)/60+(ROUNDDOWN($F686*60+1,0)/60)*2,(ROUNDDOWN(($E686+1)+ROUNDDOWN($F686*60+1,0)+ROUNDDOWN($G686/2*60+1,0)+ROUNDDOWN($H686*60+1,0)+1,0))/60+If(DPS_ATK_TYPE="挥砍",1/60)+If(DPS_ATK_TYPE="挥砍/刺击",1/120))+DPS_Weapon_Randomization/60</f>
        <v>0.105</v>
      </c>
      <c r="C686" s="104" t="str">
        <f>IF(DPS_Graph_True_Speed=TRUE,IF($A686&lt;=DPS_Graph_Max,IF($A686&gt;=DPS_Graph_Speed_Min,1/B686,),),)</f>
        <v/>
      </c>
      <c r="D686" s="115" t="str">
        <f>IF(DPS_Graph_True_Speed=TRUE,IF($E$8=$A686,DPS_Attacks_P_Sec,),)</f>
        <v/>
      </c>
      <c r="E686" s="222">
        <f>ROUNDDOWN(MAX(2,IF(A686&gt;=0, DPS_Base_Wpn_Spd/(1+A686),DPS_Base_Wpn_Spd*(1+ABS(A686)))),0)</f>
        <v>2</v>
      </c>
      <c r="F686" s="232">
        <f>IF(A686&gt;=0, DPS_Base_Recoil/(1+A686),DPS_Base_Recoil)</f>
        <v>0.009208103131</v>
      </c>
      <c r="G686" s="377">
        <f t="shared" si="7"/>
        <v>0.51</v>
      </c>
      <c r="H686" s="377">
        <f t="shared" si="8"/>
        <v>0.01399580126</v>
      </c>
      <c r="I686" s="104"/>
      <c r="J686" s="377">
        <f>MAX(0, Max(25,(DPS_Base_Range + ((DPS_Range_Stat) / 2))) / MIN(MAX(70, (70 * (1 + ($A686 / 3)))), 120))</f>
        <v>3.333333333</v>
      </c>
      <c r="K686" s="115" t="str">
        <f>IF(A686&lt;=DPS_Graph_Max,IF(A686&gt;=DPS_Graph_Speed_Min,A686,),)</f>
        <v/>
      </c>
      <c r="M686" s="213">
        <f>If(DPS_Weapon_Type="远程",$E686/60+$F686*2,$E686/60+$F686+$G686/2+$H686)</f>
        <v>0.05174953959</v>
      </c>
      <c r="N686" s="104" t="str">
        <f>IF(DPS_Graph_Tooltip_Speed=TRUE,IF($A686&lt;=DPS_Graph_Max,IF($A686&gt;=DPS_Graph_Speed_Min,1/M686,),),)</f>
        <v/>
      </c>
      <c r="R686" s="104" t="str">
        <f>IF(DPS_Graph_Tooltip_Speed=TRUE,IF($E$8=$A686,1/$N$6,),)</f>
        <v/>
      </c>
    </row>
    <row r="687">
      <c r="A687" s="370">
        <v>4.44</v>
      </c>
      <c r="B687" s="213">
        <f>If(DPS_Weapon_Type="远程",($E687+1)/60+(ROUNDDOWN($F687*60+1,0)/60)*2,(ROUNDDOWN(($E687+1)+ROUNDDOWN($F687*60+1,0)+ROUNDDOWN($G687/2*60+1,0)+ROUNDDOWN($H687*60+1,0)+1,0))/60+If(DPS_ATK_TYPE="挥砍",1/60)+If(DPS_ATK_TYPE="挥砍/刺击",1/120))+DPS_Weapon_Randomization/60</f>
        <v>0.105</v>
      </c>
      <c r="C687" s="104" t="str">
        <f>IF(DPS_Graph_True_Speed=TRUE,IF($A687&lt;=DPS_Graph_Max,IF($A687&gt;=DPS_Graph_Speed_Min,1/B687,),),)</f>
        <v/>
      </c>
      <c r="D687" s="115" t="str">
        <f>IF(DPS_Graph_True_Speed=TRUE,IF($E$8=$A687,DPS_Attacks_P_Sec,),)</f>
        <v/>
      </c>
      <c r="E687" s="222">
        <f>ROUNDDOWN(MAX(2,IF(A687&gt;=0, DPS_Base_Wpn_Spd/(1+A687),DPS_Base_Wpn_Spd*(1+ABS(A687)))),0)</f>
        <v>2</v>
      </c>
      <c r="F687" s="232">
        <f>IF(A687&gt;=0, DPS_Base_Recoil/(1+A687),DPS_Base_Recoil)</f>
        <v>0.009191176471</v>
      </c>
      <c r="G687" s="377">
        <f t="shared" si="7"/>
        <v>0.51</v>
      </c>
      <c r="H687" s="377">
        <f t="shared" si="8"/>
        <v>0.01396648045</v>
      </c>
      <c r="I687" s="104"/>
      <c r="J687" s="377">
        <f>MAX(0, Max(25,(DPS_Base_Range + ((DPS_Range_Stat) / 2))) / MIN(MAX(70, (70 * (1 + ($A687 / 3)))), 120))</f>
        <v>3.333333333</v>
      </c>
      <c r="K687" s="115" t="str">
        <f>IF(A687&lt;=DPS_Graph_Max,IF(A687&gt;=DPS_Graph_Speed_Min,A687,),)</f>
        <v/>
      </c>
      <c r="M687" s="213">
        <f>If(DPS_Weapon_Type="远程",$E687/60+$F687*2,$E687/60+$F687+$G687/2+$H687)</f>
        <v>0.05171568627</v>
      </c>
      <c r="N687" s="104" t="str">
        <f>IF(DPS_Graph_Tooltip_Speed=TRUE,IF($A687&lt;=DPS_Graph_Max,IF($A687&gt;=DPS_Graph_Speed_Min,1/M687,),),)</f>
        <v/>
      </c>
      <c r="R687" s="104" t="str">
        <f>IF(DPS_Graph_Tooltip_Speed=TRUE,IF($E$8=$A687,1/$N$6,),)</f>
        <v/>
      </c>
    </row>
    <row r="688">
      <c r="A688" s="370">
        <v>4.45</v>
      </c>
      <c r="B688" s="213">
        <f>If(DPS_Weapon_Type="远程",($E688+1)/60+(ROUNDDOWN($F688*60+1,0)/60)*2,(ROUNDDOWN(($E688+1)+ROUNDDOWN($F688*60+1,0)+ROUNDDOWN($G688/2*60+1,0)+ROUNDDOWN($H688*60+1,0)+1,0))/60+If(DPS_ATK_TYPE="挥砍",1/60)+If(DPS_ATK_TYPE="挥砍/刺击",1/120))+DPS_Weapon_Randomization/60</f>
        <v>0.105</v>
      </c>
      <c r="C688" s="104" t="str">
        <f>IF(DPS_Graph_True_Speed=TRUE,IF($A688&lt;=DPS_Graph_Max,IF($A688&gt;=DPS_Graph_Speed_Min,1/B688,),),)</f>
        <v/>
      </c>
      <c r="D688" s="115" t="str">
        <f>IF(DPS_Graph_True_Speed=TRUE,IF($E$8=$A688,DPS_Attacks_P_Sec,),)</f>
        <v/>
      </c>
      <c r="E688" s="222">
        <f>ROUNDDOWN(MAX(2,IF(A688&gt;=0, DPS_Base_Wpn_Spd/(1+A688),DPS_Base_Wpn_Spd*(1+ABS(A688)))),0)</f>
        <v>2</v>
      </c>
      <c r="F688" s="232">
        <f>IF(A688&gt;=0, DPS_Base_Recoil/(1+A688),DPS_Base_Recoil)</f>
        <v>0.009174311927</v>
      </c>
      <c r="G688" s="377">
        <f t="shared" si="7"/>
        <v>0.51</v>
      </c>
      <c r="H688" s="377">
        <f t="shared" si="8"/>
        <v>0.01393728223</v>
      </c>
      <c r="I688" s="104"/>
      <c r="J688" s="377">
        <f>MAX(0, Max(25,(DPS_Base_Range + ((DPS_Range_Stat) / 2))) / MIN(MAX(70, (70 * (1 + ($A688 / 3)))), 120))</f>
        <v>3.333333333</v>
      </c>
      <c r="K688" s="115" t="str">
        <f>IF(A688&lt;=DPS_Graph_Max,IF(A688&gt;=DPS_Graph_Speed_Min,A688,),)</f>
        <v/>
      </c>
      <c r="M688" s="213">
        <f>If(DPS_Weapon_Type="远程",$E688/60+$F688*2,$E688/60+$F688+$G688/2+$H688)</f>
        <v>0.05168195719</v>
      </c>
      <c r="N688" s="104" t="str">
        <f>IF(DPS_Graph_Tooltip_Speed=TRUE,IF($A688&lt;=DPS_Graph_Max,IF($A688&gt;=DPS_Graph_Speed_Min,1/M688,),),)</f>
        <v/>
      </c>
      <c r="R688" s="104" t="str">
        <f>IF(DPS_Graph_Tooltip_Speed=TRUE,IF($E$8=$A688,1/$N$6,),)</f>
        <v/>
      </c>
    </row>
    <row r="689">
      <c r="A689" s="370">
        <v>4.46</v>
      </c>
      <c r="B689" s="213">
        <f>If(DPS_Weapon_Type="远程",($E689+1)/60+(ROUNDDOWN($F689*60+1,0)/60)*2,(ROUNDDOWN(($E689+1)+ROUNDDOWN($F689*60+1,0)+ROUNDDOWN($G689/2*60+1,0)+ROUNDDOWN($H689*60+1,0)+1,0))/60+If(DPS_ATK_TYPE="挥砍",1/60)+If(DPS_ATK_TYPE="挥砍/刺击",1/120))+DPS_Weapon_Randomization/60</f>
        <v>0.105</v>
      </c>
      <c r="C689" s="104" t="str">
        <f>IF(DPS_Graph_True_Speed=TRUE,IF($A689&lt;=DPS_Graph_Max,IF($A689&gt;=DPS_Graph_Speed_Min,1/B689,),),)</f>
        <v/>
      </c>
      <c r="D689" s="115" t="str">
        <f>IF(DPS_Graph_True_Speed=TRUE,IF($E$8=$A689,DPS_Attacks_P_Sec,),)</f>
        <v/>
      </c>
      <c r="E689" s="222">
        <f>ROUNDDOWN(MAX(2,IF(A689&gt;=0, DPS_Base_Wpn_Spd/(1+A689),DPS_Base_Wpn_Spd*(1+ABS(A689)))),0)</f>
        <v>2</v>
      </c>
      <c r="F689" s="232">
        <f>IF(A689&gt;=0, DPS_Base_Recoil/(1+A689),DPS_Base_Recoil)</f>
        <v>0.009157509158</v>
      </c>
      <c r="G689" s="377">
        <f t="shared" si="7"/>
        <v>0.51</v>
      </c>
      <c r="H689" s="377">
        <f t="shared" si="8"/>
        <v>0.01390820584</v>
      </c>
      <c r="I689" s="104"/>
      <c r="J689" s="377">
        <f>MAX(0, Max(25,(DPS_Base_Range + ((DPS_Range_Stat) / 2))) / MIN(MAX(70, (70 * (1 + ($A689 / 3)))), 120))</f>
        <v>3.333333333</v>
      </c>
      <c r="K689" s="115" t="str">
        <f>IF(A689&lt;=DPS_Graph_Max,IF(A689&gt;=DPS_Graph_Speed_Min,A689,),)</f>
        <v/>
      </c>
      <c r="M689" s="213">
        <f>If(DPS_Weapon_Type="远程",$E689/60+$F689*2,$E689/60+$F689+$G689/2+$H689)</f>
        <v>0.05164835165</v>
      </c>
      <c r="N689" s="104" t="str">
        <f>IF(DPS_Graph_Tooltip_Speed=TRUE,IF($A689&lt;=DPS_Graph_Max,IF($A689&gt;=DPS_Graph_Speed_Min,1/M689,),),)</f>
        <v/>
      </c>
      <c r="R689" s="104" t="str">
        <f>IF(DPS_Graph_Tooltip_Speed=TRUE,IF($E$8=$A689,1/$N$6,),)</f>
        <v/>
      </c>
    </row>
    <row r="690">
      <c r="A690" s="370">
        <v>4.47</v>
      </c>
      <c r="B690" s="213">
        <f>If(DPS_Weapon_Type="远程",($E690+1)/60+(ROUNDDOWN($F690*60+1,0)/60)*2,(ROUNDDOWN(($E690+1)+ROUNDDOWN($F690*60+1,0)+ROUNDDOWN($G690/2*60+1,0)+ROUNDDOWN($H690*60+1,0)+1,0))/60+If(DPS_ATK_TYPE="挥砍",1/60)+If(DPS_ATK_TYPE="挥砍/刺击",1/120))+DPS_Weapon_Randomization/60</f>
        <v>0.105</v>
      </c>
      <c r="C690" s="104" t="str">
        <f>IF(DPS_Graph_True_Speed=TRUE,IF($A690&lt;=DPS_Graph_Max,IF($A690&gt;=DPS_Graph_Speed_Min,1/B690,),),)</f>
        <v/>
      </c>
      <c r="D690" s="115" t="str">
        <f>IF(DPS_Graph_True_Speed=TRUE,IF($E$8=$A690,DPS_Attacks_P_Sec,),)</f>
        <v/>
      </c>
      <c r="E690" s="222">
        <f>ROUNDDOWN(MAX(2,IF(A690&gt;=0, DPS_Base_Wpn_Spd/(1+A690),DPS_Base_Wpn_Spd*(1+ABS(A690)))),0)</f>
        <v>2</v>
      </c>
      <c r="F690" s="232">
        <f>IF(A690&gt;=0, DPS_Base_Recoil/(1+A690),DPS_Base_Recoil)</f>
        <v>0.009140767824</v>
      </c>
      <c r="G690" s="377">
        <f t="shared" si="7"/>
        <v>0.51</v>
      </c>
      <c r="H690" s="377">
        <f t="shared" si="8"/>
        <v>0.01387925052</v>
      </c>
      <c r="I690" s="104"/>
      <c r="J690" s="377">
        <f>MAX(0, Max(25,(DPS_Base_Range + ((DPS_Range_Stat) / 2))) / MIN(MAX(70, (70 * (1 + ($A690 / 3)))), 120))</f>
        <v>3.333333333</v>
      </c>
      <c r="K690" s="115" t="str">
        <f>IF(A690&lt;=DPS_Graph_Max,IF(A690&gt;=DPS_Graph_Speed_Min,A690,),)</f>
        <v/>
      </c>
      <c r="M690" s="213">
        <f>If(DPS_Weapon_Type="远程",$E690/60+$F690*2,$E690/60+$F690+$G690/2+$H690)</f>
        <v>0.05161486898</v>
      </c>
      <c r="N690" s="104" t="str">
        <f>IF(DPS_Graph_Tooltip_Speed=TRUE,IF($A690&lt;=DPS_Graph_Max,IF($A690&gt;=DPS_Graph_Speed_Min,1/M690,),),)</f>
        <v/>
      </c>
      <c r="R690" s="104" t="str">
        <f>IF(DPS_Graph_Tooltip_Speed=TRUE,IF($E$8=$A690,1/$N$6,),)</f>
        <v/>
      </c>
    </row>
    <row r="691">
      <c r="A691" s="370">
        <v>4.48</v>
      </c>
      <c r="B691" s="213">
        <f>If(DPS_Weapon_Type="远程",($E691+1)/60+(ROUNDDOWN($F691*60+1,0)/60)*2,(ROUNDDOWN(($E691+1)+ROUNDDOWN($F691*60+1,0)+ROUNDDOWN($G691/2*60+1,0)+ROUNDDOWN($H691*60+1,0)+1,0))/60+If(DPS_ATK_TYPE="挥砍",1/60)+If(DPS_ATK_TYPE="挥砍/刺击",1/120))+DPS_Weapon_Randomization/60</f>
        <v>0.105</v>
      </c>
      <c r="C691" s="104" t="str">
        <f>IF(DPS_Graph_True_Speed=TRUE,IF($A691&lt;=DPS_Graph_Max,IF($A691&gt;=DPS_Graph_Speed_Min,1/B691,),),)</f>
        <v/>
      </c>
      <c r="D691" s="115" t="str">
        <f>IF(DPS_Graph_True_Speed=TRUE,IF($E$8=$A691,DPS_Attacks_P_Sec,),)</f>
        <v/>
      </c>
      <c r="E691" s="222">
        <f>ROUNDDOWN(MAX(2,IF(A691&gt;=0, DPS_Base_Wpn_Spd/(1+A691),DPS_Base_Wpn_Spd*(1+ABS(A691)))),0)</f>
        <v>2</v>
      </c>
      <c r="F691" s="232">
        <f>IF(A691&gt;=0, DPS_Base_Recoil/(1+A691),DPS_Base_Recoil)</f>
        <v>0.009124087591</v>
      </c>
      <c r="G691" s="377">
        <f t="shared" si="7"/>
        <v>0.51</v>
      </c>
      <c r="H691" s="377">
        <f t="shared" si="8"/>
        <v>0.01385041551</v>
      </c>
      <c r="I691" s="104"/>
      <c r="J691" s="377">
        <f>MAX(0, Max(25,(DPS_Base_Range + ((DPS_Range_Stat) / 2))) / MIN(MAX(70, (70 * (1 + ($A691 / 3)))), 120))</f>
        <v>3.333333333</v>
      </c>
      <c r="K691" s="115" t="str">
        <f>IF(A691&lt;=DPS_Graph_Max,IF(A691&gt;=DPS_Graph_Speed_Min,A691,),)</f>
        <v/>
      </c>
      <c r="M691" s="213">
        <f>If(DPS_Weapon_Type="远程",$E691/60+$F691*2,$E691/60+$F691+$G691/2+$H691)</f>
        <v>0.05158150852</v>
      </c>
      <c r="N691" s="104" t="str">
        <f>IF(DPS_Graph_Tooltip_Speed=TRUE,IF($A691&lt;=DPS_Graph_Max,IF($A691&gt;=DPS_Graph_Speed_Min,1/M691,),),)</f>
        <v/>
      </c>
      <c r="R691" s="104" t="str">
        <f>IF(DPS_Graph_Tooltip_Speed=TRUE,IF($E$8=$A691,1/$N$6,),)</f>
        <v/>
      </c>
    </row>
    <row r="692">
      <c r="A692" s="370">
        <v>4.49</v>
      </c>
      <c r="B692" s="213">
        <f>If(DPS_Weapon_Type="远程",($E692+1)/60+(ROUNDDOWN($F692*60+1,0)/60)*2,(ROUNDDOWN(($E692+1)+ROUNDDOWN($F692*60+1,0)+ROUNDDOWN($G692/2*60+1,0)+ROUNDDOWN($H692*60+1,0)+1,0))/60+If(DPS_ATK_TYPE="挥砍",1/60)+If(DPS_ATK_TYPE="挥砍/刺击",1/120))+DPS_Weapon_Randomization/60</f>
        <v>0.105</v>
      </c>
      <c r="C692" s="104" t="str">
        <f>IF(DPS_Graph_True_Speed=TRUE,IF($A692&lt;=DPS_Graph_Max,IF($A692&gt;=DPS_Graph_Speed_Min,1/B692,),),)</f>
        <v/>
      </c>
      <c r="D692" s="115" t="str">
        <f>IF(DPS_Graph_True_Speed=TRUE,IF($E$8=$A692,DPS_Attacks_P_Sec,),)</f>
        <v/>
      </c>
      <c r="E692" s="222">
        <f>ROUNDDOWN(MAX(2,IF(A692&gt;=0, DPS_Base_Wpn_Spd/(1+A692),DPS_Base_Wpn_Spd*(1+ABS(A692)))),0)</f>
        <v>2</v>
      </c>
      <c r="F692" s="232">
        <f>IF(A692&gt;=0, DPS_Base_Recoil/(1+A692),DPS_Base_Recoil)</f>
        <v>0.009107468124</v>
      </c>
      <c r="G692" s="377">
        <f t="shared" si="7"/>
        <v>0.51</v>
      </c>
      <c r="H692" s="377">
        <f t="shared" si="8"/>
        <v>0.01382170007</v>
      </c>
      <c r="I692" s="104"/>
      <c r="J692" s="377">
        <f>MAX(0, Max(25,(DPS_Base_Range + ((DPS_Range_Stat) / 2))) / MIN(MAX(70, (70 * (1 + ($A692 / 3)))), 120))</f>
        <v>3.333333333</v>
      </c>
      <c r="K692" s="115" t="str">
        <f>IF(A692&lt;=DPS_Graph_Max,IF(A692&gt;=DPS_Graph_Speed_Min,A692,),)</f>
        <v/>
      </c>
      <c r="M692" s="213">
        <f>If(DPS_Weapon_Type="远程",$E692/60+$F692*2,$E692/60+$F692+$G692/2+$H692)</f>
        <v>0.05154826958</v>
      </c>
      <c r="N692" s="104" t="str">
        <f>IF(DPS_Graph_Tooltip_Speed=TRUE,IF($A692&lt;=DPS_Graph_Max,IF($A692&gt;=DPS_Graph_Speed_Min,1/M692,),),)</f>
        <v/>
      </c>
      <c r="R692" s="104" t="str">
        <f>IF(DPS_Graph_Tooltip_Speed=TRUE,IF($E$8=$A692,1/$N$6,),)</f>
        <v/>
      </c>
    </row>
    <row r="693">
      <c r="A693" s="370">
        <v>4.5</v>
      </c>
      <c r="B693" s="213">
        <f>If(DPS_Weapon_Type="远程",($E693+1)/60+(ROUNDDOWN($F693*60+1,0)/60)*2,(ROUNDDOWN(($E693+1)+ROUNDDOWN($F693*60+1,0)+ROUNDDOWN($G693/2*60+1,0)+ROUNDDOWN($H693*60+1,0)+1,0))/60+If(DPS_ATK_TYPE="挥砍",1/60)+If(DPS_ATK_TYPE="挥砍/刺击",1/120))+DPS_Weapon_Randomization/60</f>
        <v>0.105</v>
      </c>
      <c r="C693" s="104" t="str">
        <f>IF(DPS_Graph_True_Speed=TRUE,IF($A693&lt;=DPS_Graph_Max,IF($A693&gt;=DPS_Graph_Speed_Min,1/B693,),),)</f>
        <v/>
      </c>
      <c r="D693" s="115" t="str">
        <f>IF(DPS_Graph_True_Speed=TRUE,IF($E$8=$A693,DPS_Attacks_P_Sec,),)</f>
        <v/>
      </c>
      <c r="E693" s="222">
        <f>ROUNDDOWN(MAX(2,IF(A693&gt;=0, DPS_Base_Wpn_Spd/(1+A693),DPS_Base_Wpn_Spd*(1+ABS(A693)))),0)</f>
        <v>2</v>
      </c>
      <c r="F693" s="232">
        <f>IF(A693&gt;=0, DPS_Base_Recoil/(1+A693),DPS_Base_Recoil)</f>
        <v>0.009090909091</v>
      </c>
      <c r="G693" s="377">
        <f t="shared" si="7"/>
        <v>0.51</v>
      </c>
      <c r="H693" s="377">
        <f t="shared" si="8"/>
        <v>0.01379310345</v>
      </c>
      <c r="I693" s="104"/>
      <c r="J693" s="377">
        <f>MAX(0, Max(25,(DPS_Base_Range + ((DPS_Range_Stat) / 2))) / MIN(MAX(70, (70 * (1 + ($A693 / 3)))), 120))</f>
        <v>3.333333333</v>
      </c>
      <c r="K693" s="115" t="str">
        <f>IF(A693&lt;=DPS_Graph_Max,IF(A693&gt;=DPS_Graph_Speed_Min,A693,),)</f>
        <v/>
      </c>
      <c r="M693" s="213">
        <f>If(DPS_Weapon_Type="远程",$E693/60+$F693*2,$E693/60+$F693+$G693/2+$H693)</f>
        <v>0.05151515152</v>
      </c>
      <c r="N693" s="104" t="str">
        <f>IF(DPS_Graph_Tooltip_Speed=TRUE,IF($A693&lt;=DPS_Graph_Max,IF($A693&gt;=DPS_Graph_Speed_Min,1/M693,),),)</f>
        <v/>
      </c>
      <c r="R693" s="104" t="str">
        <f>IF(DPS_Graph_Tooltip_Speed=TRUE,IF($E$8=$A693,1/$N$6,),)</f>
        <v/>
      </c>
    </row>
    <row r="694">
      <c r="A694" s="370">
        <v>4.51</v>
      </c>
      <c r="B694" s="213">
        <f>If(DPS_Weapon_Type="远程",($E694+1)/60+(ROUNDDOWN($F694*60+1,0)/60)*2,(ROUNDDOWN(($E694+1)+ROUNDDOWN($F694*60+1,0)+ROUNDDOWN($G694/2*60+1,0)+ROUNDDOWN($H694*60+1,0)+1,0))/60+If(DPS_ATK_TYPE="挥砍",1/60)+If(DPS_ATK_TYPE="挥砍/刺击",1/120))+DPS_Weapon_Randomization/60</f>
        <v>0.105</v>
      </c>
      <c r="C694" s="104" t="str">
        <f>IF(DPS_Graph_True_Speed=TRUE,IF($A694&lt;=DPS_Graph_Max,IF($A694&gt;=DPS_Graph_Speed_Min,1/B694,),),)</f>
        <v/>
      </c>
      <c r="D694" s="115" t="str">
        <f>IF(DPS_Graph_True_Speed=TRUE,IF($E$8=$A694,DPS_Attacks_P_Sec,),)</f>
        <v/>
      </c>
      <c r="E694" s="222">
        <f>ROUNDDOWN(MAX(2,IF(A694&gt;=0, DPS_Base_Wpn_Spd/(1+A694),DPS_Base_Wpn_Spd*(1+ABS(A694)))),0)</f>
        <v>2</v>
      </c>
      <c r="F694" s="232">
        <f>IF(A694&gt;=0, DPS_Base_Recoil/(1+A694),DPS_Base_Recoil)</f>
        <v>0.009074410163</v>
      </c>
      <c r="G694" s="377">
        <f t="shared" si="7"/>
        <v>0.51</v>
      </c>
      <c r="H694" s="377">
        <f t="shared" si="8"/>
        <v>0.01376462491</v>
      </c>
      <c r="I694" s="104"/>
      <c r="J694" s="377">
        <f>MAX(0, Max(25,(DPS_Base_Range + ((DPS_Range_Stat) / 2))) / MIN(MAX(70, (70 * (1 + ($A694 / 3)))), 120))</f>
        <v>3.333333333</v>
      </c>
      <c r="K694" s="115" t="str">
        <f>IF(A694&lt;=DPS_Graph_Max,IF(A694&gt;=DPS_Graph_Speed_Min,A694,),)</f>
        <v/>
      </c>
      <c r="M694" s="213">
        <f>If(DPS_Weapon_Type="远程",$E694/60+$F694*2,$E694/60+$F694+$G694/2+$H694)</f>
        <v>0.05148215366</v>
      </c>
      <c r="N694" s="104" t="str">
        <f>IF(DPS_Graph_Tooltip_Speed=TRUE,IF($A694&lt;=DPS_Graph_Max,IF($A694&gt;=DPS_Graph_Speed_Min,1/M694,),),)</f>
        <v/>
      </c>
      <c r="R694" s="104" t="str">
        <f>IF(DPS_Graph_Tooltip_Speed=TRUE,IF($E$8=$A694,1/$N$6,),)</f>
        <v/>
      </c>
    </row>
    <row r="695">
      <c r="A695" s="370">
        <v>4.52</v>
      </c>
      <c r="B695" s="213">
        <f>If(DPS_Weapon_Type="远程",($E695+1)/60+(ROUNDDOWN($F695*60+1,0)/60)*2,(ROUNDDOWN(($E695+1)+ROUNDDOWN($F695*60+1,0)+ROUNDDOWN($G695/2*60+1,0)+ROUNDDOWN($H695*60+1,0)+1,0))/60+If(DPS_ATK_TYPE="挥砍",1/60)+If(DPS_ATK_TYPE="挥砍/刺击",1/120))+DPS_Weapon_Randomization/60</f>
        <v>0.105</v>
      </c>
      <c r="C695" s="104" t="str">
        <f>IF(DPS_Graph_True_Speed=TRUE,IF($A695&lt;=DPS_Graph_Max,IF($A695&gt;=DPS_Graph_Speed_Min,1/B695,),),)</f>
        <v/>
      </c>
      <c r="D695" s="115" t="str">
        <f>IF(DPS_Graph_True_Speed=TRUE,IF($E$8=$A695,DPS_Attacks_P_Sec,),)</f>
        <v/>
      </c>
      <c r="E695" s="222">
        <f>ROUNDDOWN(MAX(2,IF(A695&gt;=0, DPS_Base_Wpn_Spd/(1+A695),DPS_Base_Wpn_Spd*(1+ABS(A695)))),0)</f>
        <v>2</v>
      </c>
      <c r="F695" s="232">
        <f>IF(A695&gt;=0, DPS_Base_Recoil/(1+A695),DPS_Base_Recoil)</f>
        <v>0.009057971014</v>
      </c>
      <c r="G695" s="377">
        <f t="shared" si="7"/>
        <v>0.51</v>
      </c>
      <c r="H695" s="377">
        <f t="shared" si="8"/>
        <v>0.01373626374</v>
      </c>
      <c r="I695" s="104"/>
      <c r="J695" s="377">
        <f>MAX(0, Max(25,(DPS_Base_Range + ((DPS_Range_Stat) / 2))) / MIN(MAX(70, (70 * (1 + ($A695 / 3)))), 120))</f>
        <v>3.333333333</v>
      </c>
      <c r="K695" s="115" t="str">
        <f>IF(A695&lt;=DPS_Graph_Max,IF(A695&gt;=DPS_Graph_Speed_Min,A695,),)</f>
        <v/>
      </c>
      <c r="M695" s="213">
        <f>If(DPS_Weapon_Type="远程",$E695/60+$F695*2,$E695/60+$F695+$G695/2+$H695)</f>
        <v>0.05144927536</v>
      </c>
      <c r="N695" s="104" t="str">
        <f>IF(DPS_Graph_Tooltip_Speed=TRUE,IF($A695&lt;=DPS_Graph_Max,IF($A695&gt;=DPS_Graph_Speed_Min,1/M695,),),)</f>
        <v/>
      </c>
      <c r="R695" s="104" t="str">
        <f>IF(DPS_Graph_Tooltip_Speed=TRUE,IF($E$8=$A695,1/$N$6,),)</f>
        <v/>
      </c>
    </row>
    <row r="696">
      <c r="A696" s="370">
        <v>4.53</v>
      </c>
      <c r="B696" s="213">
        <f>If(DPS_Weapon_Type="远程",($E696+1)/60+(ROUNDDOWN($F696*60+1,0)/60)*2,(ROUNDDOWN(($E696+1)+ROUNDDOWN($F696*60+1,0)+ROUNDDOWN($G696/2*60+1,0)+ROUNDDOWN($H696*60+1,0)+1,0))/60+If(DPS_ATK_TYPE="挥砍",1/60)+If(DPS_ATK_TYPE="挥砍/刺击",1/120))+DPS_Weapon_Randomization/60</f>
        <v>0.105</v>
      </c>
      <c r="C696" s="104" t="str">
        <f>IF(DPS_Graph_True_Speed=TRUE,IF($A696&lt;=DPS_Graph_Max,IF($A696&gt;=DPS_Graph_Speed_Min,1/B696,),),)</f>
        <v/>
      </c>
      <c r="D696" s="115" t="str">
        <f>IF(DPS_Graph_True_Speed=TRUE,IF($E$8=$A696,DPS_Attacks_P_Sec,),)</f>
        <v/>
      </c>
      <c r="E696" s="222">
        <f>ROUNDDOWN(MAX(2,IF(A696&gt;=0, DPS_Base_Wpn_Spd/(1+A696),DPS_Base_Wpn_Spd*(1+ABS(A696)))),0)</f>
        <v>2</v>
      </c>
      <c r="F696" s="232">
        <f>IF(A696&gt;=0, DPS_Base_Recoil/(1+A696),DPS_Base_Recoil)</f>
        <v>0.00904159132</v>
      </c>
      <c r="G696" s="377">
        <f t="shared" si="7"/>
        <v>0.51</v>
      </c>
      <c r="H696" s="377">
        <f t="shared" si="8"/>
        <v>0.01370801919</v>
      </c>
      <c r="I696" s="104"/>
      <c r="J696" s="377">
        <f>MAX(0, Max(25,(DPS_Base_Range + ((DPS_Range_Stat) / 2))) / MIN(MAX(70, (70 * (1 + ($A696 / 3)))), 120))</f>
        <v>3.333333333</v>
      </c>
      <c r="K696" s="115" t="str">
        <f>IF(A696&lt;=DPS_Graph_Max,IF(A696&gt;=DPS_Graph_Speed_Min,A696,),)</f>
        <v/>
      </c>
      <c r="M696" s="213">
        <f>If(DPS_Weapon_Type="远程",$E696/60+$F696*2,$E696/60+$F696+$G696/2+$H696)</f>
        <v>0.05141651597</v>
      </c>
      <c r="N696" s="104" t="str">
        <f>IF(DPS_Graph_Tooltip_Speed=TRUE,IF($A696&lt;=DPS_Graph_Max,IF($A696&gt;=DPS_Graph_Speed_Min,1/M696,),),)</f>
        <v/>
      </c>
      <c r="R696" s="104" t="str">
        <f>IF(DPS_Graph_Tooltip_Speed=TRUE,IF($E$8=$A696,1/$N$6,),)</f>
        <v/>
      </c>
    </row>
    <row r="697">
      <c r="A697" s="370">
        <v>4.54</v>
      </c>
      <c r="B697" s="213">
        <f>If(DPS_Weapon_Type="远程",($E697+1)/60+(ROUNDDOWN($F697*60+1,0)/60)*2,(ROUNDDOWN(($E697+1)+ROUNDDOWN($F697*60+1,0)+ROUNDDOWN($G697/2*60+1,0)+ROUNDDOWN($H697*60+1,0)+1,0))/60+If(DPS_ATK_TYPE="挥砍",1/60)+If(DPS_ATK_TYPE="挥砍/刺击",1/120))+DPS_Weapon_Randomization/60</f>
        <v>0.105</v>
      </c>
      <c r="C697" s="104" t="str">
        <f>IF(DPS_Graph_True_Speed=TRUE,IF($A697&lt;=DPS_Graph_Max,IF($A697&gt;=DPS_Graph_Speed_Min,1/B697,),),)</f>
        <v/>
      </c>
      <c r="D697" s="115" t="str">
        <f>IF(DPS_Graph_True_Speed=TRUE,IF($E$8=$A697,DPS_Attacks_P_Sec,),)</f>
        <v/>
      </c>
      <c r="E697" s="222">
        <f>ROUNDDOWN(MAX(2,IF(A697&gt;=0, DPS_Base_Wpn_Spd/(1+A697),DPS_Base_Wpn_Spd*(1+ABS(A697)))),0)</f>
        <v>2</v>
      </c>
      <c r="F697" s="232">
        <f>IF(A697&gt;=0, DPS_Base_Recoil/(1+A697),DPS_Base_Recoil)</f>
        <v>0.009025270758</v>
      </c>
      <c r="G697" s="377">
        <f t="shared" si="7"/>
        <v>0.51</v>
      </c>
      <c r="H697" s="377">
        <f t="shared" si="8"/>
        <v>0.01367989056</v>
      </c>
      <c r="I697" s="104"/>
      <c r="J697" s="377">
        <f>MAX(0, Max(25,(DPS_Base_Range + ((DPS_Range_Stat) / 2))) / MIN(MAX(70, (70 * (1 + ($A697 / 3)))), 120))</f>
        <v>3.333333333</v>
      </c>
      <c r="K697" s="115" t="str">
        <f>IF(A697&lt;=DPS_Graph_Max,IF(A697&gt;=DPS_Graph_Speed_Min,A697,),)</f>
        <v/>
      </c>
      <c r="M697" s="213">
        <f>If(DPS_Weapon_Type="远程",$E697/60+$F697*2,$E697/60+$F697+$G697/2+$H697)</f>
        <v>0.05138387485</v>
      </c>
      <c r="N697" s="104" t="str">
        <f>IF(DPS_Graph_Tooltip_Speed=TRUE,IF($A697&lt;=DPS_Graph_Max,IF($A697&gt;=DPS_Graph_Speed_Min,1/M697,),),)</f>
        <v/>
      </c>
      <c r="R697" s="104" t="str">
        <f>IF(DPS_Graph_Tooltip_Speed=TRUE,IF($E$8=$A697,1/$N$6,),)</f>
        <v/>
      </c>
    </row>
    <row r="698">
      <c r="A698" s="370">
        <v>4.55</v>
      </c>
      <c r="B698" s="213">
        <f>If(DPS_Weapon_Type="远程",($E698+1)/60+(ROUNDDOWN($F698*60+1,0)/60)*2,(ROUNDDOWN(($E698+1)+ROUNDDOWN($F698*60+1,0)+ROUNDDOWN($G698/2*60+1,0)+ROUNDDOWN($H698*60+1,0)+1,0))/60+If(DPS_ATK_TYPE="挥砍",1/60)+If(DPS_ATK_TYPE="挥砍/刺击",1/120))+DPS_Weapon_Randomization/60</f>
        <v>0.105</v>
      </c>
      <c r="C698" s="104" t="str">
        <f>IF(DPS_Graph_True_Speed=TRUE,IF($A698&lt;=DPS_Graph_Max,IF($A698&gt;=DPS_Graph_Speed_Min,1/B698,),),)</f>
        <v/>
      </c>
      <c r="D698" s="115" t="str">
        <f>IF(DPS_Graph_True_Speed=TRUE,IF($E$8=$A698,DPS_Attacks_P_Sec,),)</f>
        <v/>
      </c>
      <c r="E698" s="222">
        <f>ROUNDDOWN(MAX(2,IF(A698&gt;=0, DPS_Base_Wpn_Spd/(1+A698),DPS_Base_Wpn_Spd*(1+ABS(A698)))),0)</f>
        <v>2</v>
      </c>
      <c r="F698" s="232">
        <f>IF(A698&gt;=0, DPS_Base_Recoil/(1+A698),DPS_Base_Recoil)</f>
        <v>0.009009009009</v>
      </c>
      <c r="G698" s="377">
        <f t="shared" si="7"/>
        <v>0.51</v>
      </c>
      <c r="H698" s="377">
        <f t="shared" si="8"/>
        <v>0.01365187713</v>
      </c>
      <c r="I698" s="104"/>
      <c r="J698" s="377">
        <f>MAX(0, Max(25,(DPS_Base_Range + ((DPS_Range_Stat) / 2))) / MIN(MAX(70, (70 * (1 + ($A698 / 3)))), 120))</f>
        <v>3.333333333</v>
      </c>
      <c r="K698" s="115" t="str">
        <f>IF(A698&lt;=DPS_Graph_Max,IF(A698&gt;=DPS_Graph_Speed_Min,A698,),)</f>
        <v/>
      </c>
      <c r="M698" s="213">
        <f>If(DPS_Weapon_Type="远程",$E698/60+$F698*2,$E698/60+$F698+$G698/2+$H698)</f>
        <v>0.05135135135</v>
      </c>
      <c r="N698" s="104" t="str">
        <f>IF(DPS_Graph_Tooltip_Speed=TRUE,IF($A698&lt;=DPS_Graph_Max,IF($A698&gt;=DPS_Graph_Speed_Min,1/M698,),),)</f>
        <v/>
      </c>
      <c r="R698" s="104" t="str">
        <f>IF(DPS_Graph_Tooltip_Speed=TRUE,IF($E$8=$A698,1/$N$6,),)</f>
        <v/>
      </c>
    </row>
    <row r="699">
      <c r="A699" s="370">
        <v>4.56</v>
      </c>
      <c r="B699" s="213">
        <f>If(DPS_Weapon_Type="远程",($E699+1)/60+(ROUNDDOWN($F699*60+1,0)/60)*2,(ROUNDDOWN(($E699+1)+ROUNDDOWN($F699*60+1,0)+ROUNDDOWN($G699/2*60+1,0)+ROUNDDOWN($H699*60+1,0)+1,0))/60+If(DPS_ATK_TYPE="挥砍",1/60)+If(DPS_ATK_TYPE="挥砍/刺击",1/120))+DPS_Weapon_Randomization/60</f>
        <v>0.105</v>
      </c>
      <c r="C699" s="104" t="str">
        <f>IF(DPS_Graph_True_Speed=TRUE,IF($A699&lt;=DPS_Graph_Max,IF($A699&gt;=DPS_Graph_Speed_Min,1/B699,),),)</f>
        <v/>
      </c>
      <c r="D699" s="115" t="str">
        <f>IF(DPS_Graph_True_Speed=TRUE,IF($E$8=$A699,DPS_Attacks_P_Sec,),)</f>
        <v/>
      </c>
      <c r="E699" s="222">
        <f>ROUNDDOWN(MAX(2,IF(A699&gt;=0, DPS_Base_Wpn_Spd/(1+A699),DPS_Base_Wpn_Spd*(1+ABS(A699)))),0)</f>
        <v>2</v>
      </c>
      <c r="F699" s="232">
        <f>IF(A699&gt;=0, DPS_Base_Recoil/(1+A699),DPS_Base_Recoil)</f>
        <v>0.008992805755</v>
      </c>
      <c r="G699" s="377">
        <f t="shared" si="7"/>
        <v>0.51</v>
      </c>
      <c r="H699" s="377">
        <f t="shared" si="8"/>
        <v>0.0136239782</v>
      </c>
      <c r="I699" s="104"/>
      <c r="J699" s="377">
        <f>MAX(0, Max(25,(DPS_Base_Range + ((DPS_Range_Stat) / 2))) / MIN(MAX(70, (70 * (1 + ($A699 / 3)))), 120))</f>
        <v>3.333333333</v>
      </c>
      <c r="K699" s="115" t="str">
        <f>IF(A699&lt;=DPS_Graph_Max,IF(A699&gt;=DPS_Graph_Speed_Min,A699,),)</f>
        <v/>
      </c>
      <c r="M699" s="213">
        <f>If(DPS_Weapon_Type="远程",$E699/60+$F699*2,$E699/60+$F699+$G699/2+$H699)</f>
        <v>0.05131894484</v>
      </c>
      <c r="N699" s="104" t="str">
        <f>IF(DPS_Graph_Tooltip_Speed=TRUE,IF($A699&lt;=DPS_Graph_Max,IF($A699&gt;=DPS_Graph_Speed_Min,1/M699,),),)</f>
        <v/>
      </c>
      <c r="R699" s="104" t="str">
        <f>IF(DPS_Graph_Tooltip_Speed=TRUE,IF($E$8=$A699,1/$N$6,),)</f>
        <v/>
      </c>
    </row>
    <row r="700">
      <c r="A700" s="370">
        <v>4.57</v>
      </c>
      <c r="B700" s="213">
        <f>If(DPS_Weapon_Type="远程",($E700+1)/60+(ROUNDDOWN($F700*60+1,0)/60)*2,(ROUNDDOWN(($E700+1)+ROUNDDOWN($F700*60+1,0)+ROUNDDOWN($G700/2*60+1,0)+ROUNDDOWN($H700*60+1,0)+1,0))/60+If(DPS_ATK_TYPE="挥砍",1/60)+If(DPS_ATK_TYPE="挥砍/刺击",1/120))+DPS_Weapon_Randomization/60</f>
        <v>0.105</v>
      </c>
      <c r="C700" s="104" t="str">
        <f>IF(DPS_Graph_True_Speed=TRUE,IF($A700&lt;=DPS_Graph_Max,IF($A700&gt;=DPS_Graph_Speed_Min,1/B700,),),)</f>
        <v/>
      </c>
      <c r="D700" s="115" t="str">
        <f>IF(DPS_Graph_True_Speed=TRUE,IF($E$8=$A700,DPS_Attacks_P_Sec,),)</f>
        <v/>
      </c>
      <c r="E700" s="222">
        <f>ROUNDDOWN(MAX(2,IF(A700&gt;=0, DPS_Base_Wpn_Spd/(1+A700),DPS_Base_Wpn_Spd*(1+ABS(A700)))),0)</f>
        <v>2</v>
      </c>
      <c r="F700" s="232">
        <f>IF(A700&gt;=0, DPS_Base_Recoil/(1+A700),DPS_Base_Recoil)</f>
        <v>0.008976660682</v>
      </c>
      <c r="G700" s="377">
        <f t="shared" si="7"/>
        <v>0.51</v>
      </c>
      <c r="H700" s="377">
        <f t="shared" si="8"/>
        <v>0.01359619307</v>
      </c>
      <c r="I700" s="104"/>
      <c r="J700" s="377">
        <f>MAX(0, Max(25,(DPS_Base_Range + ((DPS_Range_Stat) / 2))) / MIN(MAX(70, (70 * (1 + ($A700 / 3)))), 120))</f>
        <v>3.333333333</v>
      </c>
      <c r="K700" s="115" t="str">
        <f>IF(A700&lt;=DPS_Graph_Max,IF(A700&gt;=DPS_Graph_Speed_Min,A700,),)</f>
        <v/>
      </c>
      <c r="M700" s="213">
        <f>If(DPS_Weapon_Type="远程",$E700/60+$F700*2,$E700/60+$F700+$G700/2+$H700)</f>
        <v>0.0512866547</v>
      </c>
      <c r="N700" s="104" t="str">
        <f>IF(DPS_Graph_Tooltip_Speed=TRUE,IF($A700&lt;=DPS_Graph_Max,IF($A700&gt;=DPS_Graph_Speed_Min,1/M700,),),)</f>
        <v/>
      </c>
      <c r="R700" s="104" t="str">
        <f>IF(DPS_Graph_Tooltip_Speed=TRUE,IF($E$8=$A700,1/$N$6,),)</f>
        <v/>
      </c>
    </row>
    <row r="701">
      <c r="A701" s="370">
        <v>4.58</v>
      </c>
      <c r="B701" s="213">
        <f>If(DPS_Weapon_Type="远程",($E701+1)/60+(ROUNDDOWN($F701*60+1,0)/60)*2,(ROUNDDOWN(($E701+1)+ROUNDDOWN($F701*60+1,0)+ROUNDDOWN($G701/2*60+1,0)+ROUNDDOWN($H701*60+1,0)+1,0))/60+If(DPS_ATK_TYPE="挥砍",1/60)+If(DPS_ATK_TYPE="挥砍/刺击",1/120))+DPS_Weapon_Randomization/60</f>
        <v>0.105</v>
      </c>
      <c r="C701" s="104" t="str">
        <f>IF(DPS_Graph_True_Speed=TRUE,IF($A701&lt;=DPS_Graph_Max,IF($A701&gt;=DPS_Graph_Speed_Min,1/B701,),),)</f>
        <v/>
      </c>
      <c r="D701" s="115" t="str">
        <f>IF(DPS_Graph_True_Speed=TRUE,IF($E$8=$A701,DPS_Attacks_P_Sec,),)</f>
        <v/>
      </c>
      <c r="E701" s="222">
        <f>ROUNDDOWN(MAX(2,IF(A701&gt;=0, DPS_Base_Wpn_Spd/(1+A701),DPS_Base_Wpn_Spd*(1+ABS(A701)))),0)</f>
        <v>2</v>
      </c>
      <c r="F701" s="232">
        <f>IF(A701&gt;=0, DPS_Base_Recoil/(1+A701),DPS_Base_Recoil)</f>
        <v>0.008960573477</v>
      </c>
      <c r="G701" s="377">
        <f t="shared" si="7"/>
        <v>0.51</v>
      </c>
      <c r="H701" s="377">
        <f t="shared" si="8"/>
        <v>0.01356852103</v>
      </c>
      <c r="I701" s="104"/>
      <c r="J701" s="377">
        <f>MAX(0, Max(25,(DPS_Base_Range + ((DPS_Range_Stat) / 2))) / MIN(MAX(70, (70 * (1 + ($A701 / 3)))), 120))</f>
        <v>3.333333333</v>
      </c>
      <c r="K701" s="115" t="str">
        <f>IF(A701&lt;=DPS_Graph_Max,IF(A701&gt;=DPS_Graph_Speed_Min,A701,),)</f>
        <v/>
      </c>
      <c r="M701" s="213">
        <f>If(DPS_Weapon_Type="远程",$E701/60+$F701*2,$E701/60+$F701+$G701/2+$H701)</f>
        <v>0.05125448029</v>
      </c>
      <c r="N701" s="104" t="str">
        <f>IF(DPS_Graph_Tooltip_Speed=TRUE,IF($A701&lt;=DPS_Graph_Max,IF($A701&gt;=DPS_Graph_Speed_Min,1/M701,),),)</f>
        <v/>
      </c>
      <c r="R701" s="104" t="str">
        <f>IF(DPS_Graph_Tooltip_Speed=TRUE,IF($E$8=$A701,1/$N$6,),)</f>
        <v/>
      </c>
    </row>
    <row r="702">
      <c r="A702" s="370">
        <v>4.59</v>
      </c>
      <c r="B702" s="213">
        <f>If(DPS_Weapon_Type="远程",($E702+1)/60+(ROUNDDOWN($F702*60+1,0)/60)*2,(ROUNDDOWN(($E702+1)+ROUNDDOWN($F702*60+1,0)+ROUNDDOWN($G702/2*60+1,0)+ROUNDDOWN($H702*60+1,0)+1,0))/60+If(DPS_ATK_TYPE="挥砍",1/60)+If(DPS_ATK_TYPE="挥砍/刺击",1/120))+DPS_Weapon_Randomization/60</f>
        <v>0.105</v>
      </c>
      <c r="C702" s="104" t="str">
        <f>IF(DPS_Graph_True_Speed=TRUE,IF($A702&lt;=DPS_Graph_Max,IF($A702&gt;=DPS_Graph_Speed_Min,1/B702,),),)</f>
        <v/>
      </c>
      <c r="D702" s="115" t="str">
        <f>IF(DPS_Graph_True_Speed=TRUE,IF($E$8=$A702,DPS_Attacks_P_Sec,),)</f>
        <v/>
      </c>
      <c r="E702" s="222">
        <f>ROUNDDOWN(MAX(2,IF(A702&gt;=0, DPS_Base_Wpn_Spd/(1+A702),DPS_Base_Wpn_Spd*(1+ABS(A702)))),0)</f>
        <v>2</v>
      </c>
      <c r="F702" s="232">
        <f>IF(A702&gt;=0, DPS_Base_Recoil/(1+A702),DPS_Base_Recoil)</f>
        <v>0.008944543828</v>
      </c>
      <c r="G702" s="377">
        <f t="shared" si="7"/>
        <v>0.51</v>
      </c>
      <c r="H702" s="377">
        <f t="shared" si="8"/>
        <v>0.01354096141</v>
      </c>
      <c r="I702" s="104"/>
      <c r="J702" s="377">
        <f>MAX(0, Max(25,(DPS_Base_Range + ((DPS_Range_Stat) / 2))) / MIN(MAX(70, (70 * (1 + ($A702 / 3)))), 120))</f>
        <v>3.333333333</v>
      </c>
      <c r="K702" s="115" t="str">
        <f>IF(A702&lt;=DPS_Graph_Max,IF(A702&gt;=DPS_Graph_Speed_Min,A702,),)</f>
        <v/>
      </c>
      <c r="M702" s="213">
        <f>If(DPS_Weapon_Type="远程",$E702/60+$F702*2,$E702/60+$F702+$G702/2+$H702)</f>
        <v>0.05122242099</v>
      </c>
      <c r="N702" s="104" t="str">
        <f>IF(DPS_Graph_Tooltip_Speed=TRUE,IF($A702&lt;=DPS_Graph_Max,IF($A702&gt;=DPS_Graph_Speed_Min,1/M702,),),)</f>
        <v/>
      </c>
      <c r="R702" s="104" t="str">
        <f>IF(DPS_Graph_Tooltip_Speed=TRUE,IF($E$8=$A702,1/$N$6,),)</f>
        <v/>
      </c>
    </row>
    <row r="703">
      <c r="A703" s="370">
        <v>4.6</v>
      </c>
      <c r="B703" s="213">
        <f>If(DPS_Weapon_Type="远程",($E703+1)/60+(ROUNDDOWN($F703*60+1,0)/60)*2,(ROUNDDOWN(($E703+1)+ROUNDDOWN($F703*60+1,0)+ROUNDDOWN($G703/2*60+1,0)+ROUNDDOWN($H703*60+1,0)+1,0))/60+If(DPS_ATK_TYPE="挥砍",1/60)+If(DPS_ATK_TYPE="挥砍/刺击",1/120))+DPS_Weapon_Randomization/60</f>
        <v>0.105</v>
      </c>
      <c r="C703" s="104" t="str">
        <f>IF(DPS_Graph_True_Speed=TRUE,IF($A703&lt;=DPS_Graph_Max,IF($A703&gt;=DPS_Graph_Speed_Min,1/B703,),),)</f>
        <v/>
      </c>
      <c r="D703" s="115" t="str">
        <f>IF(DPS_Graph_True_Speed=TRUE,IF($E$8=$A703,DPS_Attacks_P_Sec,),)</f>
        <v/>
      </c>
      <c r="E703" s="222">
        <f>ROUNDDOWN(MAX(2,IF(A703&gt;=0, DPS_Base_Wpn_Spd/(1+A703),DPS_Base_Wpn_Spd*(1+ABS(A703)))),0)</f>
        <v>2</v>
      </c>
      <c r="F703" s="232">
        <f>IF(A703&gt;=0, DPS_Base_Recoil/(1+A703),DPS_Base_Recoil)</f>
        <v>0.008928571429</v>
      </c>
      <c r="G703" s="377">
        <f t="shared" si="7"/>
        <v>0.51</v>
      </c>
      <c r="H703" s="377">
        <f t="shared" si="8"/>
        <v>0.01351351351</v>
      </c>
      <c r="I703" s="104"/>
      <c r="J703" s="377">
        <f>MAX(0, Max(25,(DPS_Base_Range + ((DPS_Range_Stat) / 2))) / MIN(MAX(70, (70 * (1 + ($A703 / 3)))), 120))</f>
        <v>3.333333333</v>
      </c>
      <c r="K703" s="115" t="str">
        <f>IF(A703&lt;=DPS_Graph_Max,IF(A703&gt;=DPS_Graph_Speed_Min,A703,),)</f>
        <v/>
      </c>
      <c r="M703" s="213">
        <f>If(DPS_Weapon_Type="远程",$E703/60+$F703*2,$E703/60+$F703+$G703/2+$H703)</f>
        <v>0.05119047619</v>
      </c>
      <c r="N703" s="104" t="str">
        <f>IF(DPS_Graph_Tooltip_Speed=TRUE,IF($A703&lt;=DPS_Graph_Max,IF($A703&gt;=DPS_Graph_Speed_Min,1/M703,),),)</f>
        <v/>
      </c>
      <c r="R703" s="104" t="str">
        <f>IF(DPS_Graph_Tooltip_Speed=TRUE,IF($E$8=$A703,1/$N$6,),)</f>
        <v/>
      </c>
    </row>
    <row r="704">
      <c r="A704" s="370">
        <v>4.61</v>
      </c>
      <c r="B704" s="213">
        <f>If(DPS_Weapon_Type="远程",($E704+1)/60+(ROUNDDOWN($F704*60+1,0)/60)*2,(ROUNDDOWN(($E704+1)+ROUNDDOWN($F704*60+1,0)+ROUNDDOWN($G704/2*60+1,0)+ROUNDDOWN($H704*60+1,0)+1,0))/60+If(DPS_ATK_TYPE="挥砍",1/60)+If(DPS_ATK_TYPE="挥砍/刺击",1/120))+DPS_Weapon_Randomization/60</f>
        <v>0.105</v>
      </c>
      <c r="C704" s="104" t="str">
        <f>IF(DPS_Graph_True_Speed=TRUE,IF($A704&lt;=DPS_Graph_Max,IF($A704&gt;=DPS_Graph_Speed_Min,1/B704,),),)</f>
        <v/>
      </c>
      <c r="D704" s="115" t="str">
        <f>IF(DPS_Graph_True_Speed=TRUE,IF($E$8=$A704,DPS_Attacks_P_Sec,),)</f>
        <v/>
      </c>
      <c r="E704" s="222">
        <f>ROUNDDOWN(MAX(2,IF(A704&gt;=0, DPS_Base_Wpn_Spd/(1+A704),DPS_Base_Wpn_Spd*(1+ABS(A704)))),0)</f>
        <v>2</v>
      </c>
      <c r="F704" s="232">
        <f>IF(A704&gt;=0, DPS_Base_Recoil/(1+A704),DPS_Base_Recoil)</f>
        <v>0.008912655971</v>
      </c>
      <c r="G704" s="377">
        <f t="shared" si="7"/>
        <v>0.51</v>
      </c>
      <c r="H704" s="377">
        <f t="shared" si="8"/>
        <v>0.01348617667</v>
      </c>
      <c r="I704" s="104"/>
      <c r="J704" s="377">
        <f>MAX(0, Max(25,(DPS_Base_Range + ((DPS_Range_Stat) / 2))) / MIN(MAX(70, (70 * (1 + ($A704 / 3)))), 120))</f>
        <v>3.333333333</v>
      </c>
      <c r="K704" s="115" t="str">
        <f>IF(A704&lt;=DPS_Graph_Max,IF(A704&gt;=DPS_Graph_Speed_Min,A704,),)</f>
        <v/>
      </c>
      <c r="M704" s="213">
        <f>If(DPS_Weapon_Type="远程",$E704/60+$F704*2,$E704/60+$F704+$G704/2+$H704)</f>
        <v>0.05115864528</v>
      </c>
      <c r="N704" s="104" t="str">
        <f>IF(DPS_Graph_Tooltip_Speed=TRUE,IF($A704&lt;=DPS_Graph_Max,IF($A704&gt;=DPS_Graph_Speed_Min,1/M704,),),)</f>
        <v/>
      </c>
      <c r="R704" s="104" t="str">
        <f>IF(DPS_Graph_Tooltip_Speed=TRUE,IF($E$8=$A704,1/$N$6,),)</f>
        <v/>
      </c>
    </row>
    <row r="705">
      <c r="A705" s="370">
        <v>4.62</v>
      </c>
      <c r="B705" s="213">
        <f>If(DPS_Weapon_Type="远程",($E705+1)/60+(ROUNDDOWN($F705*60+1,0)/60)*2,(ROUNDDOWN(($E705+1)+ROUNDDOWN($F705*60+1,0)+ROUNDDOWN($G705/2*60+1,0)+ROUNDDOWN($H705*60+1,0)+1,0))/60+If(DPS_ATK_TYPE="挥砍",1/60)+If(DPS_ATK_TYPE="挥砍/刺击",1/120))+DPS_Weapon_Randomization/60</f>
        <v>0.105</v>
      </c>
      <c r="C705" s="104" t="str">
        <f>IF(DPS_Graph_True_Speed=TRUE,IF($A705&lt;=DPS_Graph_Max,IF($A705&gt;=DPS_Graph_Speed_Min,1/B705,),),)</f>
        <v/>
      </c>
      <c r="D705" s="115" t="str">
        <f>IF(DPS_Graph_True_Speed=TRUE,IF($E$8=$A705,DPS_Attacks_P_Sec,),)</f>
        <v/>
      </c>
      <c r="E705" s="222">
        <f>ROUNDDOWN(MAX(2,IF(A705&gt;=0, DPS_Base_Wpn_Spd/(1+A705),DPS_Base_Wpn_Spd*(1+ABS(A705)))),0)</f>
        <v>2</v>
      </c>
      <c r="F705" s="232">
        <f>IF(A705&gt;=0, DPS_Base_Recoil/(1+A705),DPS_Base_Recoil)</f>
        <v>0.008896797153</v>
      </c>
      <c r="G705" s="377">
        <f t="shared" si="7"/>
        <v>0.51</v>
      </c>
      <c r="H705" s="377">
        <f t="shared" si="8"/>
        <v>0.0134589502</v>
      </c>
      <c r="I705" s="104"/>
      <c r="J705" s="377">
        <f>MAX(0, Max(25,(DPS_Base_Range + ((DPS_Range_Stat) / 2))) / MIN(MAX(70, (70 * (1 + ($A705 / 3)))), 120))</f>
        <v>3.333333333</v>
      </c>
      <c r="K705" s="115" t="str">
        <f>IF(A705&lt;=DPS_Graph_Max,IF(A705&gt;=DPS_Graph_Speed_Min,A705,),)</f>
        <v/>
      </c>
      <c r="M705" s="213">
        <f>If(DPS_Weapon_Type="远程",$E705/60+$F705*2,$E705/60+$F705+$G705/2+$H705)</f>
        <v>0.05112692764</v>
      </c>
      <c r="N705" s="104" t="str">
        <f>IF(DPS_Graph_Tooltip_Speed=TRUE,IF($A705&lt;=DPS_Graph_Max,IF($A705&gt;=DPS_Graph_Speed_Min,1/M705,),),)</f>
        <v/>
      </c>
      <c r="R705" s="104" t="str">
        <f>IF(DPS_Graph_Tooltip_Speed=TRUE,IF($E$8=$A705,1/$N$6,),)</f>
        <v/>
      </c>
    </row>
    <row r="706">
      <c r="A706" s="370">
        <v>4.63</v>
      </c>
      <c r="B706" s="213">
        <f>If(DPS_Weapon_Type="远程",($E706+1)/60+(ROUNDDOWN($F706*60+1,0)/60)*2,(ROUNDDOWN(($E706+1)+ROUNDDOWN($F706*60+1,0)+ROUNDDOWN($G706/2*60+1,0)+ROUNDDOWN($H706*60+1,0)+1,0))/60+If(DPS_ATK_TYPE="挥砍",1/60)+If(DPS_ATK_TYPE="挥砍/刺击",1/120))+DPS_Weapon_Randomization/60</f>
        <v>0.105</v>
      </c>
      <c r="C706" s="104" t="str">
        <f>IF(DPS_Graph_True_Speed=TRUE,IF($A706&lt;=DPS_Graph_Max,IF($A706&gt;=DPS_Graph_Speed_Min,1/B706,),),)</f>
        <v/>
      </c>
      <c r="D706" s="115" t="str">
        <f>IF(DPS_Graph_True_Speed=TRUE,IF($E$8=$A706,DPS_Attacks_P_Sec,),)</f>
        <v/>
      </c>
      <c r="E706" s="222">
        <f>ROUNDDOWN(MAX(2,IF(A706&gt;=0, DPS_Base_Wpn_Spd/(1+A706),DPS_Base_Wpn_Spd*(1+ABS(A706)))),0)</f>
        <v>2</v>
      </c>
      <c r="F706" s="232">
        <f>IF(A706&gt;=0, DPS_Base_Recoil/(1+A706),DPS_Base_Recoil)</f>
        <v>0.008880994671</v>
      </c>
      <c r="G706" s="377">
        <f t="shared" si="7"/>
        <v>0.51</v>
      </c>
      <c r="H706" s="377">
        <f t="shared" si="8"/>
        <v>0.01343183345</v>
      </c>
      <c r="I706" s="104"/>
      <c r="J706" s="377">
        <f>MAX(0, Max(25,(DPS_Base_Range + ((DPS_Range_Stat) / 2))) / MIN(MAX(70, (70 * (1 + ($A706 / 3)))), 120))</f>
        <v>3.333333333</v>
      </c>
      <c r="K706" s="115" t="str">
        <f>IF(A706&lt;=DPS_Graph_Max,IF(A706&gt;=DPS_Graph_Speed_Min,A706,),)</f>
        <v/>
      </c>
      <c r="M706" s="213">
        <f>If(DPS_Weapon_Type="远程",$E706/60+$F706*2,$E706/60+$F706+$G706/2+$H706)</f>
        <v>0.05109532268</v>
      </c>
      <c r="N706" s="104" t="str">
        <f>IF(DPS_Graph_Tooltip_Speed=TRUE,IF($A706&lt;=DPS_Graph_Max,IF($A706&gt;=DPS_Graph_Speed_Min,1/M706,),),)</f>
        <v/>
      </c>
      <c r="R706" s="104" t="str">
        <f>IF(DPS_Graph_Tooltip_Speed=TRUE,IF($E$8=$A706,1/$N$6,),)</f>
        <v/>
      </c>
    </row>
    <row r="707">
      <c r="A707" s="370">
        <v>4.64</v>
      </c>
      <c r="B707" s="213">
        <f>If(DPS_Weapon_Type="远程",($E707+1)/60+(ROUNDDOWN($F707*60+1,0)/60)*2,(ROUNDDOWN(($E707+1)+ROUNDDOWN($F707*60+1,0)+ROUNDDOWN($G707/2*60+1,0)+ROUNDDOWN($H707*60+1,0)+1,0))/60+If(DPS_ATK_TYPE="挥砍",1/60)+If(DPS_ATK_TYPE="挥砍/刺击",1/120))+DPS_Weapon_Randomization/60</f>
        <v>0.105</v>
      </c>
      <c r="C707" s="104" t="str">
        <f>IF(DPS_Graph_True_Speed=TRUE,IF($A707&lt;=DPS_Graph_Max,IF($A707&gt;=DPS_Graph_Speed_Min,1/B707,),),)</f>
        <v/>
      </c>
      <c r="D707" s="115" t="str">
        <f>IF(DPS_Graph_True_Speed=TRUE,IF($E$8=$A707,DPS_Attacks_P_Sec,),)</f>
        <v/>
      </c>
      <c r="E707" s="222">
        <f>ROUNDDOWN(MAX(2,IF(A707&gt;=0, DPS_Base_Wpn_Spd/(1+A707),DPS_Base_Wpn_Spd*(1+ABS(A707)))),0)</f>
        <v>2</v>
      </c>
      <c r="F707" s="232">
        <f>IF(A707&gt;=0, DPS_Base_Recoil/(1+A707),DPS_Base_Recoil)</f>
        <v>0.008865248227</v>
      </c>
      <c r="G707" s="377">
        <f t="shared" si="7"/>
        <v>0.51</v>
      </c>
      <c r="H707" s="377">
        <f t="shared" si="8"/>
        <v>0.01340482574</v>
      </c>
      <c r="I707" s="104"/>
      <c r="J707" s="377">
        <f>MAX(0, Max(25,(DPS_Base_Range + ((DPS_Range_Stat) / 2))) / MIN(MAX(70, (70 * (1 + ($A707 / 3)))), 120))</f>
        <v>3.333333333</v>
      </c>
      <c r="K707" s="115" t="str">
        <f>IF(A707&lt;=DPS_Graph_Max,IF(A707&gt;=DPS_Graph_Speed_Min,A707,),)</f>
        <v/>
      </c>
      <c r="M707" s="213">
        <f>If(DPS_Weapon_Type="远程",$E707/60+$F707*2,$E707/60+$F707+$G707/2+$H707)</f>
        <v>0.05106382979</v>
      </c>
      <c r="N707" s="104" t="str">
        <f>IF(DPS_Graph_Tooltip_Speed=TRUE,IF($A707&lt;=DPS_Graph_Max,IF($A707&gt;=DPS_Graph_Speed_Min,1/M707,),),)</f>
        <v/>
      </c>
      <c r="R707" s="104" t="str">
        <f>IF(DPS_Graph_Tooltip_Speed=TRUE,IF($E$8=$A707,1/$N$6,),)</f>
        <v/>
      </c>
    </row>
    <row r="708">
      <c r="A708" s="370">
        <v>4.65</v>
      </c>
      <c r="B708" s="213">
        <f>If(DPS_Weapon_Type="远程",($E708+1)/60+(ROUNDDOWN($F708*60+1,0)/60)*2,(ROUNDDOWN(($E708+1)+ROUNDDOWN($F708*60+1,0)+ROUNDDOWN($G708/2*60+1,0)+ROUNDDOWN($H708*60+1,0)+1,0))/60+If(DPS_ATK_TYPE="挥砍",1/60)+If(DPS_ATK_TYPE="挥砍/刺击",1/120))+DPS_Weapon_Randomization/60</f>
        <v>0.105</v>
      </c>
      <c r="C708" s="104" t="str">
        <f>IF(DPS_Graph_True_Speed=TRUE,IF($A708&lt;=DPS_Graph_Max,IF($A708&gt;=DPS_Graph_Speed_Min,1/B708,),),)</f>
        <v/>
      </c>
      <c r="D708" s="115" t="str">
        <f>IF(DPS_Graph_True_Speed=TRUE,IF($E$8=$A708,DPS_Attacks_P_Sec,),)</f>
        <v/>
      </c>
      <c r="E708" s="222">
        <f>ROUNDDOWN(MAX(2,IF(A708&gt;=0, DPS_Base_Wpn_Spd/(1+A708),DPS_Base_Wpn_Spd*(1+ABS(A708)))),0)</f>
        <v>2</v>
      </c>
      <c r="F708" s="232">
        <f>IF(A708&gt;=0, DPS_Base_Recoil/(1+A708),DPS_Base_Recoil)</f>
        <v>0.008849557522</v>
      </c>
      <c r="G708" s="377">
        <f t="shared" si="7"/>
        <v>0.51</v>
      </c>
      <c r="H708" s="377">
        <f t="shared" si="8"/>
        <v>0.01337792642</v>
      </c>
      <c r="I708" s="104"/>
      <c r="J708" s="377">
        <f>MAX(0, Max(25,(DPS_Base_Range + ((DPS_Range_Stat) / 2))) / MIN(MAX(70, (70 * (1 + ($A708 / 3)))), 120))</f>
        <v>3.333333333</v>
      </c>
      <c r="K708" s="115" t="str">
        <f>IF(A708&lt;=DPS_Graph_Max,IF(A708&gt;=DPS_Graph_Speed_Min,A708,),)</f>
        <v/>
      </c>
      <c r="M708" s="213">
        <f>If(DPS_Weapon_Type="远程",$E708/60+$F708*2,$E708/60+$F708+$G708/2+$H708)</f>
        <v>0.05103244838</v>
      </c>
      <c r="N708" s="104" t="str">
        <f>IF(DPS_Graph_Tooltip_Speed=TRUE,IF($A708&lt;=DPS_Graph_Max,IF($A708&gt;=DPS_Graph_Speed_Min,1/M708,),),)</f>
        <v/>
      </c>
      <c r="R708" s="104" t="str">
        <f>IF(DPS_Graph_Tooltip_Speed=TRUE,IF($E$8=$A708,1/$N$6,),)</f>
        <v/>
      </c>
    </row>
    <row r="709">
      <c r="A709" s="370">
        <v>4.66</v>
      </c>
      <c r="B709" s="213">
        <f>If(DPS_Weapon_Type="远程",($E709+1)/60+(ROUNDDOWN($F709*60+1,0)/60)*2,(ROUNDDOWN(($E709+1)+ROUNDDOWN($F709*60+1,0)+ROUNDDOWN($G709/2*60+1,0)+ROUNDDOWN($H709*60+1,0)+1,0))/60+If(DPS_ATK_TYPE="挥砍",1/60)+If(DPS_ATK_TYPE="挥砍/刺击",1/120))+DPS_Weapon_Randomization/60</f>
        <v>0.105</v>
      </c>
      <c r="C709" s="104" t="str">
        <f>IF(DPS_Graph_True_Speed=TRUE,IF($A709&lt;=DPS_Graph_Max,IF($A709&gt;=DPS_Graph_Speed_Min,1/B709,),),)</f>
        <v/>
      </c>
      <c r="D709" s="115" t="str">
        <f>IF(DPS_Graph_True_Speed=TRUE,IF($E$8=$A709,DPS_Attacks_P_Sec,),)</f>
        <v/>
      </c>
      <c r="E709" s="222">
        <f>ROUNDDOWN(MAX(2,IF(A709&gt;=0, DPS_Base_Wpn_Spd/(1+A709),DPS_Base_Wpn_Spd*(1+ABS(A709)))),0)</f>
        <v>2</v>
      </c>
      <c r="F709" s="232">
        <f>IF(A709&gt;=0, DPS_Base_Recoil/(1+A709),DPS_Base_Recoil)</f>
        <v>0.008833922261</v>
      </c>
      <c r="G709" s="377">
        <f t="shared" si="7"/>
        <v>0.51</v>
      </c>
      <c r="H709" s="377">
        <f t="shared" si="8"/>
        <v>0.01335113485</v>
      </c>
      <c r="I709" s="104"/>
      <c r="J709" s="377">
        <f>MAX(0, Max(25,(DPS_Base_Range + ((DPS_Range_Stat) / 2))) / MIN(MAX(70, (70 * (1 + ($A709 / 3)))), 120))</f>
        <v>3.333333333</v>
      </c>
      <c r="K709" s="115" t="str">
        <f>IF(A709&lt;=DPS_Graph_Max,IF(A709&gt;=DPS_Graph_Speed_Min,A709,),)</f>
        <v/>
      </c>
      <c r="M709" s="213">
        <f>If(DPS_Weapon_Type="远程",$E709/60+$F709*2,$E709/60+$F709+$G709/2+$H709)</f>
        <v>0.05100117786</v>
      </c>
      <c r="N709" s="104" t="str">
        <f>IF(DPS_Graph_Tooltip_Speed=TRUE,IF($A709&lt;=DPS_Graph_Max,IF($A709&gt;=DPS_Graph_Speed_Min,1/M709,),),)</f>
        <v/>
      </c>
      <c r="R709" s="104" t="str">
        <f>IF(DPS_Graph_Tooltip_Speed=TRUE,IF($E$8=$A709,1/$N$6,),)</f>
        <v/>
      </c>
    </row>
    <row r="710">
      <c r="A710" s="370">
        <v>4.67</v>
      </c>
      <c r="B710" s="213">
        <f>If(DPS_Weapon_Type="远程",($E710+1)/60+(ROUNDDOWN($F710*60+1,0)/60)*2,(ROUNDDOWN(($E710+1)+ROUNDDOWN($F710*60+1,0)+ROUNDDOWN($G710/2*60+1,0)+ROUNDDOWN($H710*60+1,0)+1,0))/60+If(DPS_ATK_TYPE="挥砍",1/60)+If(DPS_ATK_TYPE="挥砍/刺击",1/120))+DPS_Weapon_Randomization/60</f>
        <v>0.105</v>
      </c>
      <c r="C710" s="104" t="str">
        <f>IF(DPS_Graph_True_Speed=TRUE,IF($A710&lt;=DPS_Graph_Max,IF($A710&gt;=DPS_Graph_Speed_Min,1/B710,),),)</f>
        <v/>
      </c>
      <c r="D710" s="115" t="str">
        <f>IF(DPS_Graph_True_Speed=TRUE,IF($E$8=$A710,DPS_Attacks_P_Sec,),)</f>
        <v/>
      </c>
      <c r="E710" s="222">
        <f>ROUNDDOWN(MAX(2,IF(A710&gt;=0, DPS_Base_Wpn_Spd/(1+A710),DPS_Base_Wpn_Spd*(1+ABS(A710)))),0)</f>
        <v>2</v>
      </c>
      <c r="F710" s="232">
        <f>IF(A710&gt;=0, DPS_Base_Recoil/(1+A710),DPS_Base_Recoil)</f>
        <v>0.008818342152</v>
      </c>
      <c r="G710" s="377">
        <f t="shared" si="7"/>
        <v>0.51</v>
      </c>
      <c r="H710" s="377">
        <f t="shared" si="8"/>
        <v>0.01332445037</v>
      </c>
      <c r="I710" s="104"/>
      <c r="J710" s="377">
        <f>MAX(0, Max(25,(DPS_Base_Range + ((DPS_Range_Stat) / 2))) / MIN(MAX(70, (70 * (1 + ($A710 / 3)))), 120))</f>
        <v>3.333333333</v>
      </c>
      <c r="K710" s="115" t="str">
        <f>IF(A710&lt;=DPS_Graph_Max,IF(A710&gt;=DPS_Graph_Speed_Min,A710,),)</f>
        <v/>
      </c>
      <c r="M710" s="213">
        <f>If(DPS_Weapon_Type="远程",$E710/60+$F710*2,$E710/60+$F710+$G710/2+$H710)</f>
        <v>0.05097001764</v>
      </c>
      <c r="N710" s="104" t="str">
        <f>IF(DPS_Graph_Tooltip_Speed=TRUE,IF($A710&lt;=DPS_Graph_Max,IF($A710&gt;=DPS_Graph_Speed_Min,1/M710,),),)</f>
        <v/>
      </c>
      <c r="R710" s="104" t="str">
        <f>IF(DPS_Graph_Tooltip_Speed=TRUE,IF($E$8=$A710,1/$N$6,),)</f>
        <v/>
      </c>
    </row>
    <row r="711">
      <c r="A711" s="370">
        <v>4.68</v>
      </c>
      <c r="B711" s="213">
        <f>If(DPS_Weapon_Type="远程",($E711+1)/60+(ROUNDDOWN($F711*60+1,0)/60)*2,(ROUNDDOWN(($E711+1)+ROUNDDOWN($F711*60+1,0)+ROUNDDOWN($G711/2*60+1,0)+ROUNDDOWN($H711*60+1,0)+1,0))/60+If(DPS_ATK_TYPE="挥砍",1/60)+If(DPS_ATK_TYPE="挥砍/刺击",1/120))+DPS_Weapon_Randomization/60</f>
        <v>0.105</v>
      </c>
      <c r="C711" s="104" t="str">
        <f>IF(DPS_Graph_True_Speed=TRUE,IF($A711&lt;=DPS_Graph_Max,IF($A711&gt;=DPS_Graph_Speed_Min,1/B711,),),)</f>
        <v/>
      </c>
      <c r="D711" s="115" t="str">
        <f>IF(DPS_Graph_True_Speed=TRUE,IF($E$8=$A711,DPS_Attacks_P_Sec,),)</f>
        <v/>
      </c>
      <c r="E711" s="222">
        <f>ROUNDDOWN(MAX(2,IF(A711&gt;=0, DPS_Base_Wpn_Spd/(1+A711),DPS_Base_Wpn_Spd*(1+ABS(A711)))),0)</f>
        <v>2</v>
      </c>
      <c r="F711" s="232">
        <f>IF(A711&gt;=0, DPS_Base_Recoil/(1+A711),DPS_Base_Recoil)</f>
        <v>0.008802816901</v>
      </c>
      <c r="G711" s="377">
        <f t="shared" si="7"/>
        <v>0.51</v>
      </c>
      <c r="H711" s="377">
        <f t="shared" si="8"/>
        <v>0.01329787234</v>
      </c>
      <c r="I711" s="104"/>
      <c r="J711" s="377">
        <f>MAX(0, Max(25,(DPS_Base_Range + ((DPS_Range_Stat) / 2))) / MIN(MAX(70, (70 * (1 + ($A711 / 3)))), 120))</f>
        <v>3.333333333</v>
      </c>
      <c r="K711" s="115" t="str">
        <f>IF(A711&lt;=DPS_Graph_Max,IF(A711&gt;=DPS_Graph_Speed_Min,A711,),)</f>
        <v/>
      </c>
      <c r="M711" s="213">
        <f>If(DPS_Weapon_Type="远程",$E711/60+$F711*2,$E711/60+$F711+$G711/2+$H711)</f>
        <v>0.05093896714</v>
      </c>
      <c r="N711" s="104" t="str">
        <f>IF(DPS_Graph_Tooltip_Speed=TRUE,IF($A711&lt;=DPS_Graph_Max,IF($A711&gt;=DPS_Graph_Speed_Min,1/M711,),),)</f>
        <v/>
      </c>
      <c r="R711" s="104" t="str">
        <f>IF(DPS_Graph_Tooltip_Speed=TRUE,IF($E$8=$A711,1/$N$6,),)</f>
        <v/>
      </c>
    </row>
    <row r="712">
      <c r="A712" s="370">
        <v>4.69</v>
      </c>
      <c r="B712" s="213">
        <f>If(DPS_Weapon_Type="远程",($E712+1)/60+(ROUNDDOWN($F712*60+1,0)/60)*2,(ROUNDDOWN(($E712+1)+ROUNDDOWN($F712*60+1,0)+ROUNDDOWN($G712/2*60+1,0)+ROUNDDOWN($H712*60+1,0)+1,0))/60+If(DPS_ATK_TYPE="挥砍",1/60)+If(DPS_ATK_TYPE="挥砍/刺击",1/120))+DPS_Weapon_Randomization/60</f>
        <v>0.105</v>
      </c>
      <c r="C712" s="104" t="str">
        <f>IF(DPS_Graph_True_Speed=TRUE,IF($A712&lt;=DPS_Graph_Max,IF($A712&gt;=DPS_Graph_Speed_Min,1/B712,),),)</f>
        <v/>
      </c>
      <c r="D712" s="115" t="str">
        <f>IF(DPS_Graph_True_Speed=TRUE,IF($E$8=$A712,DPS_Attacks_P_Sec,),)</f>
        <v/>
      </c>
      <c r="E712" s="222">
        <f>ROUNDDOWN(MAX(2,IF(A712&gt;=0, DPS_Base_Wpn_Spd/(1+A712),DPS_Base_Wpn_Spd*(1+ABS(A712)))),0)</f>
        <v>2</v>
      </c>
      <c r="F712" s="232">
        <f>IF(A712&gt;=0, DPS_Base_Recoil/(1+A712),DPS_Base_Recoil)</f>
        <v>0.008787346221</v>
      </c>
      <c r="G712" s="377">
        <f t="shared" si="7"/>
        <v>0.51</v>
      </c>
      <c r="H712" s="377">
        <f t="shared" si="8"/>
        <v>0.01327140013</v>
      </c>
      <c r="I712" s="104"/>
      <c r="J712" s="377">
        <f>MAX(0, Max(25,(DPS_Base_Range + ((DPS_Range_Stat) / 2))) / MIN(MAX(70, (70 * (1 + ($A712 / 3)))), 120))</f>
        <v>3.333333333</v>
      </c>
      <c r="K712" s="115" t="str">
        <f>IF(A712&lt;=DPS_Graph_Max,IF(A712&gt;=DPS_Graph_Speed_Min,A712,),)</f>
        <v/>
      </c>
      <c r="M712" s="213">
        <f>If(DPS_Weapon_Type="远程",$E712/60+$F712*2,$E712/60+$F712+$G712/2+$H712)</f>
        <v>0.05090802578</v>
      </c>
      <c r="N712" s="104" t="str">
        <f>IF(DPS_Graph_Tooltip_Speed=TRUE,IF($A712&lt;=DPS_Graph_Max,IF($A712&gt;=DPS_Graph_Speed_Min,1/M712,),),)</f>
        <v/>
      </c>
      <c r="R712" s="104" t="str">
        <f>IF(DPS_Graph_Tooltip_Speed=TRUE,IF($E$8=$A712,1/$N$6,),)</f>
        <v/>
      </c>
    </row>
    <row r="713">
      <c r="A713" s="370">
        <v>4.7</v>
      </c>
      <c r="B713" s="213">
        <f>If(DPS_Weapon_Type="远程",($E713+1)/60+(ROUNDDOWN($F713*60+1,0)/60)*2,(ROUNDDOWN(($E713+1)+ROUNDDOWN($F713*60+1,0)+ROUNDDOWN($G713/2*60+1,0)+ROUNDDOWN($H713*60+1,0)+1,0))/60+If(DPS_ATK_TYPE="挥砍",1/60)+If(DPS_ATK_TYPE="挥砍/刺击",1/120))+DPS_Weapon_Randomization/60</f>
        <v>0.105</v>
      </c>
      <c r="C713" s="104" t="str">
        <f>IF(DPS_Graph_True_Speed=TRUE,IF($A713&lt;=DPS_Graph_Max,IF($A713&gt;=DPS_Graph_Speed_Min,1/B713,),),)</f>
        <v/>
      </c>
      <c r="D713" s="115" t="str">
        <f>IF(DPS_Graph_True_Speed=TRUE,IF($E$8=$A713,DPS_Attacks_P_Sec,),)</f>
        <v/>
      </c>
      <c r="E713" s="222">
        <f>ROUNDDOWN(MAX(2,IF(A713&gt;=0, DPS_Base_Wpn_Spd/(1+A713),DPS_Base_Wpn_Spd*(1+ABS(A713)))),0)</f>
        <v>2</v>
      </c>
      <c r="F713" s="232">
        <f>IF(A713&gt;=0, DPS_Base_Recoil/(1+A713),DPS_Base_Recoil)</f>
        <v>0.008771929825</v>
      </c>
      <c r="G713" s="377">
        <f t="shared" si="7"/>
        <v>0.51</v>
      </c>
      <c r="H713" s="377">
        <f t="shared" si="8"/>
        <v>0.01324503311</v>
      </c>
      <c r="I713" s="104"/>
      <c r="J713" s="377">
        <f>MAX(0, Max(25,(DPS_Base_Range + ((DPS_Range_Stat) / 2))) / MIN(MAX(70, (70 * (1 + ($A713 / 3)))), 120))</f>
        <v>3.333333333</v>
      </c>
      <c r="K713" s="115" t="str">
        <f>IF(A713&lt;=DPS_Graph_Max,IF(A713&gt;=DPS_Graph_Speed_Min,A713,),)</f>
        <v/>
      </c>
      <c r="M713" s="213">
        <f>If(DPS_Weapon_Type="远程",$E713/60+$F713*2,$E713/60+$F713+$G713/2+$H713)</f>
        <v>0.05087719298</v>
      </c>
      <c r="N713" s="104" t="str">
        <f>IF(DPS_Graph_Tooltip_Speed=TRUE,IF($A713&lt;=DPS_Graph_Max,IF($A713&gt;=DPS_Graph_Speed_Min,1/M713,),),)</f>
        <v/>
      </c>
      <c r="R713" s="104" t="str">
        <f>IF(DPS_Graph_Tooltip_Speed=TRUE,IF($E$8=$A713,1/$N$6,),)</f>
        <v/>
      </c>
    </row>
    <row r="714">
      <c r="A714" s="370">
        <v>4.71</v>
      </c>
      <c r="B714" s="213">
        <f>If(DPS_Weapon_Type="远程",($E714+1)/60+(ROUNDDOWN($F714*60+1,0)/60)*2,(ROUNDDOWN(($E714+1)+ROUNDDOWN($F714*60+1,0)+ROUNDDOWN($G714/2*60+1,0)+ROUNDDOWN($H714*60+1,0)+1,0))/60+If(DPS_ATK_TYPE="挥砍",1/60)+If(DPS_ATK_TYPE="挥砍/刺击",1/120))+DPS_Weapon_Randomization/60</f>
        <v>0.105</v>
      </c>
      <c r="C714" s="104" t="str">
        <f>IF(DPS_Graph_True_Speed=TRUE,IF($A714&lt;=DPS_Graph_Max,IF($A714&gt;=DPS_Graph_Speed_Min,1/B714,),),)</f>
        <v/>
      </c>
      <c r="D714" s="115" t="str">
        <f>IF(DPS_Graph_True_Speed=TRUE,IF($E$8=$A714,DPS_Attacks_P_Sec,),)</f>
        <v/>
      </c>
      <c r="E714" s="222">
        <f>ROUNDDOWN(MAX(2,IF(A714&gt;=0, DPS_Base_Wpn_Spd/(1+A714),DPS_Base_Wpn_Spd*(1+ABS(A714)))),0)</f>
        <v>2</v>
      </c>
      <c r="F714" s="232">
        <f>IF(A714&gt;=0, DPS_Base_Recoil/(1+A714),DPS_Base_Recoil)</f>
        <v>0.008756567426</v>
      </c>
      <c r="G714" s="377">
        <f t="shared" si="7"/>
        <v>0.51</v>
      </c>
      <c r="H714" s="377">
        <f t="shared" si="8"/>
        <v>0.01321877065</v>
      </c>
      <c r="I714" s="104"/>
      <c r="J714" s="377">
        <f>MAX(0, Max(25,(DPS_Base_Range + ((DPS_Range_Stat) / 2))) / MIN(MAX(70, (70 * (1 + ($A714 / 3)))), 120))</f>
        <v>3.333333333</v>
      </c>
      <c r="K714" s="115" t="str">
        <f>IF(A714&lt;=DPS_Graph_Max,IF(A714&gt;=DPS_Graph_Speed_Min,A714,),)</f>
        <v/>
      </c>
      <c r="M714" s="213">
        <f>If(DPS_Weapon_Type="远程",$E714/60+$F714*2,$E714/60+$F714+$G714/2+$H714)</f>
        <v>0.05084646818</v>
      </c>
      <c r="N714" s="104" t="str">
        <f>IF(DPS_Graph_Tooltip_Speed=TRUE,IF($A714&lt;=DPS_Graph_Max,IF($A714&gt;=DPS_Graph_Speed_Min,1/M714,),),)</f>
        <v/>
      </c>
      <c r="R714" s="104" t="str">
        <f>IF(DPS_Graph_Tooltip_Speed=TRUE,IF($E$8=$A714,1/$N$6,),)</f>
        <v/>
      </c>
    </row>
    <row r="715">
      <c r="A715" s="370">
        <v>4.72</v>
      </c>
      <c r="B715" s="213">
        <f>If(DPS_Weapon_Type="远程",($E715+1)/60+(ROUNDDOWN($F715*60+1,0)/60)*2,(ROUNDDOWN(($E715+1)+ROUNDDOWN($F715*60+1,0)+ROUNDDOWN($G715/2*60+1,0)+ROUNDDOWN($H715*60+1,0)+1,0))/60+If(DPS_ATK_TYPE="挥砍",1/60)+If(DPS_ATK_TYPE="挥砍/刺击",1/120))+DPS_Weapon_Randomization/60</f>
        <v>0.105</v>
      </c>
      <c r="C715" s="104" t="str">
        <f>IF(DPS_Graph_True_Speed=TRUE,IF($A715&lt;=DPS_Graph_Max,IF($A715&gt;=DPS_Graph_Speed_Min,1/B715,),),)</f>
        <v/>
      </c>
      <c r="D715" s="115" t="str">
        <f>IF(DPS_Graph_True_Speed=TRUE,IF($E$8=$A715,DPS_Attacks_P_Sec,),)</f>
        <v/>
      </c>
      <c r="E715" s="222">
        <f>ROUNDDOWN(MAX(2,IF(A715&gt;=0, DPS_Base_Wpn_Spd/(1+A715),DPS_Base_Wpn_Spd*(1+ABS(A715)))),0)</f>
        <v>2</v>
      </c>
      <c r="F715" s="232">
        <f>IF(A715&gt;=0, DPS_Base_Recoil/(1+A715),DPS_Base_Recoil)</f>
        <v>0.008741258741</v>
      </c>
      <c r="G715" s="377">
        <f t="shared" si="7"/>
        <v>0.51</v>
      </c>
      <c r="H715" s="377">
        <f t="shared" si="8"/>
        <v>0.01319261214</v>
      </c>
      <c r="I715" s="104"/>
      <c r="J715" s="377">
        <f>MAX(0, Max(25,(DPS_Base_Range + ((DPS_Range_Stat) / 2))) / MIN(MAX(70, (70 * (1 + ($A715 / 3)))), 120))</f>
        <v>3.333333333</v>
      </c>
      <c r="K715" s="115" t="str">
        <f>IF(A715&lt;=DPS_Graph_Max,IF(A715&gt;=DPS_Graph_Speed_Min,A715,),)</f>
        <v/>
      </c>
      <c r="M715" s="213">
        <f>If(DPS_Weapon_Type="远程",$E715/60+$F715*2,$E715/60+$F715+$G715/2+$H715)</f>
        <v>0.05081585082</v>
      </c>
      <c r="N715" s="104" t="str">
        <f>IF(DPS_Graph_Tooltip_Speed=TRUE,IF($A715&lt;=DPS_Graph_Max,IF($A715&gt;=DPS_Graph_Speed_Min,1/M715,),),)</f>
        <v/>
      </c>
      <c r="R715" s="104" t="str">
        <f>IF(DPS_Graph_Tooltip_Speed=TRUE,IF($E$8=$A715,1/$N$6,),)</f>
        <v/>
      </c>
    </row>
    <row r="716">
      <c r="A716" s="370">
        <v>4.73</v>
      </c>
      <c r="B716" s="213">
        <f>If(DPS_Weapon_Type="远程",($E716+1)/60+(ROUNDDOWN($F716*60+1,0)/60)*2,(ROUNDDOWN(($E716+1)+ROUNDDOWN($F716*60+1,0)+ROUNDDOWN($G716/2*60+1,0)+ROUNDDOWN($H716*60+1,0)+1,0))/60+If(DPS_ATK_TYPE="挥砍",1/60)+If(DPS_ATK_TYPE="挥砍/刺击",1/120))+DPS_Weapon_Randomization/60</f>
        <v>0.105</v>
      </c>
      <c r="C716" s="104" t="str">
        <f>IF(DPS_Graph_True_Speed=TRUE,IF($A716&lt;=DPS_Graph_Max,IF($A716&gt;=DPS_Graph_Speed_Min,1/B716,),),)</f>
        <v/>
      </c>
      <c r="D716" s="115" t="str">
        <f>IF(DPS_Graph_True_Speed=TRUE,IF($E$8=$A716,DPS_Attacks_P_Sec,),)</f>
        <v/>
      </c>
      <c r="E716" s="222">
        <f>ROUNDDOWN(MAX(2,IF(A716&gt;=0, DPS_Base_Wpn_Spd/(1+A716),DPS_Base_Wpn_Spd*(1+ABS(A716)))),0)</f>
        <v>2</v>
      </c>
      <c r="F716" s="232">
        <f>IF(A716&gt;=0, DPS_Base_Recoil/(1+A716),DPS_Base_Recoil)</f>
        <v>0.00872600349</v>
      </c>
      <c r="G716" s="377">
        <f t="shared" si="7"/>
        <v>0.51</v>
      </c>
      <c r="H716" s="377">
        <f t="shared" si="8"/>
        <v>0.01316655695</v>
      </c>
      <c r="I716" s="104"/>
      <c r="J716" s="377">
        <f>MAX(0, Max(25,(DPS_Base_Range + ((DPS_Range_Stat) / 2))) / MIN(MAX(70, (70 * (1 + ($A716 / 3)))), 120))</f>
        <v>3.333333333</v>
      </c>
      <c r="K716" s="115" t="str">
        <f>IF(A716&lt;=DPS_Graph_Max,IF(A716&gt;=DPS_Graph_Speed_Min,A716,),)</f>
        <v/>
      </c>
      <c r="M716" s="213">
        <f>If(DPS_Weapon_Type="远程",$E716/60+$F716*2,$E716/60+$F716+$G716/2+$H716)</f>
        <v>0.05078534031</v>
      </c>
      <c r="N716" s="104" t="str">
        <f>IF(DPS_Graph_Tooltip_Speed=TRUE,IF($A716&lt;=DPS_Graph_Max,IF($A716&gt;=DPS_Graph_Speed_Min,1/M716,),),)</f>
        <v/>
      </c>
      <c r="R716" s="104" t="str">
        <f>IF(DPS_Graph_Tooltip_Speed=TRUE,IF($E$8=$A716,1/$N$6,),)</f>
        <v/>
      </c>
    </row>
    <row r="717">
      <c r="A717" s="370">
        <v>4.74</v>
      </c>
      <c r="B717" s="213">
        <f>If(DPS_Weapon_Type="远程",($E717+1)/60+(ROUNDDOWN($F717*60+1,0)/60)*2,(ROUNDDOWN(($E717+1)+ROUNDDOWN($F717*60+1,0)+ROUNDDOWN($G717/2*60+1,0)+ROUNDDOWN($H717*60+1,0)+1,0))/60+If(DPS_ATK_TYPE="挥砍",1/60)+If(DPS_ATK_TYPE="挥砍/刺击",1/120))+DPS_Weapon_Randomization/60</f>
        <v>0.105</v>
      </c>
      <c r="C717" s="104" t="str">
        <f>IF(DPS_Graph_True_Speed=TRUE,IF($A717&lt;=DPS_Graph_Max,IF($A717&gt;=DPS_Graph_Speed_Min,1/B717,),),)</f>
        <v/>
      </c>
      <c r="D717" s="115" t="str">
        <f>IF(DPS_Graph_True_Speed=TRUE,IF($E$8=$A717,DPS_Attacks_P_Sec,),)</f>
        <v/>
      </c>
      <c r="E717" s="222">
        <f>ROUNDDOWN(MAX(2,IF(A717&gt;=0, DPS_Base_Wpn_Spd/(1+A717),DPS_Base_Wpn_Spd*(1+ABS(A717)))),0)</f>
        <v>2</v>
      </c>
      <c r="F717" s="232">
        <f>IF(A717&gt;=0, DPS_Base_Recoil/(1+A717),DPS_Base_Recoil)</f>
        <v>0.008710801394</v>
      </c>
      <c r="G717" s="377">
        <f t="shared" si="7"/>
        <v>0.51</v>
      </c>
      <c r="H717" s="377">
        <f t="shared" si="8"/>
        <v>0.01314060447</v>
      </c>
      <c r="I717" s="104"/>
      <c r="J717" s="377">
        <f>MAX(0, Max(25,(DPS_Base_Range + ((DPS_Range_Stat) / 2))) / MIN(MAX(70, (70 * (1 + ($A717 / 3)))), 120))</f>
        <v>3.333333333</v>
      </c>
      <c r="K717" s="115" t="str">
        <f>IF(A717&lt;=DPS_Graph_Max,IF(A717&gt;=DPS_Graph_Speed_Min,A717,),)</f>
        <v/>
      </c>
      <c r="M717" s="213">
        <f>If(DPS_Weapon_Type="远程",$E717/60+$F717*2,$E717/60+$F717+$G717/2+$H717)</f>
        <v>0.05075493612</v>
      </c>
      <c r="N717" s="104" t="str">
        <f>IF(DPS_Graph_Tooltip_Speed=TRUE,IF($A717&lt;=DPS_Graph_Max,IF($A717&gt;=DPS_Graph_Speed_Min,1/M717,),),)</f>
        <v/>
      </c>
      <c r="R717" s="104" t="str">
        <f>IF(DPS_Graph_Tooltip_Speed=TRUE,IF($E$8=$A717,1/$N$6,),)</f>
        <v/>
      </c>
    </row>
    <row r="718">
      <c r="A718" s="370">
        <v>4.75</v>
      </c>
      <c r="B718" s="213">
        <f>If(DPS_Weapon_Type="远程",($E718+1)/60+(ROUNDDOWN($F718*60+1,0)/60)*2,(ROUNDDOWN(($E718+1)+ROUNDDOWN($F718*60+1,0)+ROUNDDOWN($G718/2*60+1,0)+ROUNDDOWN($H718*60+1,0)+1,0))/60+If(DPS_ATK_TYPE="挥砍",1/60)+If(DPS_ATK_TYPE="挥砍/刺击",1/120))+DPS_Weapon_Randomization/60</f>
        <v>0.105</v>
      </c>
      <c r="C718" s="104" t="str">
        <f>IF(DPS_Graph_True_Speed=TRUE,IF($A718&lt;=DPS_Graph_Max,IF($A718&gt;=DPS_Graph_Speed_Min,1/B718,),),)</f>
        <v/>
      </c>
      <c r="D718" s="115" t="str">
        <f>IF(DPS_Graph_True_Speed=TRUE,IF($E$8=$A718,DPS_Attacks_P_Sec,),)</f>
        <v/>
      </c>
      <c r="E718" s="222">
        <f>ROUNDDOWN(MAX(2,IF(A718&gt;=0, DPS_Base_Wpn_Spd/(1+A718),DPS_Base_Wpn_Spd*(1+ABS(A718)))),0)</f>
        <v>2</v>
      </c>
      <c r="F718" s="232">
        <f>IF(A718&gt;=0, DPS_Base_Recoil/(1+A718),DPS_Base_Recoil)</f>
        <v>0.008695652174</v>
      </c>
      <c r="G718" s="377">
        <f t="shared" si="7"/>
        <v>0.51</v>
      </c>
      <c r="H718" s="377">
        <f t="shared" si="8"/>
        <v>0.0131147541</v>
      </c>
      <c r="I718" s="104"/>
      <c r="J718" s="377">
        <f>MAX(0, Max(25,(DPS_Base_Range + ((DPS_Range_Stat) / 2))) / MIN(MAX(70, (70 * (1 + ($A718 / 3)))), 120))</f>
        <v>3.333333333</v>
      </c>
      <c r="K718" s="115" t="str">
        <f>IF(A718&lt;=DPS_Graph_Max,IF(A718&gt;=DPS_Graph_Speed_Min,A718,),)</f>
        <v/>
      </c>
      <c r="M718" s="213">
        <f>If(DPS_Weapon_Type="远程",$E718/60+$F718*2,$E718/60+$F718+$G718/2+$H718)</f>
        <v>0.05072463768</v>
      </c>
      <c r="N718" s="104" t="str">
        <f>IF(DPS_Graph_Tooltip_Speed=TRUE,IF($A718&lt;=DPS_Graph_Max,IF($A718&gt;=DPS_Graph_Speed_Min,1/M718,),),)</f>
        <v/>
      </c>
      <c r="R718" s="104" t="str">
        <f>IF(DPS_Graph_Tooltip_Speed=TRUE,IF($E$8=$A718,1/$N$6,),)</f>
        <v/>
      </c>
    </row>
    <row r="719">
      <c r="A719" s="370">
        <v>4.76</v>
      </c>
      <c r="B719" s="213">
        <f>If(DPS_Weapon_Type="远程",($E719+1)/60+(ROUNDDOWN($F719*60+1,0)/60)*2,(ROUNDDOWN(($E719+1)+ROUNDDOWN($F719*60+1,0)+ROUNDDOWN($G719/2*60+1,0)+ROUNDDOWN($H719*60+1,0)+1,0))/60+If(DPS_ATK_TYPE="挥砍",1/60)+If(DPS_ATK_TYPE="挥砍/刺击",1/120))+DPS_Weapon_Randomization/60</f>
        <v>0.105</v>
      </c>
      <c r="C719" s="104" t="str">
        <f>IF(DPS_Graph_True_Speed=TRUE,IF($A719&lt;=DPS_Graph_Max,IF($A719&gt;=DPS_Graph_Speed_Min,1/B719,),),)</f>
        <v/>
      </c>
      <c r="D719" s="115" t="str">
        <f>IF(DPS_Graph_True_Speed=TRUE,IF($E$8=$A719,DPS_Attacks_P_Sec,),)</f>
        <v/>
      </c>
      <c r="E719" s="222">
        <f>ROUNDDOWN(MAX(2,IF(A719&gt;=0, DPS_Base_Wpn_Spd/(1+A719),DPS_Base_Wpn_Spd*(1+ABS(A719)))),0)</f>
        <v>2</v>
      </c>
      <c r="F719" s="232">
        <f>IF(A719&gt;=0, DPS_Base_Recoil/(1+A719),DPS_Base_Recoil)</f>
        <v>0.008680555556</v>
      </c>
      <c r="G719" s="377">
        <f t="shared" si="7"/>
        <v>0.51</v>
      </c>
      <c r="H719" s="377">
        <f t="shared" si="8"/>
        <v>0.01308900524</v>
      </c>
      <c r="I719" s="104"/>
      <c r="J719" s="377">
        <f>MAX(0, Max(25,(DPS_Base_Range + ((DPS_Range_Stat) / 2))) / MIN(MAX(70, (70 * (1 + ($A719 / 3)))), 120))</f>
        <v>3.333333333</v>
      </c>
      <c r="K719" s="115" t="str">
        <f>IF(A719&lt;=DPS_Graph_Max,IF(A719&gt;=DPS_Graph_Speed_Min,A719,),)</f>
        <v/>
      </c>
      <c r="M719" s="213">
        <f>If(DPS_Weapon_Type="远程",$E719/60+$F719*2,$E719/60+$F719+$G719/2+$H719)</f>
        <v>0.05069444444</v>
      </c>
      <c r="N719" s="104" t="str">
        <f>IF(DPS_Graph_Tooltip_Speed=TRUE,IF($A719&lt;=DPS_Graph_Max,IF($A719&gt;=DPS_Graph_Speed_Min,1/M719,),),)</f>
        <v/>
      </c>
      <c r="R719" s="104" t="str">
        <f>IF(DPS_Graph_Tooltip_Speed=TRUE,IF($E$8=$A719,1/$N$6,),)</f>
        <v/>
      </c>
    </row>
    <row r="720">
      <c r="A720" s="370">
        <v>4.77</v>
      </c>
      <c r="B720" s="213">
        <f>If(DPS_Weapon_Type="远程",($E720+1)/60+(ROUNDDOWN($F720*60+1,0)/60)*2,(ROUNDDOWN(($E720+1)+ROUNDDOWN($F720*60+1,0)+ROUNDDOWN($G720/2*60+1,0)+ROUNDDOWN($H720*60+1,0)+1,0))/60+If(DPS_ATK_TYPE="挥砍",1/60)+If(DPS_ATK_TYPE="挥砍/刺击",1/120))+DPS_Weapon_Randomization/60</f>
        <v>0.105</v>
      </c>
      <c r="C720" s="104" t="str">
        <f>IF(DPS_Graph_True_Speed=TRUE,IF($A720&lt;=DPS_Graph_Max,IF($A720&gt;=DPS_Graph_Speed_Min,1/B720,),),)</f>
        <v/>
      </c>
      <c r="D720" s="115" t="str">
        <f>IF(DPS_Graph_True_Speed=TRUE,IF($E$8=$A720,DPS_Attacks_P_Sec,),)</f>
        <v/>
      </c>
      <c r="E720" s="222">
        <f>ROUNDDOWN(MAX(2,IF(A720&gt;=0, DPS_Base_Wpn_Spd/(1+A720),DPS_Base_Wpn_Spd*(1+ABS(A720)))),0)</f>
        <v>2</v>
      </c>
      <c r="F720" s="232">
        <f>IF(A720&gt;=0, DPS_Base_Recoil/(1+A720),DPS_Base_Recoil)</f>
        <v>0.008665511265</v>
      </c>
      <c r="G720" s="377">
        <f t="shared" si="7"/>
        <v>0.51</v>
      </c>
      <c r="H720" s="377">
        <f t="shared" si="8"/>
        <v>0.01306335728</v>
      </c>
      <c r="I720" s="104"/>
      <c r="J720" s="377">
        <f>MAX(0, Max(25,(DPS_Base_Range + ((DPS_Range_Stat) / 2))) / MIN(MAX(70, (70 * (1 + ($A720 / 3)))), 120))</f>
        <v>3.333333333</v>
      </c>
      <c r="K720" s="115" t="str">
        <f>IF(A720&lt;=DPS_Graph_Max,IF(A720&gt;=DPS_Graph_Speed_Min,A720,),)</f>
        <v/>
      </c>
      <c r="M720" s="213">
        <f>If(DPS_Weapon_Type="远程",$E720/60+$F720*2,$E720/60+$F720+$G720/2+$H720)</f>
        <v>0.05066435586</v>
      </c>
      <c r="N720" s="104" t="str">
        <f>IF(DPS_Graph_Tooltip_Speed=TRUE,IF($A720&lt;=DPS_Graph_Max,IF($A720&gt;=DPS_Graph_Speed_Min,1/M720,),),)</f>
        <v/>
      </c>
      <c r="R720" s="104" t="str">
        <f>IF(DPS_Graph_Tooltip_Speed=TRUE,IF($E$8=$A720,1/$N$6,),)</f>
        <v/>
      </c>
    </row>
    <row r="721">
      <c r="A721" s="370">
        <v>4.78</v>
      </c>
      <c r="B721" s="213">
        <f>If(DPS_Weapon_Type="远程",($E721+1)/60+(ROUNDDOWN($F721*60+1,0)/60)*2,(ROUNDDOWN(($E721+1)+ROUNDDOWN($F721*60+1,0)+ROUNDDOWN($G721/2*60+1,0)+ROUNDDOWN($H721*60+1,0)+1,0))/60+If(DPS_ATK_TYPE="挥砍",1/60)+If(DPS_ATK_TYPE="挥砍/刺击",1/120))+DPS_Weapon_Randomization/60</f>
        <v>0.105</v>
      </c>
      <c r="C721" s="104" t="str">
        <f>IF(DPS_Graph_True_Speed=TRUE,IF($A721&lt;=DPS_Graph_Max,IF($A721&gt;=DPS_Graph_Speed_Min,1/B721,),),)</f>
        <v/>
      </c>
      <c r="D721" s="115" t="str">
        <f>IF(DPS_Graph_True_Speed=TRUE,IF($E$8=$A721,DPS_Attacks_P_Sec,),)</f>
        <v/>
      </c>
      <c r="E721" s="222">
        <f>ROUNDDOWN(MAX(2,IF(A721&gt;=0, DPS_Base_Wpn_Spd/(1+A721),DPS_Base_Wpn_Spd*(1+ABS(A721)))),0)</f>
        <v>2</v>
      </c>
      <c r="F721" s="232">
        <f>IF(A721&gt;=0, DPS_Base_Recoil/(1+A721),DPS_Base_Recoil)</f>
        <v>0.008650519031</v>
      </c>
      <c r="G721" s="377">
        <f t="shared" si="7"/>
        <v>0.51</v>
      </c>
      <c r="H721" s="377">
        <f t="shared" si="8"/>
        <v>0.01303780965</v>
      </c>
      <c r="I721" s="104"/>
      <c r="J721" s="377">
        <f>MAX(0, Max(25,(DPS_Base_Range + ((DPS_Range_Stat) / 2))) / MIN(MAX(70, (70 * (1 + ($A721 / 3)))), 120))</f>
        <v>3.333333333</v>
      </c>
      <c r="K721" s="115" t="str">
        <f>IF(A721&lt;=DPS_Graph_Max,IF(A721&gt;=DPS_Graph_Speed_Min,A721,),)</f>
        <v/>
      </c>
      <c r="M721" s="213">
        <f>If(DPS_Weapon_Type="远程",$E721/60+$F721*2,$E721/60+$F721+$G721/2+$H721)</f>
        <v>0.0506343714</v>
      </c>
      <c r="N721" s="104" t="str">
        <f>IF(DPS_Graph_Tooltip_Speed=TRUE,IF($A721&lt;=DPS_Graph_Max,IF($A721&gt;=DPS_Graph_Speed_Min,1/M721,),),)</f>
        <v/>
      </c>
      <c r="R721" s="104" t="str">
        <f>IF(DPS_Graph_Tooltip_Speed=TRUE,IF($E$8=$A721,1/$N$6,),)</f>
        <v/>
      </c>
    </row>
    <row r="722">
      <c r="A722" s="370">
        <v>4.79</v>
      </c>
      <c r="B722" s="213">
        <f>If(DPS_Weapon_Type="远程",($E722+1)/60+(ROUNDDOWN($F722*60+1,0)/60)*2,(ROUNDDOWN(($E722+1)+ROUNDDOWN($F722*60+1,0)+ROUNDDOWN($G722/2*60+1,0)+ROUNDDOWN($H722*60+1,0)+1,0))/60+If(DPS_ATK_TYPE="挥砍",1/60)+If(DPS_ATK_TYPE="挥砍/刺击",1/120))+DPS_Weapon_Randomization/60</f>
        <v>0.105</v>
      </c>
      <c r="C722" s="104" t="str">
        <f>IF(DPS_Graph_True_Speed=TRUE,IF($A722&lt;=DPS_Graph_Max,IF($A722&gt;=DPS_Graph_Speed_Min,1/B722,),),)</f>
        <v/>
      </c>
      <c r="D722" s="115" t="str">
        <f>IF(DPS_Graph_True_Speed=TRUE,IF($E$8=$A722,DPS_Attacks_P_Sec,),)</f>
        <v/>
      </c>
      <c r="E722" s="222">
        <f>ROUNDDOWN(MAX(2,IF(A722&gt;=0, DPS_Base_Wpn_Spd/(1+A722),DPS_Base_Wpn_Spd*(1+ABS(A722)))),0)</f>
        <v>2</v>
      </c>
      <c r="F722" s="232">
        <f>IF(A722&gt;=0, DPS_Base_Recoil/(1+A722),DPS_Base_Recoil)</f>
        <v>0.008635578584</v>
      </c>
      <c r="G722" s="377">
        <f t="shared" si="7"/>
        <v>0.51</v>
      </c>
      <c r="H722" s="377">
        <f t="shared" si="8"/>
        <v>0.01301236174</v>
      </c>
      <c r="I722" s="104"/>
      <c r="J722" s="377">
        <f>MAX(0, Max(25,(DPS_Base_Range + ((DPS_Range_Stat) / 2))) / MIN(MAX(70, (70 * (1 + ($A722 / 3)))), 120))</f>
        <v>3.333333333</v>
      </c>
      <c r="K722" s="115" t="str">
        <f>IF(A722&lt;=DPS_Graph_Max,IF(A722&gt;=DPS_Graph_Speed_Min,A722,),)</f>
        <v/>
      </c>
      <c r="M722" s="213">
        <f>If(DPS_Weapon_Type="远程",$E722/60+$F722*2,$E722/60+$F722+$G722/2+$H722)</f>
        <v>0.0506044905</v>
      </c>
      <c r="N722" s="104" t="str">
        <f>IF(DPS_Graph_Tooltip_Speed=TRUE,IF($A722&lt;=DPS_Graph_Max,IF($A722&gt;=DPS_Graph_Speed_Min,1/M722,),),)</f>
        <v/>
      </c>
      <c r="R722" s="104" t="str">
        <f>IF(DPS_Graph_Tooltip_Speed=TRUE,IF($E$8=$A722,1/$N$6,),)</f>
        <v/>
      </c>
    </row>
    <row r="723">
      <c r="A723" s="370">
        <v>4.8</v>
      </c>
      <c r="B723" s="213">
        <f>If(DPS_Weapon_Type="远程",($E723+1)/60+(ROUNDDOWN($F723*60+1,0)/60)*2,(ROUNDDOWN(($E723+1)+ROUNDDOWN($F723*60+1,0)+ROUNDDOWN($G723/2*60+1,0)+ROUNDDOWN($H723*60+1,0)+1,0))/60+If(DPS_ATK_TYPE="挥砍",1/60)+If(DPS_ATK_TYPE="挥砍/刺击",1/120))+DPS_Weapon_Randomization/60</f>
        <v>0.105</v>
      </c>
      <c r="C723" s="104" t="str">
        <f>IF(DPS_Graph_True_Speed=TRUE,IF($A723&lt;=DPS_Graph_Max,IF($A723&gt;=DPS_Graph_Speed_Min,1/B723,),),)</f>
        <v/>
      </c>
      <c r="D723" s="115" t="str">
        <f>IF(DPS_Graph_True_Speed=TRUE,IF($E$8=$A723,DPS_Attacks_P_Sec,),)</f>
        <v/>
      </c>
      <c r="E723" s="222">
        <f>ROUNDDOWN(MAX(2,IF(A723&gt;=0, DPS_Base_Wpn_Spd/(1+A723),DPS_Base_Wpn_Spd*(1+ABS(A723)))),0)</f>
        <v>2</v>
      </c>
      <c r="F723" s="232">
        <f>IF(A723&gt;=0, DPS_Base_Recoil/(1+A723),DPS_Base_Recoil)</f>
        <v>0.008620689655</v>
      </c>
      <c r="G723" s="377">
        <f t="shared" si="7"/>
        <v>0.51</v>
      </c>
      <c r="H723" s="377">
        <f t="shared" si="8"/>
        <v>0.01298701299</v>
      </c>
      <c r="I723" s="104"/>
      <c r="J723" s="377">
        <f>MAX(0, Max(25,(DPS_Base_Range + ((DPS_Range_Stat) / 2))) / MIN(MAX(70, (70 * (1 + ($A723 / 3)))), 120))</f>
        <v>3.333333333</v>
      </c>
      <c r="K723" s="115" t="str">
        <f>IF(A723&lt;=DPS_Graph_Max,IF(A723&gt;=DPS_Graph_Speed_Min,A723,),)</f>
        <v/>
      </c>
      <c r="M723" s="213">
        <f>If(DPS_Weapon_Type="远程",$E723/60+$F723*2,$E723/60+$F723+$G723/2+$H723)</f>
        <v>0.05057471264</v>
      </c>
      <c r="N723" s="104" t="str">
        <f>IF(DPS_Graph_Tooltip_Speed=TRUE,IF($A723&lt;=DPS_Graph_Max,IF($A723&gt;=DPS_Graph_Speed_Min,1/M723,),),)</f>
        <v/>
      </c>
      <c r="R723" s="104" t="str">
        <f>IF(DPS_Graph_Tooltip_Speed=TRUE,IF($E$8=$A723,1/$N$6,),)</f>
        <v/>
      </c>
    </row>
    <row r="724">
      <c r="A724" s="370">
        <v>4.81</v>
      </c>
      <c r="B724" s="213">
        <f>If(DPS_Weapon_Type="远程",($E724+1)/60+(ROUNDDOWN($F724*60+1,0)/60)*2,(ROUNDDOWN(($E724+1)+ROUNDDOWN($F724*60+1,0)+ROUNDDOWN($G724/2*60+1,0)+ROUNDDOWN($H724*60+1,0)+1,0))/60+If(DPS_ATK_TYPE="挥砍",1/60)+If(DPS_ATK_TYPE="挥砍/刺击",1/120))+DPS_Weapon_Randomization/60</f>
        <v>0.105</v>
      </c>
      <c r="C724" s="104" t="str">
        <f>IF(DPS_Graph_True_Speed=TRUE,IF($A724&lt;=DPS_Graph_Max,IF($A724&gt;=DPS_Graph_Speed_Min,1/B724,),),)</f>
        <v/>
      </c>
      <c r="D724" s="115" t="str">
        <f>IF(DPS_Graph_True_Speed=TRUE,IF($E$8=$A724,DPS_Attacks_P_Sec,),)</f>
        <v/>
      </c>
      <c r="E724" s="222">
        <f>ROUNDDOWN(MAX(2,IF(A724&gt;=0, DPS_Base_Wpn_Spd/(1+A724),DPS_Base_Wpn_Spd*(1+ABS(A724)))),0)</f>
        <v>2</v>
      </c>
      <c r="F724" s="232">
        <f>IF(A724&gt;=0, DPS_Base_Recoil/(1+A724),DPS_Base_Recoil)</f>
        <v>0.008605851979</v>
      </c>
      <c r="G724" s="377">
        <f t="shared" si="7"/>
        <v>0.51</v>
      </c>
      <c r="H724" s="377">
        <f t="shared" si="8"/>
        <v>0.0129617628</v>
      </c>
      <c r="I724" s="104"/>
      <c r="J724" s="377">
        <f>MAX(0, Max(25,(DPS_Base_Range + ((DPS_Range_Stat) / 2))) / MIN(MAX(70, (70 * (1 + ($A724 / 3)))), 120))</f>
        <v>3.333333333</v>
      </c>
      <c r="K724" s="115" t="str">
        <f>IF(A724&lt;=DPS_Graph_Max,IF(A724&gt;=DPS_Graph_Speed_Min,A724,),)</f>
        <v/>
      </c>
      <c r="M724" s="213">
        <f>If(DPS_Weapon_Type="远程",$E724/60+$F724*2,$E724/60+$F724+$G724/2+$H724)</f>
        <v>0.05054503729</v>
      </c>
      <c r="N724" s="104" t="str">
        <f>IF(DPS_Graph_Tooltip_Speed=TRUE,IF($A724&lt;=DPS_Graph_Max,IF($A724&gt;=DPS_Graph_Speed_Min,1/M724,),),)</f>
        <v/>
      </c>
      <c r="R724" s="104" t="str">
        <f>IF(DPS_Graph_Tooltip_Speed=TRUE,IF($E$8=$A724,1/$N$6,),)</f>
        <v/>
      </c>
    </row>
    <row r="725">
      <c r="A725" s="370">
        <v>4.82</v>
      </c>
      <c r="B725" s="213">
        <f>If(DPS_Weapon_Type="远程",($E725+1)/60+(ROUNDDOWN($F725*60+1,0)/60)*2,(ROUNDDOWN(($E725+1)+ROUNDDOWN($F725*60+1,0)+ROUNDDOWN($G725/2*60+1,0)+ROUNDDOWN($H725*60+1,0)+1,0))/60+If(DPS_ATK_TYPE="挥砍",1/60)+If(DPS_ATK_TYPE="挥砍/刺击",1/120))+DPS_Weapon_Randomization/60</f>
        <v>0.105</v>
      </c>
      <c r="C725" s="104" t="str">
        <f>IF(DPS_Graph_True_Speed=TRUE,IF($A725&lt;=DPS_Graph_Max,IF($A725&gt;=DPS_Graph_Speed_Min,1/B725,),),)</f>
        <v/>
      </c>
      <c r="D725" s="115" t="str">
        <f>IF(DPS_Graph_True_Speed=TRUE,IF($E$8=$A725,DPS_Attacks_P_Sec,),)</f>
        <v/>
      </c>
      <c r="E725" s="222">
        <f>ROUNDDOWN(MAX(2,IF(A725&gt;=0, DPS_Base_Wpn_Spd/(1+A725),DPS_Base_Wpn_Spd*(1+ABS(A725)))),0)</f>
        <v>2</v>
      </c>
      <c r="F725" s="232">
        <f>IF(A725&gt;=0, DPS_Base_Recoil/(1+A725),DPS_Base_Recoil)</f>
        <v>0.008591065292</v>
      </c>
      <c r="G725" s="377">
        <f t="shared" si="7"/>
        <v>0.51</v>
      </c>
      <c r="H725" s="377">
        <f t="shared" si="8"/>
        <v>0.01293661061</v>
      </c>
      <c r="I725" s="104"/>
      <c r="J725" s="377">
        <f>MAX(0, Max(25,(DPS_Base_Range + ((DPS_Range_Stat) / 2))) / MIN(MAX(70, (70 * (1 + ($A725 / 3)))), 120))</f>
        <v>3.333333333</v>
      </c>
      <c r="K725" s="115" t="str">
        <f>IF(A725&lt;=DPS_Graph_Max,IF(A725&gt;=DPS_Graph_Speed_Min,A725,),)</f>
        <v/>
      </c>
      <c r="M725" s="213">
        <f>If(DPS_Weapon_Type="远程",$E725/60+$F725*2,$E725/60+$F725+$G725/2+$H725)</f>
        <v>0.05051546392</v>
      </c>
      <c r="N725" s="104" t="str">
        <f>IF(DPS_Graph_Tooltip_Speed=TRUE,IF($A725&lt;=DPS_Graph_Max,IF($A725&gt;=DPS_Graph_Speed_Min,1/M725,),),)</f>
        <v/>
      </c>
      <c r="R725" s="104" t="str">
        <f>IF(DPS_Graph_Tooltip_Speed=TRUE,IF($E$8=$A725,1/$N$6,),)</f>
        <v/>
      </c>
    </row>
    <row r="726">
      <c r="A726" s="370">
        <v>4.83</v>
      </c>
      <c r="B726" s="213">
        <f>If(DPS_Weapon_Type="远程",($E726+1)/60+(ROUNDDOWN($F726*60+1,0)/60)*2,(ROUNDDOWN(($E726+1)+ROUNDDOWN($F726*60+1,0)+ROUNDDOWN($G726/2*60+1,0)+ROUNDDOWN($H726*60+1,0)+1,0))/60+If(DPS_ATK_TYPE="挥砍",1/60)+If(DPS_ATK_TYPE="挥砍/刺击",1/120))+DPS_Weapon_Randomization/60</f>
        <v>0.105</v>
      </c>
      <c r="C726" s="104" t="str">
        <f>IF(DPS_Graph_True_Speed=TRUE,IF($A726&lt;=DPS_Graph_Max,IF($A726&gt;=DPS_Graph_Speed_Min,1/B726,),),)</f>
        <v/>
      </c>
      <c r="D726" s="115" t="str">
        <f>IF(DPS_Graph_True_Speed=TRUE,IF($E$8=$A726,DPS_Attacks_P_Sec,),)</f>
        <v/>
      </c>
      <c r="E726" s="222">
        <f>ROUNDDOWN(MAX(2,IF(A726&gt;=0, DPS_Base_Wpn_Spd/(1+A726),DPS_Base_Wpn_Spd*(1+ABS(A726)))),0)</f>
        <v>2</v>
      </c>
      <c r="F726" s="232">
        <f>IF(A726&gt;=0, DPS_Base_Recoil/(1+A726),DPS_Base_Recoil)</f>
        <v>0.008576329331</v>
      </c>
      <c r="G726" s="377">
        <f t="shared" si="7"/>
        <v>0.51</v>
      </c>
      <c r="H726" s="377">
        <f t="shared" si="8"/>
        <v>0.01291155584</v>
      </c>
      <c r="I726" s="104"/>
      <c r="J726" s="377">
        <f>MAX(0, Max(25,(DPS_Base_Range + ((DPS_Range_Stat) / 2))) / MIN(MAX(70, (70 * (1 + ($A726 / 3)))), 120))</f>
        <v>3.333333333</v>
      </c>
      <c r="K726" s="115" t="str">
        <f>IF(A726&lt;=DPS_Graph_Max,IF(A726&gt;=DPS_Graph_Speed_Min,A726,),)</f>
        <v/>
      </c>
      <c r="M726" s="213">
        <f>If(DPS_Weapon_Type="远程",$E726/60+$F726*2,$E726/60+$F726+$G726/2+$H726)</f>
        <v>0.050485992</v>
      </c>
      <c r="N726" s="104" t="str">
        <f>IF(DPS_Graph_Tooltip_Speed=TRUE,IF($A726&lt;=DPS_Graph_Max,IF($A726&gt;=DPS_Graph_Speed_Min,1/M726,),),)</f>
        <v/>
      </c>
      <c r="R726" s="104" t="str">
        <f>IF(DPS_Graph_Tooltip_Speed=TRUE,IF($E$8=$A726,1/$N$6,),)</f>
        <v/>
      </c>
    </row>
    <row r="727">
      <c r="A727" s="370">
        <v>4.84</v>
      </c>
      <c r="B727" s="213">
        <f>If(DPS_Weapon_Type="远程",($E727+1)/60+(ROUNDDOWN($F727*60+1,0)/60)*2,(ROUNDDOWN(($E727+1)+ROUNDDOWN($F727*60+1,0)+ROUNDDOWN($G727/2*60+1,0)+ROUNDDOWN($H727*60+1,0)+1,0))/60+If(DPS_ATK_TYPE="挥砍",1/60)+If(DPS_ATK_TYPE="挥砍/刺击",1/120))+DPS_Weapon_Randomization/60</f>
        <v>0.105</v>
      </c>
      <c r="C727" s="104" t="str">
        <f>IF(DPS_Graph_True_Speed=TRUE,IF($A727&lt;=DPS_Graph_Max,IF($A727&gt;=DPS_Graph_Speed_Min,1/B727,),),)</f>
        <v/>
      </c>
      <c r="D727" s="115" t="str">
        <f>IF(DPS_Graph_True_Speed=TRUE,IF($E$8=$A727,DPS_Attacks_P_Sec,),)</f>
        <v/>
      </c>
      <c r="E727" s="222">
        <f>ROUNDDOWN(MAX(2,IF(A727&gt;=0, DPS_Base_Wpn_Spd/(1+A727),DPS_Base_Wpn_Spd*(1+ABS(A727)))),0)</f>
        <v>2</v>
      </c>
      <c r="F727" s="232">
        <f>IF(A727&gt;=0, DPS_Base_Recoil/(1+A727),DPS_Base_Recoil)</f>
        <v>0.008561643836</v>
      </c>
      <c r="G727" s="377">
        <f t="shared" si="7"/>
        <v>0.51</v>
      </c>
      <c r="H727" s="377">
        <f t="shared" si="8"/>
        <v>0.01288659794</v>
      </c>
      <c r="I727" s="104"/>
      <c r="J727" s="377">
        <f>MAX(0, Max(25,(DPS_Base_Range + ((DPS_Range_Stat) / 2))) / MIN(MAX(70, (70 * (1 + ($A727 / 3)))), 120))</f>
        <v>3.333333333</v>
      </c>
      <c r="K727" s="115" t="str">
        <f>IF(A727&lt;=DPS_Graph_Max,IF(A727&gt;=DPS_Graph_Speed_Min,A727,),)</f>
        <v/>
      </c>
      <c r="M727" s="213">
        <f>If(DPS_Weapon_Type="远程",$E727/60+$F727*2,$E727/60+$F727+$G727/2+$H727)</f>
        <v>0.050456621</v>
      </c>
      <c r="N727" s="104" t="str">
        <f>IF(DPS_Graph_Tooltip_Speed=TRUE,IF($A727&lt;=DPS_Graph_Max,IF($A727&gt;=DPS_Graph_Speed_Min,1/M727,),),)</f>
        <v/>
      </c>
      <c r="R727" s="104" t="str">
        <f>IF(DPS_Graph_Tooltip_Speed=TRUE,IF($E$8=$A727,1/$N$6,),)</f>
        <v/>
      </c>
    </row>
    <row r="728">
      <c r="A728" s="370">
        <v>4.85</v>
      </c>
      <c r="B728" s="213">
        <f>If(DPS_Weapon_Type="远程",($E728+1)/60+(ROUNDDOWN($F728*60+1,0)/60)*2,(ROUNDDOWN(($E728+1)+ROUNDDOWN($F728*60+1,0)+ROUNDDOWN($G728/2*60+1,0)+ROUNDDOWN($H728*60+1,0)+1,0))/60+If(DPS_ATK_TYPE="挥砍",1/60)+If(DPS_ATK_TYPE="挥砍/刺击",1/120))+DPS_Weapon_Randomization/60</f>
        <v>0.105</v>
      </c>
      <c r="C728" s="104" t="str">
        <f>IF(DPS_Graph_True_Speed=TRUE,IF($A728&lt;=DPS_Graph_Max,IF($A728&gt;=DPS_Graph_Speed_Min,1/B728,),),)</f>
        <v/>
      </c>
      <c r="D728" s="115" t="str">
        <f>IF(DPS_Graph_True_Speed=TRUE,IF($E$8=$A728,DPS_Attacks_P_Sec,),)</f>
        <v/>
      </c>
      <c r="E728" s="222">
        <f>ROUNDDOWN(MAX(2,IF(A728&gt;=0, DPS_Base_Wpn_Spd/(1+A728),DPS_Base_Wpn_Spd*(1+ABS(A728)))),0)</f>
        <v>2</v>
      </c>
      <c r="F728" s="232">
        <f>IF(A728&gt;=0, DPS_Base_Recoil/(1+A728),DPS_Base_Recoil)</f>
        <v>0.008547008547</v>
      </c>
      <c r="G728" s="377">
        <f t="shared" si="7"/>
        <v>0.51</v>
      </c>
      <c r="H728" s="377">
        <f t="shared" si="8"/>
        <v>0.01286173633</v>
      </c>
      <c r="I728" s="104"/>
      <c r="J728" s="377">
        <f>MAX(0, Max(25,(DPS_Base_Range + ((DPS_Range_Stat) / 2))) / MIN(MAX(70, (70 * (1 + ($A728 / 3)))), 120))</f>
        <v>3.333333333</v>
      </c>
      <c r="K728" s="115" t="str">
        <f>IF(A728&lt;=DPS_Graph_Max,IF(A728&gt;=DPS_Graph_Speed_Min,A728,),)</f>
        <v/>
      </c>
      <c r="M728" s="213">
        <f>If(DPS_Weapon_Type="远程",$E728/60+$F728*2,$E728/60+$F728+$G728/2+$H728)</f>
        <v>0.05042735043</v>
      </c>
      <c r="N728" s="104" t="str">
        <f>IF(DPS_Graph_Tooltip_Speed=TRUE,IF($A728&lt;=DPS_Graph_Max,IF($A728&gt;=DPS_Graph_Speed_Min,1/M728,),),)</f>
        <v/>
      </c>
      <c r="R728" s="104" t="str">
        <f>IF(DPS_Graph_Tooltip_Speed=TRUE,IF($E$8=$A728,1/$N$6,),)</f>
        <v/>
      </c>
    </row>
    <row r="729">
      <c r="A729" s="370">
        <v>4.86</v>
      </c>
      <c r="B729" s="213">
        <f>If(DPS_Weapon_Type="远程",($E729+1)/60+(ROUNDDOWN($F729*60+1,0)/60)*2,(ROUNDDOWN(($E729+1)+ROUNDDOWN($F729*60+1,0)+ROUNDDOWN($G729/2*60+1,0)+ROUNDDOWN($H729*60+1,0)+1,0))/60+If(DPS_ATK_TYPE="挥砍",1/60)+If(DPS_ATK_TYPE="挥砍/刺击",1/120))+DPS_Weapon_Randomization/60</f>
        <v>0.105</v>
      </c>
      <c r="C729" s="104" t="str">
        <f>IF(DPS_Graph_True_Speed=TRUE,IF($A729&lt;=DPS_Graph_Max,IF($A729&gt;=DPS_Graph_Speed_Min,1/B729,),),)</f>
        <v/>
      </c>
      <c r="D729" s="115" t="str">
        <f>IF(DPS_Graph_True_Speed=TRUE,IF($E$8=$A729,DPS_Attacks_P_Sec,),)</f>
        <v/>
      </c>
      <c r="E729" s="222">
        <f>ROUNDDOWN(MAX(2,IF(A729&gt;=0, DPS_Base_Wpn_Spd/(1+A729),DPS_Base_Wpn_Spd*(1+ABS(A729)))),0)</f>
        <v>2</v>
      </c>
      <c r="F729" s="232">
        <f>IF(A729&gt;=0, DPS_Base_Recoil/(1+A729),DPS_Base_Recoil)</f>
        <v>0.008532423208</v>
      </c>
      <c r="G729" s="377">
        <f t="shared" si="7"/>
        <v>0.51</v>
      </c>
      <c r="H729" s="377">
        <f t="shared" si="8"/>
        <v>0.01283697047</v>
      </c>
      <c r="I729" s="104"/>
      <c r="J729" s="377">
        <f>MAX(0, Max(25,(DPS_Base_Range + ((DPS_Range_Stat) / 2))) / MIN(MAX(70, (70 * (1 + ($A729 / 3)))), 120))</f>
        <v>3.333333333</v>
      </c>
      <c r="K729" s="115" t="str">
        <f>IF(A729&lt;=DPS_Graph_Max,IF(A729&gt;=DPS_Graph_Speed_Min,A729,),)</f>
        <v/>
      </c>
      <c r="M729" s="213">
        <f>If(DPS_Weapon_Type="远程",$E729/60+$F729*2,$E729/60+$F729+$G729/2+$H729)</f>
        <v>0.05039817975</v>
      </c>
      <c r="N729" s="104" t="str">
        <f>IF(DPS_Graph_Tooltip_Speed=TRUE,IF($A729&lt;=DPS_Graph_Max,IF($A729&gt;=DPS_Graph_Speed_Min,1/M729,),),)</f>
        <v/>
      </c>
      <c r="R729" s="104" t="str">
        <f>IF(DPS_Graph_Tooltip_Speed=TRUE,IF($E$8=$A729,1/$N$6,),)</f>
        <v/>
      </c>
    </row>
    <row r="730">
      <c r="A730" s="370">
        <v>4.87</v>
      </c>
      <c r="B730" s="213">
        <f>If(DPS_Weapon_Type="远程",($E730+1)/60+(ROUNDDOWN($F730*60+1,0)/60)*2,(ROUNDDOWN(($E730+1)+ROUNDDOWN($F730*60+1,0)+ROUNDDOWN($G730/2*60+1,0)+ROUNDDOWN($H730*60+1,0)+1,0))/60+If(DPS_ATK_TYPE="挥砍",1/60)+If(DPS_ATK_TYPE="挥砍/刺击",1/120))+DPS_Weapon_Randomization/60</f>
        <v>0.105</v>
      </c>
      <c r="C730" s="104" t="str">
        <f>IF(DPS_Graph_True_Speed=TRUE,IF($A730&lt;=DPS_Graph_Max,IF($A730&gt;=DPS_Graph_Speed_Min,1/B730,),),)</f>
        <v/>
      </c>
      <c r="D730" s="115" t="str">
        <f>IF(DPS_Graph_True_Speed=TRUE,IF($E$8=$A730,DPS_Attacks_P_Sec,),)</f>
        <v/>
      </c>
      <c r="E730" s="222">
        <f>ROUNDDOWN(MAX(2,IF(A730&gt;=0, DPS_Base_Wpn_Spd/(1+A730),DPS_Base_Wpn_Spd*(1+ABS(A730)))),0)</f>
        <v>2</v>
      </c>
      <c r="F730" s="232">
        <f>IF(A730&gt;=0, DPS_Base_Recoil/(1+A730),DPS_Base_Recoil)</f>
        <v>0.008517887564</v>
      </c>
      <c r="G730" s="377">
        <f t="shared" si="7"/>
        <v>0.51</v>
      </c>
      <c r="H730" s="377">
        <f t="shared" si="8"/>
        <v>0.01281229981</v>
      </c>
      <c r="I730" s="104"/>
      <c r="J730" s="377">
        <f>MAX(0, Max(25,(DPS_Base_Range + ((DPS_Range_Stat) / 2))) / MIN(MAX(70, (70 * (1 + ($A730 / 3)))), 120))</f>
        <v>3.333333333</v>
      </c>
      <c r="K730" s="115" t="str">
        <f>IF(A730&lt;=DPS_Graph_Max,IF(A730&gt;=DPS_Graph_Speed_Min,A730,),)</f>
        <v/>
      </c>
      <c r="M730" s="213">
        <f>If(DPS_Weapon_Type="远程",$E730/60+$F730*2,$E730/60+$F730+$G730/2+$H730)</f>
        <v>0.05036910846</v>
      </c>
      <c r="N730" s="104" t="str">
        <f>IF(DPS_Graph_Tooltip_Speed=TRUE,IF($A730&lt;=DPS_Graph_Max,IF($A730&gt;=DPS_Graph_Speed_Min,1/M730,),),)</f>
        <v/>
      </c>
      <c r="R730" s="104" t="str">
        <f>IF(DPS_Graph_Tooltip_Speed=TRUE,IF($E$8=$A730,1/$N$6,),)</f>
        <v/>
      </c>
    </row>
    <row r="731">
      <c r="A731" s="370">
        <v>4.88</v>
      </c>
      <c r="B731" s="213">
        <f>If(DPS_Weapon_Type="远程",($E731+1)/60+(ROUNDDOWN($F731*60+1,0)/60)*2,(ROUNDDOWN(($E731+1)+ROUNDDOWN($F731*60+1,0)+ROUNDDOWN($G731/2*60+1,0)+ROUNDDOWN($H731*60+1,0)+1,0))/60+If(DPS_ATK_TYPE="挥砍",1/60)+If(DPS_ATK_TYPE="挥砍/刺击",1/120))+DPS_Weapon_Randomization/60</f>
        <v>0.105</v>
      </c>
      <c r="C731" s="104" t="str">
        <f>IF(DPS_Graph_True_Speed=TRUE,IF($A731&lt;=DPS_Graph_Max,IF($A731&gt;=DPS_Graph_Speed_Min,1/B731,),),)</f>
        <v/>
      </c>
      <c r="D731" s="115" t="str">
        <f>IF(DPS_Graph_True_Speed=TRUE,IF($E$8=$A731,DPS_Attacks_P_Sec,),)</f>
        <v/>
      </c>
      <c r="E731" s="222">
        <f>ROUNDDOWN(MAX(2,IF(A731&gt;=0, DPS_Base_Wpn_Spd/(1+A731),DPS_Base_Wpn_Spd*(1+ABS(A731)))),0)</f>
        <v>2</v>
      </c>
      <c r="F731" s="232">
        <f>IF(A731&gt;=0, DPS_Base_Recoil/(1+A731),DPS_Base_Recoil)</f>
        <v>0.008503401361</v>
      </c>
      <c r="G731" s="377">
        <f t="shared" si="7"/>
        <v>0.51</v>
      </c>
      <c r="H731" s="377">
        <f t="shared" si="8"/>
        <v>0.01278772379</v>
      </c>
      <c r="I731" s="104"/>
      <c r="J731" s="377">
        <f>MAX(0, Max(25,(DPS_Base_Range + ((DPS_Range_Stat) / 2))) / MIN(MAX(70, (70 * (1 + ($A731 / 3)))), 120))</f>
        <v>3.333333333</v>
      </c>
      <c r="K731" s="115" t="str">
        <f>IF(A731&lt;=DPS_Graph_Max,IF(A731&gt;=DPS_Graph_Speed_Min,A731,),)</f>
        <v/>
      </c>
      <c r="M731" s="213">
        <f>If(DPS_Weapon_Type="远程",$E731/60+$F731*2,$E731/60+$F731+$G731/2+$H731)</f>
        <v>0.05034013605</v>
      </c>
      <c r="N731" s="104" t="str">
        <f>IF(DPS_Graph_Tooltip_Speed=TRUE,IF($A731&lt;=DPS_Graph_Max,IF($A731&gt;=DPS_Graph_Speed_Min,1/M731,),),)</f>
        <v/>
      </c>
      <c r="R731" s="104" t="str">
        <f>IF(DPS_Graph_Tooltip_Speed=TRUE,IF($E$8=$A731,1/$N$6,),)</f>
        <v/>
      </c>
    </row>
    <row r="732">
      <c r="A732" s="370">
        <v>4.89</v>
      </c>
      <c r="B732" s="213">
        <f>If(DPS_Weapon_Type="远程",($E732+1)/60+(ROUNDDOWN($F732*60+1,0)/60)*2,(ROUNDDOWN(($E732+1)+ROUNDDOWN($F732*60+1,0)+ROUNDDOWN($G732/2*60+1,0)+ROUNDDOWN($H732*60+1,0)+1,0))/60+If(DPS_ATK_TYPE="挥砍",1/60)+If(DPS_ATK_TYPE="挥砍/刺击",1/120))+DPS_Weapon_Randomization/60</f>
        <v>0.105</v>
      </c>
      <c r="C732" s="104" t="str">
        <f>IF(DPS_Graph_True_Speed=TRUE,IF($A732&lt;=DPS_Graph_Max,IF($A732&gt;=DPS_Graph_Speed_Min,1/B732,),),)</f>
        <v/>
      </c>
      <c r="D732" s="115" t="str">
        <f>IF(DPS_Graph_True_Speed=TRUE,IF($E$8=$A732,DPS_Attacks_P_Sec,),)</f>
        <v/>
      </c>
      <c r="E732" s="222">
        <f>ROUNDDOWN(MAX(2,IF(A732&gt;=0, DPS_Base_Wpn_Spd/(1+A732),DPS_Base_Wpn_Spd*(1+ABS(A732)))),0)</f>
        <v>2</v>
      </c>
      <c r="F732" s="232">
        <f>IF(A732&gt;=0, DPS_Base_Recoil/(1+A732),DPS_Base_Recoil)</f>
        <v>0.008488964346</v>
      </c>
      <c r="G732" s="377">
        <f t="shared" si="7"/>
        <v>0.51</v>
      </c>
      <c r="H732" s="377">
        <f t="shared" si="8"/>
        <v>0.01276324186</v>
      </c>
      <c r="I732" s="104"/>
      <c r="J732" s="377">
        <f>MAX(0, Max(25,(DPS_Base_Range + ((DPS_Range_Stat) / 2))) / MIN(MAX(70, (70 * (1 + ($A732 / 3)))), 120))</f>
        <v>3.333333333</v>
      </c>
      <c r="K732" s="115" t="str">
        <f>IF(A732&lt;=DPS_Graph_Max,IF(A732&gt;=DPS_Graph_Speed_Min,A732,),)</f>
        <v/>
      </c>
      <c r="M732" s="213">
        <f>If(DPS_Weapon_Type="远程",$E732/60+$F732*2,$E732/60+$F732+$G732/2+$H732)</f>
        <v>0.05031126203</v>
      </c>
      <c r="N732" s="104" t="str">
        <f>IF(DPS_Graph_Tooltip_Speed=TRUE,IF($A732&lt;=DPS_Graph_Max,IF($A732&gt;=DPS_Graph_Speed_Min,1/M732,),),)</f>
        <v/>
      </c>
      <c r="R732" s="104" t="str">
        <f>IF(DPS_Graph_Tooltip_Speed=TRUE,IF($E$8=$A732,1/$N$6,),)</f>
        <v/>
      </c>
    </row>
    <row r="733">
      <c r="A733" s="370">
        <v>4.9</v>
      </c>
      <c r="B733" s="213">
        <f>If(DPS_Weapon_Type="远程",($E733+1)/60+(ROUNDDOWN($F733*60+1,0)/60)*2,(ROUNDDOWN(($E733+1)+ROUNDDOWN($F733*60+1,0)+ROUNDDOWN($G733/2*60+1,0)+ROUNDDOWN($H733*60+1,0)+1,0))/60+If(DPS_ATK_TYPE="挥砍",1/60)+If(DPS_ATK_TYPE="挥砍/刺击",1/120))+DPS_Weapon_Randomization/60</f>
        <v>0.105</v>
      </c>
      <c r="C733" s="104" t="str">
        <f>IF(DPS_Graph_True_Speed=TRUE,IF($A733&lt;=DPS_Graph_Max,IF($A733&gt;=DPS_Graph_Speed_Min,1/B733,),),)</f>
        <v/>
      </c>
      <c r="D733" s="115" t="str">
        <f>IF(DPS_Graph_True_Speed=TRUE,IF($E$8=$A733,DPS_Attacks_P_Sec,),)</f>
        <v/>
      </c>
      <c r="E733" s="222">
        <f>ROUNDDOWN(MAX(2,IF(A733&gt;=0, DPS_Base_Wpn_Spd/(1+A733),DPS_Base_Wpn_Spd*(1+ABS(A733)))),0)</f>
        <v>2</v>
      </c>
      <c r="F733" s="232">
        <f>IF(A733&gt;=0, DPS_Base_Recoil/(1+A733),DPS_Base_Recoil)</f>
        <v>0.008474576271</v>
      </c>
      <c r="G733" s="377">
        <f t="shared" si="7"/>
        <v>0.51</v>
      </c>
      <c r="H733" s="377">
        <f t="shared" si="8"/>
        <v>0.0127388535</v>
      </c>
      <c r="I733" s="104"/>
      <c r="J733" s="377">
        <f>MAX(0, Max(25,(DPS_Base_Range + ((DPS_Range_Stat) / 2))) / MIN(MAX(70, (70 * (1 + ($A733 / 3)))), 120))</f>
        <v>3.333333333</v>
      </c>
      <c r="K733" s="115" t="str">
        <f>IF(A733&lt;=DPS_Graph_Max,IF(A733&gt;=DPS_Graph_Speed_Min,A733,),)</f>
        <v/>
      </c>
      <c r="M733" s="213">
        <f>If(DPS_Weapon_Type="远程",$E733/60+$F733*2,$E733/60+$F733+$G733/2+$H733)</f>
        <v>0.05028248588</v>
      </c>
      <c r="N733" s="104" t="str">
        <f>IF(DPS_Graph_Tooltip_Speed=TRUE,IF($A733&lt;=DPS_Graph_Max,IF($A733&gt;=DPS_Graph_Speed_Min,1/M733,),),)</f>
        <v/>
      </c>
      <c r="R733" s="104" t="str">
        <f>IF(DPS_Graph_Tooltip_Speed=TRUE,IF($E$8=$A733,1/$N$6,),)</f>
        <v/>
      </c>
    </row>
    <row r="734">
      <c r="A734" s="370">
        <v>4.91</v>
      </c>
      <c r="B734" s="213">
        <f>If(DPS_Weapon_Type="远程",($E734+1)/60+(ROUNDDOWN($F734*60+1,0)/60)*2,(ROUNDDOWN(($E734+1)+ROUNDDOWN($F734*60+1,0)+ROUNDDOWN($G734/2*60+1,0)+ROUNDDOWN($H734*60+1,0)+1,0))/60+If(DPS_ATK_TYPE="挥砍",1/60)+If(DPS_ATK_TYPE="挥砍/刺击",1/120))+DPS_Weapon_Randomization/60</f>
        <v>0.105</v>
      </c>
      <c r="C734" s="104" t="str">
        <f>IF(DPS_Graph_True_Speed=TRUE,IF($A734&lt;=DPS_Graph_Max,IF($A734&gt;=DPS_Graph_Speed_Min,1/B734,),),)</f>
        <v/>
      </c>
      <c r="D734" s="115" t="str">
        <f>IF(DPS_Graph_True_Speed=TRUE,IF($E$8=$A734,DPS_Attacks_P_Sec,),)</f>
        <v/>
      </c>
      <c r="E734" s="222">
        <f>ROUNDDOWN(MAX(2,IF(A734&gt;=0, DPS_Base_Wpn_Spd/(1+A734),DPS_Base_Wpn_Spd*(1+ABS(A734)))),0)</f>
        <v>2</v>
      </c>
      <c r="F734" s="232">
        <f>IF(A734&gt;=0, DPS_Base_Recoil/(1+A734),DPS_Base_Recoil)</f>
        <v>0.008460236887</v>
      </c>
      <c r="G734" s="377">
        <f t="shared" si="7"/>
        <v>0.51</v>
      </c>
      <c r="H734" s="377">
        <f t="shared" si="8"/>
        <v>0.01271455817</v>
      </c>
      <c r="I734" s="104"/>
      <c r="J734" s="377">
        <f>MAX(0, Max(25,(DPS_Base_Range + ((DPS_Range_Stat) / 2))) / MIN(MAX(70, (70 * (1 + ($A734 / 3)))), 120))</f>
        <v>3.333333333</v>
      </c>
      <c r="K734" s="115" t="str">
        <f>IF(A734&lt;=DPS_Graph_Max,IF(A734&gt;=DPS_Graph_Speed_Min,A734,),)</f>
        <v/>
      </c>
      <c r="M734" s="213">
        <f>If(DPS_Weapon_Type="远程",$E734/60+$F734*2,$E734/60+$F734+$G734/2+$H734)</f>
        <v>0.05025380711</v>
      </c>
      <c r="N734" s="104" t="str">
        <f>IF(DPS_Graph_Tooltip_Speed=TRUE,IF($A734&lt;=DPS_Graph_Max,IF($A734&gt;=DPS_Graph_Speed_Min,1/M734,),),)</f>
        <v/>
      </c>
      <c r="R734" s="104" t="str">
        <f>IF(DPS_Graph_Tooltip_Speed=TRUE,IF($E$8=$A734,1/$N$6,),)</f>
        <v/>
      </c>
    </row>
    <row r="735">
      <c r="A735" s="370">
        <v>4.92</v>
      </c>
      <c r="B735" s="213">
        <f>If(DPS_Weapon_Type="远程",($E735+1)/60+(ROUNDDOWN($F735*60+1,0)/60)*2,(ROUNDDOWN(($E735+1)+ROUNDDOWN($F735*60+1,0)+ROUNDDOWN($G735/2*60+1,0)+ROUNDDOWN($H735*60+1,0)+1,0))/60+If(DPS_ATK_TYPE="挥砍",1/60)+If(DPS_ATK_TYPE="挥砍/刺击",1/120))+DPS_Weapon_Randomization/60</f>
        <v>0.105</v>
      </c>
      <c r="C735" s="104" t="str">
        <f>IF(DPS_Graph_True_Speed=TRUE,IF($A735&lt;=DPS_Graph_Max,IF($A735&gt;=DPS_Graph_Speed_Min,1/B735,),),)</f>
        <v/>
      </c>
      <c r="D735" s="115" t="str">
        <f>IF(DPS_Graph_True_Speed=TRUE,IF($E$8=$A735,DPS_Attacks_P_Sec,),)</f>
        <v/>
      </c>
      <c r="E735" s="222">
        <f>ROUNDDOWN(MAX(2,IF(A735&gt;=0, DPS_Base_Wpn_Spd/(1+A735),DPS_Base_Wpn_Spd*(1+ABS(A735)))),0)</f>
        <v>2</v>
      </c>
      <c r="F735" s="232">
        <f>IF(A735&gt;=0, DPS_Base_Recoil/(1+A735),DPS_Base_Recoil)</f>
        <v>0.008445945946</v>
      </c>
      <c r="G735" s="377">
        <f t="shared" si="7"/>
        <v>0.51</v>
      </c>
      <c r="H735" s="377">
        <f t="shared" si="8"/>
        <v>0.01269035533</v>
      </c>
      <c r="I735" s="104"/>
      <c r="J735" s="377">
        <f>MAX(0, Max(25,(DPS_Base_Range + ((DPS_Range_Stat) / 2))) / MIN(MAX(70, (70 * (1 + ($A735 / 3)))), 120))</f>
        <v>3.333333333</v>
      </c>
      <c r="K735" s="115" t="str">
        <f>IF(A735&lt;=DPS_Graph_Max,IF(A735&gt;=DPS_Graph_Speed_Min,A735,),)</f>
        <v/>
      </c>
      <c r="M735" s="213">
        <f>If(DPS_Weapon_Type="远程",$E735/60+$F735*2,$E735/60+$F735+$G735/2+$H735)</f>
        <v>0.05022522523</v>
      </c>
      <c r="N735" s="104" t="str">
        <f>IF(DPS_Graph_Tooltip_Speed=TRUE,IF($A735&lt;=DPS_Graph_Max,IF($A735&gt;=DPS_Graph_Speed_Min,1/M735,),),)</f>
        <v/>
      </c>
      <c r="R735" s="104" t="str">
        <f>IF(DPS_Graph_Tooltip_Speed=TRUE,IF($E$8=$A735,1/$N$6,),)</f>
        <v/>
      </c>
    </row>
    <row r="736">
      <c r="A736" s="370">
        <v>4.93</v>
      </c>
      <c r="B736" s="213">
        <f>If(DPS_Weapon_Type="远程",($E736+1)/60+(ROUNDDOWN($F736*60+1,0)/60)*2,(ROUNDDOWN(($E736+1)+ROUNDDOWN($F736*60+1,0)+ROUNDDOWN($G736/2*60+1,0)+ROUNDDOWN($H736*60+1,0)+1,0))/60+If(DPS_ATK_TYPE="挥砍",1/60)+If(DPS_ATK_TYPE="挥砍/刺击",1/120))+DPS_Weapon_Randomization/60</f>
        <v>0.105</v>
      </c>
      <c r="C736" s="104" t="str">
        <f>IF(DPS_Graph_True_Speed=TRUE,IF($A736&lt;=DPS_Graph_Max,IF($A736&gt;=DPS_Graph_Speed_Min,1/B736,),),)</f>
        <v/>
      </c>
      <c r="D736" s="115" t="str">
        <f>IF(DPS_Graph_True_Speed=TRUE,IF($E$8=$A736,DPS_Attacks_P_Sec,),)</f>
        <v/>
      </c>
      <c r="E736" s="222">
        <f>ROUNDDOWN(MAX(2,IF(A736&gt;=0, DPS_Base_Wpn_Spd/(1+A736),DPS_Base_Wpn_Spd*(1+ABS(A736)))),0)</f>
        <v>2</v>
      </c>
      <c r="F736" s="232">
        <f>IF(A736&gt;=0, DPS_Base_Recoil/(1+A736),DPS_Base_Recoil)</f>
        <v>0.008431703204</v>
      </c>
      <c r="G736" s="377">
        <f t="shared" si="7"/>
        <v>0.51</v>
      </c>
      <c r="H736" s="377">
        <f t="shared" si="8"/>
        <v>0.01266624446</v>
      </c>
      <c r="I736" s="104"/>
      <c r="J736" s="377">
        <f>MAX(0, Max(25,(DPS_Base_Range + ((DPS_Range_Stat) / 2))) / MIN(MAX(70, (70 * (1 + ($A736 / 3)))), 120))</f>
        <v>3.333333333</v>
      </c>
      <c r="K736" s="115" t="str">
        <f>IF(A736&lt;=DPS_Graph_Max,IF(A736&gt;=DPS_Graph_Speed_Min,A736,),)</f>
        <v/>
      </c>
      <c r="M736" s="213">
        <f>If(DPS_Weapon_Type="远程",$E736/60+$F736*2,$E736/60+$F736+$G736/2+$H736)</f>
        <v>0.05019673974</v>
      </c>
      <c r="N736" s="104" t="str">
        <f>IF(DPS_Graph_Tooltip_Speed=TRUE,IF($A736&lt;=DPS_Graph_Max,IF($A736&gt;=DPS_Graph_Speed_Min,1/M736,),),)</f>
        <v/>
      </c>
      <c r="R736" s="104" t="str">
        <f>IF(DPS_Graph_Tooltip_Speed=TRUE,IF($E$8=$A736,1/$N$6,),)</f>
        <v/>
      </c>
    </row>
    <row r="737">
      <c r="A737" s="370">
        <v>4.94</v>
      </c>
      <c r="B737" s="213">
        <f>If(DPS_Weapon_Type="远程",($E737+1)/60+(ROUNDDOWN($F737*60+1,0)/60)*2,(ROUNDDOWN(($E737+1)+ROUNDDOWN($F737*60+1,0)+ROUNDDOWN($G737/2*60+1,0)+ROUNDDOWN($H737*60+1,0)+1,0))/60+If(DPS_ATK_TYPE="挥砍",1/60)+If(DPS_ATK_TYPE="挥砍/刺击",1/120))+DPS_Weapon_Randomization/60</f>
        <v>0.105</v>
      </c>
      <c r="C737" s="104" t="str">
        <f>IF(DPS_Graph_True_Speed=TRUE,IF($A737&lt;=DPS_Graph_Max,IF($A737&gt;=DPS_Graph_Speed_Min,1/B737,),),)</f>
        <v/>
      </c>
      <c r="D737" s="115" t="str">
        <f>IF(DPS_Graph_True_Speed=TRUE,IF($E$8=$A737,DPS_Attacks_P_Sec,),)</f>
        <v/>
      </c>
      <c r="E737" s="222">
        <f>ROUNDDOWN(MAX(2,IF(A737&gt;=0, DPS_Base_Wpn_Spd/(1+A737),DPS_Base_Wpn_Spd*(1+ABS(A737)))),0)</f>
        <v>2</v>
      </c>
      <c r="F737" s="232">
        <f>IF(A737&gt;=0, DPS_Base_Recoil/(1+A737),DPS_Base_Recoil)</f>
        <v>0.008417508418</v>
      </c>
      <c r="G737" s="377">
        <f t="shared" si="7"/>
        <v>0.51</v>
      </c>
      <c r="H737" s="377">
        <f t="shared" si="8"/>
        <v>0.01264222503</v>
      </c>
      <c r="I737" s="104"/>
      <c r="J737" s="377">
        <f>MAX(0, Max(25,(DPS_Base_Range + ((DPS_Range_Stat) / 2))) / MIN(MAX(70, (70 * (1 + ($A737 / 3)))), 120))</f>
        <v>3.333333333</v>
      </c>
      <c r="K737" s="115" t="str">
        <f>IF(A737&lt;=DPS_Graph_Max,IF(A737&gt;=DPS_Graph_Speed_Min,A737,),)</f>
        <v/>
      </c>
      <c r="M737" s="213">
        <f>If(DPS_Weapon_Type="远程",$E737/60+$F737*2,$E737/60+$F737+$G737/2+$H737)</f>
        <v>0.05016835017</v>
      </c>
      <c r="N737" s="104" t="str">
        <f>IF(DPS_Graph_Tooltip_Speed=TRUE,IF($A737&lt;=DPS_Graph_Max,IF($A737&gt;=DPS_Graph_Speed_Min,1/M737,),),)</f>
        <v/>
      </c>
      <c r="R737" s="104" t="str">
        <f>IF(DPS_Graph_Tooltip_Speed=TRUE,IF($E$8=$A737,1/$N$6,),)</f>
        <v/>
      </c>
    </row>
    <row r="738">
      <c r="A738" s="370">
        <v>4.95</v>
      </c>
      <c r="B738" s="213">
        <f>If(DPS_Weapon_Type="远程",($E738+1)/60+(ROUNDDOWN($F738*60+1,0)/60)*2,(ROUNDDOWN(($E738+1)+ROUNDDOWN($F738*60+1,0)+ROUNDDOWN($G738/2*60+1,0)+ROUNDDOWN($H738*60+1,0)+1,0))/60+If(DPS_ATK_TYPE="挥砍",1/60)+If(DPS_ATK_TYPE="挥砍/刺击",1/120))+DPS_Weapon_Randomization/60</f>
        <v>0.105</v>
      </c>
      <c r="C738" s="104" t="str">
        <f>IF(DPS_Graph_True_Speed=TRUE,IF($A738&lt;=DPS_Graph_Max,IF($A738&gt;=DPS_Graph_Speed_Min,1/B738,),),)</f>
        <v/>
      </c>
      <c r="D738" s="115" t="str">
        <f>IF(DPS_Graph_True_Speed=TRUE,IF($E$8=$A738,DPS_Attacks_P_Sec,),)</f>
        <v/>
      </c>
      <c r="E738" s="222">
        <f>ROUNDDOWN(MAX(2,IF(A738&gt;=0, DPS_Base_Wpn_Spd/(1+A738),DPS_Base_Wpn_Spd*(1+ABS(A738)))),0)</f>
        <v>2</v>
      </c>
      <c r="F738" s="232">
        <f>IF(A738&gt;=0, DPS_Base_Recoil/(1+A738),DPS_Base_Recoil)</f>
        <v>0.008403361345</v>
      </c>
      <c r="G738" s="377">
        <f t="shared" si="7"/>
        <v>0.51</v>
      </c>
      <c r="H738" s="377">
        <f t="shared" si="8"/>
        <v>0.01261829653</v>
      </c>
      <c r="I738" s="104"/>
      <c r="J738" s="377">
        <f>MAX(0, Max(25,(DPS_Base_Range + ((DPS_Range_Stat) / 2))) / MIN(MAX(70, (70 * (1 + ($A738 / 3)))), 120))</f>
        <v>3.333333333</v>
      </c>
      <c r="K738" s="115" t="str">
        <f>IF(A738&lt;=DPS_Graph_Max,IF(A738&gt;=DPS_Graph_Speed_Min,A738,),)</f>
        <v/>
      </c>
      <c r="M738" s="213">
        <f>If(DPS_Weapon_Type="远程",$E738/60+$F738*2,$E738/60+$F738+$G738/2+$H738)</f>
        <v>0.05014005602</v>
      </c>
      <c r="N738" s="104" t="str">
        <f>IF(DPS_Graph_Tooltip_Speed=TRUE,IF($A738&lt;=DPS_Graph_Max,IF($A738&gt;=DPS_Graph_Speed_Min,1/M738,),),)</f>
        <v/>
      </c>
      <c r="R738" s="104" t="str">
        <f>IF(DPS_Graph_Tooltip_Speed=TRUE,IF($E$8=$A738,1/$N$6,),)</f>
        <v/>
      </c>
    </row>
    <row r="739">
      <c r="A739" s="370">
        <v>4.96</v>
      </c>
      <c r="B739" s="213">
        <f>If(DPS_Weapon_Type="远程",($E739+1)/60+(ROUNDDOWN($F739*60+1,0)/60)*2,(ROUNDDOWN(($E739+1)+ROUNDDOWN($F739*60+1,0)+ROUNDDOWN($G739/2*60+1,0)+ROUNDDOWN($H739*60+1,0)+1,0))/60+If(DPS_ATK_TYPE="挥砍",1/60)+If(DPS_ATK_TYPE="挥砍/刺击",1/120))+DPS_Weapon_Randomization/60</f>
        <v>0.105</v>
      </c>
      <c r="C739" s="104" t="str">
        <f>IF(DPS_Graph_True_Speed=TRUE,IF($A739&lt;=DPS_Graph_Max,IF($A739&gt;=DPS_Graph_Speed_Min,1/B739,),),)</f>
        <v/>
      </c>
      <c r="D739" s="115" t="str">
        <f>IF(DPS_Graph_True_Speed=TRUE,IF($E$8=$A739,DPS_Attacks_P_Sec,),)</f>
        <v/>
      </c>
      <c r="E739" s="222">
        <f>ROUNDDOWN(MAX(2,IF(A739&gt;=0, DPS_Base_Wpn_Spd/(1+A739),DPS_Base_Wpn_Spd*(1+ABS(A739)))),0)</f>
        <v>2</v>
      </c>
      <c r="F739" s="232">
        <f>IF(A739&gt;=0, DPS_Base_Recoil/(1+A739),DPS_Base_Recoil)</f>
        <v>0.008389261745</v>
      </c>
      <c r="G739" s="377">
        <f t="shared" si="7"/>
        <v>0.51</v>
      </c>
      <c r="H739" s="377">
        <f t="shared" si="8"/>
        <v>0.01259445844</v>
      </c>
      <c r="I739" s="104"/>
      <c r="J739" s="377">
        <f>MAX(0, Max(25,(DPS_Base_Range + ((DPS_Range_Stat) / 2))) / MIN(MAX(70, (70 * (1 + ($A739 / 3)))), 120))</f>
        <v>3.333333333</v>
      </c>
      <c r="K739" s="115" t="str">
        <f>IF(A739&lt;=DPS_Graph_Max,IF(A739&gt;=DPS_Graph_Speed_Min,A739,),)</f>
        <v/>
      </c>
      <c r="M739" s="213">
        <f>If(DPS_Weapon_Type="远程",$E739/60+$F739*2,$E739/60+$F739+$G739/2+$H739)</f>
        <v>0.05011185682</v>
      </c>
      <c r="N739" s="104" t="str">
        <f>IF(DPS_Graph_Tooltip_Speed=TRUE,IF($A739&lt;=DPS_Graph_Max,IF($A739&gt;=DPS_Graph_Speed_Min,1/M739,),),)</f>
        <v/>
      </c>
      <c r="R739" s="104" t="str">
        <f>IF(DPS_Graph_Tooltip_Speed=TRUE,IF($E$8=$A739,1/$N$6,),)</f>
        <v/>
      </c>
    </row>
    <row r="740">
      <c r="A740" s="370">
        <v>4.97</v>
      </c>
      <c r="B740" s="213">
        <f>If(DPS_Weapon_Type="远程",($E740+1)/60+(ROUNDDOWN($F740*60+1,0)/60)*2,(ROUNDDOWN(($E740+1)+ROUNDDOWN($F740*60+1,0)+ROUNDDOWN($G740/2*60+1,0)+ROUNDDOWN($H740*60+1,0)+1,0))/60+If(DPS_ATK_TYPE="挥砍",1/60)+If(DPS_ATK_TYPE="挥砍/刺击",1/120))+DPS_Weapon_Randomization/60</f>
        <v>0.105</v>
      </c>
      <c r="C740" s="104" t="str">
        <f>IF(DPS_Graph_True_Speed=TRUE,IF($A740&lt;=DPS_Graph_Max,IF($A740&gt;=DPS_Graph_Speed_Min,1/B740,),),)</f>
        <v/>
      </c>
      <c r="D740" s="115" t="str">
        <f>IF(DPS_Graph_True_Speed=TRUE,IF($E$8=$A740,DPS_Attacks_P_Sec,),)</f>
        <v/>
      </c>
      <c r="E740" s="222">
        <f>ROUNDDOWN(MAX(2,IF(A740&gt;=0, DPS_Base_Wpn_Spd/(1+A740),DPS_Base_Wpn_Spd*(1+ABS(A740)))),0)</f>
        <v>2</v>
      </c>
      <c r="F740" s="232">
        <f>IF(A740&gt;=0, DPS_Base_Recoil/(1+A740),DPS_Base_Recoil)</f>
        <v>0.00837520938</v>
      </c>
      <c r="G740" s="377">
        <f t="shared" si="7"/>
        <v>0.51</v>
      </c>
      <c r="H740" s="377">
        <f t="shared" si="8"/>
        <v>0.01257071025</v>
      </c>
      <c r="I740" s="104"/>
      <c r="J740" s="377">
        <f>MAX(0, Max(25,(DPS_Base_Range + ((DPS_Range_Stat) / 2))) / MIN(MAX(70, (70 * (1 + ($A740 / 3)))), 120))</f>
        <v>3.333333333</v>
      </c>
      <c r="K740" s="115" t="str">
        <f>IF(A740&lt;=DPS_Graph_Max,IF(A740&gt;=DPS_Graph_Speed_Min,A740,),)</f>
        <v/>
      </c>
      <c r="M740" s="213">
        <f>If(DPS_Weapon_Type="远程",$E740/60+$F740*2,$E740/60+$F740+$G740/2+$H740)</f>
        <v>0.05008375209</v>
      </c>
      <c r="N740" s="104" t="str">
        <f>IF(DPS_Graph_Tooltip_Speed=TRUE,IF($A740&lt;=DPS_Graph_Max,IF($A740&gt;=DPS_Graph_Speed_Min,1/M740,),),)</f>
        <v/>
      </c>
      <c r="R740" s="104" t="str">
        <f>IF(DPS_Graph_Tooltip_Speed=TRUE,IF($E$8=$A740,1/$N$6,),)</f>
        <v/>
      </c>
    </row>
    <row r="741">
      <c r="A741" s="370">
        <v>4.98</v>
      </c>
      <c r="B741" s="213">
        <f>If(DPS_Weapon_Type="远程",($E741+1)/60+(ROUNDDOWN($F741*60+1,0)/60)*2,(ROUNDDOWN(($E741+1)+ROUNDDOWN($F741*60+1,0)+ROUNDDOWN($G741/2*60+1,0)+ROUNDDOWN($H741*60+1,0)+1,0))/60+If(DPS_ATK_TYPE="挥砍",1/60)+If(DPS_ATK_TYPE="挥砍/刺击",1/120))+DPS_Weapon_Randomization/60</f>
        <v>0.105</v>
      </c>
      <c r="C741" s="104" t="str">
        <f>IF(DPS_Graph_True_Speed=TRUE,IF($A741&lt;=DPS_Graph_Max,IF($A741&gt;=DPS_Graph_Speed_Min,1/B741,),),)</f>
        <v/>
      </c>
      <c r="D741" s="115" t="str">
        <f>IF(DPS_Graph_True_Speed=TRUE,IF($E$8=$A741,DPS_Attacks_P_Sec,),)</f>
        <v/>
      </c>
      <c r="E741" s="222">
        <f>ROUNDDOWN(MAX(2,IF(A741&gt;=0, DPS_Base_Wpn_Spd/(1+A741),DPS_Base_Wpn_Spd*(1+ABS(A741)))),0)</f>
        <v>2</v>
      </c>
      <c r="F741" s="232">
        <f>IF(A741&gt;=0, DPS_Base_Recoil/(1+A741),DPS_Base_Recoil)</f>
        <v>0.008361204013</v>
      </c>
      <c r="G741" s="377">
        <f t="shared" si="7"/>
        <v>0.51</v>
      </c>
      <c r="H741" s="377">
        <f t="shared" si="8"/>
        <v>0.01254705144</v>
      </c>
      <c r="I741" s="104"/>
      <c r="J741" s="377">
        <f>MAX(0, Max(25,(DPS_Base_Range + ((DPS_Range_Stat) / 2))) / MIN(MAX(70, (70 * (1 + ($A741 / 3)))), 120))</f>
        <v>3.333333333</v>
      </c>
      <c r="K741" s="115" t="str">
        <f>IF(A741&lt;=DPS_Graph_Max,IF(A741&gt;=DPS_Graph_Speed_Min,A741,),)</f>
        <v/>
      </c>
      <c r="M741" s="213">
        <f>If(DPS_Weapon_Type="远程",$E741/60+$F741*2,$E741/60+$F741+$G741/2+$H741)</f>
        <v>0.05005574136</v>
      </c>
      <c r="N741" s="104" t="str">
        <f>IF(DPS_Graph_Tooltip_Speed=TRUE,IF($A741&lt;=DPS_Graph_Max,IF($A741&gt;=DPS_Graph_Speed_Min,1/M741,),),)</f>
        <v/>
      </c>
      <c r="R741" s="104" t="str">
        <f>IF(DPS_Graph_Tooltip_Speed=TRUE,IF($E$8=$A741,1/$N$6,),)</f>
        <v/>
      </c>
    </row>
    <row r="742">
      <c r="A742" s="370">
        <v>4.99</v>
      </c>
      <c r="B742" s="213">
        <f>If(DPS_Weapon_Type="远程",($E742+1)/60+(ROUNDDOWN($F742*60+1,0)/60)*2,(ROUNDDOWN(($E742+1)+ROUNDDOWN($F742*60+1,0)+ROUNDDOWN($G742/2*60+1,0)+ROUNDDOWN($H742*60+1,0)+1,0))/60+If(DPS_ATK_TYPE="挥砍",1/60)+If(DPS_ATK_TYPE="挥砍/刺击",1/120))+DPS_Weapon_Randomization/60</f>
        <v>0.105</v>
      </c>
      <c r="C742" s="104" t="str">
        <f>IF(DPS_Graph_True_Speed=TRUE,IF($A742&lt;=DPS_Graph_Max,IF($A742&gt;=DPS_Graph_Speed_Min,1/B742,),),)</f>
        <v/>
      </c>
      <c r="D742" s="115" t="str">
        <f>IF(DPS_Graph_True_Speed=TRUE,IF($E$8=$A742,DPS_Attacks_P_Sec,),)</f>
        <v/>
      </c>
      <c r="E742" s="222">
        <f>ROUNDDOWN(MAX(2,IF(A742&gt;=0, DPS_Base_Wpn_Spd/(1+A742),DPS_Base_Wpn_Spd*(1+ABS(A742)))),0)</f>
        <v>2</v>
      </c>
      <c r="F742" s="232">
        <f>IF(A742&gt;=0, DPS_Base_Recoil/(1+A742),DPS_Base_Recoil)</f>
        <v>0.008347245409</v>
      </c>
      <c r="G742" s="377">
        <f t="shared" si="7"/>
        <v>0.51</v>
      </c>
      <c r="H742" s="377">
        <f t="shared" si="8"/>
        <v>0.01252348153</v>
      </c>
      <c r="I742" s="104"/>
      <c r="J742" s="377">
        <f>MAX(0, Max(25,(DPS_Base_Range + ((DPS_Range_Stat) / 2))) / MIN(MAX(70, (70 * (1 + ($A742 / 3)))), 120))</f>
        <v>3.333333333</v>
      </c>
      <c r="K742" s="115" t="str">
        <f>IF(A742&lt;=DPS_Graph_Max,IF(A742&gt;=DPS_Graph_Speed_Min,A742,),)</f>
        <v/>
      </c>
      <c r="M742" s="213">
        <f>If(DPS_Weapon_Type="远程",$E742/60+$F742*2,$E742/60+$F742+$G742/2+$H742)</f>
        <v>0.05002782415</v>
      </c>
      <c r="N742" s="104" t="str">
        <f>IF(DPS_Graph_Tooltip_Speed=TRUE,IF($A742&lt;=DPS_Graph_Max,IF($A742&gt;=DPS_Graph_Speed_Min,1/M742,),),)</f>
        <v/>
      </c>
      <c r="R742" s="104" t="str">
        <f>IF(DPS_Graph_Tooltip_Speed=TRUE,IF($E$8=$A742,1/$N$6,),)</f>
        <v/>
      </c>
    </row>
    <row r="743">
      <c r="A743" s="370">
        <v>5.0</v>
      </c>
      <c r="B743" s="213">
        <f>If(DPS_Weapon_Type="远程",($E743+1)/60+(ROUNDDOWN($F743*60+1,0)/60)*2,(ROUNDDOWN(($E743+1)+ROUNDDOWN($F743*60+1,0)+ROUNDDOWN($G743/2*60+1,0)+ROUNDDOWN($H743*60+1,0)+1,0))/60+If(DPS_ATK_TYPE="挥砍",1/60)+If(DPS_ATK_TYPE="挥砍/刺击",1/120))+DPS_Weapon_Randomization/60</f>
        <v>0.105</v>
      </c>
      <c r="C743" s="104" t="str">
        <f>IF(DPS_Graph_True_Speed=TRUE,IF($A743&lt;=DPS_Graph_Max,IF($A743&gt;=DPS_Graph_Speed_Min,1/B743,),),)</f>
        <v/>
      </c>
      <c r="D743" s="115" t="str">
        <f>IF(DPS_Graph_True_Speed=TRUE,IF($E$8=$A743,DPS_Attacks_P_Sec,),)</f>
        <v/>
      </c>
      <c r="E743" s="222">
        <f>ROUNDDOWN(MAX(2,IF(A743&gt;=0, DPS_Base_Wpn_Spd/(1+A743),DPS_Base_Wpn_Spd*(1+ABS(A743)))),0)</f>
        <v>2</v>
      </c>
      <c r="F743" s="232">
        <f>IF(A743&gt;=0, DPS_Base_Recoil/(1+A743),DPS_Base_Recoil)</f>
        <v>0.008333333333</v>
      </c>
      <c r="G743" s="377">
        <f t="shared" si="7"/>
        <v>0.51</v>
      </c>
      <c r="H743" s="377">
        <f t="shared" si="8"/>
        <v>0.0125</v>
      </c>
      <c r="I743" s="104"/>
      <c r="J743" s="377">
        <f>MAX(0, Max(25,(DPS_Base_Range + ((DPS_Range_Stat) / 2))) / MIN(MAX(70, (70 * (1 + ($A743 / 3)))), 120))</f>
        <v>3.333333333</v>
      </c>
      <c r="K743" s="115" t="str">
        <f>IF(A743&lt;=DPS_Graph_Max,IF(A743&gt;=DPS_Graph_Speed_Min,A743,),)</f>
        <v/>
      </c>
      <c r="M743" s="213">
        <f>If(DPS_Weapon_Type="远程",$E743/60+$F743*2,$E743/60+$F743+$G743/2+$H743)</f>
        <v>0.05</v>
      </c>
      <c r="N743" s="104" t="str">
        <f>IF(DPS_Graph_Tooltip_Speed=TRUE,IF($A743&lt;=DPS_Graph_Max,IF($A743&gt;=DPS_Graph_Speed_Min,1/M743,),),)</f>
        <v/>
      </c>
      <c r="R743" s="104" t="str">
        <f>IF(DPS_Graph_Tooltip_Speed=TRUE,IF($E$8=$A743,1/$N$6,),)</f>
        <v/>
      </c>
    </row>
    <row r="744">
      <c r="A744" s="370">
        <v>5.01</v>
      </c>
      <c r="B744" s="213">
        <f>If(DPS_Weapon_Type="远程",($E744+1)/60+(ROUNDDOWN($F744*60+1,0)/60)*2,(ROUNDDOWN(($E744+1)+ROUNDDOWN($F744*60+1,0)+ROUNDDOWN($G744/2*60+1,0)+ROUNDDOWN($H744*60+1,0)+1,0))/60+If(DPS_ATK_TYPE="挥砍",1/60)+If(DPS_ATK_TYPE="挥砍/刺击",1/120))+DPS_Weapon_Randomization/60</f>
        <v>0.105</v>
      </c>
      <c r="C744" s="104" t="str">
        <f>IF(DPS_Graph_True_Speed=TRUE,IF($A744&lt;=DPS_Graph_Max,IF($A744&gt;=DPS_Graph_Speed_Min,1/B744,),),)</f>
        <v/>
      </c>
      <c r="D744" s="115" t="str">
        <f>IF(DPS_Graph_True_Speed=TRUE,IF($E$8=$A744,DPS_Attacks_P_Sec,),)</f>
        <v/>
      </c>
      <c r="E744" s="222">
        <f>ROUNDDOWN(MAX(2,IF(A744&gt;=0, DPS_Base_Wpn_Spd/(1+A744),DPS_Base_Wpn_Spd*(1+ABS(A744)))),0)</f>
        <v>2</v>
      </c>
      <c r="F744" s="232">
        <f>IF(A744&gt;=0, DPS_Base_Recoil/(1+A744),DPS_Base_Recoil)</f>
        <v>0.008319467554</v>
      </c>
      <c r="G744" s="377">
        <f t="shared" si="7"/>
        <v>0.51</v>
      </c>
      <c r="H744" s="377">
        <f t="shared" si="8"/>
        <v>0.01247660636</v>
      </c>
      <c r="I744" s="104"/>
      <c r="J744" s="377">
        <f>MAX(0, Max(25,(DPS_Base_Range + ((DPS_Range_Stat) / 2))) / MIN(MAX(70, (70 * (1 + ($A744 / 3)))), 120))</f>
        <v>3.333333333</v>
      </c>
      <c r="K744" s="115" t="str">
        <f>IF(A744&lt;=DPS_Graph_Max,IF(A744&gt;=DPS_Graph_Speed_Min,A744,),)</f>
        <v/>
      </c>
      <c r="M744" s="213">
        <f>If(DPS_Weapon_Type="远程",$E744/60+$F744*2,$E744/60+$F744+$G744/2+$H744)</f>
        <v>0.04997226844</v>
      </c>
      <c r="N744" s="104" t="str">
        <f>IF(DPS_Graph_Tooltip_Speed=TRUE,IF($A744&lt;=DPS_Graph_Max,IF($A744&gt;=DPS_Graph_Speed_Min,1/M744,),),)</f>
        <v/>
      </c>
      <c r="R744" s="104" t="str">
        <f>IF(DPS_Graph_Tooltip_Speed=TRUE,IF($E$8=$A744,1/$N$6,),)</f>
        <v/>
      </c>
    </row>
    <row r="745">
      <c r="A745" s="370">
        <v>5.02</v>
      </c>
      <c r="B745" s="213">
        <f>If(DPS_Weapon_Type="远程",($E745+1)/60+(ROUNDDOWN($F745*60+1,0)/60)*2,(ROUNDDOWN(($E745+1)+ROUNDDOWN($F745*60+1,0)+ROUNDDOWN($G745/2*60+1,0)+ROUNDDOWN($H745*60+1,0)+1,0))/60+If(DPS_ATK_TYPE="挥砍",1/60)+If(DPS_ATK_TYPE="挥砍/刺击",1/120))+DPS_Weapon_Randomization/60</f>
        <v>0.105</v>
      </c>
      <c r="C745" s="104" t="str">
        <f>IF(DPS_Graph_True_Speed=TRUE,IF($A745&lt;=DPS_Graph_Max,IF($A745&gt;=DPS_Graph_Speed_Min,1/B745,),),)</f>
        <v/>
      </c>
      <c r="D745" s="115" t="str">
        <f>IF(DPS_Graph_True_Speed=TRUE,IF($E$8=$A745,DPS_Attacks_P_Sec,),)</f>
        <v/>
      </c>
      <c r="E745" s="222">
        <f>ROUNDDOWN(MAX(2,IF(A745&gt;=0, DPS_Base_Wpn_Spd/(1+A745),DPS_Base_Wpn_Spd*(1+ABS(A745)))),0)</f>
        <v>2</v>
      </c>
      <c r="F745" s="232">
        <f>IF(A745&gt;=0, DPS_Base_Recoil/(1+A745),DPS_Base_Recoil)</f>
        <v>0.008305647841</v>
      </c>
      <c r="G745" s="377">
        <f t="shared" si="7"/>
        <v>0.51</v>
      </c>
      <c r="H745" s="377">
        <f t="shared" si="8"/>
        <v>0.01245330012</v>
      </c>
      <c r="I745" s="104"/>
      <c r="J745" s="377">
        <f>MAX(0, Max(25,(DPS_Base_Range + ((DPS_Range_Stat) / 2))) / MIN(MAX(70, (70 * (1 + ($A745 / 3)))), 120))</f>
        <v>3.333333333</v>
      </c>
      <c r="K745" s="115" t="str">
        <f>IF(A745&lt;=DPS_Graph_Max,IF(A745&gt;=DPS_Graph_Speed_Min,A745,),)</f>
        <v/>
      </c>
      <c r="M745" s="213">
        <f>If(DPS_Weapon_Type="远程",$E745/60+$F745*2,$E745/60+$F745+$G745/2+$H745)</f>
        <v>0.04994462901</v>
      </c>
      <c r="N745" s="104" t="str">
        <f>IF(DPS_Graph_Tooltip_Speed=TRUE,IF($A745&lt;=DPS_Graph_Max,IF($A745&gt;=DPS_Graph_Speed_Min,1/M745,),),)</f>
        <v/>
      </c>
      <c r="R745" s="104" t="str">
        <f>IF(DPS_Graph_Tooltip_Speed=TRUE,IF($E$8=$A745,1/$N$6,),)</f>
        <v/>
      </c>
    </row>
    <row r="746">
      <c r="A746" s="370">
        <v>5.03</v>
      </c>
      <c r="B746" s="213">
        <f>If(DPS_Weapon_Type="远程",($E746+1)/60+(ROUNDDOWN($F746*60+1,0)/60)*2,(ROUNDDOWN(($E746+1)+ROUNDDOWN($F746*60+1,0)+ROUNDDOWN($G746/2*60+1,0)+ROUNDDOWN($H746*60+1,0)+1,0))/60+If(DPS_ATK_TYPE="挥砍",1/60)+If(DPS_ATK_TYPE="挥砍/刺击",1/120))+DPS_Weapon_Randomization/60</f>
        <v>0.105</v>
      </c>
      <c r="C746" s="104" t="str">
        <f>IF(DPS_Graph_True_Speed=TRUE,IF($A746&lt;=DPS_Graph_Max,IF($A746&gt;=DPS_Graph_Speed_Min,1/B746,),),)</f>
        <v/>
      </c>
      <c r="D746" s="115" t="str">
        <f>IF(DPS_Graph_True_Speed=TRUE,IF($E$8=$A746,DPS_Attacks_P_Sec,),)</f>
        <v/>
      </c>
      <c r="E746" s="222">
        <f>ROUNDDOWN(MAX(2,IF(A746&gt;=0, DPS_Base_Wpn_Spd/(1+A746),DPS_Base_Wpn_Spd*(1+ABS(A746)))),0)</f>
        <v>2</v>
      </c>
      <c r="F746" s="232">
        <f>IF(A746&gt;=0, DPS_Base_Recoil/(1+A746),DPS_Base_Recoil)</f>
        <v>0.008291873964</v>
      </c>
      <c r="G746" s="377">
        <f t="shared" si="7"/>
        <v>0.51</v>
      </c>
      <c r="H746" s="377">
        <f t="shared" si="8"/>
        <v>0.0124300808</v>
      </c>
      <c r="I746" s="104"/>
      <c r="J746" s="377">
        <f>MAX(0, Max(25,(DPS_Base_Range + ((DPS_Range_Stat) / 2))) / MIN(MAX(70, (70 * (1 + ($A746 / 3)))), 120))</f>
        <v>3.333333333</v>
      </c>
      <c r="K746" s="115" t="str">
        <f>IF(A746&lt;=DPS_Graph_Max,IF(A746&gt;=DPS_Graph_Speed_Min,A746,),)</f>
        <v/>
      </c>
      <c r="M746" s="213">
        <f>If(DPS_Weapon_Type="远程",$E746/60+$F746*2,$E746/60+$F746+$G746/2+$H746)</f>
        <v>0.04991708126</v>
      </c>
      <c r="N746" s="104" t="str">
        <f>IF(DPS_Graph_Tooltip_Speed=TRUE,IF($A746&lt;=DPS_Graph_Max,IF($A746&gt;=DPS_Graph_Speed_Min,1/M746,),),)</f>
        <v/>
      </c>
      <c r="R746" s="104" t="str">
        <f>IF(DPS_Graph_Tooltip_Speed=TRUE,IF($E$8=$A746,1/$N$6,),)</f>
        <v/>
      </c>
    </row>
    <row r="747">
      <c r="A747" s="370">
        <v>5.04</v>
      </c>
      <c r="B747" s="213">
        <f>If(DPS_Weapon_Type="远程",($E747+1)/60+(ROUNDDOWN($F747*60+1,0)/60)*2,(ROUNDDOWN(($E747+1)+ROUNDDOWN($F747*60+1,0)+ROUNDDOWN($G747/2*60+1,0)+ROUNDDOWN($H747*60+1,0)+1,0))/60+If(DPS_ATK_TYPE="挥砍",1/60)+If(DPS_ATK_TYPE="挥砍/刺击",1/120))+DPS_Weapon_Randomization/60</f>
        <v>0.105</v>
      </c>
      <c r="C747" s="104" t="str">
        <f>IF(DPS_Graph_True_Speed=TRUE,IF($A747&lt;=DPS_Graph_Max,IF($A747&gt;=DPS_Graph_Speed_Min,1/B747,),),)</f>
        <v/>
      </c>
      <c r="D747" s="115" t="str">
        <f>IF(DPS_Graph_True_Speed=TRUE,IF($E$8=$A747,DPS_Attacks_P_Sec,),)</f>
        <v/>
      </c>
      <c r="E747" s="222">
        <f>ROUNDDOWN(MAX(2,IF(A747&gt;=0, DPS_Base_Wpn_Spd/(1+A747),DPS_Base_Wpn_Spd*(1+ABS(A747)))),0)</f>
        <v>2</v>
      </c>
      <c r="F747" s="232">
        <f>IF(A747&gt;=0, DPS_Base_Recoil/(1+A747),DPS_Base_Recoil)</f>
        <v>0.008278145695</v>
      </c>
      <c r="G747" s="377">
        <f t="shared" si="7"/>
        <v>0.51</v>
      </c>
      <c r="H747" s="377">
        <f t="shared" si="8"/>
        <v>0.01240694789</v>
      </c>
      <c r="I747" s="104"/>
      <c r="J747" s="377">
        <f>MAX(0, Max(25,(DPS_Base_Range + ((DPS_Range_Stat) / 2))) / MIN(MAX(70, (70 * (1 + ($A747 / 3)))), 120))</f>
        <v>3.333333333</v>
      </c>
      <c r="K747" s="115" t="str">
        <f>IF(A747&lt;=DPS_Graph_Max,IF(A747&gt;=DPS_Graph_Speed_Min,A747,),)</f>
        <v/>
      </c>
      <c r="M747" s="213">
        <f>If(DPS_Weapon_Type="远程",$E747/60+$F747*2,$E747/60+$F747+$G747/2+$H747)</f>
        <v>0.04988962472</v>
      </c>
      <c r="N747" s="104" t="str">
        <f>IF(DPS_Graph_Tooltip_Speed=TRUE,IF($A747&lt;=DPS_Graph_Max,IF($A747&gt;=DPS_Graph_Speed_Min,1/M747,),),)</f>
        <v/>
      </c>
      <c r="R747" s="104" t="str">
        <f>IF(DPS_Graph_Tooltip_Speed=TRUE,IF($E$8=$A747,1/$N$6,),)</f>
        <v/>
      </c>
    </row>
    <row r="748">
      <c r="A748" s="370">
        <v>5.05</v>
      </c>
      <c r="B748" s="213">
        <f>If(DPS_Weapon_Type="远程",($E748+1)/60+(ROUNDDOWN($F748*60+1,0)/60)*2,(ROUNDDOWN(($E748+1)+ROUNDDOWN($F748*60+1,0)+ROUNDDOWN($G748/2*60+1,0)+ROUNDDOWN($H748*60+1,0)+1,0))/60+If(DPS_ATK_TYPE="挥砍",1/60)+If(DPS_ATK_TYPE="挥砍/刺击",1/120))+DPS_Weapon_Randomization/60</f>
        <v>0.105</v>
      </c>
      <c r="C748" s="104" t="str">
        <f>IF(DPS_Graph_True_Speed=TRUE,IF($A748&lt;=DPS_Graph_Max,IF($A748&gt;=DPS_Graph_Speed_Min,1/B748,),),)</f>
        <v/>
      </c>
      <c r="D748" s="115" t="str">
        <f>IF(DPS_Graph_True_Speed=TRUE,IF($E$8=$A748,DPS_Attacks_P_Sec,),)</f>
        <v/>
      </c>
      <c r="E748" s="222">
        <f>ROUNDDOWN(MAX(2,IF(A748&gt;=0, DPS_Base_Wpn_Spd/(1+A748),DPS_Base_Wpn_Spd*(1+ABS(A748)))),0)</f>
        <v>2</v>
      </c>
      <c r="F748" s="232">
        <f>IF(A748&gt;=0, DPS_Base_Recoil/(1+A748),DPS_Base_Recoil)</f>
        <v>0.00826446281</v>
      </c>
      <c r="G748" s="377">
        <f t="shared" si="7"/>
        <v>0.51</v>
      </c>
      <c r="H748" s="377">
        <f t="shared" si="8"/>
        <v>0.01238390093</v>
      </c>
      <c r="I748" s="104"/>
      <c r="J748" s="377">
        <f>MAX(0, Max(25,(DPS_Base_Range + ((DPS_Range_Stat) / 2))) / MIN(MAX(70, (70 * (1 + ($A748 / 3)))), 120))</f>
        <v>3.333333333</v>
      </c>
      <c r="K748" s="115" t="str">
        <f>IF(A748&lt;=DPS_Graph_Max,IF(A748&gt;=DPS_Graph_Speed_Min,A748,),)</f>
        <v/>
      </c>
      <c r="M748" s="213">
        <f>If(DPS_Weapon_Type="远程",$E748/60+$F748*2,$E748/60+$F748+$G748/2+$H748)</f>
        <v>0.04986225895</v>
      </c>
      <c r="N748" s="104" t="str">
        <f>IF(DPS_Graph_Tooltip_Speed=TRUE,IF($A748&lt;=DPS_Graph_Max,IF($A748&gt;=DPS_Graph_Speed_Min,1/M748,),),)</f>
        <v/>
      </c>
      <c r="R748" s="104" t="str">
        <f>IF(DPS_Graph_Tooltip_Speed=TRUE,IF($E$8=$A748,1/$N$6,),)</f>
        <v/>
      </c>
    </row>
    <row r="749">
      <c r="A749" s="370">
        <v>5.06</v>
      </c>
      <c r="B749" s="213">
        <f>If(DPS_Weapon_Type="远程",($E749+1)/60+(ROUNDDOWN($F749*60+1,0)/60)*2,(ROUNDDOWN(($E749+1)+ROUNDDOWN($F749*60+1,0)+ROUNDDOWN($G749/2*60+1,0)+ROUNDDOWN($H749*60+1,0)+1,0))/60+If(DPS_ATK_TYPE="挥砍",1/60)+If(DPS_ATK_TYPE="挥砍/刺击",1/120))+DPS_Weapon_Randomization/60</f>
        <v>0.105</v>
      </c>
      <c r="C749" s="104" t="str">
        <f>IF(DPS_Graph_True_Speed=TRUE,IF($A749&lt;=DPS_Graph_Max,IF($A749&gt;=DPS_Graph_Speed_Min,1/B749,),),)</f>
        <v/>
      </c>
      <c r="D749" s="115" t="str">
        <f>IF(DPS_Graph_True_Speed=TRUE,IF($E$8=$A749,DPS_Attacks_P_Sec,),)</f>
        <v/>
      </c>
      <c r="E749" s="222">
        <f>ROUNDDOWN(MAX(2,IF(A749&gt;=0, DPS_Base_Wpn_Spd/(1+A749),DPS_Base_Wpn_Spd*(1+ABS(A749)))),0)</f>
        <v>2</v>
      </c>
      <c r="F749" s="232">
        <f>IF(A749&gt;=0, DPS_Base_Recoil/(1+A749),DPS_Base_Recoil)</f>
        <v>0.008250825083</v>
      </c>
      <c r="G749" s="377">
        <f t="shared" si="7"/>
        <v>0.51</v>
      </c>
      <c r="H749" s="377">
        <f t="shared" si="8"/>
        <v>0.01236093943</v>
      </c>
      <c r="I749" s="104"/>
      <c r="J749" s="377">
        <f>MAX(0, Max(25,(DPS_Base_Range + ((DPS_Range_Stat) / 2))) / MIN(MAX(70, (70 * (1 + ($A749 / 3)))), 120))</f>
        <v>3.333333333</v>
      </c>
      <c r="K749" s="115" t="str">
        <f>IF(A749&lt;=DPS_Graph_Max,IF(A749&gt;=DPS_Graph_Speed_Min,A749,),)</f>
        <v/>
      </c>
      <c r="M749" s="213">
        <f>If(DPS_Weapon_Type="远程",$E749/60+$F749*2,$E749/60+$F749+$G749/2+$H749)</f>
        <v>0.0498349835</v>
      </c>
      <c r="N749" s="104" t="str">
        <f>IF(DPS_Graph_Tooltip_Speed=TRUE,IF($A749&lt;=DPS_Graph_Max,IF($A749&gt;=DPS_Graph_Speed_Min,1/M749,),),)</f>
        <v/>
      </c>
      <c r="R749" s="104" t="str">
        <f>IF(DPS_Graph_Tooltip_Speed=TRUE,IF($E$8=$A749,1/$N$6,),)</f>
        <v/>
      </c>
    </row>
    <row r="750">
      <c r="A750" s="370">
        <v>5.07</v>
      </c>
      <c r="B750" s="213">
        <f>If(DPS_Weapon_Type="远程",($E750+1)/60+(ROUNDDOWN($F750*60+1,0)/60)*2,(ROUNDDOWN(($E750+1)+ROUNDDOWN($F750*60+1,0)+ROUNDDOWN($G750/2*60+1,0)+ROUNDDOWN($H750*60+1,0)+1,0))/60+If(DPS_ATK_TYPE="挥砍",1/60)+If(DPS_ATK_TYPE="挥砍/刺击",1/120))+DPS_Weapon_Randomization/60</f>
        <v>0.105</v>
      </c>
      <c r="C750" s="104" t="str">
        <f>IF(DPS_Graph_True_Speed=TRUE,IF($A750&lt;=DPS_Graph_Max,IF($A750&gt;=DPS_Graph_Speed_Min,1/B750,),),)</f>
        <v/>
      </c>
      <c r="D750" s="115" t="str">
        <f>IF(DPS_Graph_True_Speed=TRUE,IF($E$8=$A750,DPS_Attacks_P_Sec,),)</f>
        <v/>
      </c>
      <c r="E750" s="222">
        <f>ROUNDDOWN(MAX(2,IF(A750&gt;=0, DPS_Base_Wpn_Spd/(1+A750),DPS_Base_Wpn_Spd*(1+ABS(A750)))),0)</f>
        <v>2</v>
      </c>
      <c r="F750" s="232">
        <f>IF(A750&gt;=0, DPS_Base_Recoil/(1+A750),DPS_Base_Recoil)</f>
        <v>0.00823723229</v>
      </c>
      <c r="G750" s="377">
        <f t="shared" si="7"/>
        <v>0.51</v>
      </c>
      <c r="H750" s="377">
        <f t="shared" si="8"/>
        <v>0.01233806292</v>
      </c>
      <c r="I750" s="104"/>
      <c r="J750" s="377">
        <f>MAX(0, Max(25,(DPS_Base_Range + ((DPS_Range_Stat) / 2))) / MIN(MAX(70, (70 * (1 + ($A750 / 3)))), 120))</f>
        <v>3.333333333</v>
      </c>
      <c r="K750" s="115" t="str">
        <f>IF(A750&lt;=DPS_Graph_Max,IF(A750&gt;=DPS_Graph_Speed_Min,A750,),)</f>
        <v/>
      </c>
      <c r="M750" s="213">
        <f>If(DPS_Weapon_Type="远程",$E750/60+$F750*2,$E750/60+$F750+$G750/2+$H750)</f>
        <v>0.04980779791</v>
      </c>
      <c r="N750" s="104" t="str">
        <f>IF(DPS_Graph_Tooltip_Speed=TRUE,IF($A750&lt;=DPS_Graph_Max,IF($A750&gt;=DPS_Graph_Speed_Min,1/M750,),),)</f>
        <v/>
      </c>
      <c r="R750" s="104" t="str">
        <f>IF(DPS_Graph_Tooltip_Speed=TRUE,IF($E$8=$A750,1/$N$6,),)</f>
        <v/>
      </c>
    </row>
    <row r="751">
      <c r="A751" s="370">
        <v>5.08</v>
      </c>
      <c r="B751" s="213">
        <f>If(DPS_Weapon_Type="远程",($E751+1)/60+(ROUNDDOWN($F751*60+1,0)/60)*2,(ROUNDDOWN(($E751+1)+ROUNDDOWN($F751*60+1,0)+ROUNDDOWN($G751/2*60+1,0)+ROUNDDOWN($H751*60+1,0)+1,0))/60+If(DPS_ATK_TYPE="挥砍",1/60)+If(DPS_ATK_TYPE="挥砍/刺击",1/120))+DPS_Weapon_Randomization/60</f>
        <v>0.105</v>
      </c>
      <c r="C751" s="104" t="str">
        <f>IF(DPS_Graph_True_Speed=TRUE,IF($A751&lt;=DPS_Graph_Max,IF($A751&gt;=DPS_Graph_Speed_Min,1/B751,),),)</f>
        <v/>
      </c>
      <c r="D751" s="115" t="str">
        <f>IF(DPS_Graph_True_Speed=TRUE,IF($E$8=$A751,DPS_Attacks_P_Sec,),)</f>
        <v/>
      </c>
      <c r="E751" s="222">
        <f>ROUNDDOWN(MAX(2,IF(A751&gt;=0, DPS_Base_Wpn_Spd/(1+A751),DPS_Base_Wpn_Spd*(1+ABS(A751)))),0)</f>
        <v>2</v>
      </c>
      <c r="F751" s="232">
        <f>IF(A751&gt;=0, DPS_Base_Recoil/(1+A751),DPS_Base_Recoil)</f>
        <v>0.008223684211</v>
      </c>
      <c r="G751" s="377">
        <f t="shared" si="7"/>
        <v>0.51</v>
      </c>
      <c r="H751" s="377">
        <f t="shared" si="8"/>
        <v>0.01231527094</v>
      </c>
      <c r="I751" s="104"/>
      <c r="J751" s="377">
        <f>MAX(0, Max(25,(DPS_Base_Range + ((DPS_Range_Stat) / 2))) / MIN(MAX(70, (70 * (1 + ($A751 / 3)))), 120))</f>
        <v>3.333333333</v>
      </c>
      <c r="K751" s="115" t="str">
        <f>IF(A751&lt;=DPS_Graph_Max,IF(A751&gt;=DPS_Graph_Speed_Min,A751,),)</f>
        <v/>
      </c>
      <c r="M751" s="213">
        <f>If(DPS_Weapon_Type="远程",$E751/60+$F751*2,$E751/60+$F751+$G751/2+$H751)</f>
        <v>0.04978070175</v>
      </c>
      <c r="N751" s="104" t="str">
        <f>IF(DPS_Graph_Tooltip_Speed=TRUE,IF($A751&lt;=DPS_Graph_Max,IF($A751&gt;=DPS_Graph_Speed_Min,1/M751,),),)</f>
        <v/>
      </c>
      <c r="R751" s="104" t="str">
        <f>IF(DPS_Graph_Tooltip_Speed=TRUE,IF($E$8=$A751,1/$N$6,),)</f>
        <v/>
      </c>
    </row>
    <row r="752">
      <c r="A752" s="370">
        <v>5.09</v>
      </c>
      <c r="B752" s="213">
        <f>If(DPS_Weapon_Type="远程",($E752+1)/60+(ROUNDDOWN($F752*60+1,0)/60)*2,(ROUNDDOWN(($E752+1)+ROUNDDOWN($F752*60+1,0)+ROUNDDOWN($G752/2*60+1,0)+ROUNDDOWN($H752*60+1,0)+1,0))/60+If(DPS_ATK_TYPE="挥砍",1/60)+If(DPS_ATK_TYPE="挥砍/刺击",1/120))+DPS_Weapon_Randomization/60</f>
        <v>0.105</v>
      </c>
      <c r="C752" s="104" t="str">
        <f>IF(DPS_Graph_True_Speed=TRUE,IF($A752&lt;=DPS_Graph_Max,IF($A752&gt;=DPS_Graph_Speed_Min,1/B752,),),)</f>
        <v/>
      </c>
      <c r="D752" s="115" t="str">
        <f>IF(DPS_Graph_True_Speed=TRUE,IF($E$8=$A752,DPS_Attacks_P_Sec,),)</f>
        <v/>
      </c>
      <c r="E752" s="222">
        <f>ROUNDDOWN(MAX(2,IF(A752&gt;=0, DPS_Base_Wpn_Spd/(1+A752),DPS_Base_Wpn_Spd*(1+ABS(A752)))),0)</f>
        <v>2</v>
      </c>
      <c r="F752" s="232">
        <f>IF(A752&gt;=0, DPS_Base_Recoil/(1+A752),DPS_Base_Recoil)</f>
        <v>0.008210180624</v>
      </c>
      <c r="G752" s="377">
        <f t="shared" si="7"/>
        <v>0.51</v>
      </c>
      <c r="H752" s="377">
        <f t="shared" si="8"/>
        <v>0.012292563</v>
      </c>
      <c r="I752" s="104"/>
      <c r="J752" s="377">
        <f>MAX(0, Max(25,(DPS_Base_Range + ((DPS_Range_Stat) / 2))) / MIN(MAX(70, (70 * (1 + ($A752 / 3)))), 120))</f>
        <v>3.333333333</v>
      </c>
      <c r="K752" s="115" t="str">
        <f>IF(A752&lt;=DPS_Graph_Max,IF(A752&gt;=DPS_Graph_Speed_Min,A752,),)</f>
        <v/>
      </c>
      <c r="M752" s="213">
        <f>If(DPS_Weapon_Type="远程",$E752/60+$F752*2,$E752/60+$F752+$G752/2+$H752)</f>
        <v>0.04975369458</v>
      </c>
      <c r="N752" s="104" t="str">
        <f>IF(DPS_Graph_Tooltip_Speed=TRUE,IF($A752&lt;=DPS_Graph_Max,IF($A752&gt;=DPS_Graph_Speed_Min,1/M752,),),)</f>
        <v/>
      </c>
      <c r="R752" s="104" t="str">
        <f>IF(DPS_Graph_Tooltip_Speed=TRUE,IF($E$8=$A752,1/$N$6,),)</f>
        <v/>
      </c>
    </row>
    <row r="753">
      <c r="A753" s="370">
        <v>5.1</v>
      </c>
      <c r="B753" s="213">
        <f>If(DPS_Weapon_Type="远程",($E753+1)/60+(ROUNDDOWN($F753*60+1,0)/60)*2,(ROUNDDOWN(($E753+1)+ROUNDDOWN($F753*60+1,0)+ROUNDDOWN($G753/2*60+1,0)+ROUNDDOWN($H753*60+1,0)+1,0))/60+If(DPS_ATK_TYPE="挥砍",1/60)+If(DPS_ATK_TYPE="挥砍/刺击",1/120))+DPS_Weapon_Randomization/60</f>
        <v>0.105</v>
      </c>
      <c r="C753" s="104" t="str">
        <f>IF(DPS_Graph_True_Speed=TRUE,IF($A753&lt;=DPS_Graph_Max,IF($A753&gt;=DPS_Graph_Speed_Min,1/B753,),),)</f>
        <v/>
      </c>
      <c r="D753" s="115" t="str">
        <f>IF(DPS_Graph_True_Speed=TRUE,IF($E$8=$A753,DPS_Attacks_P_Sec,),)</f>
        <v/>
      </c>
      <c r="E753" s="222">
        <f>ROUNDDOWN(MAX(2,IF(A753&gt;=0, DPS_Base_Wpn_Spd/(1+A753),DPS_Base_Wpn_Spd*(1+ABS(A753)))),0)</f>
        <v>2</v>
      </c>
      <c r="F753" s="232">
        <f>IF(A753&gt;=0, DPS_Base_Recoil/(1+A753),DPS_Base_Recoil)</f>
        <v>0.008196721311</v>
      </c>
      <c r="G753" s="377">
        <f t="shared" si="7"/>
        <v>0.51</v>
      </c>
      <c r="H753" s="377">
        <f t="shared" si="8"/>
        <v>0.01226993865</v>
      </c>
      <c r="I753" s="104"/>
      <c r="J753" s="377">
        <f>MAX(0, Max(25,(DPS_Base_Range + ((DPS_Range_Stat) / 2))) / MIN(MAX(70, (70 * (1 + ($A753 / 3)))), 120))</f>
        <v>3.333333333</v>
      </c>
      <c r="K753" s="115" t="str">
        <f>IF(A753&lt;=DPS_Graph_Max,IF(A753&gt;=DPS_Graph_Speed_Min,A753,),)</f>
        <v/>
      </c>
      <c r="M753" s="213">
        <f>If(DPS_Weapon_Type="远程",$E753/60+$F753*2,$E753/60+$F753+$G753/2+$H753)</f>
        <v>0.04972677596</v>
      </c>
      <c r="N753" s="104" t="str">
        <f>IF(DPS_Graph_Tooltip_Speed=TRUE,IF($A753&lt;=DPS_Graph_Max,IF($A753&gt;=DPS_Graph_Speed_Min,1/M753,),),)</f>
        <v/>
      </c>
      <c r="R753" s="104" t="str">
        <f>IF(DPS_Graph_Tooltip_Speed=TRUE,IF($E$8=$A753,1/$N$6,),)</f>
        <v/>
      </c>
    </row>
    <row r="754">
      <c r="A754" s="370">
        <v>5.11</v>
      </c>
      <c r="B754" s="213">
        <f>If(DPS_Weapon_Type="远程",($E754+1)/60+(ROUNDDOWN($F754*60+1,0)/60)*2,(ROUNDDOWN(($E754+1)+ROUNDDOWN($F754*60+1,0)+ROUNDDOWN($G754/2*60+1,0)+ROUNDDOWN($H754*60+1,0)+1,0))/60+If(DPS_ATK_TYPE="挥砍",1/60)+If(DPS_ATK_TYPE="挥砍/刺击",1/120))+DPS_Weapon_Randomization/60</f>
        <v>0.105</v>
      </c>
      <c r="C754" s="104" t="str">
        <f>IF(DPS_Graph_True_Speed=TRUE,IF($A754&lt;=DPS_Graph_Max,IF($A754&gt;=DPS_Graph_Speed_Min,1/B754,),),)</f>
        <v/>
      </c>
      <c r="D754" s="115" t="str">
        <f>IF(DPS_Graph_True_Speed=TRUE,IF($E$8=$A754,DPS_Attacks_P_Sec,),)</f>
        <v/>
      </c>
      <c r="E754" s="222">
        <f>ROUNDDOWN(MAX(2,IF(A754&gt;=0, DPS_Base_Wpn_Spd/(1+A754),DPS_Base_Wpn_Spd*(1+ABS(A754)))),0)</f>
        <v>2</v>
      </c>
      <c r="F754" s="232">
        <f>IF(A754&gt;=0, DPS_Base_Recoil/(1+A754),DPS_Base_Recoil)</f>
        <v>0.008183306056</v>
      </c>
      <c r="G754" s="377">
        <f t="shared" si="7"/>
        <v>0.51</v>
      </c>
      <c r="H754" s="377">
        <f t="shared" si="8"/>
        <v>0.01224739743</v>
      </c>
      <c r="I754" s="104"/>
      <c r="J754" s="377">
        <f>MAX(0, Max(25,(DPS_Base_Range + ((DPS_Range_Stat) / 2))) / MIN(MAX(70, (70 * (1 + ($A754 / 3)))), 120))</f>
        <v>3.333333333</v>
      </c>
      <c r="K754" s="115" t="str">
        <f>IF(A754&lt;=DPS_Graph_Max,IF(A754&gt;=DPS_Graph_Speed_Min,A754,),)</f>
        <v/>
      </c>
      <c r="M754" s="213">
        <f>If(DPS_Weapon_Type="远程",$E754/60+$F754*2,$E754/60+$F754+$G754/2+$H754)</f>
        <v>0.04969994544</v>
      </c>
      <c r="N754" s="104" t="str">
        <f>IF(DPS_Graph_Tooltip_Speed=TRUE,IF($A754&lt;=DPS_Graph_Max,IF($A754&gt;=DPS_Graph_Speed_Min,1/M754,),),)</f>
        <v/>
      </c>
      <c r="R754" s="104" t="str">
        <f>IF(DPS_Graph_Tooltip_Speed=TRUE,IF($E$8=$A754,1/$N$6,),)</f>
        <v/>
      </c>
    </row>
    <row r="755">
      <c r="A755" s="370">
        <v>5.12</v>
      </c>
      <c r="B755" s="213">
        <f>If(DPS_Weapon_Type="远程",($E755+1)/60+(ROUNDDOWN($F755*60+1,0)/60)*2,(ROUNDDOWN(($E755+1)+ROUNDDOWN($F755*60+1,0)+ROUNDDOWN($G755/2*60+1,0)+ROUNDDOWN($H755*60+1,0)+1,0))/60+If(DPS_ATK_TYPE="挥砍",1/60)+If(DPS_ATK_TYPE="挥砍/刺击",1/120))+DPS_Weapon_Randomization/60</f>
        <v>0.105</v>
      </c>
      <c r="C755" s="104" t="str">
        <f>IF(DPS_Graph_True_Speed=TRUE,IF($A755&lt;=DPS_Graph_Max,IF($A755&gt;=DPS_Graph_Speed_Min,1/B755,),),)</f>
        <v/>
      </c>
      <c r="D755" s="115" t="str">
        <f>IF(DPS_Graph_True_Speed=TRUE,IF($E$8=$A755,DPS_Attacks_P_Sec,),)</f>
        <v/>
      </c>
      <c r="E755" s="222">
        <f>ROUNDDOWN(MAX(2,IF(A755&gt;=0, DPS_Base_Wpn_Spd/(1+A755),DPS_Base_Wpn_Spd*(1+ABS(A755)))),0)</f>
        <v>2</v>
      </c>
      <c r="F755" s="232">
        <f>IF(A755&gt;=0, DPS_Base_Recoil/(1+A755),DPS_Base_Recoil)</f>
        <v>0.008169934641</v>
      </c>
      <c r="G755" s="377">
        <f t="shared" si="7"/>
        <v>0.51</v>
      </c>
      <c r="H755" s="377">
        <f t="shared" si="8"/>
        <v>0.01222493888</v>
      </c>
      <c r="I755" s="104"/>
      <c r="J755" s="377">
        <f>MAX(0, Max(25,(DPS_Base_Range + ((DPS_Range_Stat) / 2))) / MIN(MAX(70, (70 * (1 + ($A755 / 3)))), 120))</f>
        <v>3.333333333</v>
      </c>
      <c r="K755" s="115" t="str">
        <f>IF(A755&lt;=DPS_Graph_Max,IF(A755&gt;=DPS_Graph_Speed_Min,A755,),)</f>
        <v/>
      </c>
      <c r="M755" s="213">
        <f>If(DPS_Weapon_Type="远程",$E755/60+$F755*2,$E755/60+$F755+$G755/2+$H755)</f>
        <v>0.04967320261</v>
      </c>
      <c r="N755" s="104" t="str">
        <f>IF(DPS_Graph_Tooltip_Speed=TRUE,IF($A755&lt;=DPS_Graph_Max,IF($A755&gt;=DPS_Graph_Speed_Min,1/M755,),),)</f>
        <v/>
      </c>
      <c r="R755" s="104" t="str">
        <f>IF(DPS_Graph_Tooltip_Speed=TRUE,IF($E$8=$A755,1/$N$6,),)</f>
        <v/>
      </c>
    </row>
    <row r="756">
      <c r="A756" s="370">
        <v>5.13</v>
      </c>
      <c r="B756" s="213">
        <f>If(DPS_Weapon_Type="远程",($E756+1)/60+(ROUNDDOWN($F756*60+1,0)/60)*2,(ROUNDDOWN(($E756+1)+ROUNDDOWN($F756*60+1,0)+ROUNDDOWN($G756/2*60+1,0)+ROUNDDOWN($H756*60+1,0)+1,0))/60+If(DPS_ATK_TYPE="挥砍",1/60)+If(DPS_ATK_TYPE="挥砍/刺击",1/120))+DPS_Weapon_Randomization/60</f>
        <v>0.105</v>
      </c>
      <c r="C756" s="104" t="str">
        <f>IF(DPS_Graph_True_Speed=TRUE,IF($A756&lt;=DPS_Graph_Max,IF($A756&gt;=DPS_Graph_Speed_Min,1/B756,),),)</f>
        <v/>
      </c>
      <c r="D756" s="115" t="str">
        <f>IF(DPS_Graph_True_Speed=TRUE,IF($E$8=$A756,DPS_Attacks_P_Sec,),)</f>
        <v/>
      </c>
      <c r="E756" s="222">
        <f>ROUNDDOWN(MAX(2,IF(A756&gt;=0, DPS_Base_Wpn_Spd/(1+A756),DPS_Base_Wpn_Spd*(1+ABS(A756)))),0)</f>
        <v>2</v>
      </c>
      <c r="F756" s="232">
        <f>IF(A756&gt;=0, DPS_Base_Recoil/(1+A756),DPS_Base_Recoil)</f>
        <v>0.008156606852</v>
      </c>
      <c r="G756" s="377">
        <f t="shared" si="7"/>
        <v>0.51</v>
      </c>
      <c r="H756" s="377">
        <f t="shared" si="8"/>
        <v>0.01220256254</v>
      </c>
      <c r="I756" s="104"/>
      <c r="J756" s="377">
        <f>MAX(0, Max(25,(DPS_Base_Range + ((DPS_Range_Stat) / 2))) / MIN(MAX(70, (70 * (1 + ($A756 / 3)))), 120))</f>
        <v>3.333333333</v>
      </c>
      <c r="K756" s="115" t="str">
        <f>IF(A756&lt;=DPS_Graph_Max,IF(A756&gt;=DPS_Graph_Speed_Min,A756,),)</f>
        <v/>
      </c>
      <c r="M756" s="213">
        <f>If(DPS_Weapon_Type="远程",$E756/60+$F756*2,$E756/60+$F756+$G756/2+$H756)</f>
        <v>0.04964654704</v>
      </c>
      <c r="N756" s="104" t="str">
        <f>IF(DPS_Graph_Tooltip_Speed=TRUE,IF($A756&lt;=DPS_Graph_Max,IF($A756&gt;=DPS_Graph_Speed_Min,1/M756,),),)</f>
        <v/>
      </c>
      <c r="R756" s="104" t="str">
        <f>IF(DPS_Graph_Tooltip_Speed=TRUE,IF($E$8=$A756,1/$N$6,),)</f>
        <v/>
      </c>
    </row>
    <row r="757">
      <c r="A757" s="370">
        <v>5.14</v>
      </c>
      <c r="B757" s="213">
        <f>If(DPS_Weapon_Type="远程",($E757+1)/60+(ROUNDDOWN($F757*60+1,0)/60)*2,(ROUNDDOWN(($E757+1)+ROUNDDOWN($F757*60+1,0)+ROUNDDOWN($G757/2*60+1,0)+ROUNDDOWN($H757*60+1,0)+1,0))/60+If(DPS_ATK_TYPE="挥砍",1/60)+If(DPS_ATK_TYPE="挥砍/刺击",1/120))+DPS_Weapon_Randomization/60</f>
        <v>0.105</v>
      </c>
      <c r="C757" s="104" t="str">
        <f>IF(DPS_Graph_True_Speed=TRUE,IF($A757&lt;=DPS_Graph_Max,IF($A757&gt;=DPS_Graph_Speed_Min,1/B757,),),)</f>
        <v/>
      </c>
      <c r="D757" s="115" t="str">
        <f>IF(DPS_Graph_True_Speed=TRUE,IF($E$8=$A757,DPS_Attacks_P_Sec,),)</f>
        <v/>
      </c>
      <c r="E757" s="222">
        <f>ROUNDDOWN(MAX(2,IF(A757&gt;=0, DPS_Base_Wpn_Spd/(1+A757),DPS_Base_Wpn_Spd*(1+ABS(A757)))),0)</f>
        <v>2</v>
      </c>
      <c r="F757" s="232">
        <f>IF(A757&gt;=0, DPS_Base_Recoil/(1+A757),DPS_Base_Recoil)</f>
        <v>0.008143322476</v>
      </c>
      <c r="G757" s="377">
        <f t="shared" si="7"/>
        <v>0.51</v>
      </c>
      <c r="H757" s="377">
        <f t="shared" si="8"/>
        <v>0.01218026797</v>
      </c>
      <c r="I757" s="104"/>
      <c r="J757" s="377">
        <f>MAX(0, Max(25,(DPS_Base_Range + ((DPS_Range_Stat) / 2))) / MIN(MAX(70, (70 * (1 + ($A757 / 3)))), 120))</f>
        <v>3.333333333</v>
      </c>
      <c r="K757" s="115" t="str">
        <f>IF(A757&lt;=DPS_Graph_Max,IF(A757&gt;=DPS_Graph_Speed_Min,A757,),)</f>
        <v/>
      </c>
      <c r="M757" s="213">
        <f>If(DPS_Weapon_Type="远程",$E757/60+$F757*2,$E757/60+$F757+$G757/2+$H757)</f>
        <v>0.04961997828</v>
      </c>
      <c r="N757" s="104" t="str">
        <f>IF(DPS_Graph_Tooltip_Speed=TRUE,IF($A757&lt;=DPS_Graph_Max,IF($A757&gt;=DPS_Graph_Speed_Min,1/M757,),),)</f>
        <v/>
      </c>
      <c r="R757" s="104" t="str">
        <f>IF(DPS_Graph_Tooltip_Speed=TRUE,IF($E$8=$A757,1/$N$6,),)</f>
        <v/>
      </c>
    </row>
    <row r="758">
      <c r="A758" s="370">
        <v>5.15</v>
      </c>
      <c r="B758" s="213">
        <f>If(DPS_Weapon_Type="远程",($E758+1)/60+(ROUNDDOWN($F758*60+1,0)/60)*2,(ROUNDDOWN(($E758+1)+ROUNDDOWN($F758*60+1,0)+ROUNDDOWN($G758/2*60+1,0)+ROUNDDOWN($H758*60+1,0)+1,0))/60+If(DPS_ATK_TYPE="挥砍",1/60)+If(DPS_ATK_TYPE="挥砍/刺击",1/120))+DPS_Weapon_Randomization/60</f>
        <v>0.105</v>
      </c>
      <c r="C758" s="104" t="str">
        <f>IF(DPS_Graph_True_Speed=TRUE,IF($A758&lt;=DPS_Graph_Max,IF($A758&gt;=DPS_Graph_Speed_Min,1/B758,),),)</f>
        <v/>
      </c>
      <c r="D758" s="115" t="str">
        <f>IF(DPS_Graph_True_Speed=TRUE,IF($E$8=$A758,DPS_Attacks_P_Sec,),)</f>
        <v/>
      </c>
      <c r="E758" s="222">
        <f>ROUNDDOWN(MAX(2,IF(A758&gt;=0, DPS_Base_Wpn_Spd/(1+A758),DPS_Base_Wpn_Spd*(1+ABS(A758)))),0)</f>
        <v>2</v>
      </c>
      <c r="F758" s="232">
        <f>IF(A758&gt;=0, DPS_Base_Recoil/(1+A758),DPS_Base_Recoil)</f>
        <v>0.008130081301</v>
      </c>
      <c r="G758" s="377">
        <f t="shared" si="7"/>
        <v>0.51</v>
      </c>
      <c r="H758" s="377">
        <f t="shared" si="8"/>
        <v>0.01215805471</v>
      </c>
      <c r="I758" s="104"/>
      <c r="J758" s="377">
        <f>MAX(0, Max(25,(DPS_Base_Range + ((DPS_Range_Stat) / 2))) / MIN(MAX(70, (70 * (1 + ($A758 / 3)))), 120))</f>
        <v>3.333333333</v>
      </c>
      <c r="K758" s="115" t="str">
        <f>IF(A758&lt;=DPS_Graph_Max,IF(A758&gt;=DPS_Graph_Speed_Min,A758,),)</f>
        <v/>
      </c>
      <c r="M758" s="213">
        <f>If(DPS_Weapon_Type="远程",$E758/60+$F758*2,$E758/60+$F758+$G758/2+$H758)</f>
        <v>0.04959349593</v>
      </c>
      <c r="N758" s="104" t="str">
        <f>IF(DPS_Graph_Tooltip_Speed=TRUE,IF($A758&lt;=DPS_Graph_Max,IF($A758&gt;=DPS_Graph_Speed_Min,1/M758,),),)</f>
        <v/>
      </c>
      <c r="R758" s="104" t="str">
        <f>IF(DPS_Graph_Tooltip_Speed=TRUE,IF($E$8=$A758,1/$N$6,),)</f>
        <v/>
      </c>
    </row>
    <row r="759">
      <c r="A759" s="370">
        <v>5.16</v>
      </c>
      <c r="B759" s="213">
        <f>If(DPS_Weapon_Type="远程",($E759+1)/60+(ROUNDDOWN($F759*60+1,0)/60)*2,(ROUNDDOWN(($E759+1)+ROUNDDOWN($F759*60+1,0)+ROUNDDOWN($G759/2*60+1,0)+ROUNDDOWN($H759*60+1,0)+1,0))/60+If(DPS_ATK_TYPE="挥砍",1/60)+If(DPS_ATK_TYPE="挥砍/刺击",1/120))+DPS_Weapon_Randomization/60</f>
        <v>0.105</v>
      </c>
      <c r="C759" s="104" t="str">
        <f>IF(DPS_Graph_True_Speed=TRUE,IF($A759&lt;=DPS_Graph_Max,IF($A759&gt;=DPS_Graph_Speed_Min,1/B759,),),)</f>
        <v/>
      </c>
      <c r="D759" s="115" t="str">
        <f>IF(DPS_Graph_True_Speed=TRUE,IF($E$8=$A759,DPS_Attacks_P_Sec,),)</f>
        <v/>
      </c>
      <c r="E759" s="222">
        <f>ROUNDDOWN(MAX(2,IF(A759&gt;=0, DPS_Base_Wpn_Spd/(1+A759),DPS_Base_Wpn_Spd*(1+ABS(A759)))),0)</f>
        <v>2</v>
      </c>
      <c r="F759" s="232">
        <f>IF(A759&gt;=0, DPS_Base_Recoil/(1+A759),DPS_Base_Recoil)</f>
        <v>0.008116883117</v>
      </c>
      <c r="G759" s="377">
        <f t="shared" si="7"/>
        <v>0.51</v>
      </c>
      <c r="H759" s="377">
        <f t="shared" si="8"/>
        <v>0.01213592233</v>
      </c>
      <c r="I759" s="104"/>
      <c r="J759" s="377">
        <f>MAX(0, Max(25,(DPS_Base_Range + ((DPS_Range_Stat) / 2))) / MIN(MAX(70, (70 * (1 + ($A759 / 3)))), 120))</f>
        <v>3.333333333</v>
      </c>
      <c r="K759" s="115" t="str">
        <f>IF(A759&lt;=DPS_Graph_Max,IF(A759&gt;=DPS_Graph_Speed_Min,A759,),)</f>
        <v/>
      </c>
      <c r="M759" s="213">
        <f>If(DPS_Weapon_Type="远程",$E759/60+$F759*2,$E759/60+$F759+$G759/2+$H759)</f>
        <v>0.04956709957</v>
      </c>
      <c r="N759" s="104" t="str">
        <f>IF(DPS_Graph_Tooltip_Speed=TRUE,IF($A759&lt;=DPS_Graph_Max,IF($A759&gt;=DPS_Graph_Speed_Min,1/M759,),),)</f>
        <v/>
      </c>
      <c r="R759" s="104" t="str">
        <f>IF(DPS_Graph_Tooltip_Speed=TRUE,IF($E$8=$A759,1/$N$6,),)</f>
        <v/>
      </c>
    </row>
    <row r="760">
      <c r="A760" s="370">
        <v>5.17</v>
      </c>
      <c r="B760" s="213">
        <f>If(DPS_Weapon_Type="远程",($E760+1)/60+(ROUNDDOWN($F760*60+1,0)/60)*2,(ROUNDDOWN(($E760+1)+ROUNDDOWN($F760*60+1,0)+ROUNDDOWN($G760/2*60+1,0)+ROUNDDOWN($H760*60+1,0)+1,0))/60+If(DPS_ATK_TYPE="挥砍",1/60)+If(DPS_ATK_TYPE="挥砍/刺击",1/120))+DPS_Weapon_Randomization/60</f>
        <v>0.105</v>
      </c>
      <c r="C760" s="104" t="str">
        <f>IF(DPS_Graph_True_Speed=TRUE,IF($A760&lt;=DPS_Graph_Max,IF($A760&gt;=DPS_Graph_Speed_Min,1/B760,),),)</f>
        <v/>
      </c>
      <c r="D760" s="115" t="str">
        <f>IF(DPS_Graph_True_Speed=TRUE,IF($E$8=$A760,DPS_Attacks_P_Sec,),)</f>
        <v/>
      </c>
      <c r="E760" s="222">
        <f>ROUNDDOWN(MAX(2,IF(A760&gt;=0, DPS_Base_Wpn_Spd/(1+A760),DPS_Base_Wpn_Spd*(1+ABS(A760)))),0)</f>
        <v>2</v>
      </c>
      <c r="F760" s="232">
        <f>IF(A760&gt;=0, DPS_Base_Recoil/(1+A760),DPS_Base_Recoil)</f>
        <v>0.008103727715</v>
      </c>
      <c r="G760" s="377">
        <f t="shared" si="7"/>
        <v>0.51</v>
      </c>
      <c r="H760" s="377">
        <f t="shared" si="8"/>
        <v>0.01211387038</v>
      </c>
      <c r="I760" s="104"/>
      <c r="J760" s="377">
        <f>MAX(0, Max(25,(DPS_Base_Range + ((DPS_Range_Stat) / 2))) / MIN(MAX(70, (70 * (1 + ($A760 / 3)))), 120))</f>
        <v>3.333333333</v>
      </c>
      <c r="K760" s="115" t="str">
        <f>IF(A760&lt;=DPS_Graph_Max,IF(A760&gt;=DPS_Graph_Speed_Min,A760,),)</f>
        <v/>
      </c>
      <c r="M760" s="213">
        <f>If(DPS_Weapon_Type="远程",$E760/60+$F760*2,$E760/60+$F760+$G760/2+$H760)</f>
        <v>0.04954078876</v>
      </c>
      <c r="N760" s="104" t="str">
        <f>IF(DPS_Graph_Tooltip_Speed=TRUE,IF($A760&lt;=DPS_Graph_Max,IF($A760&gt;=DPS_Graph_Speed_Min,1/M760,),),)</f>
        <v/>
      </c>
      <c r="R760" s="104" t="str">
        <f>IF(DPS_Graph_Tooltip_Speed=TRUE,IF($E$8=$A760,1/$N$6,),)</f>
        <v/>
      </c>
    </row>
    <row r="761">
      <c r="A761" s="370">
        <v>5.18</v>
      </c>
      <c r="B761" s="213">
        <f>If(DPS_Weapon_Type="远程",($E761+1)/60+(ROUNDDOWN($F761*60+1,0)/60)*2,(ROUNDDOWN(($E761+1)+ROUNDDOWN($F761*60+1,0)+ROUNDDOWN($G761/2*60+1,0)+ROUNDDOWN($H761*60+1,0)+1,0))/60+If(DPS_ATK_TYPE="挥砍",1/60)+If(DPS_ATK_TYPE="挥砍/刺击",1/120))+DPS_Weapon_Randomization/60</f>
        <v>0.105</v>
      </c>
      <c r="C761" s="104" t="str">
        <f>IF(DPS_Graph_True_Speed=TRUE,IF($A761&lt;=DPS_Graph_Max,IF($A761&gt;=DPS_Graph_Speed_Min,1/B761,),),)</f>
        <v/>
      </c>
      <c r="D761" s="115" t="str">
        <f>IF(DPS_Graph_True_Speed=TRUE,IF($E$8=$A761,DPS_Attacks_P_Sec,),)</f>
        <v/>
      </c>
      <c r="E761" s="222">
        <f>ROUNDDOWN(MAX(2,IF(A761&gt;=0, DPS_Base_Wpn_Spd/(1+A761),DPS_Base_Wpn_Spd*(1+ABS(A761)))),0)</f>
        <v>2</v>
      </c>
      <c r="F761" s="232">
        <f>IF(A761&gt;=0, DPS_Base_Recoil/(1+A761),DPS_Base_Recoil)</f>
        <v>0.008090614887</v>
      </c>
      <c r="G761" s="377">
        <f t="shared" si="7"/>
        <v>0.51</v>
      </c>
      <c r="H761" s="377">
        <f t="shared" si="8"/>
        <v>0.01209189843</v>
      </c>
      <c r="I761" s="104"/>
      <c r="J761" s="377">
        <f>MAX(0, Max(25,(DPS_Base_Range + ((DPS_Range_Stat) / 2))) / MIN(MAX(70, (70 * (1 + ($A761 / 3)))), 120))</f>
        <v>3.333333333</v>
      </c>
      <c r="K761" s="115" t="str">
        <f>IF(A761&lt;=DPS_Graph_Max,IF(A761&gt;=DPS_Graph_Speed_Min,A761,),)</f>
        <v/>
      </c>
      <c r="M761" s="213">
        <f>If(DPS_Weapon_Type="远程",$E761/60+$F761*2,$E761/60+$F761+$G761/2+$H761)</f>
        <v>0.04951456311</v>
      </c>
      <c r="N761" s="104" t="str">
        <f>IF(DPS_Graph_Tooltip_Speed=TRUE,IF($A761&lt;=DPS_Graph_Max,IF($A761&gt;=DPS_Graph_Speed_Min,1/M761,),),)</f>
        <v/>
      </c>
      <c r="R761" s="104" t="str">
        <f>IF(DPS_Graph_Tooltip_Speed=TRUE,IF($E$8=$A761,1/$N$6,),)</f>
        <v/>
      </c>
    </row>
    <row r="762">
      <c r="A762" s="370">
        <v>5.19</v>
      </c>
      <c r="B762" s="213">
        <f>If(DPS_Weapon_Type="远程",($E762+1)/60+(ROUNDDOWN($F762*60+1,0)/60)*2,(ROUNDDOWN(($E762+1)+ROUNDDOWN($F762*60+1,0)+ROUNDDOWN($G762/2*60+1,0)+ROUNDDOWN($H762*60+1,0)+1,0))/60+If(DPS_ATK_TYPE="挥砍",1/60)+If(DPS_ATK_TYPE="挥砍/刺击",1/120))+DPS_Weapon_Randomization/60</f>
        <v>0.105</v>
      </c>
      <c r="C762" s="104" t="str">
        <f>IF(DPS_Graph_True_Speed=TRUE,IF($A762&lt;=DPS_Graph_Max,IF($A762&gt;=DPS_Graph_Speed_Min,1/B762,),),)</f>
        <v/>
      </c>
      <c r="D762" s="115" t="str">
        <f>IF(DPS_Graph_True_Speed=TRUE,IF($E$8=$A762,DPS_Attacks_P_Sec,),)</f>
        <v/>
      </c>
      <c r="E762" s="222">
        <f>ROUNDDOWN(MAX(2,IF(A762&gt;=0, DPS_Base_Wpn_Spd/(1+A762),DPS_Base_Wpn_Spd*(1+ABS(A762)))),0)</f>
        <v>2</v>
      </c>
      <c r="F762" s="232">
        <f>IF(A762&gt;=0, DPS_Base_Recoil/(1+A762),DPS_Base_Recoil)</f>
        <v>0.008077544426</v>
      </c>
      <c r="G762" s="377">
        <f t="shared" si="7"/>
        <v>0.51</v>
      </c>
      <c r="H762" s="377">
        <f t="shared" si="8"/>
        <v>0.01207000604</v>
      </c>
      <c r="I762" s="104"/>
      <c r="J762" s="377">
        <f>MAX(0, Max(25,(DPS_Base_Range + ((DPS_Range_Stat) / 2))) / MIN(MAX(70, (70 * (1 + ($A762 / 3)))), 120))</f>
        <v>3.333333333</v>
      </c>
      <c r="K762" s="115" t="str">
        <f>IF(A762&lt;=DPS_Graph_Max,IF(A762&gt;=DPS_Graph_Speed_Min,A762,),)</f>
        <v/>
      </c>
      <c r="M762" s="213">
        <f>If(DPS_Weapon_Type="远程",$E762/60+$F762*2,$E762/60+$F762+$G762/2+$H762)</f>
        <v>0.04948842219</v>
      </c>
      <c r="N762" s="104" t="str">
        <f>IF(DPS_Graph_Tooltip_Speed=TRUE,IF($A762&lt;=DPS_Graph_Max,IF($A762&gt;=DPS_Graph_Speed_Min,1/M762,),),)</f>
        <v/>
      </c>
      <c r="R762" s="104" t="str">
        <f>IF(DPS_Graph_Tooltip_Speed=TRUE,IF($E$8=$A762,1/$N$6,),)</f>
        <v/>
      </c>
    </row>
    <row r="763">
      <c r="A763" s="370">
        <v>5.2</v>
      </c>
      <c r="B763" s="213">
        <f>If(DPS_Weapon_Type="远程",($E763+1)/60+(ROUNDDOWN($F763*60+1,0)/60)*2,(ROUNDDOWN(($E763+1)+ROUNDDOWN($F763*60+1,0)+ROUNDDOWN($G763/2*60+1,0)+ROUNDDOWN($H763*60+1,0)+1,0))/60+If(DPS_ATK_TYPE="挥砍",1/60)+If(DPS_ATK_TYPE="挥砍/刺击",1/120))+DPS_Weapon_Randomization/60</f>
        <v>0.105</v>
      </c>
      <c r="C763" s="104" t="str">
        <f>IF(DPS_Graph_True_Speed=TRUE,IF($A763&lt;=DPS_Graph_Max,IF($A763&gt;=DPS_Graph_Speed_Min,1/B763,),),)</f>
        <v/>
      </c>
      <c r="D763" s="115" t="str">
        <f>IF(DPS_Graph_True_Speed=TRUE,IF($E$8=$A763,DPS_Attacks_P_Sec,),)</f>
        <v/>
      </c>
      <c r="E763" s="222">
        <f>ROUNDDOWN(MAX(2,IF(A763&gt;=0, DPS_Base_Wpn_Spd/(1+A763),DPS_Base_Wpn_Spd*(1+ABS(A763)))),0)</f>
        <v>2</v>
      </c>
      <c r="F763" s="232">
        <f>IF(A763&gt;=0, DPS_Base_Recoil/(1+A763),DPS_Base_Recoil)</f>
        <v>0.008064516129</v>
      </c>
      <c r="G763" s="377">
        <f t="shared" si="7"/>
        <v>0.51</v>
      </c>
      <c r="H763" s="377">
        <f t="shared" si="8"/>
        <v>0.01204819277</v>
      </c>
      <c r="I763" s="104"/>
      <c r="J763" s="377">
        <f>MAX(0, Max(25,(DPS_Base_Range + ((DPS_Range_Stat) / 2))) / MIN(MAX(70, (70 * (1 + ($A763 / 3)))), 120))</f>
        <v>3.333333333</v>
      </c>
      <c r="K763" s="115" t="str">
        <f>IF(A763&lt;=DPS_Graph_Max,IF(A763&gt;=DPS_Graph_Speed_Min,A763,),)</f>
        <v/>
      </c>
      <c r="M763" s="213">
        <f>If(DPS_Weapon_Type="远程",$E763/60+$F763*2,$E763/60+$F763+$G763/2+$H763)</f>
        <v>0.04946236559</v>
      </c>
      <c r="N763" s="104" t="str">
        <f>IF(DPS_Graph_Tooltip_Speed=TRUE,IF($A763&lt;=DPS_Graph_Max,IF($A763&gt;=DPS_Graph_Speed_Min,1/M763,),),)</f>
        <v/>
      </c>
      <c r="R763" s="104" t="str">
        <f>IF(DPS_Graph_Tooltip_Speed=TRUE,IF($E$8=$A763,1/$N$6,),)</f>
        <v/>
      </c>
    </row>
    <row r="764">
      <c r="A764" s="370">
        <v>5.21</v>
      </c>
      <c r="B764" s="213">
        <f>If(DPS_Weapon_Type="远程",($E764+1)/60+(ROUNDDOWN($F764*60+1,0)/60)*2,(ROUNDDOWN(($E764+1)+ROUNDDOWN($F764*60+1,0)+ROUNDDOWN($G764/2*60+1,0)+ROUNDDOWN($H764*60+1,0)+1,0))/60+If(DPS_ATK_TYPE="挥砍",1/60)+If(DPS_ATK_TYPE="挥砍/刺击",1/120))+DPS_Weapon_Randomization/60</f>
        <v>0.105</v>
      </c>
      <c r="C764" s="104" t="str">
        <f>IF(DPS_Graph_True_Speed=TRUE,IF($A764&lt;=DPS_Graph_Max,IF($A764&gt;=DPS_Graph_Speed_Min,1/B764,),),)</f>
        <v/>
      </c>
      <c r="D764" s="115" t="str">
        <f>IF(DPS_Graph_True_Speed=TRUE,IF($E$8=$A764,DPS_Attacks_P_Sec,),)</f>
        <v/>
      </c>
      <c r="E764" s="222">
        <f>ROUNDDOWN(MAX(2,IF(A764&gt;=0, DPS_Base_Wpn_Spd/(1+A764),DPS_Base_Wpn_Spd*(1+ABS(A764)))),0)</f>
        <v>2</v>
      </c>
      <c r="F764" s="232">
        <f>IF(A764&gt;=0, DPS_Base_Recoil/(1+A764),DPS_Base_Recoil)</f>
        <v>0.008051529791</v>
      </c>
      <c r="G764" s="377">
        <f t="shared" si="7"/>
        <v>0.51</v>
      </c>
      <c r="H764" s="377">
        <f t="shared" si="8"/>
        <v>0.01202645821</v>
      </c>
      <c r="I764" s="104"/>
      <c r="J764" s="377">
        <f>MAX(0, Max(25,(DPS_Base_Range + ((DPS_Range_Stat) / 2))) / MIN(MAX(70, (70 * (1 + ($A764 / 3)))), 120))</f>
        <v>3.333333333</v>
      </c>
      <c r="K764" s="115" t="str">
        <f>IF(A764&lt;=DPS_Graph_Max,IF(A764&gt;=DPS_Graph_Speed_Min,A764,),)</f>
        <v/>
      </c>
      <c r="M764" s="213">
        <f>If(DPS_Weapon_Type="远程",$E764/60+$F764*2,$E764/60+$F764+$G764/2+$H764)</f>
        <v>0.04943639291</v>
      </c>
      <c r="N764" s="104" t="str">
        <f>IF(DPS_Graph_Tooltip_Speed=TRUE,IF($A764&lt;=DPS_Graph_Max,IF($A764&gt;=DPS_Graph_Speed_Min,1/M764,),),)</f>
        <v/>
      </c>
      <c r="R764" s="104" t="str">
        <f>IF(DPS_Graph_Tooltip_Speed=TRUE,IF($E$8=$A764,1/$N$6,),)</f>
        <v/>
      </c>
    </row>
    <row r="765">
      <c r="A765" s="370">
        <v>5.22</v>
      </c>
      <c r="B765" s="213">
        <f>If(DPS_Weapon_Type="远程",($E765+1)/60+(ROUNDDOWN($F765*60+1,0)/60)*2,(ROUNDDOWN(($E765+1)+ROUNDDOWN($F765*60+1,0)+ROUNDDOWN($G765/2*60+1,0)+ROUNDDOWN($H765*60+1,0)+1,0))/60+If(DPS_ATK_TYPE="挥砍",1/60)+If(DPS_ATK_TYPE="挥砍/刺击",1/120))+DPS_Weapon_Randomization/60</f>
        <v>0.105</v>
      </c>
      <c r="C765" s="104" t="str">
        <f>IF(DPS_Graph_True_Speed=TRUE,IF($A765&lt;=DPS_Graph_Max,IF($A765&gt;=DPS_Graph_Speed_Min,1/B765,),),)</f>
        <v/>
      </c>
      <c r="D765" s="115" t="str">
        <f>IF(DPS_Graph_True_Speed=TRUE,IF($E$8=$A765,DPS_Attacks_P_Sec,),)</f>
        <v/>
      </c>
      <c r="E765" s="222">
        <f>ROUNDDOWN(MAX(2,IF(A765&gt;=0, DPS_Base_Wpn_Spd/(1+A765),DPS_Base_Wpn_Spd*(1+ABS(A765)))),0)</f>
        <v>2</v>
      </c>
      <c r="F765" s="232">
        <f>IF(A765&gt;=0, DPS_Base_Recoil/(1+A765),DPS_Base_Recoil)</f>
        <v>0.008038585209</v>
      </c>
      <c r="G765" s="377">
        <f t="shared" si="7"/>
        <v>0.51</v>
      </c>
      <c r="H765" s="377">
        <f t="shared" si="8"/>
        <v>0.01200480192</v>
      </c>
      <c r="I765" s="104"/>
      <c r="J765" s="377">
        <f>MAX(0, Max(25,(DPS_Base_Range + ((DPS_Range_Stat) / 2))) / MIN(MAX(70, (70 * (1 + ($A765 / 3)))), 120))</f>
        <v>3.333333333</v>
      </c>
      <c r="K765" s="115" t="str">
        <f>IF(A765&lt;=DPS_Graph_Max,IF(A765&gt;=DPS_Graph_Speed_Min,A765,),)</f>
        <v/>
      </c>
      <c r="M765" s="213">
        <f>If(DPS_Weapon_Type="远程",$E765/60+$F765*2,$E765/60+$F765+$G765/2+$H765)</f>
        <v>0.04941050375</v>
      </c>
      <c r="N765" s="104" t="str">
        <f>IF(DPS_Graph_Tooltip_Speed=TRUE,IF($A765&lt;=DPS_Graph_Max,IF($A765&gt;=DPS_Graph_Speed_Min,1/M765,),),)</f>
        <v/>
      </c>
      <c r="R765" s="104" t="str">
        <f>IF(DPS_Graph_Tooltip_Speed=TRUE,IF($E$8=$A765,1/$N$6,),)</f>
        <v/>
      </c>
    </row>
    <row r="766">
      <c r="A766" s="370">
        <v>5.23</v>
      </c>
      <c r="B766" s="213">
        <f>If(DPS_Weapon_Type="远程",($E766+1)/60+(ROUNDDOWN($F766*60+1,0)/60)*2,(ROUNDDOWN(($E766+1)+ROUNDDOWN($F766*60+1,0)+ROUNDDOWN($G766/2*60+1,0)+ROUNDDOWN($H766*60+1,0)+1,0))/60+If(DPS_ATK_TYPE="挥砍",1/60)+If(DPS_ATK_TYPE="挥砍/刺击",1/120))+DPS_Weapon_Randomization/60</f>
        <v>0.105</v>
      </c>
      <c r="C766" s="104" t="str">
        <f>IF(DPS_Graph_True_Speed=TRUE,IF($A766&lt;=DPS_Graph_Max,IF($A766&gt;=DPS_Graph_Speed_Min,1/B766,),),)</f>
        <v/>
      </c>
      <c r="D766" s="115" t="str">
        <f>IF(DPS_Graph_True_Speed=TRUE,IF($E$8=$A766,DPS_Attacks_P_Sec,),)</f>
        <v/>
      </c>
      <c r="E766" s="222">
        <f>ROUNDDOWN(MAX(2,IF(A766&gt;=0, DPS_Base_Wpn_Spd/(1+A766),DPS_Base_Wpn_Spd*(1+ABS(A766)))),0)</f>
        <v>2</v>
      </c>
      <c r="F766" s="232">
        <f>IF(A766&gt;=0, DPS_Base_Recoil/(1+A766),DPS_Base_Recoil)</f>
        <v>0.008025682183</v>
      </c>
      <c r="G766" s="377">
        <f t="shared" si="7"/>
        <v>0.51</v>
      </c>
      <c r="H766" s="377">
        <f t="shared" si="8"/>
        <v>0.01198322349</v>
      </c>
      <c r="I766" s="104"/>
      <c r="J766" s="377">
        <f>MAX(0, Max(25,(DPS_Base_Range + ((DPS_Range_Stat) / 2))) / MIN(MAX(70, (70 * (1 + ($A766 / 3)))), 120))</f>
        <v>3.333333333</v>
      </c>
      <c r="K766" s="115" t="str">
        <f>IF(A766&lt;=DPS_Graph_Max,IF(A766&gt;=DPS_Graph_Speed_Min,A766,),)</f>
        <v/>
      </c>
      <c r="M766" s="213">
        <f>If(DPS_Weapon_Type="远程",$E766/60+$F766*2,$E766/60+$F766+$G766/2+$H766)</f>
        <v>0.0493846977</v>
      </c>
      <c r="N766" s="104" t="str">
        <f>IF(DPS_Graph_Tooltip_Speed=TRUE,IF($A766&lt;=DPS_Graph_Max,IF($A766&gt;=DPS_Graph_Speed_Min,1/M766,),),)</f>
        <v/>
      </c>
      <c r="R766" s="104" t="str">
        <f>IF(DPS_Graph_Tooltip_Speed=TRUE,IF($E$8=$A766,1/$N$6,),)</f>
        <v/>
      </c>
    </row>
    <row r="767">
      <c r="A767" s="370">
        <v>5.24</v>
      </c>
      <c r="B767" s="213">
        <f>If(DPS_Weapon_Type="远程",($E767+1)/60+(ROUNDDOWN($F767*60+1,0)/60)*2,(ROUNDDOWN(($E767+1)+ROUNDDOWN($F767*60+1,0)+ROUNDDOWN($G767/2*60+1,0)+ROUNDDOWN($H767*60+1,0)+1,0))/60+If(DPS_ATK_TYPE="挥砍",1/60)+If(DPS_ATK_TYPE="挥砍/刺击",1/120))+DPS_Weapon_Randomization/60</f>
        <v>0.105</v>
      </c>
      <c r="C767" s="104" t="str">
        <f>IF(DPS_Graph_True_Speed=TRUE,IF($A767&lt;=DPS_Graph_Max,IF($A767&gt;=DPS_Graph_Speed_Min,1/B767,),),)</f>
        <v/>
      </c>
      <c r="D767" s="115" t="str">
        <f>IF(DPS_Graph_True_Speed=TRUE,IF($E$8=$A767,DPS_Attacks_P_Sec,),)</f>
        <v/>
      </c>
      <c r="E767" s="222">
        <f>ROUNDDOWN(MAX(2,IF(A767&gt;=0, DPS_Base_Wpn_Spd/(1+A767),DPS_Base_Wpn_Spd*(1+ABS(A767)))),0)</f>
        <v>2</v>
      </c>
      <c r="F767" s="232">
        <f>IF(A767&gt;=0, DPS_Base_Recoil/(1+A767),DPS_Base_Recoil)</f>
        <v>0.008012820513</v>
      </c>
      <c r="G767" s="377">
        <f t="shared" si="7"/>
        <v>0.51</v>
      </c>
      <c r="H767" s="377">
        <f t="shared" si="8"/>
        <v>0.01196172249</v>
      </c>
      <c r="I767" s="104"/>
      <c r="J767" s="377">
        <f>MAX(0, Max(25,(DPS_Base_Range + ((DPS_Range_Stat) / 2))) / MIN(MAX(70, (70 * (1 + ($A767 / 3)))), 120))</f>
        <v>3.333333333</v>
      </c>
      <c r="K767" s="115" t="str">
        <f>IF(A767&lt;=DPS_Graph_Max,IF(A767&gt;=DPS_Graph_Speed_Min,A767,),)</f>
        <v/>
      </c>
      <c r="M767" s="213">
        <f>If(DPS_Weapon_Type="远程",$E767/60+$F767*2,$E767/60+$F767+$G767/2+$H767)</f>
        <v>0.04935897436</v>
      </c>
      <c r="N767" s="104" t="str">
        <f>IF(DPS_Graph_Tooltip_Speed=TRUE,IF($A767&lt;=DPS_Graph_Max,IF($A767&gt;=DPS_Graph_Speed_Min,1/M767,),),)</f>
        <v/>
      </c>
      <c r="R767" s="104" t="str">
        <f>IF(DPS_Graph_Tooltip_Speed=TRUE,IF($E$8=$A767,1/$N$6,),)</f>
        <v/>
      </c>
    </row>
    <row r="768">
      <c r="A768" s="370">
        <v>5.25</v>
      </c>
      <c r="B768" s="213">
        <f>If(DPS_Weapon_Type="远程",($E768+1)/60+(ROUNDDOWN($F768*60+1,0)/60)*2,(ROUNDDOWN(($E768+1)+ROUNDDOWN($F768*60+1,0)+ROUNDDOWN($G768/2*60+1,0)+ROUNDDOWN($H768*60+1,0)+1,0))/60+If(DPS_ATK_TYPE="挥砍",1/60)+If(DPS_ATK_TYPE="挥砍/刺击",1/120))+DPS_Weapon_Randomization/60</f>
        <v>0.105</v>
      </c>
      <c r="C768" s="104" t="str">
        <f>IF(DPS_Graph_True_Speed=TRUE,IF($A768&lt;=DPS_Graph_Max,IF($A768&gt;=DPS_Graph_Speed_Min,1/B768,),),)</f>
        <v/>
      </c>
      <c r="D768" s="115" t="str">
        <f>IF(DPS_Graph_True_Speed=TRUE,IF($E$8=$A768,DPS_Attacks_P_Sec,),)</f>
        <v/>
      </c>
      <c r="E768" s="222">
        <f>ROUNDDOWN(MAX(2,IF(A768&gt;=0, DPS_Base_Wpn_Spd/(1+A768),DPS_Base_Wpn_Spd*(1+ABS(A768)))),0)</f>
        <v>2</v>
      </c>
      <c r="F768" s="232">
        <f>IF(A768&gt;=0, DPS_Base_Recoil/(1+A768),DPS_Base_Recoil)</f>
        <v>0.008</v>
      </c>
      <c r="G768" s="377">
        <f t="shared" si="7"/>
        <v>0.51</v>
      </c>
      <c r="H768" s="377">
        <f t="shared" si="8"/>
        <v>0.01194029851</v>
      </c>
      <c r="I768" s="104"/>
      <c r="J768" s="377">
        <f>MAX(0, Max(25,(DPS_Base_Range + ((DPS_Range_Stat) / 2))) / MIN(MAX(70, (70 * (1 + ($A768 / 3)))), 120))</f>
        <v>3.333333333</v>
      </c>
      <c r="K768" s="115" t="str">
        <f>IF(A768&lt;=DPS_Graph_Max,IF(A768&gt;=DPS_Graph_Speed_Min,A768,),)</f>
        <v/>
      </c>
      <c r="M768" s="213">
        <f>If(DPS_Weapon_Type="远程",$E768/60+$F768*2,$E768/60+$F768+$G768/2+$H768)</f>
        <v>0.04933333333</v>
      </c>
      <c r="N768" s="104" t="str">
        <f>IF(DPS_Graph_Tooltip_Speed=TRUE,IF($A768&lt;=DPS_Graph_Max,IF($A768&gt;=DPS_Graph_Speed_Min,1/M768,),),)</f>
        <v/>
      </c>
      <c r="R768" s="104" t="str">
        <f>IF(DPS_Graph_Tooltip_Speed=TRUE,IF($E$8=$A768,1/$N$6,),)</f>
        <v/>
      </c>
    </row>
    <row r="769">
      <c r="A769" s="370">
        <v>5.26</v>
      </c>
      <c r="B769" s="213">
        <f>If(DPS_Weapon_Type="远程",($E769+1)/60+(ROUNDDOWN($F769*60+1,0)/60)*2,(ROUNDDOWN(($E769+1)+ROUNDDOWN($F769*60+1,0)+ROUNDDOWN($G769/2*60+1,0)+ROUNDDOWN($H769*60+1,0)+1,0))/60+If(DPS_ATK_TYPE="挥砍",1/60)+If(DPS_ATK_TYPE="挥砍/刺击",1/120))+DPS_Weapon_Randomization/60</f>
        <v>0.105</v>
      </c>
      <c r="C769" s="104" t="str">
        <f>IF(DPS_Graph_True_Speed=TRUE,IF($A769&lt;=DPS_Graph_Max,IF($A769&gt;=DPS_Graph_Speed_Min,1/B769,),),)</f>
        <v/>
      </c>
      <c r="D769" s="115" t="str">
        <f>IF(DPS_Graph_True_Speed=TRUE,IF($E$8=$A769,DPS_Attacks_P_Sec,),)</f>
        <v/>
      </c>
      <c r="E769" s="222">
        <f>ROUNDDOWN(MAX(2,IF(A769&gt;=0, DPS_Base_Wpn_Spd/(1+A769),DPS_Base_Wpn_Spd*(1+ABS(A769)))),0)</f>
        <v>2</v>
      </c>
      <c r="F769" s="232">
        <f>IF(A769&gt;=0, DPS_Base_Recoil/(1+A769),DPS_Base_Recoil)</f>
        <v>0.007987220447</v>
      </c>
      <c r="G769" s="377">
        <f t="shared" si="7"/>
        <v>0.51</v>
      </c>
      <c r="H769" s="377">
        <f t="shared" si="8"/>
        <v>0.01191895113</v>
      </c>
      <c r="I769" s="104"/>
      <c r="J769" s="377">
        <f>MAX(0, Max(25,(DPS_Base_Range + ((DPS_Range_Stat) / 2))) / MIN(MAX(70, (70 * (1 + ($A769 / 3)))), 120))</f>
        <v>3.333333333</v>
      </c>
      <c r="K769" s="115" t="str">
        <f>IF(A769&lt;=DPS_Graph_Max,IF(A769&gt;=DPS_Graph_Speed_Min,A769,),)</f>
        <v/>
      </c>
      <c r="M769" s="213">
        <f>If(DPS_Weapon_Type="远程",$E769/60+$F769*2,$E769/60+$F769+$G769/2+$H769)</f>
        <v>0.04930777423</v>
      </c>
      <c r="N769" s="104" t="str">
        <f>IF(DPS_Graph_Tooltip_Speed=TRUE,IF($A769&lt;=DPS_Graph_Max,IF($A769&gt;=DPS_Graph_Speed_Min,1/M769,),),)</f>
        <v/>
      </c>
      <c r="R769" s="104" t="str">
        <f>IF(DPS_Graph_Tooltip_Speed=TRUE,IF($E$8=$A769,1/$N$6,),)</f>
        <v/>
      </c>
    </row>
    <row r="770">
      <c r="A770" s="370">
        <v>5.27</v>
      </c>
      <c r="B770" s="213">
        <f>If(DPS_Weapon_Type="远程",($E770+1)/60+(ROUNDDOWN($F770*60+1,0)/60)*2,(ROUNDDOWN(($E770+1)+ROUNDDOWN($F770*60+1,0)+ROUNDDOWN($G770/2*60+1,0)+ROUNDDOWN($H770*60+1,0)+1,0))/60+If(DPS_ATK_TYPE="挥砍",1/60)+If(DPS_ATK_TYPE="挥砍/刺击",1/120))+DPS_Weapon_Randomization/60</f>
        <v>0.105</v>
      </c>
      <c r="C770" s="104" t="str">
        <f>IF(DPS_Graph_True_Speed=TRUE,IF($A770&lt;=DPS_Graph_Max,IF($A770&gt;=DPS_Graph_Speed_Min,1/B770,),),)</f>
        <v/>
      </c>
      <c r="D770" s="115" t="str">
        <f>IF(DPS_Graph_True_Speed=TRUE,IF($E$8=$A770,DPS_Attacks_P_Sec,),)</f>
        <v/>
      </c>
      <c r="E770" s="222">
        <f>ROUNDDOWN(MAX(2,IF(A770&gt;=0, DPS_Base_Wpn_Spd/(1+A770),DPS_Base_Wpn_Spd*(1+ABS(A770)))),0)</f>
        <v>2</v>
      </c>
      <c r="F770" s="232">
        <f>IF(A770&gt;=0, DPS_Base_Recoil/(1+A770),DPS_Base_Recoil)</f>
        <v>0.007974481659</v>
      </c>
      <c r="G770" s="377">
        <f t="shared" si="7"/>
        <v>0.51</v>
      </c>
      <c r="H770" s="377">
        <f t="shared" si="8"/>
        <v>0.01189767995</v>
      </c>
      <c r="I770" s="104"/>
      <c r="J770" s="377">
        <f>MAX(0, Max(25,(DPS_Base_Range + ((DPS_Range_Stat) / 2))) / MIN(MAX(70, (70 * (1 + ($A770 / 3)))), 120))</f>
        <v>3.333333333</v>
      </c>
      <c r="K770" s="115" t="str">
        <f>IF(A770&lt;=DPS_Graph_Max,IF(A770&gt;=DPS_Graph_Speed_Min,A770,),)</f>
        <v/>
      </c>
      <c r="M770" s="213">
        <f>If(DPS_Weapon_Type="远程",$E770/60+$F770*2,$E770/60+$F770+$G770/2+$H770)</f>
        <v>0.04928229665</v>
      </c>
      <c r="N770" s="104" t="str">
        <f>IF(DPS_Graph_Tooltip_Speed=TRUE,IF($A770&lt;=DPS_Graph_Max,IF($A770&gt;=DPS_Graph_Speed_Min,1/M770,),),)</f>
        <v/>
      </c>
      <c r="R770" s="104" t="str">
        <f>IF(DPS_Graph_Tooltip_Speed=TRUE,IF($E$8=$A770,1/$N$6,),)</f>
        <v/>
      </c>
    </row>
    <row r="771">
      <c r="A771" s="370">
        <v>5.28</v>
      </c>
      <c r="B771" s="213">
        <f>If(DPS_Weapon_Type="远程",($E771+1)/60+(ROUNDDOWN($F771*60+1,0)/60)*2,(ROUNDDOWN(($E771+1)+ROUNDDOWN($F771*60+1,0)+ROUNDDOWN($G771/2*60+1,0)+ROUNDDOWN($H771*60+1,0)+1,0))/60+If(DPS_ATK_TYPE="挥砍",1/60)+If(DPS_ATK_TYPE="挥砍/刺击",1/120))+DPS_Weapon_Randomization/60</f>
        <v>0.105</v>
      </c>
      <c r="C771" s="104" t="str">
        <f>IF(DPS_Graph_True_Speed=TRUE,IF($A771&lt;=DPS_Graph_Max,IF($A771&gt;=DPS_Graph_Speed_Min,1/B771,),),)</f>
        <v/>
      </c>
      <c r="D771" s="115" t="str">
        <f>IF(DPS_Graph_True_Speed=TRUE,IF($E$8=$A771,DPS_Attacks_P_Sec,),)</f>
        <v/>
      </c>
      <c r="E771" s="222">
        <f>ROUNDDOWN(MAX(2,IF(A771&gt;=0, DPS_Base_Wpn_Spd/(1+A771),DPS_Base_Wpn_Spd*(1+ABS(A771)))),0)</f>
        <v>2</v>
      </c>
      <c r="F771" s="232">
        <f>IF(A771&gt;=0, DPS_Base_Recoil/(1+A771),DPS_Base_Recoil)</f>
        <v>0.007961783439</v>
      </c>
      <c r="G771" s="377">
        <f t="shared" si="7"/>
        <v>0.51</v>
      </c>
      <c r="H771" s="377">
        <f t="shared" si="8"/>
        <v>0.01187648456</v>
      </c>
      <c r="I771" s="104"/>
      <c r="J771" s="377">
        <f>MAX(0, Max(25,(DPS_Base_Range + ((DPS_Range_Stat) / 2))) / MIN(MAX(70, (70 * (1 + ($A771 / 3)))), 120))</f>
        <v>3.333333333</v>
      </c>
      <c r="K771" s="115" t="str">
        <f>IF(A771&lt;=DPS_Graph_Max,IF(A771&gt;=DPS_Graph_Speed_Min,A771,),)</f>
        <v/>
      </c>
      <c r="M771" s="213">
        <f>If(DPS_Weapon_Type="远程",$E771/60+$F771*2,$E771/60+$F771+$G771/2+$H771)</f>
        <v>0.04925690021</v>
      </c>
      <c r="N771" s="104" t="str">
        <f>IF(DPS_Graph_Tooltip_Speed=TRUE,IF($A771&lt;=DPS_Graph_Max,IF($A771&gt;=DPS_Graph_Speed_Min,1/M771,),),)</f>
        <v/>
      </c>
      <c r="R771" s="104" t="str">
        <f>IF(DPS_Graph_Tooltip_Speed=TRUE,IF($E$8=$A771,1/$N$6,),)</f>
        <v/>
      </c>
    </row>
    <row r="772">
      <c r="A772" s="370">
        <v>5.29</v>
      </c>
      <c r="B772" s="213">
        <f>If(DPS_Weapon_Type="远程",($E772+1)/60+(ROUNDDOWN($F772*60+1,0)/60)*2,(ROUNDDOWN(($E772+1)+ROUNDDOWN($F772*60+1,0)+ROUNDDOWN($G772/2*60+1,0)+ROUNDDOWN($H772*60+1,0)+1,0))/60+If(DPS_ATK_TYPE="挥砍",1/60)+If(DPS_ATK_TYPE="挥砍/刺击",1/120))+DPS_Weapon_Randomization/60</f>
        <v>0.105</v>
      </c>
      <c r="C772" s="104" t="str">
        <f>IF(DPS_Graph_True_Speed=TRUE,IF($A772&lt;=DPS_Graph_Max,IF($A772&gt;=DPS_Graph_Speed_Min,1/B772,),),)</f>
        <v/>
      </c>
      <c r="D772" s="115" t="str">
        <f>IF(DPS_Graph_True_Speed=TRUE,IF($E$8=$A772,DPS_Attacks_P_Sec,),)</f>
        <v/>
      </c>
      <c r="E772" s="222">
        <f>ROUNDDOWN(MAX(2,IF(A772&gt;=0, DPS_Base_Wpn_Spd/(1+A772),DPS_Base_Wpn_Spd*(1+ABS(A772)))),0)</f>
        <v>2</v>
      </c>
      <c r="F772" s="232">
        <f>IF(A772&gt;=0, DPS_Base_Recoil/(1+A772),DPS_Base_Recoil)</f>
        <v>0.007949125596</v>
      </c>
      <c r="G772" s="377">
        <f t="shared" si="7"/>
        <v>0.51</v>
      </c>
      <c r="H772" s="377">
        <f t="shared" si="8"/>
        <v>0.01185536455</v>
      </c>
      <c r="I772" s="104"/>
      <c r="J772" s="377">
        <f>MAX(0, Max(25,(DPS_Base_Range + ((DPS_Range_Stat) / 2))) / MIN(MAX(70, (70 * (1 + ($A772 / 3)))), 120))</f>
        <v>3.333333333</v>
      </c>
      <c r="K772" s="115" t="str">
        <f>IF(A772&lt;=DPS_Graph_Max,IF(A772&gt;=DPS_Graph_Speed_Min,A772,),)</f>
        <v/>
      </c>
      <c r="M772" s="213">
        <f>If(DPS_Weapon_Type="远程",$E772/60+$F772*2,$E772/60+$F772+$G772/2+$H772)</f>
        <v>0.04923158453</v>
      </c>
      <c r="N772" s="104" t="str">
        <f>IF(DPS_Graph_Tooltip_Speed=TRUE,IF($A772&lt;=DPS_Graph_Max,IF($A772&gt;=DPS_Graph_Speed_Min,1/M772,),),)</f>
        <v/>
      </c>
      <c r="R772" s="104" t="str">
        <f>IF(DPS_Graph_Tooltip_Speed=TRUE,IF($E$8=$A772,1/$N$6,),)</f>
        <v/>
      </c>
    </row>
    <row r="773">
      <c r="A773" s="370">
        <v>5.3</v>
      </c>
      <c r="B773" s="213">
        <f>If(DPS_Weapon_Type="远程",($E773+1)/60+(ROUNDDOWN($F773*60+1,0)/60)*2,(ROUNDDOWN(($E773+1)+ROUNDDOWN($F773*60+1,0)+ROUNDDOWN($G773/2*60+1,0)+ROUNDDOWN($H773*60+1,0)+1,0))/60+If(DPS_ATK_TYPE="挥砍",1/60)+If(DPS_ATK_TYPE="挥砍/刺击",1/120))+DPS_Weapon_Randomization/60</f>
        <v>0.105</v>
      </c>
      <c r="C773" s="104" t="str">
        <f>IF(DPS_Graph_True_Speed=TRUE,IF($A773&lt;=DPS_Graph_Max,IF($A773&gt;=DPS_Graph_Speed_Min,1/B773,),),)</f>
        <v/>
      </c>
      <c r="D773" s="115" t="str">
        <f>IF(DPS_Graph_True_Speed=TRUE,IF($E$8=$A773,DPS_Attacks_P_Sec,),)</f>
        <v/>
      </c>
      <c r="E773" s="222">
        <f>ROUNDDOWN(MAX(2,IF(A773&gt;=0, DPS_Base_Wpn_Spd/(1+A773),DPS_Base_Wpn_Spd*(1+ABS(A773)))),0)</f>
        <v>2</v>
      </c>
      <c r="F773" s="232">
        <f>IF(A773&gt;=0, DPS_Base_Recoil/(1+A773),DPS_Base_Recoil)</f>
        <v>0.007936507937</v>
      </c>
      <c r="G773" s="377">
        <f t="shared" si="7"/>
        <v>0.51</v>
      </c>
      <c r="H773" s="377">
        <f t="shared" si="8"/>
        <v>0.01183431953</v>
      </c>
      <c r="I773" s="104"/>
      <c r="J773" s="377">
        <f>MAX(0, Max(25,(DPS_Base_Range + ((DPS_Range_Stat) / 2))) / MIN(MAX(70, (70 * (1 + ($A773 / 3)))), 120))</f>
        <v>3.333333333</v>
      </c>
      <c r="K773" s="115" t="str">
        <f>IF(A773&lt;=DPS_Graph_Max,IF(A773&gt;=DPS_Graph_Speed_Min,A773,),)</f>
        <v/>
      </c>
      <c r="M773" s="213">
        <f>If(DPS_Weapon_Type="远程",$E773/60+$F773*2,$E773/60+$F773+$G773/2+$H773)</f>
        <v>0.04920634921</v>
      </c>
      <c r="N773" s="104" t="str">
        <f>IF(DPS_Graph_Tooltip_Speed=TRUE,IF($A773&lt;=DPS_Graph_Max,IF($A773&gt;=DPS_Graph_Speed_Min,1/M773,),),)</f>
        <v/>
      </c>
      <c r="R773" s="104" t="str">
        <f>IF(DPS_Graph_Tooltip_Speed=TRUE,IF($E$8=$A773,1/$N$6,),)</f>
        <v/>
      </c>
    </row>
    <row r="774">
      <c r="A774" s="370">
        <v>5.31</v>
      </c>
      <c r="B774" s="213">
        <f>If(DPS_Weapon_Type="远程",($E774+1)/60+(ROUNDDOWN($F774*60+1,0)/60)*2,(ROUNDDOWN(($E774+1)+ROUNDDOWN($F774*60+1,0)+ROUNDDOWN($G774/2*60+1,0)+ROUNDDOWN($H774*60+1,0)+1,0))/60+If(DPS_ATK_TYPE="挥砍",1/60)+If(DPS_ATK_TYPE="挥砍/刺击",1/120))+DPS_Weapon_Randomization/60</f>
        <v>0.105</v>
      </c>
      <c r="C774" s="104" t="str">
        <f>IF(DPS_Graph_True_Speed=TRUE,IF($A774&lt;=DPS_Graph_Max,IF($A774&gt;=DPS_Graph_Speed_Min,1/B774,),),)</f>
        <v/>
      </c>
      <c r="D774" s="115" t="str">
        <f>IF(DPS_Graph_True_Speed=TRUE,IF($E$8=$A774,DPS_Attacks_P_Sec,),)</f>
        <v/>
      </c>
      <c r="E774" s="222">
        <f>ROUNDDOWN(MAX(2,IF(A774&gt;=0, DPS_Base_Wpn_Spd/(1+A774),DPS_Base_Wpn_Spd*(1+ABS(A774)))),0)</f>
        <v>2</v>
      </c>
      <c r="F774" s="232">
        <f>IF(A774&gt;=0, DPS_Base_Recoil/(1+A774),DPS_Base_Recoil)</f>
        <v>0.007923930269</v>
      </c>
      <c r="G774" s="377">
        <f t="shared" si="7"/>
        <v>0.51</v>
      </c>
      <c r="H774" s="377">
        <f t="shared" si="8"/>
        <v>0.01181334908</v>
      </c>
      <c r="I774" s="104"/>
      <c r="J774" s="377">
        <f>MAX(0, Max(25,(DPS_Base_Range + ((DPS_Range_Stat) / 2))) / MIN(MAX(70, (70 * (1 + ($A774 / 3)))), 120))</f>
        <v>3.333333333</v>
      </c>
      <c r="K774" s="115" t="str">
        <f>IF(A774&lt;=DPS_Graph_Max,IF(A774&gt;=DPS_Graph_Speed_Min,A774,),)</f>
        <v/>
      </c>
      <c r="M774" s="213">
        <f>If(DPS_Weapon_Type="远程",$E774/60+$F774*2,$E774/60+$F774+$G774/2+$H774)</f>
        <v>0.04918119387</v>
      </c>
      <c r="N774" s="104" t="str">
        <f>IF(DPS_Graph_Tooltip_Speed=TRUE,IF($A774&lt;=DPS_Graph_Max,IF($A774&gt;=DPS_Graph_Speed_Min,1/M774,),),)</f>
        <v/>
      </c>
      <c r="R774" s="104" t="str">
        <f>IF(DPS_Graph_Tooltip_Speed=TRUE,IF($E$8=$A774,1/$N$6,),)</f>
        <v/>
      </c>
    </row>
    <row r="775">
      <c r="A775" s="370">
        <v>5.32</v>
      </c>
      <c r="B775" s="213">
        <f>If(DPS_Weapon_Type="远程",($E775+1)/60+(ROUNDDOWN($F775*60+1,0)/60)*2,(ROUNDDOWN(($E775+1)+ROUNDDOWN($F775*60+1,0)+ROUNDDOWN($G775/2*60+1,0)+ROUNDDOWN($H775*60+1,0)+1,0))/60+If(DPS_ATK_TYPE="挥砍",1/60)+If(DPS_ATK_TYPE="挥砍/刺击",1/120))+DPS_Weapon_Randomization/60</f>
        <v>0.105</v>
      </c>
      <c r="C775" s="104" t="str">
        <f>IF(DPS_Graph_True_Speed=TRUE,IF($A775&lt;=DPS_Graph_Max,IF($A775&gt;=DPS_Graph_Speed_Min,1/B775,),),)</f>
        <v/>
      </c>
      <c r="D775" s="115" t="str">
        <f>IF(DPS_Graph_True_Speed=TRUE,IF($E$8=$A775,DPS_Attacks_P_Sec,),)</f>
        <v/>
      </c>
      <c r="E775" s="222">
        <f>ROUNDDOWN(MAX(2,IF(A775&gt;=0, DPS_Base_Wpn_Spd/(1+A775),DPS_Base_Wpn_Spd*(1+ABS(A775)))),0)</f>
        <v>2</v>
      </c>
      <c r="F775" s="232">
        <f>IF(A775&gt;=0, DPS_Base_Recoil/(1+A775),DPS_Base_Recoil)</f>
        <v>0.007911392405</v>
      </c>
      <c r="G775" s="377">
        <f t="shared" si="7"/>
        <v>0.51</v>
      </c>
      <c r="H775" s="377">
        <f t="shared" si="8"/>
        <v>0.01179245283</v>
      </c>
      <c r="I775" s="104"/>
      <c r="J775" s="377">
        <f>MAX(0, Max(25,(DPS_Base_Range + ((DPS_Range_Stat) / 2))) / MIN(MAX(70, (70 * (1 + ($A775 / 3)))), 120))</f>
        <v>3.333333333</v>
      </c>
      <c r="K775" s="115" t="str">
        <f>IF(A775&lt;=DPS_Graph_Max,IF(A775&gt;=DPS_Graph_Speed_Min,A775,),)</f>
        <v/>
      </c>
      <c r="M775" s="213">
        <f>If(DPS_Weapon_Type="远程",$E775/60+$F775*2,$E775/60+$F775+$G775/2+$H775)</f>
        <v>0.04915611814</v>
      </c>
      <c r="N775" s="104" t="str">
        <f>IF(DPS_Graph_Tooltip_Speed=TRUE,IF($A775&lt;=DPS_Graph_Max,IF($A775&gt;=DPS_Graph_Speed_Min,1/M775,),),)</f>
        <v/>
      </c>
      <c r="R775" s="104" t="str">
        <f>IF(DPS_Graph_Tooltip_Speed=TRUE,IF($E$8=$A775,1/$N$6,),)</f>
        <v/>
      </c>
    </row>
    <row r="776">
      <c r="A776" s="370">
        <v>5.33</v>
      </c>
      <c r="B776" s="213">
        <f>If(DPS_Weapon_Type="远程",($E776+1)/60+(ROUNDDOWN($F776*60+1,0)/60)*2,(ROUNDDOWN(($E776+1)+ROUNDDOWN($F776*60+1,0)+ROUNDDOWN($G776/2*60+1,0)+ROUNDDOWN($H776*60+1,0)+1,0))/60+If(DPS_ATK_TYPE="挥砍",1/60)+If(DPS_ATK_TYPE="挥砍/刺击",1/120))+DPS_Weapon_Randomization/60</f>
        <v>0.105</v>
      </c>
      <c r="C776" s="104" t="str">
        <f>IF(DPS_Graph_True_Speed=TRUE,IF($A776&lt;=DPS_Graph_Max,IF($A776&gt;=DPS_Graph_Speed_Min,1/B776,),),)</f>
        <v/>
      </c>
      <c r="D776" s="115" t="str">
        <f>IF(DPS_Graph_True_Speed=TRUE,IF($E$8=$A776,DPS_Attacks_P_Sec,),)</f>
        <v/>
      </c>
      <c r="E776" s="222">
        <f>ROUNDDOWN(MAX(2,IF(A776&gt;=0, DPS_Base_Wpn_Spd/(1+A776),DPS_Base_Wpn_Spd*(1+ABS(A776)))),0)</f>
        <v>2</v>
      </c>
      <c r="F776" s="232">
        <f>IF(A776&gt;=0, DPS_Base_Recoil/(1+A776),DPS_Base_Recoil)</f>
        <v>0.007898894155</v>
      </c>
      <c r="G776" s="377">
        <f t="shared" si="7"/>
        <v>0.51</v>
      </c>
      <c r="H776" s="377">
        <f t="shared" si="8"/>
        <v>0.01177163037</v>
      </c>
      <c r="I776" s="104"/>
      <c r="J776" s="377">
        <f>MAX(0, Max(25,(DPS_Base_Range + ((DPS_Range_Stat) / 2))) / MIN(MAX(70, (70 * (1 + ($A776 / 3)))), 120))</f>
        <v>3.333333333</v>
      </c>
      <c r="K776" s="115" t="str">
        <f>IF(A776&lt;=DPS_Graph_Max,IF(A776&gt;=DPS_Graph_Speed_Min,A776,),)</f>
        <v/>
      </c>
      <c r="M776" s="213">
        <f>If(DPS_Weapon_Type="远程",$E776/60+$F776*2,$E776/60+$F776+$G776/2+$H776)</f>
        <v>0.04913112164</v>
      </c>
      <c r="N776" s="104" t="str">
        <f>IF(DPS_Graph_Tooltip_Speed=TRUE,IF($A776&lt;=DPS_Graph_Max,IF($A776&gt;=DPS_Graph_Speed_Min,1/M776,),),)</f>
        <v/>
      </c>
      <c r="R776" s="104" t="str">
        <f>IF(DPS_Graph_Tooltip_Speed=TRUE,IF($E$8=$A776,1/$N$6,),)</f>
        <v/>
      </c>
    </row>
    <row r="777">
      <c r="A777" s="370">
        <v>5.34</v>
      </c>
      <c r="B777" s="213">
        <f>If(DPS_Weapon_Type="远程",($E777+1)/60+(ROUNDDOWN($F777*60+1,0)/60)*2,(ROUNDDOWN(($E777+1)+ROUNDDOWN($F777*60+1,0)+ROUNDDOWN($G777/2*60+1,0)+ROUNDDOWN($H777*60+1,0)+1,0))/60+If(DPS_ATK_TYPE="挥砍",1/60)+If(DPS_ATK_TYPE="挥砍/刺击",1/120))+DPS_Weapon_Randomization/60</f>
        <v>0.105</v>
      </c>
      <c r="C777" s="104" t="str">
        <f>IF(DPS_Graph_True_Speed=TRUE,IF($A777&lt;=DPS_Graph_Max,IF($A777&gt;=DPS_Graph_Speed_Min,1/B777,),),)</f>
        <v/>
      </c>
      <c r="D777" s="115" t="str">
        <f>IF(DPS_Graph_True_Speed=TRUE,IF($E$8=$A777,DPS_Attacks_P_Sec,),)</f>
        <v/>
      </c>
      <c r="E777" s="222">
        <f>ROUNDDOWN(MAX(2,IF(A777&gt;=0, DPS_Base_Wpn_Spd/(1+A777),DPS_Base_Wpn_Spd*(1+ABS(A777)))),0)</f>
        <v>2</v>
      </c>
      <c r="F777" s="232">
        <f>IF(A777&gt;=0, DPS_Base_Recoil/(1+A777),DPS_Base_Recoil)</f>
        <v>0.007886435331</v>
      </c>
      <c r="G777" s="377">
        <f t="shared" si="7"/>
        <v>0.51</v>
      </c>
      <c r="H777" s="377">
        <f t="shared" si="8"/>
        <v>0.01175088132</v>
      </c>
      <c r="I777" s="104"/>
      <c r="J777" s="377">
        <f>MAX(0, Max(25,(DPS_Base_Range + ((DPS_Range_Stat) / 2))) / MIN(MAX(70, (70 * (1 + ($A777 / 3)))), 120))</f>
        <v>3.333333333</v>
      </c>
      <c r="K777" s="115" t="str">
        <f>IF(A777&lt;=DPS_Graph_Max,IF(A777&gt;=DPS_Graph_Speed_Min,A777,),)</f>
        <v/>
      </c>
      <c r="M777" s="213">
        <f>If(DPS_Weapon_Type="远程",$E777/60+$F777*2,$E777/60+$F777+$G777/2+$H777)</f>
        <v>0.049106204</v>
      </c>
      <c r="N777" s="104" t="str">
        <f>IF(DPS_Graph_Tooltip_Speed=TRUE,IF($A777&lt;=DPS_Graph_Max,IF($A777&gt;=DPS_Graph_Speed_Min,1/M777,),),)</f>
        <v/>
      </c>
      <c r="R777" s="104" t="str">
        <f>IF(DPS_Graph_Tooltip_Speed=TRUE,IF($E$8=$A777,1/$N$6,),)</f>
        <v/>
      </c>
    </row>
    <row r="778">
      <c r="A778" s="370">
        <v>5.35</v>
      </c>
      <c r="B778" s="213">
        <f>If(DPS_Weapon_Type="远程",($E778+1)/60+(ROUNDDOWN($F778*60+1,0)/60)*2,(ROUNDDOWN(($E778+1)+ROUNDDOWN($F778*60+1,0)+ROUNDDOWN($G778/2*60+1,0)+ROUNDDOWN($H778*60+1,0)+1,0))/60+If(DPS_ATK_TYPE="挥砍",1/60)+If(DPS_ATK_TYPE="挥砍/刺击",1/120))+DPS_Weapon_Randomization/60</f>
        <v>0.105</v>
      </c>
      <c r="C778" s="104" t="str">
        <f>IF(DPS_Graph_True_Speed=TRUE,IF($A778&lt;=DPS_Graph_Max,IF($A778&gt;=DPS_Graph_Speed_Min,1/B778,),),)</f>
        <v/>
      </c>
      <c r="D778" s="115" t="str">
        <f>IF(DPS_Graph_True_Speed=TRUE,IF($E$8=$A778,DPS_Attacks_P_Sec,),)</f>
        <v/>
      </c>
      <c r="E778" s="222">
        <f>ROUNDDOWN(MAX(2,IF(A778&gt;=0, DPS_Base_Wpn_Spd/(1+A778),DPS_Base_Wpn_Spd*(1+ABS(A778)))),0)</f>
        <v>2</v>
      </c>
      <c r="F778" s="232">
        <f>IF(A778&gt;=0, DPS_Base_Recoil/(1+A778),DPS_Base_Recoil)</f>
        <v>0.007874015748</v>
      </c>
      <c r="G778" s="377">
        <f t="shared" si="7"/>
        <v>0.51</v>
      </c>
      <c r="H778" s="377">
        <f t="shared" si="8"/>
        <v>0.01173020528</v>
      </c>
      <c r="I778" s="104"/>
      <c r="J778" s="377">
        <f>MAX(0, Max(25,(DPS_Base_Range + ((DPS_Range_Stat) / 2))) / MIN(MAX(70, (70 * (1 + ($A778 / 3)))), 120))</f>
        <v>3.333333333</v>
      </c>
      <c r="K778" s="115" t="str">
        <f>IF(A778&lt;=DPS_Graph_Max,IF(A778&gt;=DPS_Graph_Speed_Min,A778,),)</f>
        <v/>
      </c>
      <c r="M778" s="213">
        <f>If(DPS_Weapon_Type="远程",$E778/60+$F778*2,$E778/60+$F778+$G778/2+$H778)</f>
        <v>0.04908136483</v>
      </c>
      <c r="N778" s="104" t="str">
        <f>IF(DPS_Graph_Tooltip_Speed=TRUE,IF($A778&lt;=DPS_Graph_Max,IF($A778&gt;=DPS_Graph_Speed_Min,1/M778,),),)</f>
        <v/>
      </c>
      <c r="R778" s="104" t="str">
        <f>IF(DPS_Graph_Tooltip_Speed=TRUE,IF($E$8=$A778,1/$N$6,),)</f>
        <v/>
      </c>
    </row>
    <row r="779">
      <c r="A779" s="370">
        <v>5.36</v>
      </c>
      <c r="B779" s="213">
        <f>If(DPS_Weapon_Type="远程",($E779+1)/60+(ROUNDDOWN($F779*60+1,0)/60)*2,(ROUNDDOWN(($E779+1)+ROUNDDOWN($F779*60+1,0)+ROUNDDOWN($G779/2*60+1,0)+ROUNDDOWN($H779*60+1,0)+1,0))/60+If(DPS_ATK_TYPE="挥砍",1/60)+If(DPS_ATK_TYPE="挥砍/刺击",1/120))+DPS_Weapon_Randomization/60</f>
        <v>0.105</v>
      </c>
      <c r="C779" s="104" t="str">
        <f>IF(DPS_Graph_True_Speed=TRUE,IF($A779&lt;=DPS_Graph_Max,IF($A779&gt;=DPS_Graph_Speed_Min,1/B779,),),)</f>
        <v/>
      </c>
      <c r="D779" s="115" t="str">
        <f>IF(DPS_Graph_True_Speed=TRUE,IF($E$8=$A779,DPS_Attacks_P_Sec,),)</f>
        <v/>
      </c>
      <c r="E779" s="222">
        <f>ROUNDDOWN(MAX(2,IF(A779&gt;=0, DPS_Base_Wpn_Spd/(1+A779),DPS_Base_Wpn_Spd*(1+ABS(A779)))),0)</f>
        <v>2</v>
      </c>
      <c r="F779" s="232">
        <f>IF(A779&gt;=0, DPS_Base_Recoil/(1+A779),DPS_Base_Recoil)</f>
        <v>0.00786163522</v>
      </c>
      <c r="G779" s="377">
        <f t="shared" si="7"/>
        <v>0.51</v>
      </c>
      <c r="H779" s="377">
        <f t="shared" si="8"/>
        <v>0.01170960187</v>
      </c>
      <c r="I779" s="104"/>
      <c r="J779" s="377">
        <f>MAX(0, Max(25,(DPS_Base_Range + ((DPS_Range_Stat) / 2))) / MIN(MAX(70, (70 * (1 + ($A779 / 3)))), 120))</f>
        <v>3.333333333</v>
      </c>
      <c r="K779" s="115" t="str">
        <f>IF(A779&lt;=DPS_Graph_Max,IF(A779&gt;=DPS_Graph_Speed_Min,A779,),)</f>
        <v/>
      </c>
      <c r="M779" s="213">
        <f>If(DPS_Weapon_Type="远程",$E779/60+$F779*2,$E779/60+$F779+$G779/2+$H779)</f>
        <v>0.04905660377</v>
      </c>
      <c r="N779" s="104" t="str">
        <f>IF(DPS_Graph_Tooltip_Speed=TRUE,IF($A779&lt;=DPS_Graph_Max,IF($A779&gt;=DPS_Graph_Speed_Min,1/M779,),),)</f>
        <v/>
      </c>
      <c r="R779" s="104" t="str">
        <f>IF(DPS_Graph_Tooltip_Speed=TRUE,IF($E$8=$A779,1/$N$6,),)</f>
        <v/>
      </c>
    </row>
    <row r="780">
      <c r="A780" s="370">
        <v>5.37</v>
      </c>
      <c r="B780" s="213">
        <f>If(DPS_Weapon_Type="远程",($E780+1)/60+(ROUNDDOWN($F780*60+1,0)/60)*2,(ROUNDDOWN(($E780+1)+ROUNDDOWN($F780*60+1,0)+ROUNDDOWN($G780/2*60+1,0)+ROUNDDOWN($H780*60+1,0)+1,0))/60+If(DPS_ATK_TYPE="挥砍",1/60)+If(DPS_ATK_TYPE="挥砍/刺击",1/120))+DPS_Weapon_Randomization/60</f>
        <v>0.105</v>
      </c>
      <c r="C780" s="104" t="str">
        <f>IF(DPS_Graph_True_Speed=TRUE,IF($A780&lt;=DPS_Graph_Max,IF($A780&gt;=DPS_Graph_Speed_Min,1/B780,),),)</f>
        <v/>
      </c>
      <c r="D780" s="115" t="str">
        <f>IF(DPS_Graph_True_Speed=TRUE,IF($E$8=$A780,DPS_Attacks_P_Sec,),)</f>
        <v/>
      </c>
      <c r="E780" s="222">
        <f>ROUNDDOWN(MAX(2,IF(A780&gt;=0, DPS_Base_Wpn_Spd/(1+A780),DPS_Base_Wpn_Spd*(1+ABS(A780)))),0)</f>
        <v>2</v>
      </c>
      <c r="F780" s="232">
        <f>IF(A780&gt;=0, DPS_Base_Recoil/(1+A780),DPS_Base_Recoil)</f>
        <v>0.007849293564</v>
      </c>
      <c r="G780" s="377">
        <f t="shared" si="7"/>
        <v>0.51</v>
      </c>
      <c r="H780" s="377">
        <f t="shared" si="8"/>
        <v>0.01168907072</v>
      </c>
      <c r="I780" s="104"/>
      <c r="J780" s="377">
        <f>MAX(0, Max(25,(DPS_Base_Range + ((DPS_Range_Stat) / 2))) / MIN(MAX(70, (70 * (1 + ($A780 / 3)))), 120))</f>
        <v>3.333333333</v>
      </c>
      <c r="K780" s="115" t="str">
        <f>IF(A780&lt;=DPS_Graph_Max,IF(A780&gt;=DPS_Graph_Speed_Min,A780,),)</f>
        <v/>
      </c>
      <c r="M780" s="213">
        <f>If(DPS_Weapon_Type="远程",$E780/60+$F780*2,$E780/60+$F780+$G780/2+$H780)</f>
        <v>0.04903192046</v>
      </c>
      <c r="N780" s="104" t="str">
        <f>IF(DPS_Graph_Tooltip_Speed=TRUE,IF($A780&lt;=DPS_Graph_Max,IF($A780&gt;=DPS_Graph_Speed_Min,1/M780,),),)</f>
        <v/>
      </c>
      <c r="R780" s="104" t="str">
        <f>IF(DPS_Graph_Tooltip_Speed=TRUE,IF($E$8=$A780,1/$N$6,),)</f>
        <v/>
      </c>
    </row>
    <row r="781">
      <c r="A781" s="370">
        <v>5.38</v>
      </c>
      <c r="B781" s="213">
        <f>If(DPS_Weapon_Type="远程",($E781+1)/60+(ROUNDDOWN($F781*60+1,0)/60)*2,(ROUNDDOWN(($E781+1)+ROUNDDOWN($F781*60+1,0)+ROUNDDOWN($G781/2*60+1,0)+ROUNDDOWN($H781*60+1,0)+1,0))/60+If(DPS_ATK_TYPE="挥砍",1/60)+If(DPS_ATK_TYPE="挥砍/刺击",1/120))+DPS_Weapon_Randomization/60</f>
        <v>0.105</v>
      </c>
      <c r="C781" s="104" t="str">
        <f>IF(DPS_Graph_True_Speed=TRUE,IF($A781&lt;=DPS_Graph_Max,IF($A781&gt;=DPS_Graph_Speed_Min,1/B781,),),)</f>
        <v/>
      </c>
      <c r="D781" s="115" t="str">
        <f>IF(DPS_Graph_True_Speed=TRUE,IF($E$8=$A781,DPS_Attacks_P_Sec,),)</f>
        <v/>
      </c>
      <c r="E781" s="222">
        <f>ROUNDDOWN(MAX(2,IF(A781&gt;=0, DPS_Base_Wpn_Spd/(1+A781),DPS_Base_Wpn_Spd*(1+ABS(A781)))),0)</f>
        <v>2</v>
      </c>
      <c r="F781" s="232">
        <f>IF(A781&gt;=0, DPS_Base_Recoil/(1+A781),DPS_Base_Recoil)</f>
        <v>0.007836990596</v>
      </c>
      <c r="G781" s="377">
        <f t="shared" si="7"/>
        <v>0.51</v>
      </c>
      <c r="H781" s="377">
        <f t="shared" si="8"/>
        <v>0.01166861144</v>
      </c>
      <c r="I781" s="104"/>
      <c r="J781" s="377">
        <f>MAX(0, Max(25,(DPS_Base_Range + ((DPS_Range_Stat) / 2))) / MIN(MAX(70, (70 * (1 + ($A781 / 3)))), 120))</f>
        <v>3.333333333</v>
      </c>
      <c r="K781" s="115" t="str">
        <f>IF(A781&lt;=DPS_Graph_Max,IF(A781&gt;=DPS_Graph_Speed_Min,A781,),)</f>
        <v/>
      </c>
      <c r="M781" s="213">
        <f>If(DPS_Weapon_Type="远程",$E781/60+$F781*2,$E781/60+$F781+$G781/2+$H781)</f>
        <v>0.04900731452</v>
      </c>
      <c r="N781" s="104" t="str">
        <f>IF(DPS_Graph_Tooltip_Speed=TRUE,IF($A781&lt;=DPS_Graph_Max,IF($A781&gt;=DPS_Graph_Speed_Min,1/M781,),),)</f>
        <v/>
      </c>
      <c r="R781" s="104" t="str">
        <f>IF(DPS_Graph_Tooltip_Speed=TRUE,IF($E$8=$A781,1/$N$6,),)</f>
        <v/>
      </c>
    </row>
    <row r="782">
      <c r="A782" s="370">
        <v>5.39</v>
      </c>
      <c r="B782" s="213">
        <f>If(DPS_Weapon_Type="远程",($E782+1)/60+(ROUNDDOWN($F782*60+1,0)/60)*2,(ROUNDDOWN(($E782+1)+ROUNDDOWN($F782*60+1,0)+ROUNDDOWN($G782/2*60+1,0)+ROUNDDOWN($H782*60+1,0)+1,0))/60+If(DPS_ATK_TYPE="挥砍",1/60)+If(DPS_ATK_TYPE="挥砍/刺击",1/120))+DPS_Weapon_Randomization/60</f>
        <v>0.105</v>
      </c>
      <c r="C782" s="104" t="str">
        <f>IF(DPS_Graph_True_Speed=TRUE,IF($A782&lt;=DPS_Graph_Max,IF($A782&gt;=DPS_Graph_Speed_Min,1/B782,),),)</f>
        <v/>
      </c>
      <c r="D782" s="115" t="str">
        <f>IF(DPS_Graph_True_Speed=TRUE,IF($E$8=$A782,DPS_Attacks_P_Sec,),)</f>
        <v/>
      </c>
      <c r="E782" s="222">
        <f>ROUNDDOWN(MAX(2,IF(A782&gt;=0, DPS_Base_Wpn_Spd/(1+A782),DPS_Base_Wpn_Spd*(1+ABS(A782)))),0)</f>
        <v>2</v>
      </c>
      <c r="F782" s="232">
        <f>IF(A782&gt;=0, DPS_Base_Recoil/(1+A782),DPS_Base_Recoil)</f>
        <v>0.007824726135</v>
      </c>
      <c r="G782" s="377">
        <f t="shared" si="7"/>
        <v>0.51</v>
      </c>
      <c r="H782" s="377">
        <f t="shared" si="8"/>
        <v>0.01164822365</v>
      </c>
      <c r="I782" s="104"/>
      <c r="J782" s="377">
        <f>MAX(0, Max(25,(DPS_Base_Range + ((DPS_Range_Stat) / 2))) / MIN(MAX(70, (70 * (1 + ($A782 / 3)))), 120))</f>
        <v>3.333333333</v>
      </c>
      <c r="K782" s="115" t="str">
        <f>IF(A782&lt;=DPS_Graph_Max,IF(A782&gt;=DPS_Graph_Speed_Min,A782,),)</f>
        <v/>
      </c>
      <c r="M782" s="213">
        <f>If(DPS_Weapon_Type="远程",$E782/60+$F782*2,$E782/60+$F782+$G782/2+$H782)</f>
        <v>0.0489827856</v>
      </c>
      <c r="N782" s="104" t="str">
        <f>IF(DPS_Graph_Tooltip_Speed=TRUE,IF($A782&lt;=DPS_Graph_Max,IF($A782&gt;=DPS_Graph_Speed_Min,1/M782,),),)</f>
        <v/>
      </c>
      <c r="R782" s="104" t="str">
        <f>IF(DPS_Graph_Tooltip_Speed=TRUE,IF($E$8=$A782,1/$N$6,),)</f>
        <v/>
      </c>
    </row>
    <row r="783">
      <c r="A783" s="370">
        <v>5.4</v>
      </c>
      <c r="B783" s="213">
        <f>If(DPS_Weapon_Type="远程",($E783+1)/60+(ROUNDDOWN($F783*60+1,0)/60)*2,(ROUNDDOWN(($E783+1)+ROUNDDOWN($F783*60+1,0)+ROUNDDOWN($G783/2*60+1,0)+ROUNDDOWN($H783*60+1,0)+1,0))/60+If(DPS_ATK_TYPE="挥砍",1/60)+If(DPS_ATK_TYPE="挥砍/刺击",1/120))+DPS_Weapon_Randomization/60</f>
        <v>0.105</v>
      </c>
      <c r="C783" s="104" t="str">
        <f>IF(DPS_Graph_True_Speed=TRUE,IF($A783&lt;=DPS_Graph_Max,IF($A783&gt;=DPS_Graph_Speed_Min,1/B783,),),)</f>
        <v/>
      </c>
      <c r="D783" s="115" t="str">
        <f>IF(DPS_Graph_True_Speed=TRUE,IF($E$8=$A783,DPS_Attacks_P_Sec,),)</f>
        <v/>
      </c>
      <c r="E783" s="222">
        <f>ROUNDDOWN(MAX(2,IF(A783&gt;=0, DPS_Base_Wpn_Spd/(1+A783),DPS_Base_Wpn_Spd*(1+ABS(A783)))),0)</f>
        <v>2</v>
      </c>
      <c r="F783" s="232">
        <f>IF(A783&gt;=0, DPS_Base_Recoil/(1+A783),DPS_Base_Recoil)</f>
        <v>0.0078125</v>
      </c>
      <c r="G783" s="377">
        <f t="shared" si="7"/>
        <v>0.51</v>
      </c>
      <c r="H783" s="377">
        <f t="shared" si="8"/>
        <v>0.01162790698</v>
      </c>
      <c r="I783" s="104"/>
      <c r="J783" s="377">
        <f>MAX(0, Max(25,(DPS_Base_Range + ((DPS_Range_Stat) / 2))) / MIN(MAX(70, (70 * (1 + ($A783 / 3)))), 120))</f>
        <v>3.333333333</v>
      </c>
      <c r="K783" s="115" t="str">
        <f>IF(A783&lt;=DPS_Graph_Max,IF(A783&gt;=DPS_Graph_Speed_Min,A783,),)</f>
        <v/>
      </c>
      <c r="M783" s="213">
        <f>If(DPS_Weapon_Type="远程",$E783/60+$F783*2,$E783/60+$F783+$G783/2+$H783)</f>
        <v>0.04895833333</v>
      </c>
      <c r="N783" s="104" t="str">
        <f>IF(DPS_Graph_Tooltip_Speed=TRUE,IF($A783&lt;=DPS_Graph_Max,IF($A783&gt;=DPS_Graph_Speed_Min,1/M783,),),)</f>
        <v/>
      </c>
      <c r="R783" s="104" t="str">
        <f>IF(DPS_Graph_Tooltip_Speed=TRUE,IF($E$8=$A783,1/$N$6,),)</f>
        <v/>
      </c>
    </row>
    <row r="784">
      <c r="A784" s="370">
        <v>5.41</v>
      </c>
      <c r="B784" s="213">
        <f>If(DPS_Weapon_Type="远程",($E784+1)/60+(ROUNDDOWN($F784*60+1,0)/60)*2,(ROUNDDOWN(($E784+1)+ROUNDDOWN($F784*60+1,0)+ROUNDDOWN($G784/2*60+1,0)+ROUNDDOWN($H784*60+1,0)+1,0))/60+If(DPS_ATK_TYPE="挥砍",1/60)+If(DPS_ATK_TYPE="挥砍/刺击",1/120))+DPS_Weapon_Randomization/60</f>
        <v>0.105</v>
      </c>
      <c r="C784" s="104" t="str">
        <f>IF(DPS_Graph_True_Speed=TRUE,IF($A784&lt;=DPS_Graph_Max,IF($A784&gt;=DPS_Graph_Speed_Min,1/B784,),),)</f>
        <v/>
      </c>
      <c r="D784" s="115" t="str">
        <f>IF(DPS_Graph_True_Speed=TRUE,IF($E$8=$A784,DPS_Attacks_P_Sec,),)</f>
        <v/>
      </c>
      <c r="E784" s="222">
        <f>ROUNDDOWN(MAX(2,IF(A784&gt;=0, DPS_Base_Wpn_Spd/(1+A784),DPS_Base_Wpn_Spd*(1+ABS(A784)))),0)</f>
        <v>2</v>
      </c>
      <c r="F784" s="232">
        <f>IF(A784&gt;=0, DPS_Base_Recoil/(1+A784),DPS_Base_Recoil)</f>
        <v>0.007800312012</v>
      </c>
      <c r="G784" s="377">
        <f t="shared" si="7"/>
        <v>0.51</v>
      </c>
      <c r="H784" s="377">
        <f t="shared" si="8"/>
        <v>0.01160766106</v>
      </c>
      <c r="I784" s="104"/>
      <c r="J784" s="377">
        <f>MAX(0, Max(25,(DPS_Base_Range + ((DPS_Range_Stat) / 2))) / MIN(MAX(70, (70 * (1 + ($A784 / 3)))), 120))</f>
        <v>3.333333333</v>
      </c>
      <c r="K784" s="115" t="str">
        <f>IF(A784&lt;=DPS_Graph_Max,IF(A784&gt;=DPS_Graph_Speed_Min,A784,),)</f>
        <v/>
      </c>
      <c r="M784" s="213">
        <f>If(DPS_Weapon_Type="远程",$E784/60+$F784*2,$E784/60+$F784+$G784/2+$H784)</f>
        <v>0.04893395736</v>
      </c>
      <c r="N784" s="104" t="str">
        <f>IF(DPS_Graph_Tooltip_Speed=TRUE,IF($A784&lt;=DPS_Graph_Max,IF($A784&gt;=DPS_Graph_Speed_Min,1/M784,),),)</f>
        <v/>
      </c>
      <c r="R784" s="104" t="str">
        <f>IF(DPS_Graph_Tooltip_Speed=TRUE,IF($E$8=$A784,1/$N$6,),)</f>
        <v/>
      </c>
    </row>
    <row r="785">
      <c r="A785" s="370">
        <v>5.42</v>
      </c>
      <c r="B785" s="213">
        <f>If(DPS_Weapon_Type="远程",($E785+1)/60+(ROUNDDOWN($F785*60+1,0)/60)*2,(ROUNDDOWN(($E785+1)+ROUNDDOWN($F785*60+1,0)+ROUNDDOWN($G785/2*60+1,0)+ROUNDDOWN($H785*60+1,0)+1,0))/60+If(DPS_ATK_TYPE="挥砍",1/60)+If(DPS_ATK_TYPE="挥砍/刺击",1/120))+DPS_Weapon_Randomization/60</f>
        <v>0.105</v>
      </c>
      <c r="C785" s="104" t="str">
        <f>IF(DPS_Graph_True_Speed=TRUE,IF($A785&lt;=DPS_Graph_Max,IF($A785&gt;=DPS_Graph_Speed_Min,1/B785,),),)</f>
        <v/>
      </c>
      <c r="D785" s="115" t="str">
        <f>IF(DPS_Graph_True_Speed=TRUE,IF($E$8=$A785,DPS_Attacks_P_Sec,),)</f>
        <v/>
      </c>
      <c r="E785" s="222">
        <f>ROUNDDOWN(MAX(2,IF(A785&gt;=0, DPS_Base_Wpn_Spd/(1+A785),DPS_Base_Wpn_Spd*(1+ABS(A785)))),0)</f>
        <v>2</v>
      </c>
      <c r="F785" s="232">
        <f>IF(A785&gt;=0, DPS_Base_Recoil/(1+A785),DPS_Base_Recoil)</f>
        <v>0.007788161994</v>
      </c>
      <c r="G785" s="377">
        <f t="shared" si="7"/>
        <v>0.51</v>
      </c>
      <c r="H785" s="377">
        <f t="shared" si="8"/>
        <v>0.01158748552</v>
      </c>
      <c r="I785" s="104"/>
      <c r="J785" s="377">
        <f>MAX(0, Max(25,(DPS_Base_Range + ((DPS_Range_Stat) / 2))) / MIN(MAX(70, (70 * (1 + ($A785 / 3)))), 120))</f>
        <v>3.333333333</v>
      </c>
      <c r="K785" s="115" t="str">
        <f>IF(A785&lt;=DPS_Graph_Max,IF(A785&gt;=DPS_Graph_Speed_Min,A785,),)</f>
        <v/>
      </c>
      <c r="M785" s="213">
        <f>If(DPS_Weapon_Type="远程",$E785/60+$F785*2,$E785/60+$F785+$G785/2+$H785)</f>
        <v>0.04890965732</v>
      </c>
      <c r="N785" s="104" t="str">
        <f>IF(DPS_Graph_Tooltip_Speed=TRUE,IF($A785&lt;=DPS_Graph_Max,IF($A785&gt;=DPS_Graph_Speed_Min,1/M785,),),)</f>
        <v/>
      </c>
      <c r="R785" s="104" t="str">
        <f>IF(DPS_Graph_Tooltip_Speed=TRUE,IF($E$8=$A785,1/$N$6,),)</f>
        <v/>
      </c>
    </row>
    <row r="786">
      <c r="A786" s="370">
        <v>5.43</v>
      </c>
      <c r="B786" s="213">
        <f>If(DPS_Weapon_Type="远程",($E786+1)/60+(ROUNDDOWN($F786*60+1,0)/60)*2,(ROUNDDOWN(($E786+1)+ROUNDDOWN($F786*60+1,0)+ROUNDDOWN($G786/2*60+1,0)+ROUNDDOWN($H786*60+1,0)+1,0))/60+If(DPS_ATK_TYPE="挥砍",1/60)+If(DPS_ATK_TYPE="挥砍/刺击",1/120))+DPS_Weapon_Randomization/60</f>
        <v>0.105</v>
      </c>
      <c r="C786" s="104" t="str">
        <f>IF(DPS_Graph_True_Speed=TRUE,IF($A786&lt;=DPS_Graph_Max,IF($A786&gt;=DPS_Graph_Speed_Min,1/B786,),),)</f>
        <v/>
      </c>
      <c r="D786" s="115" t="str">
        <f>IF(DPS_Graph_True_Speed=TRUE,IF($E$8=$A786,DPS_Attacks_P_Sec,),)</f>
        <v/>
      </c>
      <c r="E786" s="222">
        <f>ROUNDDOWN(MAX(2,IF(A786&gt;=0, DPS_Base_Wpn_Spd/(1+A786),DPS_Base_Wpn_Spd*(1+ABS(A786)))),0)</f>
        <v>2</v>
      </c>
      <c r="F786" s="232">
        <f>IF(A786&gt;=0, DPS_Base_Recoil/(1+A786),DPS_Base_Recoil)</f>
        <v>0.007776049767</v>
      </c>
      <c r="G786" s="377">
        <f t="shared" si="7"/>
        <v>0.51</v>
      </c>
      <c r="H786" s="377">
        <f t="shared" si="8"/>
        <v>0.01156737999</v>
      </c>
      <c r="I786" s="104"/>
      <c r="J786" s="377">
        <f>MAX(0, Max(25,(DPS_Base_Range + ((DPS_Range_Stat) / 2))) / MIN(MAX(70, (70 * (1 + ($A786 / 3)))), 120))</f>
        <v>3.333333333</v>
      </c>
      <c r="K786" s="115" t="str">
        <f>IF(A786&lt;=DPS_Graph_Max,IF(A786&gt;=DPS_Graph_Speed_Min,A786,),)</f>
        <v/>
      </c>
      <c r="M786" s="213">
        <f>If(DPS_Weapon_Type="远程",$E786/60+$F786*2,$E786/60+$F786+$G786/2+$H786)</f>
        <v>0.04888543287</v>
      </c>
      <c r="N786" s="104" t="str">
        <f>IF(DPS_Graph_Tooltip_Speed=TRUE,IF($A786&lt;=DPS_Graph_Max,IF($A786&gt;=DPS_Graph_Speed_Min,1/M786,),),)</f>
        <v/>
      </c>
      <c r="R786" s="104" t="str">
        <f>IF(DPS_Graph_Tooltip_Speed=TRUE,IF($E$8=$A786,1/$N$6,),)</f>
        <v/>
      </c>
    </row>
    <row r="787">
      <c r="A787" s="370">
        <v>5.44</v>
      </c>
      <c r="B787" s="213">
        <f>If(DPS_Weapon_Type="远程",($E787+1)/60+(ROUNDDOWN($F787*60+1,0)/60)*2,(ROUNDDOWN(($E787+1)+ROUNDDOWN($F787*60+1,0)+ROUNDDOWN($G787/2*60+1,0)+ROUNDDOWN($H787*60+1,0)+1,0))/60+If(DPS_ATK_TYPE="挥砍",1/60)+If(DPS_ATK_TYPE="挥砍/刺击",1/120))+DPS_Weapon_Randomization/60</f>
        <v>0.105</v>
      </c>
      <c r="C787" s="104" t="str">
        <f>IF(DPS_Graph_True_Speed=TRUE,IF($A787&lt;=DPS_Graph_Max,IF($A787&gt;=DPS_Graph_Speed_Min,1/B787,),),)</f>
        <v/>
      </c>
      <c r="D787" s="115" t="str">
        <f>IF(DPS_Graph_True_Speed=TRUE,IF($E$8=$A787,DPS_Attacks_P_Sec,),)</f>
        <v/>
      </c>
      <c r="E787" s="222">
        <f>ROUNDDOWN(MAX(2,IF(A787&gt;=0, DPS_Base_Wpn_Spd/(1+A787),DPS_Base_Wpn_Spd*(1+ABS(A787)))),0)</f>
        <v>2</v>
      </c>
      <c r="F787" s="232">
        <f>IF(A787&gt;=0, DPS_Base_Recoil/(1+A787),DPS_Base_Recoil)</f>
        <v>0.007763975155</v>
      </c>
      <c r="G787" s="377">
        <f t="shared" si="7"/>
        <v>0.51</v>
      </c>
      <c r="H787" s="377">
        <f t="shared" si="8"/>
        <v>0.01154734411</v>
      </c>
      <c r="I787" s="104"/>
      <c r="J787" s="377">
        <f>MAX(0, Max(25,(DPS_Base_Range + ((DPS_Range_Stat) / 2))) / MIN(MAX(70, (70 * (1 + ($A787 / 3)))), 120))</f>
        <v>3.333333333</v>
      </c>
      <c r="K787" s="115" t="str">
        <f>IF(A787&lt;=DPS_Graph_Max,IF(A787&gt;=DPS_Graph_Speed_Min,A787,),)</f>
        <v/>
      </c>
      <c r="M787" s="213">
        <f>If(DPS_Weapon_Type="远程",$E787/60+$F787*2,$E787/60+$F787+$G787/2+$H787)</f>
        <v>0.04886128364</v>
      </c>
      <c r="N787" s="104" t="str">
        <f>IF(DPS_Graph_Tooltip_Speed=TRUE,IF($A787&lt;=DPS_Graph_Max,IF($A787&gt;=DPS_Graph_Speed_Min,1/M787,),),)</f>
        <v/>
      </c>
      <c r="R787" s="104" t="str">
        <f>IF(DPS_Graph_Tooltip_Speed=TRUE,IF($E$8=$A787,1/$N$6,),)</f>
        <v/>
      </c>
    </row>
    <row r="788">
      <c r="A788" s="370">
        <v>5.45</v>
      </c>
      <c r="B788" s="213">
        <f>If(DPS_Weapon_Type="远程",($E788+1)/60+(ROUNDDOWN($F788*60+1,0)/60)*2,(ROUNDDOWN(($E788+1)+ROUNDDOWN($F788*60+1,0)+ROUNDDOWN($G788/2*60+1,0)+ROUNDDOWN($H788*60+1,0)+1,0))/60+If(DPS_ATK_TYPE="挥砍",1/60)+If(DPS_ATK_TYPE="挥砍/刺击",1/120))+DPS_Weapon_Randomization/60</f>
        <v>0.105</v>
      </c>
      <c r="C788" s="104" t="str">
        <f>IF(DPS_Graph_True_Speed=TRUE,IF($A788&lt;=DPS_Graph_Max,IF($A788&gt;=DPS_Graph_Speed_Min,1/B788,),),)</f>
        <v/>
      </c>
      <c r="D788" s="115" t="str">
        <f>IF(DPS_Graph_True_Speed=TRUE,IF($E$8=$A788,DPS_Attacks_P_Sec,),)</f>
        <v/>
      </c>
      <c r="E788" s="222">
        <f>ROUNDDOWN(MAX(2,IF(A788&gt;=0, DPS_Base_Wpn_Spd/(1+A788),DPS_Base_Wpn_Spd*(1+ABS(A788)))),0)</f>
        <v>2</v>
      </c>
      <c r="F788" s="232">
        <f>IF(A788&gt;=0, DPS_Base_Recoil/(1+A788),DPS_Base_Recoil)</f>
        <v>0.007751937984</v>
      </c>
      <c r="G788" s="377">
        <f t="shared" si="7"/>
        <v>0.51</v>
      </c>
      <c r="H788" s="377">
        <f t="shared" si="8"/>
        <v>0.01152737752</v>
      </c>
      <c r="I788" s="104"/>
      <c r="J788" s="377">
        <f>MAX(0, Max(25,(DPS_Base_Range + ((DPS_Range_Stat) / 2))) / MIN(MAX(70, (70 * (1 + ($A788 / 3)))), 120))</f>
        <v>3.333333333</v>
      </c>
      <c r="K788" s="115" t="str">
        <f>IF(A788&lt;=DPS_Graph_Max,IF(A788&gt;=DPS_Graph_Speed_Min,A788,),)</f>
        <v/>
      </c>
      <c r="M788" s="213">
        <f>If(DPS_Weapon_Type="远程",$E788/60+$F788*2,$E788/60+$F788+$G788/2+$H788)</f>
        <v>0.0488372093</v>
      </c>
      <c r="N788" s="104" t="str">
        <f>IF(DPS_Graph_Tooltip_Speed=TRUE,IF($A788&lt;=DPS_Graph_Max,IF($A788&gt;=DPS_Graph_Speed_Min,1/M788,),),)</f>
        <v/>
      </c>
      <c r="R788" s="104" t="str">
        <f>IF(DPS_Graph_Tooltip_Speed=TRUE,IF($E$8=$A788,1/$N$6,),)</f>
        <v/>
      </c>
    </row>
    <row r="789">
      <c r="A789" s="370">
        <v>5.46</v>
      </c>
      <c r="B789" s="213">
        <f>If(DPS_Weapon_Type="远程",($E789+1)/60+(ROUNDDOWN($F789*60+1,0)/60)*2,(ROUNDDOWN(($E789+1)+ROUNDDOWN($F789*60+1,0)+ROUNDDOWN($G789/2*60+1,0)+ROUNDDOWN($H789*60+1,0)+1,0))/60+If(DPS_ATK_TYPE="挥砍",1/60)+If(DPS_ATK_TYPE="挥砍/刺击",1/120))+DPS_Weapon_Randomization/60</f>
        <v>0.105</v>
      </c>
      <c r="C789" s="104" t="str">
        <f>IF(DPS_Graph_True_Speed=TRUE,IF($A789&lt;=DPS_Graph_Max,IF($A789&gt;=DPS_Graph_Speed_Min,1/B789,),),)</f>
        <v/>
      </c>
      <c r="D789" s="115" t="str">
        <f>IF(DPS_Graph_True_Speed=TRUE,IF($E$8=$A789,DPS_Attacks_P_Sec,),)</f>
        <v/>
      </c>
      <c r="E789" s="222">
        <f>ROUNDDOWN(MAX(2,IF(A789&gt;=0, DPS_Base_Wpn_Spd/(1+A789),DPS_Base_Wpn_Spd*(1+ABS(A789)))),0)</f>
        <v>2</v>
      </c>
      <c r="F789" s="232">
        <f>IF(A789&gt;=0, DPS_Base_Recoil/(1+A789),DPS_Base_Recoil)</f>
        <v>0.00773993808</v>
      </c>
      <c r="G789" s="377">
        <f t="shared" si="7"/>
        <v>0.51</v>
      </c>
      <c r="H789" s="377">
        <f t="shared" si="8"/>
        <v>0.01150747986</v>
      </c>
      <c r="I789" s="104"/>
      <c r="J789" s="377">
        <f>MAX(0, Max(25,(DPS_Base_Range + ((DPS_Range_Stat) / 2))) / MIN(MAX(70, (70 * (1 + ($A789 / 3)))), 120))</f>
        <v>3.333333333</v>
      </c>
      <c r="K789" s="115" t="str">
        <f>IF(A789&lt;=DPS_Graph_Max,IF(A789&gt;=DPS_Graph_Speed_Min,A789,),)</f>
        <v/>
      </c>
      <c r="M789" s="213">
        <f>If(DPS_Weapon_Type="远程",$E789/60+$F789*2,$E789/60+$F789+$G789/2+$H789)</f>
        <v>0.04881320949</v>
      </c>
      <c r="N789" s="104" t="str">
        <f>IF(DPS_Graph_Tooltip_Speed=TRUE,IF($A789&lt;=DPS_Graph_Max,IF($A789&gt;=DPS_Graph_Speed_Min,1/M789,),),)</f>
        <v/>
      </c>
      <c r="R789" s="104" t="str">
        <f>IF(DPS_Graph_Tooltip_Speed=TRUE,IF($E$8=$A789,1/$N$6,),)</f>
        <v/>
      </c>
    </row>
    <row r="790">
      <c r="A790" s="370">
        <v>5.47</v>
      </c>
      <c r="B790" s="213">
        <f>If(DPS_Weapon_Type="远程",($E790+1)/60+(ROUNDDOWN($F790*60+1,0)/60)*2,(ROUNDDOWN(($E790+1)+ROUNDDOWN($F790*60+1,0)+ROUNDDOWN($G790/2*60+1,0)+ROUNDDOWN($H790*60+1,0)+1,0))/60+If(DPS_ATK_TYPE="挥砍",1/60)+If(DPS_ATK_TYPE="挥砍/刺击",1/120))+DPS_Weapon_Randomization/60</f>
        <v>0.105</v>
      </c>
      <c r="C790" s="104" t="str">
        <f>IF(DPS_Graph_True_Speed=TRUE,IF($A790&lt;=DPS_Graph_Max,IF($A790&gt;=DPS_Graph_Speed_Min,1/B790,),),)</f>
        <v/>
      </c>
      <c r="D790" s="115" t="str">
        <f>IF(DPS_Graph_True_Speed=TRUE,IF($E$8=$A790,DPS_Attacks_P_Sec,),)</f>
        <v/>
      </c>
      <c r="E790" s="222">
        <f>ROUNDDOWN(MAX(2,IF(A790&gt;=0, DPS_Base_Wpn_Spd/(1+A790),DPS_Base_Wpn_Spd*(1+ABS(A790)))),0)</f>
        <v>2</v>
      </c>
      <c r="F790" s="232">
        <f>IF(A790&gt;=0, DPS_Base_Recoil/(1+A790),DPS_Base_Recoil)</f>
        <v>0.00772797527</v>
      </c>
      <c r="G790" s="377">
        <f t="shared" si="7"/>
        <v>0.51</v>
      </c>
      <c r="H790" s="377">
        <f t="shared" si="8"/>
        <v>0.01148765078</v>
      </c>
      <c r="I790" s="104"/>
      <c r="J790" s="377">
        <f>MAX(0, Max(25,(DPS_Base_Range + ((DPS_Range_Stat) / 2))) / MIN(MAX(70, (70 * (1 + ($A790 / 3)))), 120))</f>
        <v>3.333333333</v>
      </c>
      <c r="K790" s="115" t="str">
        <f>IF(A790&lt;=DPS_Graph_Max,IF(A790&gt;=DPS_Graph_Speed_Min,A790,),)</f>
        <v/>
      </c>
      <c r="M790" s="213">
        <f>If(DPS_Weapon_Type="远程",$E790/60+$F790*2,$E790/60+$F790+$G790/2+$H790)</f>
        <v>0.04878928387</v>
      </c>
      <c r="N790" s="104" t="str">
        <f>IF(DPS_Graph_Tooltip_Speed=TRUE,IF($A790&lt;=DPS_Graph_Max,IF($A790&gt;=DPS_Graph_Speed_Min,1/M790,),),)</f>
        <v/>
      </c>
      <c r="R790" s="104" t="str">
        <f>IF(DPS_Graph_Tooltip_Speed=TRUE,IF($E$8=$A790,1/$N$6,),)</f>
        <v/>
      </c>
    </row>
    <row r="791">
      <c r="A791" s="370">
        <v>5.48</v>
      </c>
      <c r="B791" s="213">
        <f>If(DPS_Weapon_Type="远程",($E791+1)/60+(ROUNDDOWN($F791*60+1,0)/60)*2,(ROUNDDOWN(($E791+1)+ROUNDDOWN($F791*60+1,0)+ROUNDDOWN($G791/2*60+1,0)+ROUNDDOWN($H791*60+1,0)+1,0))/60+If(DPS_ATK_TYPE="挥砍",1/60)+If(DPS_ATK_TYPE="挥砍/刺击",1/120))+DPS_Weapon_Randomization/60</f>
        <v>0.105</v>
      </c>
      <c r="C791" s="104" t="str">
        <f>IF(DPS_Graph_True_Speed=TRUE,IF($A791&lt;=DPS_Graph_Max,IF($A791&gt;=DPS_Graph_Speed_Min,1/B791,),),)</f>
        <v/>
      </c>
      <c r="D791" s="115" t="str">
        <f>IF(DPS_Graph_True_Speed=TRUE,IF($E$8=$A791,DPS_Attacks_P_Sec,),)</f>
        <v/>
      </c>
      <c r="E791" s="222">
        <f>ROUNDDOWN(MAX(2,IF(A791&gt;=0, DPS_Base_Wpn_Spd/(1+A791),DPS_Base_Wpn_Spd*(1+ABS(A791)))),0)</f>
        <v>2</v>
      </c>
      <c r="F791" s="232">
        <f>IF(A791&gt;=0, DPS_Base_Recoil/(1+A791),DPS_Base_Recoil)</f>
        <v>0.007716049383</v>
      </c>
      <c r="G791" s="377">
        <f t="shared" si="7"/>
        <v>0.51</v>
      </c>
      <c r="H791" s="377">
        <f t="shared" si="8"/>
        <v>0.01146788991</v>
      </c>
      <c r="I791" s="104"/>
      <c r="J791" s="377">
        <f>MAX(0, Max(25,(DPS_Base_Range + ((DPS_Range_Stat) / 2))) / MIN(MAX(70, (70 * (1 + ($A791 / 3)))), 120))</f>
        <v>3.333333333</v>
      </c>
      <c r="K791" s="115" t="str">
        <f>IF(A791&lt;=DPS_Graph_Max,IF(A791&gt;=DPS_Graph_Speed_Min,A791,),)</f>
        <v/>
      </c>
      <c r="M791" s="213">
        <f>If(DPS_Weapon_Type="远程",$E791/60+$F791*2,$E791/60+$F791+$G791/2+$H791)</f>
        <v>0.0487654321</v>
      </c>
      <c r="N791" s="104" t="str">
        <f>IF(DPS_Graph_Tooltip_Speed=TRUE,IF($A791&lt;=DPS_Graph_Max,IF($A791&gt;=DPS_Graph_Speed_Min,1/M791,),),)</f>
        <v/>
      </c>
      <c r="R791" s="104" t="str">
        <f>IF(DPS_Graph_Tooltip_Speed=TRUE,IF($E$8=$A791,1/$N$6,),)</f>
        <v/>
      </c>
    </row>
    <row r="792">
      <c r="A792" s="370">
        <v>5.49</v>
      </c>
      <c r="B792" s="213">
        <f>If(DPS_Weapon_Type="远程",($E792+1)/60+(ROUNDDOWN($F792*60+1,0)/60)*2,(ROUNDDOWN(($E792+1)+ROUNDDOWN($F792*60+1,0)+ROUNDDOWN($G792/2*60+1,0)+ROUNDDOWN($H792*60+1,0)+1,0))/60+If(DPS_ATK_TYPE="挥砍",1/60)+If(DPS_ATK_TYPE="挥砍/刺击",1/120))+DPS_Weapon_Randomization/60</f>
        <v>0.105</v>
      </c>
      <c r="C792" s="104" t="str">
        <f>IF(DPS_Graph_True_Speed=TRUE,IF($A792&lt;=DPS_Graph_Max,IF($A792&gt;=DPS_Graph_Speed_Min,1/B792,),),)</f>
        <v/>
      </c>
      <c r="D792" s="115" t="str">
        <f>IF(DPS_Graph_True_Speed=TRUE,IF($E$8=$A792,DPS_Attacks_P_Sec,),)</f>
        <v/>
      </c>
      <c r="E792" s="222">
        <f>ROUNDDOWN(MAX(2,IF(A792&gt;=0, DPS_Base_Wpn_Spd/(1+A792),DPS_Base_Wpn_Spd*(1+ABS(A792)))),0)</f>
        <v>2</v>
      </c>
      <c r="F792" s="232">
        <f>IF(A792&gt;=0, DPS_Base_Recoil/(1+A792),DPS_Base_Recoil)</f>
        <v>0.007704160247</v>
      </c>
      <c r="G792" s="377">
        <f t="shared" si="7"/>
        <v>0.51</v>
      </c>
      <c r="H792" s="377">
        <f t="shared" si="8"/>
        <v>0.01144819691</v>
      </c>
      <c r="I792" s="104"/>
      <c r="J792" s="377">
        <f>MAX(0, Max(25,(DPS_Base_Range + ((DPS_Range_Stat) / 2))) / MIN(MAX(70, (70 * (1 + ($A792 / 3)))), 120))</f>
        <v>3.333333333</v>
      </c>
      <c r="K792" s="115" t="str">
        <f>IF(A792&lt;=DPS_Graph_Max,IF(A792&gt;=DPS_Graph_Speed_Min,A792,),)</f>
        <v/>
      </c>
      <c r="M792" s="213">
        <f>If(DPS_Weapon_Type="远程",$E792/60+$F792*2,$E792/60+$F792+$G792/2+$H792)</f>
        <v>0.04874165383</v>
      </c>
      <c r="N792" s="104" t="str">
        <f>IF(DPS_Graph_Tooltip_Speed=TRUE,IF($A792&lt;=DPS_Graph_Max,IF($A792&gt;=DPS_Graph_Speed_Min,1/M792,),),)</f>
        <v/>
      </c>
      <c r="R792" s="104" t="str">
        <f>IF(DPS_Graph_Tooltip_Speed=TRUE,IF($E$8=$A792,1/$N$6,),)</f>
        <v/>
      </c>
    </row>
    <row r="793">
      <c r="A793" s="370">
        <v>5.5</v>
      </c>
      <c r="B793" s="213">
        <f>If(DPS_Weapon_Type="远程",($E793+1)/60+(ROUNDDOWN($F793*60+1,0)/60)*2,(ROUNDDOWN(($E793+1)+ROUNDDOWN($F793*60+1,0)+ROUNDDOWN($G793/2*60+1,0)+ROUNDDOWN($H793*60+1,0)+1,0))/60+If(DPS_ATK_TYPE="挥砍",1/60)+If(DPS_ATK_TYPE="挥砍/刺击",1/120))+DPS_Weapon_Randomization/60</f>
        <v>0.105</v>
      </c>
      <c r="C793" s="104" t="str">
        <f>IF(DPS_Graph_True_Speed=TRUE,IF($A793&lt;=DPS_Graph_Max,IF($A793&gt;=DPS_Graph_Speed_Min,1/B793,),),)</f>
        <v/>
      </c>
      <c r="D793" s="115" t="str">
        <f>IF(DPS_Graph_True_Speed=TRUE,IF($E$8=$A793,DPS_Attacks_P_Sec,),)</f>
        <v/>
      </c>
      <c r="E793" s="222">
        <f>ROUNDDOWN(MAX(2,IF(A793&gt;=0, DPS_Base_Wpn_Spd/(1+A793),DPS_Base_Wpn_Spd*(1+ABS(A793)))),0)</f>
        <v>2</v>
      </c>
      <c r="F793" s="232">
        <f>IF(A793&gt;=0, DPS_Base_Recoil/(1+A793),DPS_Base_Recoil)</f>
        <v>0.007692307692</v>
      </c>
      <c r="G793" s="377">
        <f t="shared" si="7"/>
        <v>0.51</v>
      </c>
      <c r="H793" s="377">
        <f t="shared" si="8"/>
        <v>0.01142857143</v>
      </c>
      <c r="I793" s="104"/>
      <c r="J793" s="377">
        <f>MAX(0, Max(25,(DPS_Base_Range + ((DPS_Range_Stat) / 2))) / MIN(MAX(70, (70 * (1 + ($A793 / 3)))), 120))</f>
        <v>3.333333333</v>
      </c>
      <c r="K793" s="115" t="str">
        <f>IF(A793&lt;=DPS_Graph_Max,IF(A793&gt;=DPS_Graph_Speed_Min,A793,),)</f>
        <v/>
      </c>
      <c r="M793" s="213">
        <f>If(DPS_Weapon_Type="远程",$E793/60+$F793*2,$E793/60+$F793+$G793/2+$H793)</f>
        <v>0.04871794872</v>
      </c>
      <c r="N793" s="104" t="str">
        <f>IF(DPS_Graph_Tooltip_Speed=TRUE,IF($A793&lt;=DPS_Graph_Max,IF($A793&gt;=DPS_Graph_Speed_Min,1/M793,),),)</f>
        <v/>
      </c>
      <c r="R793" s="104" t="str">
        <f>IF(DPS_Graph_Tooltip_Speed=TRUE,IF($E$8=$A793,1/$N$6,),)</f>
        <v/>
      </c>
    </row>
    <row r="794">
      <c r="A794" s="370">
        <v>5.51</v>
      </c>
      <c r="B794" s="213">
        <f>If(DPS_Weapon_Type="远程",($E794+1)/60+(ROUNDDOWN($F794*60+1,0)/60)*2,(ROUNDDOWN(($E794+1)+ROUNDDOWN($F794*60+1,0)+ROUNDDOWN($G794/2*60+1,0)+ROUNDDOWN($H794*60+1,0)+1,0))/60+If(DPS_ATK_TYPE="挥砍",1/60)+If(DPS_ATK_TYPE="挥砍/刺击",1/120))+DPS_Weapon_Randomization/60</f>
        <v>0.105</v>
      </c>
      <c r="C794" s="104" t="str">
        <f>IF(DPS_Graph_True_Speed=TRUE,IF($A794&lt;=DPS_Graph_Max,IF($A794&gt;=DPS_Graph_Speed_Min,1/B794,),),)</f>
        <v/>
      </c>
      <c r="D794" s="115" t="str">
        <f>IF(DPS_Graph_True_Speed=TRUE,IF($E$8=$A794,DPS_Attacks_P_Sec,),)</f>
        <v/>
      </c>
      <c r="E794" s="222">
        <f>ROUNDDOWN(MAX(2,IF(A794&gt;=0, DPS_Base_Wpn_Spd/(1+A794),DPS_Base_Wpn_Spd*(1+ABS(A794)))),0)</f>
        <v>2</v>
      </c>
      <c r="F794" s="232">
        <f>IF(A794&gt;=0, DPS_Base_Recoil/(1+A794),DPS_Base_Recoil)</f>
        <v>0.007680491551</v>
      </c>
      <c r="G794" s="377">
        <f t="shared" si="7"/>
        <v>0.51</v>
      </c>
      <c r="H794" s="377">
        <f t="shared" si="8"/>
        <v>0.01140901312</v>
      </c>
      <c r="I794" s="104"/>
      <c r="J794" s="377">
        <f>MAX(0, Max(25,(DPS_Base_Range + ((DPS_Range_Stat) / 2))) / MIN(MAX(70, (70 * (1 + ($A794 / 3)))), 120))</f>
        <v>3.333333333</v>
      </c>
      <c r="K794" s="115" t="str">
        <f>IF(A794&lt;=DPS_Graph_Max,IF(A794&gt;=DPS_Graph_Speed_Min,A794,),)</f>
        <v/>
      </c>
      <c r="M794" s="213">
        <f>If(DPS_Weapon_Type="远程",$E794/60+$F794*2,$E794/60+$F794+$G794/2+$H794)</f>
        <v>0.04869431644</v>
      </c>
      <c r="N794" s="104" t="str">
        <f>IF(DPS_Graph_Tooltip_Speed=TRUE,IF($A794&lt;=DPS_Graph_Max,IF($A794&gt;=DPS_Graph_Speed_Min,1/M794,),),)</f>
        <v/>
      </c>
      <c r="R794" s="104" t="str">
        <f>IF(DPS_Graph_Tooltip_Speed=TRUE,IF($E$8=$A794,1/$N$6,),)</f>
        <v/>
      </c>
    </row>
    <row r="795">
      <c r="A795" s="370">
        <v>5.52</v>
      </c>
      <c r="B795" s="213">
        <f>If(DPS_Weapon_Type="远程",($E795+1)/60+(ROUNDDOWN($F795*60+1,0)/60)*2,(ROUNDDOWN(($E795+1)+ROUNDDOWN($F795*60+1,0)+ROUNDDOWN($G795/2*60+1,0)+ROUNDDOWN($H795*60+1,0)+1,0))/60+If(DPS_ATK_TYPE="挥砍",1/60)+If(DPS_ATK_TYPE="挥砍/刺击",1/120))+DPS_Weapon_Randomization/60</f>
        <v>0.105</v>
      </c>
      <c r="C795" s="104" t="str">
        <f>IF(DPS_Graph_True_Speed=TRUE,IF($A795&lt;=DPS_Graph_Max,IF($A795&gt;=DPS_Graph_Speed_Min,1/B795,),),)</f>
        <v/>
      </c>
      <c r="D795" s="115" t="str">
        <f>IF(DPS_Graph_True_Speed=TRUE,IF($E$8=$A795,DPS_Attacks_P_Sec,),)</f>
        <v/>
      </c>
      <c r="E795" s="222">
        <f>ROUNDDOWN(MAX(2,IF(A795&gt;=0, DPS_Base_Wpn_Spd/(1+A795),DPS_Base_Wpn_Spd*(1+ABS(A795)))),0)</f>
        <v>2</v>
      </c>
      <c r="F795" s="232">
        <f>IF(A795&gt;=0, DPS_Base_Recoil/(1+A795),DPS_Base_Recoil)</f>
        <v>0.007668711656</v>
      </c>
      <c r="G795" s="377">
        <f t="shared" si="7"/>
        <v>0.51</v>
      </c>
      <c r="H795" s="377">
        <f t="shared" si="8"/>
        <v>0.01138952164</v>
      </c>
      <c r="I795" s="104"/>
      <c r="J795" s="377">
        <f>MAX(0, Max(25,(DPS_Base_Range + ((DPS_Range_Stat) / 2))) / MIN(MAX(70, (70 * (1 + ($A795 / 3)))), 120))</f>
        <v>3.333333333</v>
      </c>
      <c r="K795" s="115" t="str">
        <f>IF(A795&lt;=DPS_Graph_Max,IF(A795&gt;=DPS_Graph_Speed_Min,A795,),)</f>
        <v/>
      </c>
      <c r="M795" s="213">
        <f>If(DPS_Weapon_Type="远程",$E795/60+$F795*2,$E795/60+$F795+$G795/2+$H795)</f>
        <v>0.04867075665</v>
      </c>
      <c r="N795" s="104" t="str">
        <f>IF(DPS_Graph_Tooltip_Speed=TRUE,IF($A795&lt;=DPS_Graph_Max,IF($A795&gt;=DPS_Graph_Speed_Min,1/M795,),),)</f>
        <v/>
      </c>
      <c r="R795" s="104" t="str">
        <f>IF(DPS_Graph_Tooltip_Speed=TRUE,IF($E$8=$A795,1/$N$6,),)</f>
        <v/>
      </c>
    </row>
    <row r="796">
      <c r="A796" s="370">
        <v>5.53</v>
      </c>
      <c r="B796" s="213">
        <f>If(DPS_Weapon_Type="远程",($E796+1)/60+(ROUNDDOWN($F796*60+1,0)/60)*2,(ROUNDDOWN(($E796+1)+ROUNDDOWN($F796*60+1,0)+ROUNDDOWN($G796/2*60+1,0)+ROUNDDOWN($H796*60+1,0)+1,0))/60+If(DPS_ATK_TYPE="挥砍",1/60)+If(DPS_ATK_TYPE="挥砍/刺击",1/120))+DPS_Weapon_Randomization/60</f>
        <v>0.105</v>
      </c>
      <c r="C796" s="104" t="str">
        <f>IF(DPS_Graph_True_Speed=TRUE,IF($A796&lt;=DPS_Graph_Max,IF($A796&gt;=DPS_Graph_Speed_Min,1/B796,),),)</f>
        <v/>
      </c>
      <c r="D796" s="115" t="str">
        <f>IF(DPS_Graph_True_Speed=TRUE,IF($E$8=$A796,DPS_Attacks_P_Sec,),)</f>
        <v/>
      </c>
      <c r="E796" s="222">
        <f>ROUNDDOWN(MAX(2,IF(A796&gt;=0, DPS_Base_Wpn_Spd/(1+A796),DPS_Base_Wpn_Spd*(1+ABS(A796)))),0)</f>
        <v>2</v>
      </c>
      <c r="F796" s="232">
        <f>IF(A796&gt;=0, DPS_Base_Recoil/(1+A796),DPS_Base_Recoil)</f>
        <v>0.007656967841</v>
      </c>
      <c r="G796" s="377">
        <f t="shared" si="7"/>
        <v>0.51</v>
      </c>
      <c r="H796" s="377">
        <f t="shared" si="8"/>
        <v>0.01137009665</v>
      </c>
      <c r="I796" s="104"/>
      <c r="J796" s="377">
        <f>MAX(0, Max(25,(DPS_Base_Range + ((DPS_Range_Stat) / 2))) / MIN(MAX(70, (70 * (1 + ($A796 / 3)))), 120))</f>
        <v>3.333333333</v>
      </c>
      <c r="K796" s="115" t="str">
        <f>IF(A796&lt;=DPS_Graph_Max,IF(A796&gt;=DPS_Graph_Speed_Min,A796,),)</f>
        <v/>
      </c>
      <c r="M796" s="213">
        <f>If(DPS_Weapon_Type="远程",$E796/60+$F796*2,$E796/60+$F796+$G796/2+$H796)</f>
        <v>0.04864726901</v>
      </c>
      <c r="N796" s="104" t="str">
        <f>IF(DPS_Graph_Tooltip_Speed=TRUE,IF($A796&lt;=DPS_Graph_Max,IF($A796&gt;=DPS_Graph_Speed_Min,1/M796,),),)</f>
        <v/>
      </c>
      <c r="R796" s="104" t="str">
        <f>IF(DPS_Graph_Tooltip_Speed=TRUE,IF($E$8=$A796,1/$N$6,),)</f>
        <v/>
      </c>
    </row>
    <row r="797">
      <c r="A797" s="370">
        <v>5.54</v>
      </c>
      <c r="B797" s="213">
        <f>If(DPS_Weapon_Type="远程",($E797+1)/60+(ROUNDDOWN($F797*60+1,0)/60)*2,(ROUNDDOWN(($E797+1)+ROUNDDOWN($F797*60+1,0)+ROUNDDOWN($G797/2*60+1,0)+ROUNDDOWN($H797*60+1,0)+1,0))/60+If(DPS_ATK_TYPE="挥砍",1/60)+If(DPS_ATK_TYPE="挥砍/刺击",1/120))+DPS_Weapon_Randomization/60</f>
        <v>0.105</v>
      </c>
      <c r="C797" s="104" t="str">
        <f>IF(DPS_Graph_True_Speed=TRUE,IF($A797&lt;=DPS_Graph_Max,IF($A797&gt;=DPS_Graph_Speed_Min,1/B797,),),)</f>
        <v/>
      </c>
      <c r="D797" s="115" t="str">
        <f>IF(DPS_Graph_True_Speed=TRUE,IF($E$8=$A797,DPS_Attacks_P_Sec,),)</f>
        <v/>
      </c>
      <c r="E797" s="222">
        <f>ROUNDDOWN(MAX(2,IF(A797&gt;=0, DPS_Base_Wpn_Spd/(1+A797),DPS_Base_Wpn_Spd*(1+ABS(A797)))),0)</f>
        <v>2</v>
      </c>
      <c r="F797" s="232">
        <f>IF(A797&gt;=0, DPS_Base_Recoil/(1+A797),DPS_Base_Recoil)</f>
        <v>0.007645259939</v>
      </c>
      <c r="G797" s="377">
        <f t="shared" si="7"/>
        <v>0.51</v>
      </c>
      <c r="H797" s="377">
        <f t="shared" si="8"/>
        <v>0.0113507378</v>
      </c>
      <c r="I797" s="104"/>
      <c r="J797" s="377">
        <f>MAX(0, Max(25,(DPS_Base_Range + ((DPS_Range_Stat) / 2))) / MIN(MAX(70, (70 * (1 + ($A797 / 3)))), 120))</f>
        <v>3.333333333</v>
      </c>
      <c r="K797" s="115" t="str">
        <f>IF(A797&lt;=DPS_Graph_Max,IF(A797&gt;=DPS_Graph_Speed_Min,A797,),)</f>
        <v/>
      </c>
      <c r="M797" s="213">
        <f>If(DPS_Weapon_Type="远程",$E797/60+$F797*2,$E797/60+$F797+$G797/2+$H797)</f>
        <v>0.04862385321</v>
      </c>
      <c r="N797" s="104" t="str">
        <f>IF(DPS_Graph_Tooltip_Speed=TRUE,IF($A797&lt;=DPS_Graph_Max,IF($A797&gt;=DPS_Graph_Speed_Min,1/M797,),),)</f>
        <v/>
      </c>
      <c r="R797" s="104" t="str">
        <f>IF(DPS_Graph_Tooltip_Speed=TRUE,IF($E$8=$A797,1/$N$6,),)</f>
        <v/>
      </c>
    </row>
    <row r="798">
      <c r="A798" s="370">
        <v>5.55</v>
      </c>
      <c r="B798" s="213">
        <f>If(DPS_Weapon_Type="远程",($E798+1)/60+(ROUNDDOWN($F798*60+1,0)/60)*2,(ROUNDDOWN(($E798+1)+ROUNDDOWN($F798*60+1,0)+ROUNDDOWN($G798/2*60+1,0)+ROUNDDOWN($H798*60+1,0)+1,0))/60+If(DPS_ATK_TYPE="挥砍",1/60)+If(DPS_ATK_TYPE="挥砍/刺击",1/120))+DPS_Weapon_Randomization/60</f>
        <v>0.105</v>
      </c>
      <c r="C798" s="104" t="str">
        <f>IF(DPS_Graph_True_Speed=TRUE,IF($A798&lt;=DPS_Graph_Max,IF($A798&gt;=DPS_Graph_Speed_Min,1/B798,),),)</f>
        <v/>
      </c>
      <c r="D798" s="115" t="str">
        <f>IF(DPS_Graph_True_Speed=TRUE,IF($E$8=$A798,DPS_Attacks_P_Sec,),)</f>
        <v/>
      </c>
      <c r="E798" s="222">
        <f>ROUNDDOWN(MAX(2,IF(A798&gt;=0, DPS_Base_Wpn_Spd/(1+A798),DPS_Base_Wpn_Spd*(1+ABS(A798)))),0)</f>
        <v>2</v>
      </c>
      <c r="F798" s="232">
        <f>IF(A798&gt;=0, DPS_Base_Recoil/(1+A798),DPS_Base_Recoil)</f>
        <v>0.007633587786</v>
      </c>
      <c r="G798" s="377">
        <f t="shared" si="7"/>
        <v>0.51</v>
      </c>
      <c r="H798" s="377">
        <f t="shared" si="8"/>
        <v>0.01133144476</v>
      </c>
      <c r="I798" s="104"/>
      <c r="J798" s="377">
        <f>MAX(0, Max(25,(DPS_Base_Range + ((DPS_Range_Stat) / 2))) / MIN(MAX(70, (70 * (1 + ($A798 / 3)))), 120))</f>
        <v>3.333333333</v>
      </c>
      <c r="K798" s="115" t="str">
        <f>IF(A798&lt;=DPS_Graph_Max,IF(A798&gt;=DPS_Graph_Speed_Min,A798,),)</f>
        <v/>
      </c>
      <c r="M798" s="213">
        <f>If(DPS_Weapon_Type="远程",$E798/60+$F798*2,$E798/60+$F798+$G798/2+$H798)</f>
        <v>0.04860050891</v>
      </c>
      <c r="N798" s="104" t="str">
        <f>IF(DPS_Graph_Tooltip_Speed=TRUE,IF($A798&lt;=DPS_Graph_Max,IF($A798&gt;=DPS_Graph_Speed_Min,1/M798,),),)</f>
        <v/>
      </c>
      <c r="R798" s="104" t="str">
        <f>IF(DPS_Graph_Tooltip_Speed=TRUE,IF($E$8=$A798,1/$N$6,),)</f>
        <v/>
      </c>
    </row>
    <row r="799">
      <c r="A799" s="370">
        <v>5.56</v>
      </c>
      <c r="B799" s="213">
        <f>If(DPS_Weapon_Type="远程",($E799+1)/60+(ROUNDDOWN($F799*60+1,0)/60)*2,(ROUNDDOWN(($E799+1)+ROUNDDOWN($F799*60+1,0)+ROUNDDOWN($G799/2*60+1,0)+ROUNDDOWN($H799*60+1,0)+1,0))/60+If(DPS_ATK_TYPE="挥砍",1/60)+If(DPS_ATK_TYPE="挥砍/刺击",1/120))+DPS_Weapon_Randomization/60</f>
        <v>0.105</v>
      </c>
      <c r="C799" s="104" t="str">
        <f>IF(DPS_Graph_True_Speed=TRUE,IF($A799&lt;=DPS_Graph_Max,IF($A799&gt;=DPS_Graph_Speed_Min,1/B799,),),)</f>
        <v/>
      </c>
      <c r="D799" s="115" t="str">
        <f>IF(DPS_Graph_True_Speed=TRUE,IF($E$8=$A799,DPS_Attacks_P_Sec,),)</f>
        <v/>
      </c>
      <c r="E799" s="222">
        <f>ROUNDDOWN(MAX(2,IF(A799&gt;=0, DPS_Base_Wpn_Spd/(1+A799),DPS_Base_Wpn_Spd*(1+ABS(A799)))),0)</f>
        <v>2</v>
      </c>
      <c r="F799" s="232">
        <f>IF(A799&gt;=0, DPS_Base_Recoil/(1+A799),DPS_Base_Recoil)</f>
        <v>0.00762195122</v>
      </c>
      <c r="G799" s="377">
        <f t="shared" si="7"/>
        <v>0.51</v>
      </c>
      <c r="H799" s="377">
        <f t="shared" si="8"/>
        <v>0.01131221719</v>
      </c>
      <c r="I799" s="104"/>
      <c r="J799" s="377">
        <f>MAX(0, Max(25,(DPS_Base_Range + ((DPS_Range_Stat) / 2))) / MIN(MAX(70, (70 * (1 + ($A799 / 3)))), 120))</f>
        <v>3.333333333</v>
      </c>
      <c r="K799" s="115" t="str">
        <f>IF(A799&lt;=DPS_Graph_Max,IF(A799&gt;=DPS_Graph_Speed_Min,A799,),)</f>
        <v/>
      </c>
      <c r="M799" s="213">
        <f>If(DPS_Weapon_Type="远程",$E799/60+$F799*2,$E799/60+$F799+$G799/2+$H799)</f>
        <v>0.04857723577</v>
      </c>
      <c r="N799" s="104" t="str">
        <f>IF(DPS_Graph_Tooltip_Speed=TRUE,IF($A799&lt;=DPS_Graph_Max,IF($A799&gt;=DPS_Graph_Speed_Min,1/M799,),),)</f>
        <v/>
      </c>
      <c r="R799" s="104" t="str">
        <f>IF(DPS_Graph_Tooltip_Speed=TRUE,IF($E$8=$A799,1/$N$6,),)</f>
        <v/>
      </c>
    </row>
    <row r="800">
      <c r="A800" s="370">
        <v>5.57</v>
      </c>
      <c r="B800" s="213">
        <f>If(DPS_Weapon_Type="远程",($E800+1)/60+(ROUNDDOWN($F800*60+1,0)/60)*2,(ROUNDDOWN(($E800+1)+ROUNDDOWN($F800*60+1,0)+ROUNDDOWN($G800/2*60+1,0)+ROUNDDOWN($H800*60+1,0)+1,0))/60+If(DPS_ATK_TYPE="挥砍",1/60)+If(DPS_ATK_TYPE="挥砍/刺击",1/120))+DPS_Weapon_Randomization/60</f>
        <v>0.105</v>
      </c>
      <c r="C800" s="104" t="str">
        <f>IF(DPS_Graph_True_Speed=TRUE,IF($A800&lt;=DPS_Graph_Max,IF($A800&gt;=DPS_Graph_Speed_Min,1/B800,),),)</f>
        <v/>
      </c>
      <c r="D800" s="115" t="str">
        <f>IF(DPS_Graph_True_Speed=TRUE,IF($E$8=$A800,DPS_Attacks_P_Sec,),)</f>
        <v/>
      </c>
      <c r="E800" s="222">
        <f>ROUNDDOWN(MAX(2,IF(A800&gt;=0, DPS_Base_Wpn_Spd/(1+A800),DPS_Base_Wpn_Spd*(1+ABS(A800)))),0)</f>
        <v>2</v>
      </c>
      <c r="F800" s="232">
        <f>IF(A800&gt;=0, DPS_Base_Recoil/(1+A800),DPS_Base_Recoil)</f>
        <v>0.007610350076</v>
      </c>
      <c r="G800" s="377">
        <f t="shared" si="7"/>
        <v>0.51</v>
      </c>
      <c r="H800" s="377">
        <f t="shared" si="8"/>
        <v>0.01129305477</v>
      </c>
      <c r="I800" s="104"/>
      <c r="J800" s="377">
        <f>MAX(0, Max(25,(DPS_Base_Range + ((DPS_Range_Stat) / 2))) / MIN(MAX(70, (70 * (1 + ($A800 / 3)))), 120))</f>
        <v>3.333333333</v>
      </c>
      <c r="K800" s="115" t="str">
        <f>IF(A800&lt;=DPS_Graph_Max,IF(A800&gt;=DPS_Graph_Speed_Min,A800,),)</f>
        <v/>
      </c>
      <c r="M800" s="213">
        <f>If(DPS_Weapon_Type="远程",$E800/60+$F800*2,$E800/60+$F800+$G800/2+$H800)</f>
        <v>0.04855403349</v>
      </c>
      <c r="N800" s="104" t="str">
        <f>IF(DPS_Graph_Tooltip_Speed=TRUE,IF($A800&lt;=DPS_Graph_Max,IF($A800&gt;=DPS_Graph_Speed_Min,1/M800,),),)</f>
        <v/>
      </c>
      <c r="R800" s="104" t="str">
        <f>IF(DPS_Graph_Tooltip_Speed=TRUE,IF($E$8=$A800,1/$N$6,),)</f>
        <v/>
      </c>
    </row>
    <row r="801">
      <c r="A801" s="370">
        <v>5.58</v>
      </c>
      <c r="B801" s="213">
        <f>If(DPS_Weapon_Type="远程",($E801+1)/60+(ROUNDDOWN($F801*60+1,0)/60)*2,(ROUNDDOWN(($E801+1)+ROUNDDOWN($F801*60+1,0)+ROUNDDOWN($G801/2*60+1,0)+ROUNDDOWN($H801*60+1,0)+1,0))/60+If(DPS_ATK_TYPE="挥砍",1/60)+If(DPS_ATK_TYPE="挥砍/刺击",1/120))+DPS_Weapon_Randomization/60</f>
        <v>0.105</v>
      </c>
      <c r="C801" s="104" t="str">
        <f>IF(DPS_Graph_True_Speed=TRUE,IF($A801&lt;=DPS_Graph_Max,IF($A801&gt;=DPS_Graph_Speed_Min,1/B801,),),)</f>
        <v/>
      </c>
      <c r="D801" s="115" t="str">
        <f>IF(DPS_Graph_True_Speed=TRUE,IF($E$8=$A801,DPS_Attacks_P_Sec,),)</f>
        <v/>
      </c>
      <c r="E801" s="222">
        <f>ROUNDDOWN(MAX(2,IF(A801&gt;=0, DPS_Base_Wpn_Spd/(1+A801),DPS_Base_Wpn_Spd*(1+ABS(A801)))),0)</f>
        <v>2</v>
      </c>
      <c r="F801" s="232">
        <f>IF(A801&gt;=0, DPS_Base_Recoil/(1+A801),DPS_Base_Recoil)</f>
        <v>0.007598784195</v>
      </c>
      <c r="G801" s="377">
        <f t="shared" si="7"/>
        <v>0.51</v>
      </c>
      <c r="H801" s="377">
        <f t="shared" si="8"/>
        <v>0.01127395716</v>
      </c>
      <c r="I801" s="104"/>
      <c r="J801" s="377">
        <f>MAX(0, Max(25,(DPS_Base_Range + ((DPS_Range_Stat) / 2))) / MIN(MAX(70, (70 * (1 + ($A801 / 3)))), 120))</f>
        <v>3.333333333</v>
      </c>
      <c r="K801" s="115" t="str">
        <f>IF(A801&lt;=DPS_Graph_Max,IF(A801&gt;=DPS_Graph_Speed_Min,A801,),)</f>
        <v/>
      </c>
      <c r="M801" s="213">
        <f>If(DPS_Weapon_Type="远程",$E801/60+$F801*2,$E801/60+$F801+$G801/2+$H801)</f>
        <v>0.04853090172</v>
      </c>
      <c r="N801" s="104" t="str">
        <f>IF(DPS_Graph_Tooltip_Speed=TRUE,IF($A801&lt;=DPS_Graph_Max,IF($A801&gt;=DPS_Graph_Speed_Min,1/M801,),),)</f>
        <v/>
      </c>
      <c r="R801" s="104" t="str">
        <f>IF(DPS_Graph_Tooltip_Speed=TRUE,IF($E$8=$A801,1/$N$6,),)</f>
        <v/>
      </c>
    </row>
    <row r="802">
      <c r="A802" s="370">
        <v>5.59</v>
      </c>
      <c r="B802" s="213">
        <f>If(DPS_Weapon_Type="远程",($E802+1)/60+(ROUNDDOWN($F802*60+1,0)/60)*2,(ROUNDDOWN(($E802+1)+ROUNDDOWN($F802*60+1,0)+ROUNDDOWN($G802/2*60+1,0)+ROUNDDOWN($H802*60+1,0)+1,0))/60+If(DPS_ATK_TYPE="挥砍",1/60)+If(DPS_ATK_TYPE="挥砍/刺击",1/120))+DPS_Weapon_Randomization/60</f>
        <v>0.105</v>
      </c>
      <c r="C802" s="104" t="str">
        <f>IF(DPS_Graph_True_Speed=TRUE,IF($A802&lt;=DPS_Graph_Max,IF($A802&gt;=DPS_Graph_Speed_Min,1/B802,),),)</f>
        <v/>
      </c>
      <c r="D802" s="115" t="str">
        <f>IF(DPS_Graph_True_Speed=TRUE,IF($E$8=$A802,DPS_Attacks_P_Sec,),)</f>
        <v/>
      </c>
      <c r="E802" s="222">
        <f>ROUNDDOWN(MAX(2,IF(A802&gt;=0, DPS_Base_Wpn_Spd/(1+A802),DPS_Base_Wpn_Spd*(1+ABS(A802)))),0)</f>
        <v>2</v>
      </c>
      <c r="F802" s="232">
        <f>IF(A802&gt;=0, DPS_Base_Recoil/(1+A802),DPS_Base_Recoil)</f>
        <v>0.007587253414</v>
      </c>
      <c r="G802" s="377">
        <f t="shared" si="7"/>
        <v>0.51</v>
      </c>
      <c r="H802" s="377">
        <f t="shared" si="8"/>
        <v>0.01125492403</v>
      </c>
      <c r="I802" s="104"/>
      <c r="J802" s="377">
        <f>MAX(0, Max(25,(DPS_Base_Range + ((DPS_Range_Stat) / 2))) / MIN(MAX(70, (70 * (1 + ($A802 / 3)))), 120))</f>
        <v>3.333333333</v>
      </c>
      <c r="K802" s="115" t="str">
        <f>IF(A802&lt;=DPS_Graph_Max,IF(A802&gt;=DPS_Graph_Speed_Min,A802,),)</f>
        <v/>
      </c>
      <c r="M802" s="213">
        <f>If(DPS_Weapon_Type="远程",$E802/60+$F802*2,$E802/60+$F802+$G802/2+$H802)</f>
        <v>0.04850784016</v>
      </c>
      <c r="N802" s="104" t="str">
        <f>IF(DPS_Graph_Tooltip_Speed=TRUE,IF($A802&lt;=DPS_Graph_Max,IF($A802&gt;=DPS_Graph_Speed_Min,1/M802,),),)</f>
        <v/>
      </c>
      <c r="R802" s="104" t="str">
        <f>IF(DPS_Graph_Tooltip_Speed=TRUE,IF($E$8=$A802,1/$N$6,),)</f>
        <v/>
      </c>
    </row>
    <row r="803">
      <c r="A803" s="370">
        <v>5.6</v>
      </c>
      <c r="B803" s="213">
        <f>If(DPS_Weapon_Type="远程",($E803+1)/60+(ROUNDDOWN($F803*60+1,0)/60)*2,(ROUNDDOWN(($E803+1)+ROUNDDOWN($F803*60+1,0)+ROUNDDOWN($G803/2*60+1,0)+ROUNDDOWN($H803*60+1,0)+1,0))/60+If(DPS_ATK_TYPE="挥砍",1/60)+If(DPS_ATK_TYPE="挥砍/刺击",1/120))+DPS_Weapon_Randomization/60</f>
        <v>0.105</v>
      </c>
      <c r="C803" s="104" t="str">
        <f>IF(DPS_Graph_True_Speed=TRUE,IF($A803&lt;=DPS_Graph_Max,IF($A803&gt;=DPS_Graph_Speed_Min,1/B803,),),)</f>
        <v/>
      </c>
      <c r="D803" s="115" t="str">
        <f>IF(DPS_Graph_True_Speed=TRUE,IF($E$8=$A803,DPS_Attacks_P_Sec,),)</f>
        <v/>
      </c>
      <c r="E803" s="222">
        <f>ROUNDDOWN(MAX(2,IF(A803&gt;=0, DPS_Base_Wpn_Spd/(1+A803),DPS_Base_Wpn_Spd*(1+ABS(A803)))),0)</f>
        <v>2</v>
      </c>
      <c r="F803" s="232">
        <f>IF(A803&gt;=0, DPS_Base_Recoil/(1+A803),DPS_Base_Recoil)</f>
        <v>0.007575757576</v>
      </c>
      <c r="G803" s="377">
        <f t="shared" si="7"/>
        <v>0.51</v>
      </c>
      <c r="H803" s="377">
        <f t="shared" si="8"/>
        <v>0.01123595506</v>
      </c>
      <c r="I803" s="104"/>
      <c r="J803" s="377">
        <f>MAX(0, Max(25,(DPS_Base_Range + ((DPS_Range_Stat) / 2))) / MIN(MAX(70, (70 * (1 + ($A803 / 3)))), 120))</f>
        <v>3.333333333</v>
      </c>
      <c r="K803" s="115" t="str">
        <f>IF(A803&lt;=DPS_Graph_Max,IF(A803&gt;=DPS_Graph_Speed_Min,A803,),)</f>
        <v/>
      </c>
      <c r="M803" s="213">
        <f>If(DPS_Weapon_Type="远程",$E803/60+$F803*2,$E803/60+$F803+$G803/2+$H803)</f>
        <v>0.04848484848</v>
      </c>
      <c r="N803" s="104" t="str">
        <f>IF(DPS_Graph_Tooltip_Speed=TRUE,IF($A803&lt;=DPS_Graph_Max,IF($A803&gt;=DPS_Graph_Speed_Min,1/M803,),),)</f>
        <v/>
      </c>
      <c r="R803" s="104" t="str">
        <f>IF(DPS_Graph_Tooltip_Speed=TRUE,IF($E$8=$A803,1/$N$6,),)</f>
        <v/>
      </c>
    </row>
    <row r="804">
      <c r="A804" s="370">
        <v>5.61</v>
      </c>
      <c r="B804" s="213">
        <f>If(DPS_Weapon_Type="远程",($E804+1)/60+(ROUNDDOWN($F804*60+1,0)/60)*2,(ROUNDDOWN(($E804+1)+ROUNDDOWN($F804*60+1,0)+ROUNDDOWN($G804/2*60+1,0)+ROUNDDOWN($H804*60+1,0)+1,0))/60+If(DPS_ATK_TYPE="挥砍",1/60)+If(DPS_ATK_TYPE="挥砍/刺击",1/120))+DPS_Weapon_Randomization/60</f>
        <v>0.105</v>
      </c>
      <c r="C804" s="104" t="str">
        <f>IF(DPS_Graph_True_Speed=TRUE,IF($A804&lt;=DPS_Graph_Max,IF($A804&gt;=DPS_Graph_Speed_Min,1/B804,),),)</f>
        <v/>
      </c>
      <c r="D804" s="115" t="str">
        <f>IF(DPS_Graph_True_Speed=TRUE,IF($E$8=$A804,DPS_Attacks_P_Sec,),)</f>
        <v/>
      </c>
      <c r="E804" s="222">
        <f>ROUNDDOWN(MAX(2,IF(A804&gt;=0, DPS_Base_Wpn_Spd/(1+A804),DPS_Base_Wpn_Spd*(1+ABS(A804)))),0)</f>
        <v>2</v>
      </c>
      <c r="F804" s="232">
        <f>IF(A804&gt;=0, DPS_Base_Recoil/(1+A804),DPS_Base_Recoil)</f>
        <v>0.00756429652</v>
      </c>
      <c r="G804" s="377">
        <f t="shared" si="7"/>
        <v>0.51</v>
      </c>
      <c r="H804" s="377">
        <f t="shared" si="8"/>
        <v>0.01121704992</v>
      </c>
      <c r="I804" s="104"/>
      <c r="J804" s="377">
        <f>MAX(0, Max(25,(DPS_Base_Range + ((DPS_Range_Stat) / 2))) / MIN(MAX(70, (70 * (1 + ($A804 / 3)))), 120))</f>
        <v>3.333333333</v>
      </c>
      <c r="K804" s="115" t="str">
        <f>IF(A804&lt;=DPS_Graph_Max,IF(A804&gt;=DPS_Graph_Speed_Min,A804,),)</f>
        <v/>
      </c>
      <c r="M804" s="213">
        <f>If(DPS_Weapon_Type="远程",$E804/60+$F804*2,$E804/60+$F804+$G804/2+$H804)</f>
        <v>0.04846192637</v>
      </c>
      <c r="N804" s="104" t="str">
        <f>IF(DPS_Graph_Tooltip_Speed=TRUE,IF($A804&lt;=DPS_Graph_Max,IF($A804&gt;=DPS_Graph_Speed_Min,1/M804,),),)</f>
        <v/>
      </c>
      <c r="R804" s="104" t="str">
        <f>IF(DPS_Graph_Tooltip_Speed=TRUE,IF($E$8=$A804,1/$N$6,),)</f>
        <v/>
      </c>
    </row>
    <row r="805">
      <c r="A805" s="370">
        <v>5.62</v>
      </c>
      <c r="B805" s="213">
        <f>If(DPS_Weapon_Type="远程",($E805+1)/60+(ROUNDDOWN($F805*60+1,0)/60)*2,(ROUNDDOWN(($E805+1)+ROUNDDOWN($F805*60+1,0)+ROUNDDOWN($G805/2*60+1,0)+ROUNDDOWN($H805*60+1,0)+1,0))/60+If(DPS_ATK_TYPE="挥砍",1/60)+If(DPS_ATK_TYPE="挥砍/刺击",1/120))+DPS_Weapon_Randomization/60</f>
        <v>0.105</v>
      </c>
      <c r="C805" s="104" t="str">
        <f>IF(DPS_Graph_True_Speed=TRUE,IF($A805&lt;=DPS_Graph_Max,IF($A805&gt;=DPS_Graph_Speed_Min,1/B805,),),)</f>
        <v/>
      </c>
      <c r="D805" s="115" t="str">
        <f>IF(DPS_Graph_True_Speed=TRUE,IF($E$8=$A805,DPS_Attacks_P_Sec,),)</f>
        <v/>
      </c>
      <c r="E805" s="222">
        <f>ROUNDDOWN(MAX(2,IF(A805&gt;=0, DPS_Base_Wpn_Spd/(1+A805),DPS_Base_Wpn_Spd*(1+ABS(A805)))),0)</f>
        <v>2</v>
      </c>
      <c r="F805" s="232">
        <f>IF(A805&gt;=0, DPS_Base_Recoil/(1+A805),DPS_Base_Recoil)</f>
        <v>0.007552870091</v>
      </c>
      <c r="G805" s="377">
        <f t="shared" si="7"/>
        <v>0.51</v>
      </c>
      <c r="H805" s="377">
        <f t="shared" si="8"/>
        <v>0.01119820829</v>
      </c>
      <c r="I805" s="104"/>
      <c r="J805" s="377">
        <f>MAX(0, Max(25,(DPS_Base_Range + ((DPS_Range_Stat) / 2))) / MIN(MAX(70, (70 * (1 + ($A805 / 3)))), 120))</f>
        <v>3.333333333</v>
      </c>
      <c r="K805" s="115" t="str">
        <f>IF(A805&lt;=DPS_Graph_Max,IF(A805&gt;=DPS_Graph_Speed_Min,A805,),)</f>
        <v/>
      </c>
      <c r="M805" s="213">
        <f>If(DPS_Weapon_Type="远程",$E805/60+$F805*2,$E805/60+$F805+$G805/2+$H805)</f>
        <v>0.04843907351</v>
      </c>
      <c r="N805" s="104" t="str">
        <f>IF(DPS_Graph_Tooltip_Speed=TRUE,IF($A805&lt;=DPS_Graph_Max,IF($A805&gt;=DPS_Graph_Speed_Min,1/M805,),),)</f>
        <v/>
      </c>
      <c r="R805" s="104" t="str">
        <f>IF(DPS_Graph_Tooltip_Speed=TRUE,IF($E$8=$A805,1/$N$6,),)</f>
        <v/>
      </c>
    </row>
    <row r="806">
      <c r="A806" s="370">
        <v>5.63</v>
      </c>
      <c r="B806" s="213">
        <f>If(DPS_Weapon_Type="远程",($E806+1)/60+(ROUNDDOWN($F806*60+1,0)/60)*2,(ROUNDDOWN(($E806+1)+ROUNDDOWN($F806*60+1,0)+ROUNDDOWN($G806/2*60+1,0)+ROUNDDOWN($H806*60+1,0)+1,0))/60+If(DPS_ATK_TYPE="挥砍",1/60)+If(DPS_ATK_TYPE="挥砍/刺击",1/120))+DPS_Weapon_Randomization/60</f>
        <v>0.105</v>
      </c>
      <c r="C806" s="104" t="str">
        <f>IF(DPS_Graph_True_Speed=TRUE,IF($A806&lt;=DPS_Graph_Max,IF($A806&gt;=DPS_Graph_Speed_Min,1/B806,),),)</f>
        <v/>
      </c>
      <c r="D806" s="115" t="str">
        <f>IF(DPS_Graph_True_Speed=TRUE,IF($E$8=$A806,DPS_Attacks_P_Sec,),)</f>
        <v/>
      </c>
      <c r="E806" s="222">
        <f>ROUNDDOWN(MAX(2,IF(A806&gt;=0, DPS_Base_Wpn_Spd/(1+A806),DPS_Base_Wpn_Spd*(1+ABS(A806)))),0)</f>
        <v>2</v>
      </c>
      <c r="F806" s="232">
        <f>IF(A806&gt;=0, DPS_Base_Recoil/(1+A806),DPS_Base_Recoil)</f>
        <v>0.00754147813</v>
      </c>
      <c r="G806" s="377">
        <f t="shared" si="7"/>
        <v>0.51</v>
      </c>
      <c r="H806" s="377">
        <f t="shared" si="8"/>
        <v>0.01117942985</v>
      </c>
      <c r="I806" s="104"/>
      <c r="J806" s="377">
        <f>MAX(0, Max(25,(DPS_Base_Range + ((DPS_Range_Stat) / 2))) / MIN(MAX(70, (70 * (1 + ($A806 / 3)))), 120))</f>
        <v>3.333333333</v>
      </c>
      <c r="K806" s="115" t="str">
        <f>IF(A806&lt;=DPS_Graph_Max,IF(A806&gt;=DPS_Graph_Speed_Min,A806,),)</f>
        <v/>
      </c>
      <c r="M806" s="213">
        <f>If(DPS_Weapon_Type="远程",$E806/60+$F806*2,$E806/60+$F806+$G806/2+$H806)</f>
        <v>0.04841628959</v>
      </c>
      <c r="N806" s="104" t="str">
        <f>IF(DPS_Graph_Tooltip_Speed=TRUE,IF($A806&lt;=DPS_Graph_Max,IF($A806&gt;=DPS_Graph_Speed_Min,1/M806,),),)</f>
        <v/>
      </c>
      <c r="R806" s="104" t="str">
        <f>IF(DPS_Graph_Tooltip_Speed=TRUE,IF($E$8=$A806,1/$N$6,),)</f>
        <v/>
      </c>
    </row>
    <row r="807">
      <c r="A807" s="370">
        <v>5.64</v>
      </c>
      <c r="B807" s="213">
        <f>If(DPS_Weapon_Type="远程",($E807+1)/60+(ROUNDDOWN($F807*60+1,0)/60)*2,(ROUNDDOWN(($E807+1)+ROUNDDOWN($F807*60+1,0)+ROUNDDOWN($G807/2*60+1,0)+ROUNDDOWN($H807*60+1,0)+1,0))/60+If(DPS_ATK_TYPE="挥砍",1/60)+If(DPS_ATK_TYPE="挥砍/刺击",1/120))+DPS_Weapon_Randomization/60</f>
        <v>0.105</v>
      </c>
      <c r="C807" s="104" t="str">
        <f>IF(DPS_Graph_True_Speed=TRUE,IF($A807&lt;=DPS_Graph_Max,IF($A807&gt;=DPS_Graph_Speed_Min,1/B807,),),)</f>
        <v/>
      </c>
      <c r="D807" s="115" t="str">
        <f>IF(DPS_Graph_True_Speed=TRUE,IF($E$8=$A807,DPS_Attacks_P_Sec,),)</f>
        <v/>
      </c>
      <c r="E807" s="222">
        <f>ROUNDDOWN(MAX(2,IF(A807&gt;=0, DPS_Base_Wpn_Spd/(1+A807),DPS_Base_Wpn_Spd*(1+ABS(A807)))),0)</f>
        <v>2</v>
      </c>
      <c r="F807" s="232">
        <f>IF(A807&gt;=0, DPS_Base_Recoil/(1+A807),DPS_Base_Recoil)</f>
        <v>0.007530120482</v>
      </c>
      <c r="G807" s="377">
        <f t="shared" si="7"/>
        <v>0.51</v>
      </c>
      <c r="H807" s="377">
        <f t="shared" si="8"/>
        <v>0.01116071429</v>
      </c>
      <c r="I807" s="104"/>
      <c r="J807" s="377">
        <f>MAX(0, Max(25,(DPS_Base_Range + ((DPS_Range_Stat) / 2))) / MIN(MAX(70, (70 * (1 + ($A807 / 3)))), 120))</f>
        <v>3.333333333</v>
      </c>
      <c r="K807" s="115" t="str">
        <f>IF(A807&lt;=DPS_Graph_Max,IF(A807&gt;=DPS_Graph_Speed_Min,A807,),)</f>
        <v/>
      </c>
      <c r="M807" s="213">
        <f>If(DPS_Weapon_Type="远程",$E807/60+$F807*2,$E807/60+$F807+$G807/2+$H807)</f>
        <v>0.0483935743</v>
      </c>
      <c r="N807" s="104" t="str">
        <f>IF(DPS_Graph_Tooltip_Speed=TRUE,IF($A807&lt;=DPS_Graph_Max,IF($A807&gt;=DPS_Graph_Speed_Min,1/M807,),),)</f>
        <v/>
      </c>
      <c r="R807" s="104" t="str">
        <f>IF(DPS_Graph_Tooltip_Speed=TRUE,IF($E$8=$A807,1/$N$6,),)</f>
        <v/>
      </c>
    </row>
    <row r="808">
      <c r="A808" s="370">
        <v>5.65</v>
      </c>
      <c r="B808" s="213">
        <f>If(DPS_Weapon_Type="远程",($E808+1)/60+(ROUNDDOWN($F808*60+1,0)/60)*2,(ROUNDDOWN(($E808+1)+ROUNDDOWN($F808*60+1,0)+ROUNDDOWN($G808/2*60+1,0)+ROUNDDOWN($H808*60+1,0)+1,0))/60+If(DPS_ATK_TYPE="挥砍",1/60)+If(DPS_ATK_TYPE="挥砍/刺击",1/120))+DPS_Weapon_Randomization/60</f>
        <v>0.105</v>
      </c>
      <c r="C808" s="104" t="str">
        <f>IF(DPS_Graph_True_Speed=TRUE,IF($A808&lt;=DPS_Graph_Max,IF($A808&gt;=DPS_Graph_Speed_Min,1/B808,),),)</f>
        <v/>
      </c>
      <c r="D808" s="115" t="str">
        <f>IF(DPS_Graph_True_Speed=TRUE,IF($E$8=$A808,DPS_Attacks_P_Sec,),)</f>
        <v/>
      </c>
      <c r="E808" s="222">
        <f>ROUNDDOWN(MAX(2,IF(A808&gt;=0, DPS_Base_Wpn_Spd/(1+A808),DPS_Base_Wpn_Spd*(1+ABS(A808)))),0)</f>
        <v>2</v>
      </c>
      <c r="F808" s="232">
        <f>IF(A808&gt;=0, DPS_Base_Recoil/(1+A808),DPS_Base_Recoil)</f>
        <v>0.007518796992</v>
      </c>
      <c r="G808" s="377">
        <f t="shared" si="7"/>
        <v>0.51</v>
      </c>
      <c r="H808" s="377">
        <f t="shared" si="8"/>
        <v>0.01114206128</v>
      </c>
      <c r="I808" s="104"/>
      <c r="J808" s="377">
        <f>MAX(0, Max(25,(DPS_Base_Range + ((DPS_Range_Stat) / 2))) / MIN(MAX(70, (70 * (1 + ($A808 / 3)))), 120))</f>
        <v>3.333333333</v>
      </c>
      <c r="K808" s="115" t="str">
        <f>IF(A808&lt;=DPS_Graph_Max,IF(A808&gt;=DPS_Graph_Speed_Min,A808,),)</f>
        <v/>
      </c>
      <c r="M808" s="213">
        <f>If(DPS_Weapon_Type="远程",$E808/60+$F808*2,$E808/60+$F808+$G808/2+$H808)</f>
        <v>0.04837092732</v>
      </c>
      <c r="N808" s="104" t="str">
        <f>IF(DPS_Graph_Tooltip_Speed=TRUE,IF($A808&lt;=DPS_Graph_Max,IF($A808&gt;=DPS_Graph_Speed_Min,1/M808,),),)</f>
        <v/>
      </c>
      <c r="R808" s="104" t="str">
        <f>IF(DPS_Graph_Tooltip_Speed=TRUE,IF($E$8=$A808,1/$N$6,),)</f>
        <v/>
      </c>
    </row>
    <row r="809">
      <c r="A809" s="370">
        <v>5.66</v>
      </c>
      <c r="B809" s="213">
        <f>If(DPS_Weapon_Type="远程",($E809+1)/60+(ROUNDDOWN($F809*60+1,0)/60)*2,(ROUNDDOWN(($E809+1)+ROUNDDOWN($F809*60+1,0)+ROUNDDOWN($G809/2*60+1,0)+ROUNDDOWN($H809*60+1,0)+1,0))/60+If(DPS_ATK_TYPE="挥砍",1/60)+If(DPS_ATK_TYPE="挥砍/刺击",1/120))+DPS_Weapon_Randomization/60</f>
        <v>0.105</v>
      </c>
      <c r="C809" s="104" t="str">
        <f>IF(DPS_Graph_True_Speed=TRUE,IF($A809&lt;=DPS_Graph_Max,IF($A809&gt;=DPS_Graph_Speed_Min,1/B809,),),)</f>
        <v/>
      </c>
      <c r="D809" s="115" t="str">
        <f>IF(DPS_Graph_True_Speed=TRUE,IF($E$8=$A809,DPS_Attacks_P_Sec,),)</f>
        <v/>
      </c>
      <c r="E809" s="222">
        <f>ROUNDDOWN(MAX(2,IF(A809&gt;=0, DPS_Base_Wpn_Spd/(1+A809),DPS_Base_Wpn_Spd*(1+ABS(A809)))),0)</f>
        <v>2</v>
      </c>
      <c r="F809" s="232">
        <f>IF(A809&gt;=0, DPS_Base_Recoil/(1+A809),DPS_Base_Recoil)</f>
        <v>0.007507507508</v>
      </c>
      <c r="G809" s="377">
        <f t="shared" si="7"/>
        <v>0.51</v>
      </c>
      <c r="H809" s="377">
        <f t="shared" si="8"/>
        <v>0.01112347052</v>
      </c>
      <c r="I809" s="104"/>
      <c r="J809" s="377">
        <f>MAX(0, Max(25,(DPS_Base_Range + ((DPS_Range_Stat) / 2))) / MIN(MAX(70, (70 * (1 + ($A809 / 3)))), 120))</f>
        <v>3.333333333</v>
      </c>
      <c r="K809" s="115" t="str">
        <f>IF(A809&lt;=DPS_Graph_Max,IF(A809&gt;=DPS_Graph_Speed_Min,A809,),)</f>
        <v/>
      </c>
      <c r="M809" s="213">
        <f>If(DPS_Weapon_Type="远程",$E809/60+$F809*2,$E809/60+$F809+$G809/2+$H809)</f>
        <v>0.04834834835</v>
      </c>
      <c r="N809" s="104" t="str">
        <f>IF(DPS_Graph_Tooltip_Speed=TRUE,IF($A809&lt;=DPS_Graph_Max,IF($A809&gt;=DPS_Graph_Speed_Min,1/M809,),),)</f>
        <v/>
      </c>
      <c r="R809" s="104" t="str">
        <f>IF(DPS_Graph_Tooltip_Speed=TRUE,IF($E$8=$A809,1/$N$6,),)</f>
        <v/>
      </c>
    </row>
    <row r="810">
      <c r="A810" s="370">
        <v>5.67</v>
      </c>
      <c r="B810" s="213">
        <f>If(DPS_Weapon_Type="远程",($E810+1)/60+(ROUNDDOWN($F810*60+1,0)/60)*2,(ROUNDDOWN(($E810+1)+ROUNDDOWN($F810*60+1,0)+ROUNDDOWN($G810/2*60+1,0)+ROUNDDOWN($H810*60+1,0)+1,0))/60+If(DPS_ATK_TYPE="挥砍",1/60)+If(DPS_ATK_TYPE="挥砍/刺击",1/120))+DPS_Weapon_Randomization/60</f>
        <v>0.105</v>
      </c>
      <c r="C810" s="104" t="str">
        <f>IF(DPS_Graph_True_Speed=TRUE,IF($A810&lt;=DPS_Graph_Max,IF($A810&gt;=DPS_Graph_Speed_Min,1/B810,),),)</f>
        <v/>
      </c>
      <c r="D810" s="115" t="str">
        <f>IF(DPS_Graph_True_Speed=TRUE,IF($E$8=$A810,DPS_Attacks_P_Sec,),)</f>
        <v/>
      </c>
      <c r="E810" s="222">
        <f>ROUNDDOWN(MAX(2,IF(A810&gt;=0, DPS_Base_Wpn_Spd/(1+A810),DPS_Base_Wpn_Spd*(1+ABS(A810)))),0)</f>
        <v>2</v>
      </c>
      <c r="F810" s="232">
        <f>IF(A810&gt;=0, DPS_Base_Recoil/(1+A810),DPS_Base_Recoil)</f>
        <v>0.007496251874</v>
      </c>
      <c r="G810" s="377">
        <f t="shared" si="7"/>
        <v>0.51</v>
      </c>
      <c r="H810" s="377">
        <f t="shared" si="8"/>
        <v>0.0111049417</v>
      </c>
      <c r="I810" s="104"/>
      <c r="J810" s="377">
        <f>MAX(0, Max(25,(DPS_Base_Range + ((DPS_Range_Stat) / 2))) / MIN(MAX(70, (70 * (1 + ($A810 / 3)))), 120))</f>
        <v>3.333333333</v>
      </c>
      <c r="K810" s="115" t="str">
        <f>IF(A810&lt;=DPS_Graph_Max,IF(A810&gt;=DPS_Graph_Speed_Min,A810,),)</f>
        <v/>
      </c>
      <c r="M810" s="213">
        <f>If(DPS_Weapon_Type="远程",$E810/60+$F810*2,$E810/60+$F810+$G810/2+$H810)</f>
        <v>0.04832583708</v>
      </c>
      <c r="N810" s="104" t="str">
        <f>IF(DPS_Graph_Tooltip_Speed=TRUE,IF($A810&lt;=DPS_Graph_Max,IF($A810&gt;=DPS_Graph_Speed_Min,1/M810,),),)</f>
        <v/>
      </c>
      <c r="R810" s="104" t="str">
        <f>IF(DPS_Graph_Tooltip_Speed=TRUE,IF($E$8=$A810,1/$N$6,),)</f>
        <v/>
      </c>
    </row>
    <row r="811">
      <c r="A811" s="370">
        <v>5.68</v>
      </c>
      <c r="B811" s="213">
        <f>If(DPS_Weapon_Type="远程",($E811+1)/60+(ROUNDDOWN($F811*60+1,0)/60)*2,(ROUNDDOWN(($E811+1)+ROUNDDOWN($F811*60+1,0)+ROUNDDOWN($G811/2*60+1,0)+ROUNDDOWN($H811*60+1,0)+1,0))/60+If(DPS_ATK_TYPE="挥砍",1/60)+If(DPS_ATK_TYPE="挥砍/刺击",1/120))+DPS_Weapon_Randomization/60</f>
        <v>0.105</v>
      </c>
      <c r="C811" s="104" t="str">
        <f>IF(DPS_Graph_True_Speed=TRUE,IF($A811&lt;=DPS_Graph_Max,IF($A811&gt;=DPS_Graph_Speed_Min,1/B811,),),)</f>
        <v/>
      </c>
      <c r="D811" s="115" t="str">
        <f>IF(DPS_Graph_True_Speed=TRUE,IF($E$8=$A811,DPS_Attacks_P_Sec,),)</f>
        <v/>
      </c>
      <c r="E811" s="222">
        <f>ROUNDDOWN(MAX(2,IF(A811&gt;=0, DPS_Base_Wpn_Spd/(1+A811),DPS_Base_Wpn_Spd*(1+ABS(A811)))),0)</f>
        <v>2</v>
      </c>
      <c r="F811" s="232">
        <f>IF(A811&gt;=0, DPS_Base_Recoil/(1+A811),DPS_Base_Recoil)</f>
        <v>0.00748502994</v>
      </c>
      <c r="G811" s="377">
        <f t="shared" si="7"/>
        <v>0.51</v>
      </c>
      <c r="H811" s="377">
        <f t="shared" si="8"/>
        <v>0.0110864745</v>
      </c>
      <c r="I811" s="104"/>
      <c r="J811" s="377">
        <f>MAX(0, Max(25,(DPS_Base_Range + ((DPS_Range_Stat) / 2))) / MIN(MAX(70, (70 * (1 + ($A811 / 3)))), 120))</f>
        <v>3.333333333</v>
      </c>
      <c r="K811" s="115" t="str">
        <f>IF(A811&lt;=DPS_Graph_Max,IF(A811&gt;=DPS_Graph_Speed_Min,A811,),)</f>
        <v/>
      </c>
      <c r="M811" s="213">
        <f>If(DPS_Weapon_Type="远程",$E811/60+$F811*2,$E811/60+$F811+$G811/2+$H811)</f>
        <v>0.04830339321</v>
      </c>
      <c r="N811" s="104" t="str">
        <f>IF(DPS_Graph_Tooltip_Speed=TRUE,IF($A811&lt;=DPS_Graph_Max,IF($A811&gt;=DPS_Graph_Speed_Min,1/M811,),),)</f>
        <v/>
      </c>
      <c r="R811" s="104" t="str">
        <f>IF(DPS_Graph_Tooltip_Speed=TRUE,IF($E$8=$A811,1/$N$6,),)</f>
        <v/>
      </c>
    </row>
    <row r="812">
      <c r="A812" s="370">
        <v>5.69</v>
      </c>
      <c r="B812" s="213">
        <f>If(DPS_Weapon_Type="远程",($E812+1)/60+(ROUNDDOWN($F812*60+1,0)/60)*2,(ROUNDDOWN(($E812+1)+ROUNDDOWN($F812*60+1,0)+ROUNDDOWN($G812/2*60+1,0)+ROUNDDOWN($H812*60+1,0)+1,0))/60+If(DPS_ATK_TYPE="挥砍",1/60)+If(DPS_ATK_TYPE="挥砍/刺击",1/120))+DPS_Weapon_Randomization/60</f>
        <v>0.105</v>
      </c>
      <c r="C812" s="104" t="str">
        <f>IF(DPS_Graph_True_Speed=TRUE,IF($A812&lt;=DPS_Graph_Max,IF($A812&gt;=DPS_Graph_Speed_Min,1/B812,),),)</f>
        <v/>
      </c>
      <c r="D812" s="115" t="str">
        <f>IF(DPS_Graph_True_Speed=TRUE,IF($E$8=$A812,DPS_Attacks_P_Sec,),)</f>
        <v/>
      </c>
      <c r="E812" s="222">
        <f>ROUNDDOWN(MAX(2,IF(A812&gt;=0, DPS_Base_Wpn_Spd/(1+A812),DPS_Base_Wpn_Spd*(1+ABS(A812)))),0)</f>
        <v>2</v>
      </c>
      <c r="F812" s="232">
        <f>IF(A812&gt;=0, DPS_Base_Recoil/(1+A812),DPS_Base_Recoil)</f>
        <v>0.007473841555</v>
      </c>
      <c r="G812" s="377">
        <f t="shared" si="7"/>
        <v>0.51</v>
      </c>
      <c r="H812" s="377">
        <f t="shared" si="8"/>
        <v>0.01106806862</v>
      </c>
      <c r="I812" s="104"/>
      <c r="J812" s="377">
        <f>MAX(0, Max(25,(DPS_Base_Range + ((DPS_Range_Stat) / 2))) / MIN(MAX(70, (70 * (1 + ($A812 / 3)))), 120))</f>
        <v>3.333333333</v>
      </c>
      <c r="K812" s="115" t="str">
        <f>IF(A812&lt;=DPS_Graph_Max,IF(A812&gt;=DPS_Graph_Speed_Min,A812,),)</f>
        <v/>
      </c>
      <c r="M812" s="213">
        <f>If(DPS_Weapon_Type="远程",$E812/60+$F812*2,$E812/60+$F812+$G812/2+$H812)</f>
        <v>0.04828101644</v>
      </c>
      <c r="N812" s="104" t="str">
        <f>IF(DPS_Graph_Tooltip_Speed=TRUE,IF($A812&lt;=DPS_Graph_Max,IF($A812&gt;=DPS_Graph_Speed_Min,1/M812,),),)</f>
        <v/>
      </c>
      <c r="R812" s="104" t="str">
        <f>IF(DPS_Graph_Tooltip_Speed=TRUE,IF($E$8=$A812,1/$N$6,),)</f>
        <v/>
      </c>
    </row>
    <row r="813">
      <c r="A813" s="370">
        <v>5.7</v>
      </c>
      <c r="B813" s="213">
        <f>If(DPS_Weapon_Type="远程",($E813+1)/60+(ROUNDDOWN($F813*60+1,0)/60)*2,(ROUNDDOWN(($E813+1)+ROUNDDOWN($F813*60+1,0)+ROUNDDOWN($G813/2*60+1,0)+ROUNDDOWN($H813*60+1,0)+1,0))/60+If(DPS_ATK_TYPE="挥砍",1/60)+If(DPS_ATK_TYPE="挥砍/刺击",1/120))+DPS_Weapon_Randomization/60</f>
        <v>0.105</v>
      </c>
      <c r="C813" s="104" t="str">
        <f>IF(DPS_Graph_True_Speed=TRUE,IF($A813&lt;=DPS_Graph_Max,IF($A813&gt;=DPS_Graph_Speed_Min,1/B813,),),)</f>
        <v/>
      </c>
      <c r="D813" s="115" t="str">
        <f>IF(DPS_Graph_True_Speed=TRUE,IF($E$8=$A813,DPS_Attacks_P_Sec,),)</f>
        <v/>
      </c>
      <c r="E813" s="222">
        <f>ROUNDDOWN(MAX(2,IF(A813&gt;=0, DPS_Base_Wpn_Spd/(1+A813),DPS_Base_Wpn_Spd*(1+ABS(A813)))),0)</f>
        <v>2</v>
      </c>
      <c r="F813" s="232">
        <f>IF(A813&gt;=0, DPS_Base_Recoil/(1+A813),DPS_Base_Recoil)</f>
        <v>0.007462686567</v>
      </c>
      <c r="G813" s="377">
        <f t="shared" si="7"/>
        <v>0.51</v>
      </c>
      <c r="H813" s="377">
        <f t="shared" si="8"/>
        <v>0.01104972376</v>
      </c>
      <c r="I813" s="104"/>
      <c r="J813" s="377">
        <f>MAX(0, Max(25,(DPS_Base_Range + ((DPS_Range_Stat) / 2))) / MIN(MAX(70, (70 * (1 + ($A813 / 3)))), 120))</f>
        <v>3.333333333</v>
      </c>
      <c r="K813" s="115" t="str">
        <f>IF(A813&lt;=DPS_Graph_Max,IF(A813&gt;=DPS_Graph_Speed_Min,A813,),)</f>
        <v/>
      </c>
      <c r="M813" s="213">
        <f>If(DPS_Weapon_Type="远程",$E813/60+$F813*2,$E813/60+$F813+$G813/2+$H813)</f>
        <v>0.04825870647</v>
      </c>
      <c r="N813" s="104" t="str">
        <f>IF(DPS_Graph_Tooltip_Speed=TRUE,IF($A813&lt;=DPS_Graph_Max,IF($A813&gt;=DPS_Graph_Speed_Min,1/M813,),),)</f>
        <v/>
      </c>
      <c r="R813" s="104" t="str">
        <f>IF(DPS_Graph_Tooltip_Speed=TRUE,IF($E$8=$A813,1/$N$6,),)</f>
        <v/>
      </c>
    </row>
    <row r="814">
      <c r="A814" s="370">
        <v>5.71</v>
      </c>
      <c r="B814" s="213">
        <f>If(DPS_Weapon_Type="远程",($E814+1)/60+(ROUNDDOWN($F814*60+1,0)/60)*2,(ROUNDDOWN(($E814+1)+ROUNDDOWN($F814*60+1,0)+ROUNDDOWN($G814/2*60+1,0)+ROUNDDOWN($H814*60+1,0)+1,0))/60+If(DPS_ATK_TYPE="挥砍",1/60)+If(DPS_ATK_TYPE="挥砍/刺击",1/120))+DPS_Weapon_Randomization/60</f>
        <v>0.105</v>
      </c>
      <c r="C814" s="104" t="str">
        <f>IF(DPS_Graph_True_Speed=TRUE,IF($A814&lt;=DPS_Graph_Max,IF($A814&gt;=DPS_Graph_Speed_Min,1/B814,),),)</f>
        <v/>
      </c>
      <c r="D814" s="115" t="str">
        <f>IF(DPS_Graph_True_Speed=TRUE,IF($E$8=$A814,DPS_Attacks_P_Sec,),)</f>
        <v/>
      </c>
      <c r="E814" s="222">
        <f>ROUNDDOWN(MAX(2,IF(A814&gt;=0, DPS_Base_Wpn_Spd/(1+A814),DPS_Base_Wpn_Spd*(1+ABS(A814)))),0)</f>
        <v>2</v>
      </c>
      <c r="F814" s="232">
        <f>IF(A814&gt;=0, DPS_Base_Recoil/(1+A814),DPS_Base_Recoil)</f>
        <v>0.007451564829</v>
      </c>
      <c r="G814" s="377">
        <f t="shared" si="7"/>
        <v>0.51</v>
      </c>
      <c r="H814" s="377">
        <f t="shared" si="8"/>
        <v>0.0110314396</v>
      </c>
      <c r="I814" s="104"/>
      <c r="J814" s="377">
        <f>MAX(0, Max(25,(DPS_Base_Range + ((DPS_Range_Stat) / 2))) / MIN(MAX(70, (70 * (1 + ($A814 / 3)))), 120))</f>
        <v>3.333333333</v>
      </c>
      <c r="K814" s="115" t="str">
        <f>IF(A814&lt;=DPS_Graph_Max,IF(A814&gt;=DPS_Graph_Speed_Min,A814,),)</f>
        <v/>
      </c>
      <c r="M814" s="213">
        <f>If(DPS_Weapon_Type="远程",$E814/60+$F814*2,$E814/60+$F814+$G814/2+$H814)</f>
        <v>0.04823646299</v>
      </c>
      <c r="N814" s="104" t="str">
        <f>IF(DPS_Graph_Tooltip_Speed=TRUE,IF($A814&lt;=DPS_Graph_Max,IF($A814&gt;=DPS_Graph_Speed_Min,1/M814,),),)</f>
        <v/>
      </c>
      <c r="R814" s="104" t="str">
        <f>IF(DPS_Graph_Tooltip_Speed=TRUE,IF($E$8=$A814,1/$N$6,),)</f>
        <v/>
      </c>
    </row>
    <row r="815">
      <c r="A815" s="370">
        <v>5.72</v>
      </c>
      <c r="B815" s="213">
        <f>If(DPS_Weapon_Type="远程",($E815+1)/60+(ROUNDDOWN($F815*60+1,0)/60)*2,(ROUNDDOWN(($E815+1)+ROUNDDOWN($F815*60+1,0)+ROUNDDOWN($G815/2*60+1,0)+ROUNDDOWN($H815*60+1,0)+1,0))/60+If(DPS_ATK_TYPE="挥砍",1/60)+If(DPS_ATK_TYPE="挥砍/刺击",1/120))+DPS_Weapon_Randomization/60</f>
        <v>0.105</v>
      </c>
      <c r="C815" s="104" t="str">
        <f>IF(DPS_Graph_True_Speed=TRUE,IF($A815&lt;=DPS_Graph_Max,IF($A815&gt;=DPS_Graph_Speed_Min,1/B815,),),)</f>
        <v/>
      </c>
      <c r="D815" s="115" t="str">
        <f>IF(DPS_Graph_True_Speed=TRUE,IF($E$8=$A815,DPS_Attacks_P_Sec,),)</f>
        <v/>
      </c>
      <c r="E815" s="222">
        <f>ROUNDDOWN(MAX(2,IF(A815&gt;=0, DPS_Base_Wpn_Spd/(1+A815),DPS_Base_Wpn_Spd*(1+ABS(A815)))),0)</f>
        <v>2</v>
      </c>
      <c r="F815" s="232">
        <f>IF(A815&gt;=0, DPS_Base_Recoil/(1+A815),DPS_Base_Recoil)</f>
        <v>0.00744047619</v>
      </c>
      <c r="G815" s="377">
        <f t="shared" si="7"/>
        <v>0.51</v>
      </c>
      <c r="H815" s="377">
        <f t="shared" si="8"/>
        <v>0.01101321586</v>
      </c>
      <c r="I815" s="104"/>
      <c r="J815" s="377">
        <f>MAX(0, Max(25,(DPS_Base_Range + ((DPS_Range_Stat) / 2))) / MIN(MAX(70, (70 * (1 + ($A815 / 3)))), 120))</f>
        <v>3.333333333</v>
      </c>
      <c r="K815" s="115" t="str">
        <f>IF(A815&lt;=DPS_Graph_Max,IF(A815&gt;=DPS_Graph_Speed_Min,A815,),)</f>
        <v/>
      </c>
      <c r="M815" s="213">
        <f>If(DPS_Weapon_Type="远程",$E815/60+$F815*2,$E815/60+$F815+$G815/2+$H815)</f>
        <v>0.04821428571</v>
      </c>
      <c r="N815" s="104" t="str">
        <f>IF(DPS_Graph_Tooltip_Speed=TRUE,IF($A815&lt;=DPS_Graph_Max,IF($A815&gt;=DPS_Graph_Speed_Min,1/M815,),),)</f>
        <v/>
      </c>
      <c r="R815" s="104" t="str">
        <f>IF(DPS_Graph_Tooltip_Speed=TRUE,IF($E$8=$A815,1/$N$6,),)</f>
        <v/>
      </c>
    </row>
    <row r="816">
      <c r="A816" s="370">
        <v>5.73</v>
      </c>
      <c r="B816" s="213">
        <f>If(DPS_Weapon_Type="远程",($E816+1)/60+(ROUNDDOWN($F816*60+1,0)/60)*2,(ROUNDDOWN(($E816+1)+ROUNDDOWN($F816*60+1,0)+ROUNDDOWN($G816/2*60+1,0)+ROUNDDOWN($H816*60+1,0)+1,0))/60+If(DPS_ATK_TYPE="挥砍",1/60)+If(DPS_ATK_TYPE="挥砍/刺击",1/120))+DPS_Weapon_Randomization/60</f>
        <v>0.105</v>
      </c>
      <c r="C816" s="104" t="str">
        <f>IF(DPS_Graph_True_Speed=TRUE,IF($A816&lt;=DPS_Graph_Max,IF($A816&gt;=DPS_Graph_Speed_Min,1/B816,),),)</f>
        <v/>
      </c>
      <c r="D816" s="115" t="str">
        <f>IF(DPS_Graph_True_Speed=TRUE,IF($E$8=$A816,DPS_Attacks_P_Sec,),)</f>
        <v/>
      </c>
      <c r="E816" s="222">
        <f>ROUNDDOWN(MAX(2,IF(A816&gt;=0, DPS_Base_Wpn_Spd/(1+A816),DPS_Base_Wpn_Spd*(1+ABS(A816)))),0)</f>
        <v>2</v>
      </c>
      <c r="F816" s="232">
        <f>IF(A816&gt;=0, DPS_Base_Recoil/(1+A816),DPS_Base_Recoil)</f>
        <v>0.007429420505</v>
      </c>
      <c r="G816" s="377">
        <f t="shared" si="7"/>
        <v>0.51</v>
      </c>
      <c r="H816" s="377">
        <f t="shared" si="8"/>
        <v>0.01099505223</v>
      </c>
      <c r="I816" s="104"/>
      <c r="J816" s="377">
        <f>MAX(0, Max(25,(DPS_Base_Range + ((DPS_Range_Stat) / 2))) / MIN(MAX(70, (70 * (1 + ($A816 / 3)))), 120))</f>
        <v>3.333333333</v>
      </c>
      <c r="K816" s="115" t="str">
        <f>IF(A816&lt;=DPS_Graph_Max,IF(A816&gt;=DPS_Graph_Speed_Min,A816,),)</f>
        <v/>
      </c>
      <c r="M816" s="213">
        <f>If(DPS_Weapon_Type="远程",$E816/60+$F816*2,$E816/60+$F816+$G816/2+$H816)</f>
        <v>0.04819217434</v>
      </c>
      <c r="N816" s="104" t="str">
        <f>IF(DPS_Graph_Tooltip_Speed=TRUE,IF($A816&lt;=DPS_Graph_Max,IF($A816&gt;=DPS_Graph_Speed_Min,1/M816,),),)</f>
        <v/>
      </c>
      <c r="R816" s="104" t="str">
        <f>IF(DPS_Graph_Tooltip_Speed=TRUE,IF($E$8=$A816,1/$N$6,),)</f>
        <v/>
      </c>
    </row>
    <row r="817">
      <c r="A817" s="370">
        <v>5.74</v>
      </c>
      <c r="B817" s="213">
        <f>If(DPS_Weapon_Type="远程",($E817+1)/60+(ROUNDDOWN($F817*60+1,0)/60)*2,(ROUNDDOWN(($E817+1)+ROUNDDOWN($F817*60+1,0)+ROUNDDOWN($G817/2*60+1,0)+ROUNDDOWN($H817*60+1,0)+1,0))/60+If(DPS_ATK_TYPE="挥砍",1/60)+If(DPS_ATK_TYPE="挥砍/刺击",1/120))+DPS_Weapon_Randomization/60</f>
        <v>0.105</v>
      </c>
      <c r="C817" s="104" t="str">
        <f>IF(DPS_Graph_True_Speed=TRUE,IF($A817&lt;=DPS_Graph_Max,IF($A817&gt;=DPS_Graph_Speed_Min,1/B817,),),)</f>
        <v/>
      </c>
      <c r="D817" s="115" t="str">
        <f>IF(DPS_Graph_True_Speed=TRUE,IF($E$8=$A817,DPS_Attacks_P_Sec,),)</f>
        <v/>
      </c>
      <c r="E817" s="222">
        <f>ROUNDDOWN(MAX(2,IF(A817&gt;=0, DPS_Base_Wpn_Spd/(1+A817),DPS_Base_Wpn_Spd*(1+ABS(A817)))),0)</f>
        <v>2</v>
      </c>
      <c r="F817" s="232">
        <f>IF(A817&gt;=0, DPS_Base_Recoil/(1+A817),DPS_Base_Recoil)</f>
        <v>0.007418397626</v>
      </c>
      <c r="G817" s="377">
        <f t="shared" si="7"/>
        <v>0.51</v>
      </c>
      <c r="H817" s="377">
        <f t="shared" si="8"/>
        <v>0.01097694841</v>
      </c>
      <c r="I817" s="104"/>
      <c r="J817" s="377">
        <f>MAX(0, Max(25,(DPS_Base_Range + ((DPS_Range_Stat) / 2))) / MIN(MAX(70, (70 * (1 + ($A817 / 3)))), 120))</f>
        <v>3.333333333</v>
      </c>
      <c r="K817" s="115" t="str">
        <f>IF(A817&lt;=DPS_Graph_Max,IF(A817&gt;=DPS_Graph_Speed_Min,A817,),)</f>
        <v/>
      </c>
      <c r="M817" s="213">
        <f>If(DPS_Weapon_Type="远程",$E817/60+$F817*2,$E817/60+$F817+$G817/2+$H817)</f>
        <v>0.04817012859</v>
      </c>
      <c r="N817" s="104" t="str">
        <f>IF(DPS_Graph_Tooltip_Speed=TRUE,IF($A817&lt;=DPS_Graph_Max,IF($A817&gt;=DPS_Graph_Speed_Min,1/M817,),),)</f>
        <v/>
      </c>
      <c r="R817" s="104" t="str">
        <f>IF(DPS_Graph_Tooltip_Speed=TRUE,IF($E$8=$A817,1/$N$6,),)</f>
        <v/>
      </c>
    </row>
    <row r="818">
      <c r="A818" s="370">
        <v>5.75</v>
      </c>
      <c r="B818" s="213">
        <f>If(DPS_Weapon_Type="远程",($E818+1)/60+(ROUNDDOWN($F818*60+1,0)/60)*2,(ROUNDDOWN(($E818+1)+ROUNDDOWN($F818*60+1,0)+ROUNDDOWN($G818/2*60+1,0)+ROUNDDOWN($H818*60+1,0)+1,0))/60+If(DPS_ATK_TYPE="挥砍",1/60)+If(DPS_ATK_TYPE="挥砍/刺击",1/120))+DPS_Weapon_Randomization/60</f>
        <v>0.105</v>
      </c>
      <c r="C818" s="104" t="str">
        <f>IF(DPS_Graph_True_Speed=TRUE,IF($A818&lt;=DPS_Graph_Max,IF($A818&gt;=DPS_Graph_Speed_Min,1/B818,),),)</f>
        <v/>
      </c>
      <c r="D818" s="115" t="str">
        <f>IF(DPS_Graph_True_Speed=TRUE,IF($E$8=$A818,DPS_Attacks_P_Sec,),)</f>
        <v/>
      </c>
      <c r="E818" s="222">
        <f>ROUNDDOWN(MAX(2,IF(A818&gt;=0, DPS_Base_Wpn_Spd/(1+A818),DPS_Base_Wpn_Spd*(1+ABS(A818)))),0)</f>
        <v>2</v>
      </c>
      <c r="F818" s="232">
        <f>IF(A818&gt;=0, DPS_Base_Recoil/(1+A818),DPS_Base_Recoil)</f>
        <v>0.007407407407</v>
      </c>
      <c r="G818" s="377">
        <f t="shared" si="7"/>
        <v>0.51</v>
      </c>
      <c r="H818" s="377">
        <f t="shared" si="8"/>
        <v>0.01095890411</v>
      </c>
      <c r="I818" s="104"/>
      <c r="J818" s="377">
        <f>MAX(0, Max(25,(DPS_Base_Range + ((DPS_Range_Stat) / 2))) / MIN(MAX(70, (70 * (1 + ($A818 / 3)))), 120))</f>
        <v>3.333333333</v>
      </c>
      <c r="K818" s="115" t="str">
        <f>IF(A818&lt;=DPS_Graph_Max,IF(A818&gt;=DPS_Graph_Speed_Min,A818,),)</f>
        <v/>
      </c>
      <c r="M818" s="213">
        <f>If(DPS_Weapon_Type="远程",$E818/60+$F818*2,$E818/60+$F818+$G818/2+$H818)</f>
        <v>0.04814814815</v>
      </c>
      <c r="N818" s="104" t="str">
        <f>IF(DPS_Graph_Tooltip_Speed=TRUE,IF($A818&lt;=DPS_Graph_Max,IF($A818&gt;=DPS_Graph_Speed_Min,1/M818,),),)</f>
        <v/>
      </c>
      <c r="R818" s="104" t="str">
        <f>IF(DPS_Graph_Tooltip_Speed=TRUE,IF($E$8=$A818,1/$N$6,),)</f>
        <v/>
      </c>
    </row>
    <row r="819">
      <c r="A819" s="370">
        <v>5.76</v>
      </c>
      <c r="B819" s="213">
        <f>If(DPS_Weapon_Type="远程",($E819+1)/60+(ROUNDDOWN($F819*60+1,0)/60)*2,(ROUNDDOWN(($E819+1)+ROUNDDOWN($F819*60+1,0)+ROUNDDOWN($G819/2*60+1,0)+ROUNDDOWN($H819*60+1,0)+1,0))/60+If(DPS_ATK_TYPE="挥砍",1/60)+If(DPS_ATK_TYPE="挥砍/刺击",1/120))+DPS_Weapon_Randomization/60</f>
        <v>0.105</v>
      </c>
      <c r="C819" s="104" t="str">
        <f>IF(DPS_Graph_True_Speed=TRUE,IF($A819&lt;=DPS_Graph_Max,IF($A819&gt;=DPS_Graph_Speed_Min,1/B819,),),)</f>
        <v/>
      </c>
      <c r="D819" s="115" t="str">
        <f>IF(DPS_Graph_True_Speed=TRUE,IF($E$8=$A819,DPS_Attacks_P_Sec,),)</f>
        <v/>
      </c>
      <c r="E819" s="222">
        <f>ROUNDDOWN(MAX(2,IF(A819&gt;=0, DPS_Base_Wpn_Spd/(1+A819),DPS_Base_Wpn_Spd*(1+ABS(A819)))),0)</f>
        <v>2</v>
      </c>
      <c r="F819" s="232">
        <f>IF(A819&gt;=0, DPS_Base_Recoil/(1+A819),DPS_Base_Recoil)</f>
        <v>0.007396449704</v>
      </c>
      <c r="G819" s="377">
        <f t="shared" si="7"/>
        <v>0.51</v>
      </c>
      <c r="H819" s="377">
        <f t="shared" si="8"/>
        <v>0.01094091904</v>
      </c>
      <c r="I819" s="104"/>
      <c r="J819" s="377">
        <f>MAX(0, Max(25,(DPS_Base_Range + ((DPS_Range_Stat) / 2))) / MIN(MAX(70, (70 * (1 + ($A819 / 3)))), 120))</f>
        <v>3.333333333</v>
      </c>
      <c r="K819" s="115" t="str">
        <f>IF(A819&lt;=DPS_Graph_Max,IF(A819&gt;=DPS_Graph_Speed_Min,A819,),)</f>
        <v/>
      </c>
      <c r="M819" s="213">
        <f>If(DPS_Weapon_Type="远程",$E819/60+$F819*2,$E819/60+$F819+$G819/2+$H819)</f>
        <v>0.04812623274</v>
      </c>
      <c r="N819" s="104" t="str">
        <f>IF(DPS_Graph_Tooltip_Speed=TRUE,IF($A819&lt;=DPS_Graph_Max,IF($A819&gt;=DPS_Graph_Speed_Min,1/M819,),),)</f>
        <v/>
      </c>
      <c r="R819" s="104" t="str">
        <f>IF(DPS_Graph_Tooltip_Speed=TRUE,IF($E$8=$A819,1/$N$6,),)</f>
        <v/>
      </c>
    </row>
    <row r="820">
      <c r="A820" s="370">
        <v>5.77</v>
      </c>
      <c r="B820" s="213">
        <f>If(DPS_Weapon_Type="远程",($E820+1)/60+(ROUNDDOWN($F820*60+1,0)/60)*2,(ROUNDDOWN(($E820+1)+ROUNDDOWN($F820*60+1,0)+ROUNDDOWN($G820/2*60+1,0)+ROUNDDOWN($H820*60+1,0)+1,0))/60+If(DPS_ATK_TYPE="挥砍",1/60)+If(DPS_ATK_TYPE="挥砍/刺击",1/120))+DPS_Weapon_Randomization/60</f>
        <v>0.105</v>
      </c>
      <c r="C820" s="104" t="str">
        <f>IF(DPS_Graph_True_Speed=TRUE,IF($A820&lt;=DPS_Graph_Max,IF($A820&gt;=DPS_Graph_Speed_Min,1/B820,),),)</f>
        <v/>
      </c>
      <c r="D820" s="115" t="str">
        <f>IF(DPS_Graph_True_Speed=TRUE,IF($E$8=$A820,DPS_Attacks_P_Sec,),)</f>
        <v/>
      </c>
      <c r="E820" s="222">
        <f>ROUNDDOWN(MAX(2,IF(A820&gt;=0, DPS_Base_Wpn_Spd/(1+A820),DPS_Base_Wpn_Spd*(1+ABS(A820)))),0)</f>
        <v>2</v>
      </c>
      <c r="F820" s="232">
        <f>IF(A820&gt;=0, DPS_Base_Recoil/(1+A820),DPS_Base_Recoil)</f>
        <v>0.007385524372</v>
      </c>
      <c r="G820" s="377">
        <f t="shared" si="7"/>
        <v>0.51</v>
      </c>
      <c r="H820" s="377">
        <f t="shared" si="8"/>
        <v>0.0109229929</v>
      </c>
      <c r="I820" s="104"/>
      <c r="J820" s="377">
        <f>MAX(0, Max(25,(DPS_Base_Range + ((DPS_Range_Stat) / 2))) / MIN(MAX(70, (70 * (1 + ($A820 / 3)))), 120))</f>
        <v>3.333333333</v>
      </c>
      <c r="K820" s="115" t="str">
        <f>IF(A820&lt;=DPS_Graph_Max,IF(A820&gt;=DPS_Graph_Speed_Min,A820,),)</f>
        <v/>
      </c>
      <c r="M820" s="213">
        <f>If(DPS_Weapon_Type="远程",$E820/60+$F820*2,$E820/60+$F820+$G820/2+$H820)</f>
        <v>0.04810438208</v>
      </c>
      <c r="N820" s="104" t="str">
        <f>IF(DPS_Graph_Tooltip_Speed=TRUE,IF($A820&lt;=DPS_Graph_Max,IF($A820&gt;=DPS_Graph_Speed_Min,1/M820,),),)</f>
        <v/>
      </c>
      <c r="R820" s="104" t="str">
        <f>IF(DPS_Graph_Tooltip_Speed=TRUE,IF($E$8=$A820,1/$N$6,),)</f>
        <v/>
      </c>
    </row>
    <row r="821">
      <c r="A821" s="370">
        <v>5.78</v>
      </c>
      <c r="B821" s="213">
        <f>If(DPS_Weapon_Type="远程",($E821+1)/60+(ROUNDDOWN($F821*60+1,0)/60)*2,(ROUNDDOWN(($E821+1)+ROUNDDOWN($F821*60+1,0)+ROUNDDOWN($G821/2*60+1,0)+ROUNDDOWN($H821*60+1,0)+1,0))/60+If(DPS_ATK_TYPE="挥砍",1/60)+If(DPS_ATK_TYPE="挥砍/刺击",1/120))+DPS_Weapon_Randomization/60</f>
        <v>0.105</v>
      </c>
      <c r="C821" s="104" t="str">
        <f>IF(DPS_Graph_True_Speed=TRUE,IF($A821&lt;=DPS_Graph_Max,IF($A821&gt;=DPS_Graph_Speed_Min,1/B821,),),)</f>
        <v/>
      </c>
      <c r="D821" s="115" t="str">
        <f>IF(DPS_Graph_True_Speed=TRUE,IF($E$8=$A821,DPS_Attacks_P_Sec,),)</f>
        <v/>
      </c>
      <c r="E821" s="222">
        <f>ROUNDDOWN(MAX(2,IF(A821&gt;=0, DPS_Base_Wpn_Spd/(1+A821),DPS_Base_Wpn_Spd*(1+ABS(A821)))),0)</f>
        <v>2</v>
      </c>
      <c r="F821" s="232">
        <f>IF(A821&gt;=0, DPS_Base_Recoil/(1+A821),DPS_Base_Recoil)</f>
        <v>0.007374631268</v>
      </c>
      <c r="G821" s="377">
        <f t="shared" si="7"/>
        <v>0.51</v>
      </c>
      <c r="H821" s="377">
        <f t="shared" si="8"/>
        <v>0.01090512541</v>
      </c>
      <c r="I821" s="104"/>
      <c r="J821" s="377">
        <f>MAX(0, Max(25,(DPS_Base_Range + ((DPS_Range_Stat) / 2))) / MIN(MAX(70, (70 * (1 + ($A821 / 3)))), 120))</f>
        <v>3.333333333</v>
      </c>
      <c r="K821" s="115" t="str">
        <f>IF(A821&lt;=DPS_Graph_Max,IF(A821&gt;=DPS_Graph_Speed_Min,A821,),)</f>
        <v/>
      </c>
      <c r="M821" s="213">
        <f>If(DPS_Weapon_Type="远程",$E821/60+$F821*2,$E821/60+$F821+$G821/2+$H821)</f>
        <v>0.04808259587</v>
      </c>
      <c r="N821" s="104" t="str">
        <f>IF(DPS_Graph_Tooltip_Speed=TRUE,IF($A821&lt;=DPS_Graph_Max,IF($A821&gt;=DPS_Graph_Speed_Min,1/M821,),),)</f>
        <v/>
      </c>
      <c r="R821" s="104" t="str">
        <f>IF(DPS_Graph_Tooltip_Speed=TRUE,IF($E$8=$A821,1/$N$6,),)</f>
        <v/>
      </c>
    </row>
    <row r="822">
      <c r="A822" s="370">
        <v>5.79</v>
      </c>
      <c r="B822" s="213">
        <f>If(DPS_Weapon_Type="远程",($E822+1)/60+(ROUNDDOWN($F822*60+1,0)/60)*2,(ROUNDDOWN(($E822+1)+ROUNDDOWN($F822*60+1,0)+ROUNDDOWN($G822/2*60+1,0)+ROUNDDOWN($H822*60+1,0)+1,0))/60+If(DPS_ATK_TYPE="挥砍",1/60)+If(DPS_ATK_TYPE="挥砍/刺击",1/120))+DPS_Weapon_Randomization/60</f>
        <v>0.105</v>
      </c>
      <c r="C822" s="104" t="str">
        <f>IF(DPS_Graph_True_Speed=TRUE,IF($A822&lt;=DPS_Graph_Max,IF($A822&gt;=DPS_Graph_Speed_Min,1/B822,),),)</f>
        <v/>
      </c>
      <c r="D822" s="115" t="str">
        <f>IF(DPS_Graph_True_Speed=TRUE,IF($E$8=$A822,DPS_Attacks_P_Sec,),)</f>
        <v/>
      </c>
      <c r="E822" s="222">
        <f>ROUNDDOWN(MAX(2,IF(A822&gt;=0, DPS_Base_Wpn_Spd/(1+A822),DPS_Base_Wpn_Spd*(1+ABS(A822)))),0)</f>
        <v>2</v>
      </c>
      <c r="F822" s="232">
        <f>IF(A822&gt;=0, DPS_Base_Recoil/(1+A822),DPS_Base_Recoil)</f>
        <v>0.00736377025</v>
      </c>
      <c r="G822" s="377">
        <f t="shared" si="7"/>
        <v>0.51</v>
      </c>
      <c r="H822" s="377">
        <f t="shared" si="8"/>
        <v>0.01088731628</v>
      </c>
      <c r="I822" s="104"/>
      <c r="J822" s="377">
        <f>MAX(0, Max(25,(DPS_Base_Range + ((DPS_Range_Stat) / 2))) / MIN(MAX(70, (70 * (1 + ($A822 / 3)))), 120))</f>
        <v>3.333333333</v>
      </c>
      <c r="K822" s="115" t="str">
        <f>IF(A822&lt;=DPS_Graph_Max,IF(A822&gt;=DPS_Graph_Speed_Min,A822,),)</f>
        <v/>
      </c>
      <c r="M822" s="213">
        <f>If(DPS_Weapon_Type="远程",$E822/60+$F822*2,$E822/60+$F822+$G822/2+$H822)</f>
        <v>0.04806087383</v>
      </c>
      <c r="N822" s="104" t="str">
        <f>IF(DPS_Graph_Tooltip_Speed=TRUE,IF($A822&lt;=DPS_Graph_Max,IF($A822&gt;=DPS_Graph_Speed_Min,1/M822,),),)</f>
        <v/>
      </c>
      <c r="R822" s="104" t="str">
        <f>IF(DPS_Graph_Tooltip_Speed=TRUE,IF($E$8=$A822,1/$N$6,),)</f>
        <v/>
      </c>
    </row>
    <row r="823">
      <c r="A823" s="370">
        <v>5.8</v>
      </c>
      <c r="B823" s="213">
        <f>If(DPS_Weapon_Type="远程",($E823+1)/60+(ROUNDDOWN($F823*60+1,0)/60)*2,(ROUNDDOWN(($E823+1)+ROUNDDOWN($F823*60+1,0)+ROUNDDOWN($G823/2*60+1,0)+ROUNDDOWN($H823*60+1,0)+1,0))/60+If(DPS_ATK_TYPE="挥砍",1/60)+If(DPS_ATK_TYPE="挥砍/刺击",1/120))+DPS_Weapon_Randomization/60</f>
        <v>0.105</v>
      </c>
      <c r="C823" s="104" t="str">
        <f>IF(DPS_Graph_True_Speed=TRUE,IF($A823&lt;=DPS_Graph_Max,IF($A823&gt;=DPS_Graph_Speed_Min,1/B823,),),)</f>
        <v/>
      </c>
      <c r="D823" s="115" t="str">
        <f>IF(DPS_Graph_True_Speed=TRUE,IF($E$8=$A823,DPS_Attacks_P_Sec,),)</f>
        <v/>
      </c>
      <c r="E823" s="222">
        <f>ROUNDDOWN(MAX(2,IF(A823&gt;=0, DPS_Base_Wpn_Spd/(1+A823),DPS_Base_Wpn_Spd*(1+ABS(A823)))),0)</f>
        <v>2</v>
      </c>
      <c r="F823" s="232">
        <f>IF(A823&gt;=0, DPS_Base_Recoil/(1+A823),DPS_Base_Recoil)</f>
        <v>0.007352941176</v>
      </c>
      <c r="G823" s="377">
        <f t="shared" si="7"/>
        <v>0.51</v>
      </c>
      <c r="H823" s="377">
        <f t="shared" si="8"/>
        <v>0.01086956522</v>
      </c>
      <c r="I823" s="104"/>
      <c r="J823" s="377">
        <f>MAX(0, Max(25,(DPS_Base_Range + ((DPS_Range_Stat) / 2))) / MIN(MAX(70, (70 * (1 + ($A823 / 3)))), 120))</f>
        <v>3.333333333</v>
      </c>
      <c r="K823" s="115" t="str">
        <f>IF(A823&lt;=DPS_Graph_Max,IF(A823&gt;=DPS_Graph_Speed_Min,A823,),)</f>
        <v/>
      </c>
      <c r="M823" s="213">
        <f>If(DPS_Weapon_Type="远程",$E823/60+$F823*2,$E823/60+$F823+$G823/2+$H823)</f>
        <v>0.04803921569</v>
      </c>
      <c r="N823" s="104" t="str">
        <f>IF(DPS_Graph_Tooltip_Speed=TRUE,IF($A823&lt;=DPS_Graph_Max,IF($A823&gt;=DPS_Graph_Speed_Min,1/M823,),),)</f>
        <v/>
      </c>
      <c r="R823" s="104" t="str">
        <f>IF(DPS_Graph_Tooltip_Speed=TRUE,IF($E$8=$A823,1/$N$6,),)</f>
        <v/>
      </c>
    </row>
    <row r="824">
      <c r="A824" s="370">
        <v>5.81</v>
      </c>
      <c r="B824" s="213">
        <f>If(DPS_Weapon_Type="远程",($E824+1)/60+(ROUNDDOWN($F824*60+1,0)/60)*2,(ROUNDDOWN(($E824+1)+ROUNDDOWN($F824*60+1,0)+ROUNDDOWN($G824/2*60+1,0)+ROUNDDOWN($H824*60+1,0)+1,0))/60+If(DPS_ATK_TYPE="挥砍",1/60)+If(DPS_ATK_TYPE="挥砍/刺击",1/120))+DPS_Weapon_Randomization/60</f>
        <v>0.105</v>
      </c>
      <c r="C824" s="104" t="str">
        <f>IF(DPS_Graph_True_Speed=TRUE,IF($A824&lt;=DPS_Graph_Max,IF($A824&gt;=DPS_Graph_Speed_Min,1/B824,),),)</f>
        <v/>
      </c>
      <c r="D824" s="115" t="str">
        <f>IF(DPS_Graph_True_Speed=TRUE,IF($E$8=$A824,DPS_Attacks_P_Sec,),)</f>
        <v/>
      </c>
      <c r="E824" s="222">
        <f>ROUNDDOWN(MAX(2,IF(A824&gt;=0, DPS_Base_Wpn_Spd/(1+A824),DPS_Base_Wpn_Spd*(1+ABS(A824)))),0)</f>
        <v>2</v>
      </c>
      <c r="F824" s="232">
        <f>IF(A824&gt;=0, DPS_Base_Recoil/(1+A824),DPS_Base_Recoil)</f>
        <v>0.007342143906</v>
      </c>
      <c r="G824" s="377">
        <f t="shared" si="7"/>
        <v>0.51</v>
      </c>
      <c r="H824" s="377">
        <f t="shared" si="8"/>
        <v>0.01085187195</v>
      </c>
      <c r="I824" s="104"/>
      <c r="J824" s="377">
        <f>MAX(0, Max(25,(DPS_Base_Range + ((DPS_Range_Stat) / 2))) / MIN(MAX(70, (70 * (1 + ($A824 / 3)))), 120))</f>
        <v>3.333333333</v>
      </c>
      <c r="K824" s="115" t="str">
        <f>IF(A824&lt;=DPS_Graph_Max,IF(A824&gt;=DPS_Graph_Speed_Min,A824,),)</f>
        <v/>
      </c>
      <c r="M824" s="213">
        <f>If(DPS_Weapon_Type="远程",$E824/60+$F824*2,$E824/60+$F824+$G824/2+$H824)</f>
        <v>0.04801762115</v>
      </c>
      <c r="N824" s="104" t="str">
        <f>IF(DPS_Graph_Tooltip_Speed=TRUE,IF($A824&lt;=DPS_Graph_Max,IF($A824&gt;=DPS_Graph_Speed_Min,1/M824,),),)</f>
        <v/>
      </c>
      <c r="R824" s="104" t="str">
        <f>IF(DPS_Graph_Tooltip_Speed=TRUE,IF($E$8=$A824,1/$N$6,),)</f>
        <v/>
      </c>
    </row>
    <row r="825">
      <c r="A825" s="370">
        <v>5.82</v>
      </c>
      <c r="B825" s="213">
        <f>If(DPS_Weapon_Type="远程",($E825+1)/60+(ROUNDDOWN($F825*60+1,0)/60)*2,(ROUNDDOWN(($E825+1)+ROUNDDOWN($F825*60+1,0)+ROUNDDOWN($G825/2*60+1,0)+ROUNDDOWN($H825*60+1,0)+1,0))/60+If(DPS_ATK_TYPE="挥砍",1/60)+If(DPS_ATK_TYPE="挥砍/刺击",1/120))+DPS_Weapon_Randomization/60</f>
        <v>0.105</v>
      </c>
      <c r="C825" s="104" t="str">
        <f>IF(DPS_Graph_True_Speed=TRUE,IF($A825&lt;=DPS_Graph_Max,IF($A825&gt;=DPS_Graph_Speed_Min,1/B825,),),)</f>
        <v/>
      </c>
      <c r="D825" s="115" t="str">
        <f>IF(DPS_Graph_True_Speed=TRUE,IF($E$8=$A825,DPS_Attacks_P_Sec,),)</f>
        <v/>
      </c>
      <c r="E825" s="222">
        <f>ROUNDDOWN(MAX(2,IF(A825&gt;=0, DPS_Base_Wpn_Spd/(1+A825),DPS_Base_Wpn_Spd*(1+ABS(A825)))),0)</f>
        <v>2</v>
      </c>
      <c r="F825" s="232">
        <f>IF(A825&gt;=0, DPS_Base_Recoil/(1+A825),DPS_Base_Recoil)</f>
        <v>0.007331378299</v>
      </c>
      <c r="G825" s="377">
        <f t="shared" si="7"/>
        <v>0.51</v>
      </c>
      <c r="H825" s="377">
        <f t="shared" si="8"/>
        <v>0.01083423619</v>
      </c>
      <c r="I825" s="104"/>
      <c r="J825" s="377">
        <f>MAX(0, Max(25,(DPS_Base_Range + ((DPS_Range_Stat) / 2))) / MIN(MAX(70, (70 * (1 + ($A825 / 3)))), 120))</f>
        <v>3.333333333</v>
      </c>
      <c r="K825" s="115" t="str">
        <f>IF(A825&lt;=DPS_Graph_Max,IF(A825&gt;=DPS_Graph_Speed_Min,A825,),)</f>
        <v/>
      </c>
      <c r="M825" s="213">
        <f>If(DPS_Weapon_Type="远程",$E825/60+$F825*2,$E825/60+$F825+$G825/2+$H825)</f>
        <v>0.04799608993</v>
      </c>
      <c r="N825" s="104" t="str">
        <f>IF(DPS_Graph_Tooltip_Speed=TRUE,IF($A825&lt;=DPS_Graph_Max,IF($A825&gt;=DPS_Graph_Speed_Min,1/M825,),),)</f>
        <v/>
      </c>
      <c r="R825" s="104" t="str">
        <f>IF(DPS_Graph_Tooltip_Speed=TRUE,IF($E$8=$A825,1/$N$6,),)</f>
        <v/>
      </c>
    </row>
    <row r="826">
      <c r="A826" s="370">
        <v>5.83</v>
      </c>
      <c r="B826" s="213">
        <f>If(DPS_Weapon_Type="远程",($E826+1)/60+(ROUNDDOWN($F826*60+1,0)/60)*2,(ROUNDDOWN(($E826+1)+ROUNDDOWN($F826*60+1,0)+ROUNDDOWN($G826/2*60+1,0)+ROUNDDOWN($H826*60+1,0)+1,0))/60+If(DPS_ATK_TYPE="挥砍",1/60)+If(DPS_ATK_TYPE="挥砍/刺击",1/120))+DPS_Weapon_Randomization/60</f>
        <v>0.105</v>
      </c>
      <c r="C826" s="104" t="str">
        <f>IF(DPS_Graph_True_Speed=TRUE,IF($A826&lt;=DPS_Graph_Max,IF($A826&gt;=DPS_Graph_Speed_Min,1/B826,),),)</f>
        <v/>
      </c>
      <c r="D826" s="115" t="str">
        <f>IF(DPS_Graph_True_Speed=TRUE,IF($E$8=$A826,DPS_Attacks_P_Sec,),)</f>
        <v/>
      </c>
      <c r="E826" s="222">
        <f>ROUNDDOWN(MAX(2,IF(A826&gt;=0, DPS_Base_Wpn_Spd/(1+A826),DPS_Base_Wpn_Spd*(1+ABS(A826)))),0)</f>
        <v>2</v>
      </c>
      <c r="F826" s="232">
        <f>IF(A826&gt;=0, DPS_Base_Recoil/(1+A826),DPS_Base_Recoil)</f>
        <v>0.007320644217</v>
      </c>
      <c r="G826" s="377">
        <f t="shared" si="7"/>
        <v>0.51</v>
      </c>
      <c r="H826" s="377">
        <f t="shared" si="8"/>
        <v>0.01081665765</v>
      </c>
      <c r="I826" s="104"/>
      <c r="J826" s="377">
        <f>MAX(0, Max(25,(DPS_Base_Range + ((DPS_Range_Stat) / 2))) / MIN(MAX(70, (70 * (1 + ($A826 / 3)))), 120))</f>
        <v>3.333333333</v>
      </c>
      <c r="K826" s="115" t="str">
        <f>IF(A826&lt;=DPS_Graph_Max,IF(A826&gt;=DPS_Graph_Speed_Min,A826,),)</f>
        <v/>
      </c>
      <c r="M826" s="213">
        <f>If(DPS_Weapon_Type="远程",$E826/60+$F826*2,$E826/60+$F826+$G826/2+$H826)</f>
        <v>0.04797462177</v>
      </c>
      <c r="N826" s="104" t="str">
        <f>IF(DPS_Graph_Tooltip_Speed=TRUE,IF($A826&lt;=DPS_Graph_Max,IF($A826&gt;=DPS_Graph_Speed_Min,1/M826,),),)</f>
        <v/>
      </c>
      <c r="R826" s="104" t="str">
        <f>IF(DPS_Graph_Tooltip_Speed=TRUE,IF($E$8=$A826,1/$N$6,),)</f>
        <v/>
      </c>
    </row>
    <row r="827">
      <c r="A827" s="370">
        <v>5.84</v>
      </c>
      <c r="B827" s="213">
        <f>If(DPS_Weapon_Type="远程",($E827+1)/60+(ROUNDDOWN($F827*60+1,0)/60)*2,(ROUNDDOWN(($E827+1)+ROUNDDOWN($F827*60+1,0)+ROUNDDOWN($G827/2*60+1,0)+ROUNDDOWN($H827*60+1,0)+1,0))/60+If(DPS_ATK_TYPE="挥砍",1/60)+If(DPS_ATK_TYPE="挥砍/刺击",1/120))+DPS_Weapon_Randomization/60</f>
        <v>0.105</v>
      </c>
      <c r="C827" s="104" t="str">
        <f>IF(DPS_Graph_True_Speed=TRUE,IF($A827&lt;=DPS_Graph_Max,IF($A827&gt;=DPS_Graph_Speed_Min,1/B827,),),)</f>
        <v/>
      </c>
      <c r="D827" s="115" t="str">
        <f>IF(DPS_Graph_True_Speed=TRUE,IF($E$8=$A827,DPS_Attacks_P_Sec,),)</f>
        <v/>
      </c>
      <c r="E827" s="222">
        <f>ROUNDDOWN(MAX(2,IF(A827&gt;=0, DPS_Base_Wpn_Spd/(1+A827),DPS_Base_Wpn_Spd*(1+ABS(A827)))),0)</f>
        <v>2</v>
      </c>
      <c r="F827" s="232">
        <f>IF(A827&gt;=0, DPS_Base_Recoil/(1+A827),DPS_Base_Recoil)</f>
        <v>0.00730994152</v>
      </c>
      <c r="G827" s="377">
        <f t="shared" si="7"/>
        <v>0.51</v>
      </c>
      <c r="H827" s="377">
        <f t="shared" si="8"/>
        <v>0.01079913607</v>
      </c>
      <c r="I827" s="104"/>
      <c r="J827" s="377">
        <f>MAX(0, Max(25,(DPS_Base_Range + ((DPS_Range_Stat) / 2))) / MIN(MAX(70, (70 * (1 + ($A827 / 3)))), 120))</f>
        <v>3.333333333</v>
      </c>
      <c r="K827" s="115" t="str">
        <f>IF(A827&lt;=DPS_Graph_Max,IF(A827&gt;=DPS_Graph_Speed_Min,A827,),)</f>
        <v/>
      </c>
      <c r="M827" s="213">
        <f>If(DPS_Weapon_Type="远程",$E827/60+$F827*2,$E827/60+$F827+$G827/2+$H827)</f>
        <v>0.04795321637</v>
      </c>
      <c r="N827" s="104" t="str">
        <f>IF(DPS_Graph_Tooltip_Speed=TRUE,IF($A827&lt;=DPS_Graph_Max,IF($A827&gt;=DPS_Graph_Speed_Min,1/M827,),),)</f>
        <v/>
      </c>
      <c r="R827" s="104" t="str">
        <f>IF(DPS_Graph_Tooltip_Speed=TRUE,IF($E$8=$A827,1/$N$6,),)</f>
        <v/>
      </c>
    </row>
    <row r="828">
      <c r="A828" s="370">
        <v>5.85</v>
      </c>
      <c r="B828" s="213">
        <f>If(DPS_Weapon_Type="远程",($E828+1)/60+(ROUNDDOWN($F828*60+1,0)/60)*2,(ROUNDDOWN(($E828+1)+ROUNDDOWN($F828*60+1,0)+ROUNDDOWN($G828/2*60+1,0)+ROUNDDOWN($H828*60+1,0)+1,0))/60+If(DPS_ATK_TYPE="挥砍",1/60)+If(DPS_ATK_TYPE="挥砍/刺击",1/120))+DPS_Weapon_Randomization/60</f>
        <v>0.105</v>
      </c>
      <c r="C828" s="104" t="str">
        <f>IF(DPS_Graph_True_Speed=TRUE,IF($A828&lt;=DPS_Graph_Max,IF($A828&gt;=DPS_Graph_Speed_Min,1/B828,),),)</f>
        <v/>
      </c>
      <c r="D828" s="115" t="str">
        <f>IF(DPS_Graph_True_Speed=TRUE,IF($E$8=$A828,DPS_Attacks_P_Sec,),)</f>
        <v/>
      </c>
      <c r="E828" s="222">
        <f>ROUNDDOWN(MAX(2,IF(A828&gt;=0, DPS_Base_Wpn_Spd/(1+A828),DPS_Base_Wpn_Spd*(1+ABS(A828)))),0)</f>
        <v>2</v>
      </c>
      <c r="F828" s="232">
        <f>IF(A828&gt;=0, DPS_Base_Recoil/(1+A828),DPS_Base_Recoil)</f>
        <v>0.007299270073</v>
      </c>
      <c r="G828" s="377">
        <f t="shared" si="7"/>
        <v>0.51</v>
      </c>
      <c r="H828" s="377">
        <f t="shared" si="8"/>
        <v>0.01078167116</v>
      </c>
      <c r="I828" s="104"/>
      <c r="J828" s="377">
        <f>MAX(0, Max(25,(DPS_Base_Range + ((DPS_Range_Stat) / 2))) / MIN(MAX(70, (70 * (1 + ($A828 / 3)))), 120))</f>
        <v>3.333333333</v>
      </c>
      <c r="K828" s="115" t="str">
        <f>IF(A828&lt;=DPS_Graph_Max,IF(A828&gt;=DPS_Graph_Speed_Min,A828,),)</f>
        <v/>
      </c>
      <c r="M828" s="213">
        <f>If(DPS_Weapon_Type="远程",$E828/60+$F828*2,$E828/60+$F828+$G828/2+$H828)</f>
        <v>0.04793187348</v>
      </c>
      <c r="N828" s="104" t="str">
        <f>IF(DPS_Graph_Tooltip_Speed=TRUE,IF($A828&lt;=DPS_Graph_Max,IF($A828&gt;=DPS_Graph_Speed_Min,1/M828,),),)</f>
        <v/>
      </c>
      <c r="R828" s="104" t="str">
        <f>IF(DPS_Graph_Tooltip_Speed=TRUE,IF($E$8=$A828,1/$N$6,),)</f>
        <v/>
      </c>
    </row>
    <row r="829">
      <c r="A829" s="370">
        <v>5.86</v>
      </c>
      <c r="B829" s="213">
        <f>If(DPS_Weapon_Type="远程",($E829+1)/60+(ROUNDDOWN($F829*60+1,0)/60)*2,(ROUNDDOWN(($E829+1)+ROUNDDOWN($F829*60+1,0)+ROUNDDOWN($G829/2*60+1,0)+ROUNDDOWN($H829*60+1,0)+1,0))/60+If(DPS_ATK_TYPE="挥砍",1/60)+If(DPS_ATK_TYPE="挥砍/刺击",1/120))+DPS_Weapon_Randomization/60</f>
        <v>0.105</v>
      </c>
      <c r="C829" s="104" t="str">
        <f>IF(DPS_Graph_True_Speed=TRUE,IF($A829&lt;=DPS_Graph_Max,IF($A829&gt;=DPS_Graph_Speed_Min,1/B829,),),)</f>
        <v/>
      </c>
      <c r="D829" s="115" t="str">
        <f>IF(DPS_Graph_True_Speed=TRUE,IF($E$8=$A829,DPS_Attacks_P_Sec,),)</f>
        <v/>
      </c>
      <c r="E829" s="222">
        <f>ROUNDDOWN(MAX(2,IF(A829&gt;=0, DPS_Base_Wpn_Spd/(1+A829),DPS_Base_Wpn_Spd*(1+ABS(A829)))),0)</f>
        <v>2</v>
      </c>
      <c r="F829" s="232">
        <f>IF(A829&gt;=0, DPS_Base_Recoil/(1+A829),DPS_Base_Recoil)</f>
        <v>0.007288629738</v>
      </c>
      <c r="G829" s="377">
        <f t="shared" si="7"/>
        <v>0.51</v>
      </c>
      <c r="H829" s="377">
        <f t="shared" si="8"/>
        <v>0.01076426265</v>
      </c>
      <c r="I829" s="104"/>
      <c r="J829" s="377">
        <f>MAX(0, Max(25,(DPS_Base_Range + ((DPS_Range_Stat) / 2))) / MIN(MAX(70, (70 * (1 + ($A829 / 3)))), 120))</f>
        <v>3.333333333</v>
      </c>
      <c r="K829" s="115" t="str">
        <f>IF(A829&lt;=DPS_Graph_Max,IF(A829&gt;=DPS_Graph_Speed_Min,A829,),)</f>
        <v/>
      </c>
      <c r="M829" s="213">
        <f>If(DPS_Weapon_Type="远程",$E829/60+$F829*2,$E829/60+$F829+$G829/2+$H829)</f>
        <v>0.04791059281</v>
      </c>
      <c r="N829" s="104" t="str">
        <f>IF(DPS_Graph_Tooltip_Speed=TRUE,IF($A829&lt;=DPS_Graph_Max,IF($A829&gt;=DPS_Graph_Speed_Min,1/M829,),),)</f>
        <v/>
      </c>
      <c r="R829" s="104" t="str">
        <f>IF(DPS_Graph_Tooltip_Speed=TRUE,IF($E$8=$A829,1/$N$6,),)</f>
        <v/>
      </c>
    </row>
    <row r="830">
      <c r="A830" s="370">
        <v>5.87</v>
      </c>
      <c r="B830" s="213">
        <f>If(DPS_Weapon_Type="远程",($E830+1)/60+(ROUNDDOWN($F830*60+1,0)/60)*2,(ROUNDDOWN(($E830+1)+ROUNDDOWN($F830*60+1,0)+ROUNDDOWN($G830/2*60+1,0)+ROUNDDOWN($H830*60+1,0)+1,0))/60+If(DPS_ATK_TYPE="挥砍",1/60)+If(DPS_ATK_TYPE="挥砍/刺击",1/120))+DPS_Weapon_Randomization/60</f>
        <v>0.105</v>
      </c>
      <c r="C830" s="104" t="str">
        <f>IF(DPS_Graph_True_Speed=TRUE,IF($A830&lt;=DPS_Graph_Max,IF($A830&gt;=DPS_Graph_Speed_Min,1/B830,),),)</f>
        <v/>
      </c>
      <c r="D830" s="115" t="str">
        <f>IF(DPS_Graph_True_Speed=TRUE,IF($E$8=$A830,DPS_Attacks_P_Sec,),)</f>
        <v/>
      </c>
      <c r="E830" s="222">
        <f>ROUNDDOWN(MAX(2,IF(A830&gt;=0, DPS_Base_Wpn_Spd/(1+A830),DPS_Base_Wpn_Spd*(1+ABS(A830)))),0)</f>
        <v>2</v>
      </c>
      <c r="F830" s="232">
        <f>IF(A830&gt;=0, DPS_Base_Recoil/(1+A830),DPS_Base_Recoil)</f>
        <v>0.007278020378</v>
      </c>
      <c r="G830" s="377">
        <f t="shared" si="7"/>
        <v>0.51</v>
      </c>
      <c r="H830" s="377">
        <f t="shared" si="8"/>
        <v>0.01074691026</v>
      </c>
      <c r="I830" s="104"/>
      <c r="J830" s="377">
        <f>MAX(0, Max(25,(DPS_Base_Range + ((DPS_Range_Stat) / 2))) / MIN(MAX(70, (70 * (1 + ($A830 / 3)))), 120))</f>
        <v>3.333333333</v>
      </c>
      <c r="K830" s="115" t="str">
        <f>IF(A830&lt;=DPS_Graph_Max,IF(A830&gt;=DPS_Graph_Speed_Min,A830,),)</f>
        <v/>
      </c>
      <c r="M830" s="213">
        <f>If(DPS_Weapon_Type="远程",$E830/60+$F830*2,$E830/60+$F830+$G830/2+$H830)</f>
        <v>0.04788937409</v>
      </c>
      <c r="N830" s="104" t="str">
        <f>IF(DPS_Graph_Tooltip_Speed=TRUE,IF($A830&lt;=DPS_Graph_Max,IF($A830&gt;=DPS_Graph_Speed_Min,1/M830,),),)</f>
        <v/>
      </c>
      <c r="R830" s="104" t="str">
        <f>IF(DPS_Graph_Tooltip_Speed=TRUE,IF($E$8=$A830,1/$N$6,),)</f>
        <v/>
      </c>
    </row>
    <row r="831">
      <c r="A831" s="370">
        <v>5.88</v>
      </c>
      <c r="B831" s="213">
        <f>If(DPS_Weapon_Type="远程",($E831+1)/60+(ROUNDDOWN($F831*60+1,0)/60)*2,(ROUNDDOWN(($E831+1)+ROUNDDOWN($F831*60+1,0)+ROUNDDOWN($G831/2*60+1,0)+ROUNDDOWN($H831*60+1,0)+1,0))/60+If(DPS_ATK_TYPE="挥砍",1/60)+If(DPS_ATK_TYPE="挥砍/刺击",1/120))+DPS_Weapon_Randomization/60</f>
        <v>0.105</v>
      </c>
      <c r="C831" s="104" t="str">
        <f>IF(DPS_Graph_True_Speed=TRUE,IF($A831&lt;=DPS_Graph_Max,IF($A831&gt;=DPS_Graph_Speed_Min,1/B831,),),)</f>
        <v/>
      </c>
      <c r="D831" s="115" t="str">
        <f>IF(DPS_Graph_True_Speed=TRUE,IF($E$8=$A831,DPS_Attacks_P_Sec,),)</f>
        <v/>
      </c>
      <c r="E831" s="222">
        <f>ROUNDDOWN(MAX(2,IF(A831&gt;=0, DPS_Base_Wpn_Spd/(1+A831),DPS_Base_Wpn_Spd*(1+ABS(A831)))),0)</f>
        <v>2</v>
      </c>
      <c r="F831" s="232">
        <f>IF(A831&gt;=0, DPS_Base_Recoil/(1+A831),DPS_Base_Recoil)</f>
        <v>0.00726744186</v>
      </c>
      <c r="G831" s="377">
        <f t="shared" si="7"/>
        <v>0.51</v>
      </c>
      <c r="H831" s="377">
        <f t="shared" si="8"/>
        <v>0.01072961373</v>
      </c>
      <c r="I831" s="104"/>
      <c r="J831" s="377">
        <f>MAX(0, Max(25,(DPS_Base_Range + ((DPS_Range_Stat) / 2))) / MIN(MAX(70, (70 * (1 + ($A831 / 3)))), 120))</f>
        <v>3.333333333</v>
      </c>
      <c r="K831" s="115" t="str">
        <f>IF(A831&lt;=DPS_Graph_Max,IF(A831&gt;=DPS_Graph_Speed_Min,A831,),)</f>
        <v/>
      </c>
      <c r="M831" s="213">
        <f>If(DPS_Weapon_Type="远程",$E831/60+$F831*2,$E831/60+$F831+$G831/2+$H831)</f>
        <v>0.04786821705</v>
      </c>
      <c r="N831" s="104" t="str">
        <f>IF(DPS_Graph_Tooltip_Speed=TRUE,IF($A831&lt;=DPS_Graph_Max,IF($A831&gt;=DPS_Graph_Speed_Min,1/M831,),),)</f>
        <v/>
      </c>
      <c r="R831" s="104" t="str">
        <f>IF(DPS_Graph_Tooltip_Speed=TRUE,IF($E$8=$A831,1/$N$6,),)</f>
        <v/>
      </c>
    </row>
    <row r="832">
      <c r="A832" s="370">
        <v>5.89</v>
      </c>
      <c r="B832" s="213">
        <f>If(DPS_Weapon_Type="远程",($E832+1)/60+(ROUNDDOWN($F832*60+1,0)/60)*2,(ROUNDDOWN(($E832+1)+ROUNDDOWN($F832*60+1,0)+ROUNDDOWN($G832/2*60+1,0)+ROUNDDOWN($H832*60+1,0)+1,0))/60+If(DPS_ATK_TYPE="挥砍",1/60)+If(DPS_ATK_TYPE="挥砍/刺击",1/120))+DPS_Weapon_Randomization/60</f>
        <v>0.105</v>
      </c>
      <c r="C832" s="104" t="str">
        <f>IF(DPS_Graph_True_Speed=TRUE,IF($A832&lt;=DPS_Graph_Max,IF($A832&gt;=DPS_Graph_Speed_Min,1/B832,),),)</f>
        <v/>
      </c>
      <c r="D832" s="115" t="str">
        <f>IF(DPS_Graph_True_Speed=TRUE,IF($E$8=$A832,DPS_Attacks_P_Sec,),)</f>
        <v/>
      </c>
      <c r="E832" s="222">
        <f>ROUNDDOWN(MAX(2,IF(A832&gt;=0, DPS_Base_Wpn_Spd/(1+A832),DPS_Base_Wpn_Spd*(1+ABS(A832)))),0)</f>
        <v>2</v>
      </c>
      <c r="F832" s="232">
        <f>IF(A832&gt;=0, DPS_Base_Recoil/(1+A832),DPS_Base_Recoil)</f>
        <v>0.007256894049</v>
      </c>
      <c r="G832" s="377">
        <f t="shared" si="7"/>
        <v>0.51</v>
      </c>
      <c r="H832" s="377">
        <f t="shared" si="8"/>
        <v>0.01071237279</v>
      </c>
      <c r="I832" s="104"/>
      <c r="J832" s="377">
        <f>MAX(0, Max(25,(DPS_Base_Range + ((DPS_Range_Stat) / 2))) / MIN(MAX(70, (70 * (1 + ($A832 / 3)))), 120))</f>
        <v>3.333333333</v>
      </c>
      <c r="K832" s="115" t="str">
        <f>IF(A832&lt;=DPS_Graph_Max,IF(A832&gt;=DPS_Graph_Speed_Min,A832,),)</f>
        <v/>
      </c>
      <c r="M832" s="213">
        <f>If(DPS_Weapon_Type="远程",$E832/60+$F832*2,$E832/60+$F832+$G832/2+$H832)</f>
        <v>0.04784712143</v>
      </c>
      <c r="N832" s="104" t="str">
        <f>IF(DPS_Graph_Tooltip_Speed=TRUE,IF($A832&lt;=DPS_Graph_Max,IF($A832&gt;=DPS_Graph_Speed_Min,1/M832,),),)</f>
        <v/>
      </c>
      <c r="R832" s="104" t="str">
        <f>IF(DPS_Graph_Tooltip_Speed=TRUE,IF($E$8=$A832,1/$N$6,),)</f>
        <v/>
      </c>
    </row>
    <row r="833">
      <c r="A833" s="370">
        <v>5.9</v>
      </c>
      <c r="B833" s="213">
        <f>If(DPS_Weapon_Type="远程",($E833+1)/60+(ROUNDDOWN($F833*60+1,0)/60)*2,(ROUNDDOWN(($E833+1)+ROUNDDOWN($F833*60+1,0)+ROUNDDOWN($G833/2*60+1,0)+ROUNDDOWN($H833*60+1,0)+1,0))/60+If(DPS_ATK_TYPE="挥砍",1/60)+If(DPS_ATK_TYPE="挥砍/刺击",1/120))+DPS_Weapon_Randomization/60</f>
        <v>0.105</v>
      </c>
      <c r="C833" s="104" t="str">
        <f>IF(DPS_Graph_True_Speed=TRUE,IF($A833&lt;=DPS_Graph_Max,IF($A833&gt;=DPS_Graph_Speed_Min,1/B833,),),)</f>
        <v/>
      </c>
      <c r="D833" s="115" t="str">
        <f>IF(DPS_Graph_True_Speed=TRUE,IF($E$8=$A833,DPS_Attacks_P_Sec,),)</f>
        <v/>
      </c>
      <c r="E833" s="222">
        <f>ROUNDDOWN(MAX(2,IF(A833&gt;=0, DPS_Base_Wpn_Spd/(1+A833),DPS_Base_Wpn_Spd*(1+ABS(A833)))),0)</f>
        <v>2</v>
      </c>
      <c r="F833" s="232">
        <f>IF(A833&gt;=0, DPS_Base_Recoil/(1+A833),DPS_Base_Recoil)</f>
        <v>0.007246376812</v>
      </c>
      <c r="G833" s="377">
        <f t="shared" si="7"/>
        <v>0.51</v>
      </c>
      <c r="H833" s="377">
        <f t="shared" si="8"/>
        <v>0.01069518717</v>
      </c>
      <c r="I833" s="104"/>
      <c r="J833" s="377">
        <f>MAX(0, Max(25,(DPS_Base_Range + ((DPS_Range_Stat) / 2))) / MIN(MAX(70, (70 * (1 + ($A833 / 3)))), 120))</f>
        <v>3.333333333</v>
      </c>
      <c r="K833" s="115" t="str">
        <f>IF(A833&lt;=DPS_Graph_Max,IF(A833&gt;=DPS_Graph_Speed_Min,A833,),)</f>
        <v/>
      </c>
      <c r="M833" s="213">
        <f>If(DPS_Weapon_Type="远程",$E833/60+$F833*2,$E833/60+$F833+$G833/2+$H833)</f>
        <v>0.04782608696</v>
      </c>
      <c r="N833" s="104" t="str">
        <f>IF(DPS_Graph_Tooltip_Speed=TRUE,IF($A833&lt;=DPS_Graph_Max,IF($A833&gt;=DPS_Graph_Speed_Min,1/M833,),),)</f>
        <v/>
      </c>
      <c r="R833" s="104" t="str">
        <f>IF(DPS_Graph_Tooltip_Speed=TRUE,IF($E$8=$A833,1/$N$6,),)</f>
        <v/>
      </c>
    </row>
    <row r="834">
      <c r="A834" s="370">
        <v>5.91</v>
      </c>
      <c r="B834" s="213">
        <f>If(DPS_Weapon_Type="远程",($E834+1)/60+(ROUNDDOWN($F834*60+1,0)/60)*2,(ROUNDDOWN(($E834+1)+ROUNDDOWN($F834*60+1,0)+ROUNDDOWN($G834/2*60+1,0)+ROUNDDOWN($H834*60+1,0)+1,0))/60+If(DPS_ATK_TYPE="挥砍",1/60)+If(DPS_ATK_TYPE="挥砍/刺击",1/120))+DPS_Weapon_Randomization/60</f>
        <v>0.105</v>
      </c>
      <c r="C834" s="104" t="str">
        <f>IF(DPS_Graph_True_Speed=TRUE,IF($A834&lt;=DPS_Graph_Max,IF($A834&gt;=DPS_Graph_Speed_Min,1/B834,),),)</f>
        <v/>
      </c>
      <c r="D834" s="115" t="str">
        <f>IF(DPS_Graph_True_Speed=TRUE,IF($E$8=$A834,DPS_Attacks_P_Sec,),)</f>
        <v/>
      </c>
      <c r="E834" s="222">
        <f>ROUNDDOWN(MAX(2,IF(A834&gt;=0, DPS_Base_Wpn_Spd/(1+A834),DPS_Base_Wpn_Spd*(1+ABS(A834)))),0)</f>
        <v>2</v>
      </c>
      <c r="F834" s="232">
        <f>IF(A834&gt;=0, DPS_Base_Recoil/(1+A834),DPS_Base_Recoil)</f>
        <v>0.007235890014</v>
      </c>
      <c r="G834" s="377">
        <f t="shared" si="7"/>
        <v>0.51</v>
      </c>
      <c r="H834" s="377">
        <f t="shared" si="8"/>
        <v>0.01067805659</v>
      </c>
      <c r="I834" s="104"/>
      <c r="J834" s="377">
        <f>MAX(0, Max(25,(DPS_Base_Range + ((DPS_Range_Stat) / 2))) / MIN(MAX(70, (70 * (1 + ($A834 / 3)))), 120))</f>
        <v>3.333333333</v>
      </c>
      <c r="K834" s="115" t="str">
        <f>IF(A834&lt;=DPS_Graph_Max,IF(A834&gt;=DPS_Graph_Speed_Min,A834,),)</f>
        <v/>
      </c>
      <c r="M834" s="213">
        <f>If(DPS_Weapon_Type="远程",$E834/60+$F834*2,$E834/60+$F834+$G834/2+$H834)</f>
        <v>0.04780511336</v>
      </c>
      <c r="N834" s="104" t="str">
        <f>IF(DPS_Graph_Tooltip_Speed=TRUE,IF($A834&lt;=DPS_Graph_Max,IF($A834&gt;=DPS_Graph_Speed_Min,1/M834,),),)</f>
        <v/>
      </c>
      <c r="R834" s="104" t="str">
        <f>IF(DPS_Graph_Tooltip_Speed=TRUE,IF($E$8=$A834,1/$N$6,),)</f>
        <v/>
      </c>
    </row>
    <row r="835">
      <c r="A835" s="370">
        <v>5.92</v>
      </c>
      <c r="B835" s="213">
        <f>If(DPS_Weapon_Type="远程",($E835+1)/60+(ROUNDDOWN($F835*60+1,0)/60)*2,(ROUNDDOWN(($E835+1)+ROUNDDOWN($F835*60+1,0)+ROUNDDOWN($G835/2*60+1,0)+ROUNDDOWN($H835*60+1,0)+1,0))/60+If(DPS_ATK_TYPE="挥砍",1/60)+If(DPS_ATK_TYPE="挥砍/刺击",1/120))+DPS_Weapon_Randomization/60</f>
        <v>0.105</v>
      </c>
      <c r="C835" s="104" t="str">
        <f>IF(DPS_Graph_True_Speed=TRUE,IF($A835&lt;=DPS_Graph_Max,IF($A835&gt;=DPS_Graph_Speed_Min,1/B835,),),)</f>
        <v/>
      </c>
      <c r="D835" s="115" t="str">
        <f>IF(DPS_Graph_True_Speed=TRUE,IF($E$8=$A835,DPS_Attacks_P_Sec,),)</f>
        <v/>
      </c>
      <c r="E835" s="222">
        <f>ROUNDDOWN(MAX(2,IF(A835&gt;=0, DPS_Base_Wpn_Spd/(1+A835),DPS_Base_Wpn_Spd*(1+ABS(A835)))),0)</f>
        <v>2</v>
      </c>
      <c r="F835" s="232">
        <f>IF(A835&gt;=0, DPS_Base_Recoil/(1+A835),DPS_Base_Recoil)</f>
        <v>0.007225433526</v>
      </c>
      <c r="G835" s="377">
        <f t="shared" si="7"/>
        <v>0.51</v>
      </c>
      <c r="H835" s="377">
        <f t="shared" si="8"/>
        <v>0.01066098081</v>
      </c>
      <c r="I835" s="104"/>
      <c r="J835" s="377">
        <f>MAX(0, Max(25,(DPS_Base_Range + ((DPS_Range_Stat) / 2))) / MIN(MAX(70, (70 * (1 + ($A835 / 3)))), 120))</f>
        <v>3.333333333</v>
      </c>
      <c r="K835" s="115" t="str">
        <f>IF(A835&lt;=DPS_Graph_Max,IF(A835&gt;=DPS_Graph_Speed_Min,A835,),)</f>
        <v/>
      </c>
      <c r="M835" s="213">
        <f>If(DPS_Weapon_Type="远程",$E835/60+$F835*2,$E835/60+$F835+$G835/2+$H835)</f>
        <v>0.04778420039</v>
      </c>
      <c r="N835" s="104" t="str">
        <f>IF(DPS_Graph_Tooltip_Speed=TRUE,IF($A835&lt;=DPS_Graph_Max,IF($A835&gt;=DPS_Graph_Speed_Min,1/M835,),),)</f>
        <v/>
      </c>
      <c r="R835" s="104" t="str">
        <f>IF(DPS_Graph_Tooltip_Speed=TRUE,IF($E$8=$A835,1/$N$6,),)</f>
        <v/>
      </c>
    </row>
    <row r="836">
      <c r="A836" s="370">
        <v>5.93</v>
      </c>
      <c r="B836" s="213">
        <f>If(DPS_Weapon_Type="远程",($E836+1)/60+(ROUNDDOWN($F836*60+1,0)/60)*2,(ROUNDDOWN(($E836+1)+ROUNDDOWN($F836*60+1,0)+ROUNDDOWN($G836/2*60+1,0)+ROUNDDOWN($H836*60+1,0)+1,0))/60+If(DPS_ATK_TYPE="挥砍",1/60)+If(DPS_ATK_TYPE="挥砍/刺击",1/120))+DPS_Weapon_Randomization/60</f>
        <v>0.105</v>
      </c>
      <c r="C836" s="104" t="str">
        <f>IF(DPS_Graph_True_Speed=TRUE,IF($A836&lt;=DPS_Graph_Max,IF($A836&gt;=DPS_Graph_Speed_Min,1/B836,),),)</f>
        <v/>
      </c>
      <c r="D836" s="115" t="str">
        <f>IF(DPS_Graph_True_Speed=TRUE,IF($E$8=$A836,DPS_Attacks_P_Sec,),)</f>
        <v/>
      </c>
      <c r="E836" s="222">
        <f>ROUNDDOWN(MAX(2,IF(A836&gt;=0, DPS_Base_Wpn_Spd/(1+A836),DPS_Base_Wpn_Spd*(1+ABS(A836)))),0)</f>
        <v>2</v>
      </c>
      <c r="F836" s="232">
        <f>IF(A836&gt;=0, DPS_Base_Recoil/(1+A836),DPS_Base_Recoil)</f>
        <v>0.007215007215</v>
      </c>
      <c r="G836" s="377">
        <f t="shared" si="7"/>
        <v>0.51</v>
      </c>
      <c r="H836" s="377">
        <f t="shared" si="8"/>
        <v>0.01064395955</v>
      </c>
      <c r="I836" s="104"/>
      <c r="J836" s="377">
        <f>MAX(0, Max(25,(DPS_Base_Range + ((DPS_Range_Stat) / 2))) / MIN(MAX(70, (70 * (1 + ($A836 / 3)))), 120))</f>
        <v>3.333333333</v>
      </c>
      <c r="K836" s="115" t="str">
        <f>IF(A836&lt;=DPS_Graph_Max,IF(A836&gt;=DPS_Graph_Speed_Min,A836,),)</f>
        <v/>
      </c>
      <c r="M836" s="213">
        <f>If(DPS_Weapon_Type="远程",$E836/60+$F836*2,$E836/60+$F836+$G836/2+$H836)</f>
        <v>0.04776334776</v>
      </c>
      <c r="N836" s="104" t="str">
        <f>IF(DPS_Graph_Tooltip_Speed=TRUE,IF($A836&lt;=DPS_Graph_Max,IF($A836&gt;=DPS_Graph_Speed_Min,1/M836,),),)</f>
        <v/>
      </c>
      <c r="R836" s="104" t="str">
        <f>IF(DPS_Graph_Tooltip_Speed=TRUE,IF($E$8=$A836,1/$N$6,),)</f>
        <v/>
      </c>
    </row>
    <row r="837">
      <c r="A837" s="370">
        <v>5.94</v>
      </c>
      <c r="B837" s="213">
        <f>If(DPS_Weapon_Type="远程",($E837+1)/60+(ROUNDDOWN($F837*60+1,0)/60)*2,(ROUNDDOWN(($E837+1)+ROUNDDOWN($F837*60+1,0)+ROUNDDOWN($G837/2*60+1,0)+ROUNDDOWN($H837*60+1,0)+1,0))/60+If(DPS_ATK_TYPE="挥砍",1/60)+If(DPS_ATK_TYPE="挥砍/刺击",1/120))+DPS_Weapon_Randomization/60</f>
        <v>0.105</v>
      </c>
      <c r="C837" s="104" t="str">
        <f>IF(DPS_Graph_True_Speed=TRUE,IF($A837&lt;=DPS_Graph_Max,IF($A837&gt;=DPS_Graph_Speed_Min,1/B837,),),)</f>
        <v/>
      </c>
      <c r="D837" s="115" t="str">
        <f>IF(DPS_Graph_True_Speed=TRUE,IF($E$8=$A837,DPS_Attacks_P_Sec,),)</f>
        <v/>
      </c>
      <c r="E837" s="222">
        <f>ROUNDDOWN(MAX(2,IF(A837&gt;=0, DPS_Base_Wpn_Spd/(1+A837),DPS_Base_Wpn_Spd*(1+ABS(A837)))),0)</f>
        <v>2</v>
      </c>
      <c r="F837" s="232">
        <f>IF(A837&gt;=0, DPS_Base_Recoil/(1+A837),DPS_Base_Recoil)</f>
        <v>0.007204610951</v>
      </c>
      <c r="G837" s="377">
        <f t="shared" si="7"/>
        <v>0.51</v>
      </c>
      <c r="H837" s="377">
        <f t="shared" si="8"/>
        <v>0.01062699256</v>
      </c>
      <c r="I837" s="104"/>
      <c r="J837" s="377">
        <f>MAX(0, Max(25,(DPS_Base_Range + ((DPS_Range_Stat) / 2))) / MIN(MAX(70, (70 * (1 + ($A837 / 3)))), 120))</f>
        <v>3.333333333</v>
      </c>
      <c r="K837" s="115" t="str">
        <f>IF(A837&lt;=DPS_Graph_Max,IF(A837&gt;=DPS_Graph_Speed_Min,A837,),)</f>
        <v/>
      </c>
      <c r="M837" s="213">
        <f>If(DPS_Weapon_Type="远程",$E837/60+$F837*2,$E837/60+$F837+$G837/2+$H837)</f>
        <v>0.04774255524</v>
      </c>
      <c r="N837" s="104" t="str">
        <f>IF(DPS_Graph_Tooltip_Speed=TRUE,IF($A837&lt;=DPS_Graph_Max,IF($A837&gt;=DPS_Graph_Speed_Min,1/M837,),),)</f>
        <v/>
      </c>
      <c r="R837" s="104" t="str">
        <f>IF(DPS_Graph_Tooltip_Speed=TRUE,IF($E$8=$A837,1/$N$6,),)</f>
        <v/>
      </c>
    </row>
    <row r="838">
      <c r="A838" s="370">
        <v>5.95</v>
      </c>
      <c r="B838" s="213">
        <f>If(DPS_Weapon_Type="远程",($E838+1)/60+(ROUNDDOWN($F838*60+1,0)/60)*2,(ROUNDDOWN(($E838+1)+ROUNDDOWN($F838*60+1,0)+ROUNDDOWN($G838/2*60+1,0)+ROUNDDOWN($H838*60+1,0)+1,0))/60+If(DPS_ATK_TYPE="挥砍",1/60)+If(DPS_ATK_TYPE="挥砍/刺击",1/120))+DPS_Weapon_Randomization/60</f>
        <v>0.105</v>
      </c>
      <c r="C838" s="104" t="str">
        <f>IF(DPS_Graph_True_Speed=TRUE,IF($A838&lt;=DPS_Graph_Max,IF($A838&gt;=DPS_Graph_Speed_Min,1/B838,),),)</f>
        <v/>
      </c>
      <c r="D838" s="115" t="str">
        <f>IF(DPS_Graph_True_Speed=TRUE,IF($E$8=$A838,DPS_Attacks_P_Sec,),)</f>
        <v/>
      </c>
      <c r="E838" s="222">
        <f>ROUNDDOWN(MAX(2,IF(A838&gt;=0, DPS_Base_Wpn_Spd/(1+A838),DPS_Base_Wpn_Spd*(1+ABS(A838)))),0)</f>
        <v>2</v>
      </c>
      <c r="F838" s="232">
        <f>IF(A838&gt;=0, DPS_Base_Recoil/(1+A838),DPS_Base_Recoil)</f>
        <v>0.007194244604</v>
      </c>
      <c r="G838" s="377">
        <f t="shared" si="7"/>
        <v>0.51</v>
      </c>
      <c r="H838" s="377">
        <f t="shared" si="8"/>
        <v>0.01061007958</v>
      </c>
      <c r="I838" s="104"/>
      <c r="J838" s="377">
        <f>MAX(0, Max(25,(DPS_Base_Range + ((DPS_Range_Stat) / 2))) / MIN(MAX(70, (70 * (1 + ($A838 / 3)))), 120))</f>
        <v>3.333333333</v>
      </c>
      <c r="K838" s="115" t="str">
        <f>IF(A838&lt;=DPS_Graph_Max,IF(A838&gt;=DPS_Graph_Speed_Min,A838,),)</f>
        <v/>
      </c>
      <c r="M838" s="213">
        <f>If(DPS_Weapon_Type="远程",$E838/60+$F838*2,$E838/60+$F838+$G838/2+$H838)</f>
        <v>0.04772182254</v>
      </c>
      <c r="N838" s="104" t="str">
        <f>IF(DPS_Graph_Tooltip_Speed=TRUE,IF($A838&lt;=DPS_Graph_Max,IF($A838&gt;=DPS_Graph_Speed_Min,1/M838,),),)</f>
        <v/>
      </c>
      <c r="R838" s="104" t="str">
        <f>IF(DPS_Graph_Tooltip_Speed=TRUE,IF($E$8=$A838,1/$N$6,),)</f>
        <v/>
      </c>
    </row>
    <row r="839">
      <c r="A839" s="370">
        <v>5.96</v>
      </c>
      <c r="B839" s="213">
        <f>If(DPS_Weapon_Type="远程",($E839+1)/60+(ROUNDDOWN($F839*60+1,0)/60)*2,(ROUNDDOWN(($E839+1)+ROUNDDOWN($F839*60+1,0)+ROUNDDOWN($G839/2*60+1,0)+ROUNDDOWN($H839*60+1,0)+1,0))/60+If(DPS_ATK_TYPE="挥砍",1/60)+If(DPS_ATK_TYPE="挥砍/刺击",1/120))+DPS_Weapon_Randomization/60</f>
        <v>0.105</v>
      </c>
      <c r="C839" s="104" t="str">
        <f>IF(DPS_Graph_True_Speed=TRUE,IF($A839&lt;=DPS_Graph_Max,IF($A839&gt;=DPS_Graph_Speed_Min,1/B839,),),)</f>
        <v/>
      </c>
      <c r="D839" s="115" t="str">
        <f>IF(DPS_Graph_True_Speed=TRUE,IF($E$8=$A839,DPS_Attacks_P_Sec,),)</f>
        <v/>
      </c>
      <c r="E839" s="222">
        <f>ROUNDDOWN(MAX(2,IF(A839&gt;=0, DPS_Base_Wpn_Spd/(1+A839),DPS_Base_Wpn_Spd*(1+ABS(A839)))),0)</f>
        <v>2</v>
      </c>
      <c r="F839" s="232">
        <f>IF(A839&gt;=0, DPS_Base_Recoil/(1+A839),DPS_Base_Recoil)</f>
        <v>0.007183908046</v>
      </c>
      <c r="G839" s="377">
        <f t="shared" si="7"/>
        <v>0.51</v>
      </c>
      <c r="H839" s="377">
        <f t="shared" si="8"/>
        <v>0.01059322034</v>
      </c>
      <c r="I839" s="104"/>
      <c r="J839" s="377">
        <f>MAX(0, Max(25,(DPS_Base_Range + ((DPS_Range_Stat) / 2))) / MIN(MAX(70, (70 * (1 + ($A839 / 3)))), 120))</f>
        <v>3.333333333</v>
      </c>
      <c r="K839" s="115" t="str">
        <f>IF(A839&lt;=DPS_Graph_Max,IF(A839&gt;=DPS_Graph_Speed_Min,A839,),)</f>
        <v/>
      </c>
      <c r="M839" s="213">
        <f>If(DPS_Weapon_Type="远程",$E839/60+$F839*2,$E839/60+$F839+$G839/2+$H839)</f>
        <v>0.04770114943</v>
      </c>
      <c r="N839" s="104" t="str">
        <f>IF(DPS_Graph_Tooltip_Speed=TRUE,IF($A839&lt;=DPS_Graph_Max,IF($A839&gt;=DPS_Graph_Speed_Min,1/M839,),),)</f>
        <v/>
      </c>
      <c r="R839" s="104" t="str">
        <f>IF(DPS_Graph_Tooltip_Speed=TRUE,IF($E$8=$A839,1/$N$6,),)</f>
        <v/>
      </c>
    </row>
    <row r="840">
      <c r="A840" s="370">
        <v>5.97</v>
      </c>
      <c r="B840" s="213">
        <f>If(DPS_Weapon_Type="远程",($E840+1)/60+(ROUNDDOWN($F840*60+1,0)/60)*2,(ROUNDDOWN(($E840+1)+ROUNDDOWN($F840*60+1,0)+ROUNDDOWN($G840/2*60+1,0)+ROUNDDOWN($H840*60+1,0)+1,0))/60+If(DPS_ATK_TYPE="挥砍",1/60)+If(DPS_ATK_TYPE="挥砍/刺击",1/120))+DPS_Weapon_Randomization/60</f>
        <v>0.105</v>
      </c>
      <c r="C840" s="104" t="str">
        <f>IF(DPS_Graph_True_Speed=TRUE,IF($A840&lt;=DPS_Graph_Max,IF($A840&gt;=DPS_Graph_Speed_Min,1/B840,),),)</f>
        <v/>
      </c>
      <c r="D840" s="115" t="str">
        <f>IF(DPS_Graph_True_Speed=TRUE,IF($E$8=$A840,DPS_Attacks_P_Sec,),)</f>
        <v/>
      </c>
      <c r="E840" s="222">
        <f>ROUNDDOWN(MAX(2,IF(A840&gt;=0, DPS_Base_Wpn_Spd/(1+A840),DPS_Base_Wpn_Spd*(1+ABS(A840)))),0)</f>
        <v>2</v>
      </c>
      <c r="F840" s="232">
        <f>IF(A840&gt;=0, DPS_Base_Recoil/(1+A840),DPS_Base_Recoil)</f>
        <v>0.007173601148</v>
      </c>
      <c r="G840" s="377">
        <f t="shared" si="7"/>
        <v>0.51</v>
      </c>
      <c r="H840" s="377">
        <f t="shared" si="8"/>
        <v>0.0105764146</v>
      </c>
      <c r="I840" s="104"/>
      <c r="J840" s="377">
        <f>MAX(0, Max(25,(DPS_Base_Range + ((DPS_Range_Stat) / 2))) / MIN(MAX(70, (70 * (1 + ($A840 / 3)))), 120))</f>
        <v>3.333333333</v>
      </c>
      <c r="K840" s="115" t="str">
        <f>IF(A840&lt;=DPS_Graph_Max,IF(A840&gt;=DPS_Graph_Speed_Min,A840,),)</f>
        <v/>
      </c>
      <c r="M840" s="213">
        <f>If(DPS_Weapon_Type="远程",$E840/60+$F840*2,$E840/60+$F840+$G840/2+$H840)</f>
        <v>0.04768053563</v>
      </c>
      <c r="N840" s="104" t="str">
        <f>IF(DPS_Graph_Tooltip_Speed=TRUE,IF($A840&lt;=DPS_Graph_Max,IF($A840&gt;=DPS_Graph_Speed_Min,1/M840,),),)</f>
        <v/>
      </c>
      <c r="R840" s="104" t="str">
        <f>IF(DPS_Graph_Tooltip_Speed=TRUE,IF($E$8=$A840,1/$N$6,),)</f>
        <v/>
      </c>
    </row>
    <row r="841">
      <c r="A841" s="370">
        <v>5.98</v>
      </c>
      <c r="B841" s="213">
        <f>If(DPS_Weapon_Type="远程",($E841+1)/60+(ROUNDDOWN($F841*60+1,0)/60)*2,(ROUNDDOWN(($E841+1)+ROUNDDOWN($F841*60+1,0)+ROUNDDOWN($G841/2*60+1,0)+ROUNDDOWN($H841*60+1,0)+1,0))/60+If(DPS_ATK_TYPE="挥砍",1/60)+If(DPS_ATK_TYPE="挥砍/刺击",1/120))+DPS_Weapon_Randomization/60</f>
        <v>0.105</v>
      </c>
      <c r="C841" s="104" t="str">
        <f>IF(DPS_Graph_True_Speed=TRUE,IF($A841&lt;=DPS_Graph_Max,IF($A841&gt;=DPS_Graph_Speed_Min,1/B841,),),)</f>
        <v/>
      </c>
      <c r="D841" s="115" t="str">
        <f>IF(DPS_Graph_True_Speed=TRUE,IF($E$8=$A841,DPS_Attacks_P_Sec,),)</f>
        <v/>
      </c>
      <c r="E841" s="222">
        <f>ROUNDDOWN(MAX(2,IF(A841&gt;=0, DPS_Base_Wpn_Spd/(1+A841),DPS_Base_Wpn_Spd*(1+ABS(A841)))),0)</f>
        <v>2</v>
      </c>
      <c r="F841" s="232">
        <f>IF(A841&gt;=0, DPS_Base_Recoil/(1+A841),DPS_Base_Recoil)</f>
        <v>0.007163323782</v>
      </c>
      <c r="G841" s="377">
        <f t="shared" si="7"/>
        <v>0.51</v>
      </c>
      <c r="H841" s="377">
        <f t="shared" si="8"/>
        <v>0.01055966209</v>
      </c>
      <c r="I841" s="104"/>
      <c r="J841" s="377">
        <f>MAX(0, Max(25,(DPS_Base_Range + ((DPS_Range_Stat) / 2))) / MIN(MAX(70, (70 * (1 + ($A841 / 3)))), 120))</f>
        <v>3.333333333</v>
      </c>
      <c r="K841" s="115" t="str">
        <f>IF(A841&lt;=DPS_Graph_Max,IF(A841&gt;=DPS_Graph_Speed_Min,A841,),)</f>
        <v/>
      </c>
      <c r="M841" s="213">
        <f>If(DPS_Weapon_Type="远程",$E841/60+$F841*2,$E841/60+$F841+$G841/2+$H841)</f>
        <v>0.0476599809</v>
      </c>
      <c r="N841" s="104" t="str">
        <f>IF(DPS_Graph_Tooltip_Speed=TRUE,IF($A841&lt;=DPS_Graph_Max,IF($A841&gt;=DPS_Graph_Speed_Min,1/M841,),),)</f>
        <v/>
      </c>
      <c r="R841" s="104" t="str">
        <f>IF(DPS_Graph_Tooltip_Speed=TRUE,IF($E$8=$A841,1/$N$6,),)</f>
        <v/>
      </c>
    </row>
    <row r="842">
      <c r="A842" s="370">
        <v>5.99</v>
      </c>
      <c r="B842" s="213">
        <f>If(DPS_Weapon_Type="远程",($E842+1)/60+(ROUNDDOWN($F842*60+1,0)/60)*2,(ROUNDDOWN(($E842+1)+ROUNDDOWN($F842*60+1,0)+ROUNDDOWN($G842/2*60+1,0)+ROUNDDOWN($H842*60+1,0)+1,0))/60+If(DPS_ATK_TYPE="挥砍",1/60)+If(DPS_ATK_TYPE="挥砍/刺击",1/120))+DPS_Weapon_Randomization/60</f>
        <v>0.105</v>
      </c>
      <c r="C842" s="104" t="str">
        <f>IF(DPS_Graph_True_Speed=TRUE,IF($A842&lt;=DPS_Graph_Max,IF($A842&gt;=DPS_Graph_Speed_Min,1/B842,),),)</f>
        <v/>
      </c>
      <c r="D842" s="115" t="str">
        <f>IF(DPS_Graph_True_Speed=TRUE,IF($E$8=$A842,DPS_Attacks_P_Sec,),)</f>
        <v/>
      </c>
      <c r="E842" s="222">
        <f>ROUNDDOWN(MAX(2,IF(A842&gt;=0, DPS_Base_Wpn_Spd/(1+A842),DPS_Base_Wpn_Spd*(1+ABS(A842)))),0)</f>
        <v>2</v>
      </c>
      <c r="F842" s="232">
        <f>IF(A842&gt;=0, DPS_Base_Recoil/(1+A842),DPS_Base_Recoil)</f>
        <v>0.007153075823</v>
      </c>
      <c r="G842" s="377">
        <f t="shared" si="7"/>
        <v>0.51</v>
      </c>
      <c r="H842" s="377">
        <f t="shared" si="8"/>
        <v>0.01054296257</v>
      </c>
      <c r="I842" s="104"/>
      <c r="J842" s="377">
        <f>MAX(0, Max(25,(DPS_Base_Range + ((DPS_Range_Stat) / 2))) / MIN(MAX(70, (70 * (1 + ($A842 / 3)))), 120))</f>
        <v>3.333333333</v>
      </c>
      <c r="K842" s="115" t="str">
        <f>IF(A842&lt;=DPS_Graph_Max,IF(A842&gt;=DPS_Graph_Speed_Min,A842,),)</f>
        <v/>
      </c>
      <c r="M842" s="213">
        <f>If(DPS_Weapon_Type="远程",$E842/60+$F842*2,$E842/60+$F842+$G842/2+$H842)</f>
        <v>0.04763948498</v>
      </c>
      <c r="N842" s="104" t="str">
        <f>IF(DPS_Graph_Tooltip_Speed=TRUE,IF($A842&lt;=DPS_Graph_Max,IF($A842&gt;=DPS_Graph_Speed_Min,1/M842,),),)</f>
        <v/>
      </c>
      <c r="R842" s="104" t="str">
        <f>IF(DPS_Graph_Tooltip_Speed=TRUE,IF($E$8=$A842,1/$N$6,),)</f>
        <v/>
      </c>
    </row>
    <row r="843">
      <c r="A843" s="370">
        <v>6.0</v>
      </c>
      <c r="B843" s="213">
        <f>If(DPS_Weapon_Type="远程",($E843+1)/60+(ROUNDDOWN($F843*60+1,0)/60)*2,(ROUNDDOWN(($E843+1)+ROUNDDOWN($F843*60+1,0)+ROUNDDOWN($G843/2*60+1,0)+ROUNDDOWN($H843*60+1,0)+1,0))/60+If(DPS_ATK_TYPE="挥砍",1/60)+If(DPS_ATK_TYPE="挥砍/刺击",1/120))+DPS_Weapon_Randomization/60</f>
        <v>0.105</v>
      </c>
      <c r="C843" s="104" t="str">
        <f>IF(DPS_Graph_True_Speed=TRUE,IF($A843&lt;=DPS_Graph_Max,IF($A843&gt;=DPS_Graph_Speed_Min,1/B843,),),)</f>
        <v/>
      </c>
      <c r="D843" s="115" t="str">
        <f>IF(DPS_Graph_True_Speed=TRUE,IF($E$8=$A843,DPS_Attacks_P_Sec,),)</f>
        <v/>
      </c>
      <c r="E843" s="222">
        <f>ROUNDDOWN(MAX(2,IF(A843&gt;=0, DPS_Base_Wpn_Spd/(1+A843),DPS_Base_Wpn_Spd*(1+ABS(A843)))),0)</f>
        <v>2</v>
      </c>
      <c r="F843" s="232">
        <f>IF(A843&gt;=0, DPS_Base_Recoil/(1+A843),DPS_Base_Recoil)</f>
        <v>0.007142857143</v>
      </c>
      <c r="G843" s="377">
        <f t="shared" si="7"/>
        <v>0.51</v>
      </c>
      <c r="H843" s="377">
        <f t="shared" si="8"/>
        <v>0.01052631579</v>
      </c>
      <c r="I843" s="104"/>
      <c r="J843" s="377">
        <f>MAX(0, Max(25,(DPS_Base_Range + ((DPS_Range_Stat) / 2))) / MIN(MAX(70, (70 * (1 + ($A843 / 3)))), 120))</f>
        <v>3.333333333</v>
      </c>
      <c r="K843" s="115" t="str">
        <f>IF(A843&lt;=DPS_Graph_Max,IF(A843&gt;=DPS_Graph_Speed_Min,A843,),)</f>
        <v/>
      </c>
      <c r="M843" s="213">
        <f>If(DPS_Weapon_Type="远程",$E843/60+$F843*2,$E843/60+$F843+$G843/2+$H843)</f>
        <v>0.04761904762</v>
      </c>
      <c r="N843" s="104" t="str">
        <f>IF(DPS_Graph_Tooltip_Speed=TRUE,IF($A843&lt;=DPS_Graph_Max,IF($A843&gt;=DPS_Graph_Speed_Min,1/M843,),),)</f>
        <v/>
      </c>
      <c r="R843" s="104" t="str">
        <f>IF(DPS_Graph_Tooltip_Speed=TRUE,IF($E$8=$A843,1/$N$6,),)</f>
        <v/>
      </c>
    </row>
    <row r="844">
      <c r="A844" s="370">
        <v>6.01</v>
      </c>
      <c r="B844" s="213">
        <f>If(DPS_Weapon_Type="远程",($E844+1)/60+(ROUNDDOWN($F844*60+1,0)/60)*2,(ROUNDDOWN(($E844+1)+ROUNDDOWN($F844*60+1,0)+ROUNDDOWN($G844/2*60+1,0)+ROUNDDOWN($H844*60+1,0)+1,0))/60+If(DPS_ATK_TYPE="挥砍",1/60)+If(DPS_ATK_TYPE="挥砍/刺击",1/120))+DPS_Weapon_Randomization/60</f>
        <v>0.105</v>
      </c>
      <c r="C844" s="104" t="str">
        <f>IF(DPS_Graph_True_Speed=TRUE,IF($A844&lt;=DPS_Graph_Max,IF($A844&gt;=DPS_Graph_Speed_Min,1/B844,),),)</f>
        <v/>
      </c>
      <c r="D844" s="115" t="str">
        <f>IF(DPS_Graph_True_Speed=TRUE,IF($E$8=$A844,DPS_Attacks_P_Sec,),)</f>
        <v/>
      </c>
      <c r="E844" s="222">
        <f>ROUNDDOWN(MAX(2,IF(A844&gt;=0, DPS_Base_Wpn_Spd/(1+A844),DPS_Base_Wpn_Spd*(1+ABS(A844)))),0)</f>
        <v>2</v>
      </c>
      <c r="F844" s="232">
        <f>IF(A844&gt;=0, DPS_Base_Recoil/(1+A844),DPS_Base_Recoil)</f>
        <v>0.007132667618</v>
      </c>
      <c r="G844" s="377">
        <f t="shared" si="7"/>
        <v>0.51</v>
      </c>
      <c r="H844" s="377">
        <f t="shared" si="8"/>
        <v>0.01050972149</v>
      </c>
      <c r="I844" s="104"/>
      <c r="J844" s="377">
        <f>MAX(0, Max(25,(DPS_Base_Range + ((DPS_Range_Stat) / 2))) / MIN(MAX(70, (70 * (1 + ($A844 / 3)))), 120))</f>
        <v>3.333333333</v>
      </c>
      <c r="K844" s="115" t="str">
        <f>IF(A844&lt;=DPS_Graph_Max,IF(A844&gt;=DPS_Graph_Speed_Min,A844,),)</f>
        <v/>
      </c>
      <c r="M844" s="213">
        <f>If(DPS_Weapon_Type="远程",$E844/60+$F844*2,$E844/60+$F844+$G844/2+$H844)</f>
        <v>0.04759866857</v>
      </c>
      <c r="N844" s="104" t="str">
        <f>IF(DPS_Graph_Tooltip_Speed=TRUE,IF($A844&lt;=DPS_Graph_Max,IF($A844&gt;=DPS_Graph_Speed_Min,1/M844,),),)</f>
        <v/>
      </c>
      <c r="R844" s="104" t="str">
        <f>IF(DPS_Graph_Tooltip_Speed=TRUE,IF($E$8=$A844,1/$N$6,),)</f>
        <v/>
      </c>
    </row>
    <row r="845">
      <c r="A845" s="370">
        <v>6.02</v>
      </c>
      <c r="B845" s="213">
        <f>If(DPS_Weapon_Type="远程",($E845+1)/60+(ROUNDDOWN($F845*60+1,0)/60)*2,(ROUNDDOWN(($E845+1)+ROUNDDOWN($F845*60+1,0)+ROUNDDOWN($G845/2*60+1,0)+ROUNDDOWN($H845*60+1,0)+1,0))/60+If(DPS_ATK_TYPE="挥砍",1/60)+If(DPS_ATK_TYPE="挥砍/刺击",1/120))+DPS_Weapon_Randomization/60</f>
        <v>0.105</v>
      </c>
      <c r="C845" s="104" t="str">
        <f>IF(DPS_Graph_True_Speed=TRUE,IF($A845&lt;=DPS_Graph_Max,IF($A845&gt;=DPS_Graph_Speed_Min,1/B845,),),)</f>
        <v/>
      </c>
      <c r="D845" s="115" t="str">
        <f>IF(DPS_Graph_True_Speed=TRUE,IF($E$8=$A845,DPS_Attacks_P_Sec,),)</f>
        <v/>
      </c>
      <c r="E845" s="222">
        <f>ROUNDDOWN(MAX(2,IF(A845&gt;=0, DPS_Base_Wpn_Spd/(1+A845),DPS_Base_Wpn_Spd*(1+ABS(A845)))),0)</f>
        <v>2</v>
      </c>
      <c r="F845" s="232">
        <f>IF(A845&gt;=0, DPS_Base_Recoil/(1+A845),DPS_Base_Recoil)</f>
        <v>0.007122507123</v>
      </c>
      <c r="G845" s="377">
        <f t="shared" si="7"/>
        <v>0.51</v>
      </c>
      <c r="H845" s="377">
        <f t="shared" si="8"/>
        <v>0.01049317943</v>
      </c>
      <c r="I845" s="104"/>
      <c r="J845" s="377">
        <f>MAX(0, Max(25,(DPS_Base_Range + ((DPS_Range_Stat) / 2))) / MIN(MAX(70, (70 * (1 + ($A845 / 3)))), 120))</f>
        <v>3.333333333</v>
      </c>
      <c r="K845" s="115" t="str">
        <f>IF(A845&lt;=DPS_Graph_Max,IF(A845&gt;=DPS_Graph_Speed_Min,A845,),)</f>
        <v/>
      </c>
      <c r="M845" s="213">
        <f>If(DPS_Weapon_Type="远程",$E845/60+$F845*2,$E845/60+$F845+$G845/2+$H845)</f>
        <v>0.04757834758</v>
      </c>
      <c r="N845" s="104" t="str">
        <f>IF(DPS_Graph_Tooltip_Speed=TRUE,IF($A845&lt;=DPS_Graph_Max,IF($A845&gt;=DPS_Graph_Speed_Min,1/M845,),),)</f>
        <v/>
      </c>
      <c r="R845" s="104" t="str">
        <f>IF(DPS_Graph_Tooltip_Speed=TRUE,IF($E$8=$A845,1/$N$6,),)</f>
        <v/>
      </c>
    </row>
    <row r="846">
      <c r="A846" s="370">
        <v>6.03</v>
      </c>
      <c r="B846" s="213">
        <f>If(DPS_Weapon_Type="远程",($E846+1)/60+(ROUNDDOWN($F846*60+1,0)/60)*2,(ROUNDDOWN(($E846+1)+ROUNDDOWN($F846*60+1,0)+ROUNDDOWN($G846/2*60+1,0)+ROUNDDOWN($H846*60+1,0)+1,0))/60+If(DPS_ATK_TYPE="挥砍",1/60)+If(DPS_ATK_TYPE="挥砍/刺击",1/120))+DPS_Weapon_Randomization/60</f>
        <v>0.105</v>
      </c>
      <c r="C846" s="104" t="str">
        <f>IF(DPS_Graph_True_Speed=TRUE,IF($A846&lt;=DPS_Graph_Max,IF($A846&gt;=DPS_Graph_Speed_Min,1/B846,),),)</f>
        <v/>
      </c>
      <c r="D846" s="115" t="str">
        <f>IF(DPS_Graph_True_Speed=TRUE,IF($E$8=$A846,DPS_Attacks_P_Sec,),)</f>
        <v/>
      </c>
      <c r="E846" s="222">
        <f>ROUNDDOWN(MAX(2,IF(A846&gt;=0, DPS_Base_Wpn_Spd/(1+A846),DPS_Base_Wpn_Spd*(1+ABS(A846)))),0)</f>
        <v>2</v>
      </c>
      <c r="F846" s="232">
        <f>IF(A846&gt;=0, DPS_Base_Recoil/(1+A846),DPS_Base_Recoil)</f>
        <v>0.007112375533</v>
      </c>
      <c r="G846" s="377">
        <f t="shared" si="7"/>
        <v>0.51</v>
      </c>
      <c r="H846" s="377">
        <f t="shared" si="8"/>
        <v>0.01047668937</v>
      </c>
      <c r="I846" s="104"/>
      <c r="J846" s="377">
        <f>MAX(0, Max(25,(DPS_Base_Range + ((DPS_Range_Stat) / 2))) / MIN(MAX(70, (70 * (1 + ($A846 / 3)))), 120))</f>
        <v>3.333333333</v>
      </c>
      <c r="K846" s="115" t="str">
        <f>IF(A846&lt;=DPS_Graph_Max,IF(A846&gt;=DPS_Graph_Speed_Min,A846,),)</f>
        <v/>
      </c>
      <c r="M846" s="213">
        <f>If(DPS_Weapon_Type="远程",$E846/60+$F846*2,$E846/60+$F846+$G846/2+$H846)</f>
        <v>0.0475580844</v>
      </c>
      <c r="N846" s="104" t="str">
        <f>IF(DPS_Graph_Tooltip_Speed=TRUE,IF($A846&lt;=DPS_Graph_Max,IF($A846&gt;=DPS_Graph_Speed_Min,1/M846,),),)</f>
        <v/>
      </c>
      <c r="R846" s="104" t="str">
        <f>IF(DPS_Graph_Tooltip_Speed=TRUE,IF($E$8=$A846,1/$N$6,),)</f>
        <v/>
      </c>
    </row>
    <row r="847">
      <c r="A847" s="370">
        <v>6.04</v>
      </c>
      <c r="B847" s="213">
        <f>If(DPS_Weapon_Type="远程",($E847+1)/60+(ROUNDDOWN($F847*60+1,0)/60)*2,(ROUNDDOWN(($E847+1)+ROUNDDOWN($F847*60+1,0)+ROUNDDOWN($G847/2*60+1,0)+ROUNDDOWN($H847*60+1,0)+1,0))/60+If(DPS_ATK_TYPE="挥砍",1/60)+If(DPS_ATK_TYPE="挥砍/刺击",1/120))+DPS_Weapon_Randomization/60</f>
        <v>0.105</v>
      </c>
      <c r="C847" s="104" t="str">
        <f>IF(DPS_Graph_True_Speed=TRUE,IF($A847&lt;=DPS_Graph_Max,IF($A847&gt;=DPS_Graph_Speed_Min,1/B847,),),)</f>
        <v/>
      </c>
      <c r="D847" s="115" t="str">
        <f>IF(DPS_Graph_True_Speed=TRUE,IF($E$8=$A847,DPS_Attacks_P_Sec,),)</f>
        <v/>
      </c>
      <c r="E847" s="222">
        <f>ROUNDDOWN(MAX(2,IF(A847&gt;=0, DPS_Base_Wpn_Spd/(1+A847),DPS_Base_Wpn_Spd*(1+ABS(A847)))),0)</f>
        <v>2</v>
      </c>
      <c r="F847" s="232">
        <f>IF(A847&gt;=0, DPS_Base_Recoil/(1+A847),DPS_Base_Recoil)</f>
        <v>0.007102272727</v>
      </c>
      <c r="G847" s="377">
        <f t="shared" si="7"/>
        <v>0.51</v>
      </c>
      <c r="H847" s="377">
        <f t="shared" si="8"/>
        <v>0.01046025105</v>
      </c>
      <c r="I847" s="104"/>
      <c r="J847" s="377">
        <f>MAX(0, Max(25,(DPS_Base_Range + ((DPS_Range_Stat) / 2))) / MIN(MAX(70, (70 * (1 + ($A847 / 3)))), 120))</f>
        <v>3.333333333</v>
      </c>
      <c r="K847" s="115" t="str">
        <f>IF(A847&lt;=DPS_Graph_Max,IF(A847&gt;=DPS_Graph_Speed_Min,A847,),)</f>
        <v/>
      </c>
      <c r="M847" s="213">
        <f>If(DPS_Weapon_Type="远程",$E847/60+$F847*2,$E847/60+$F847+$G847/2+$H847)</f>
        <v>0.04753787879</v>
      </c>
      <c r="N847" s="104" t="str">
        <f>IF(DPS_Graph_Tooltip_Speed=TRUE,IF($A847&lt;=DPS_Graph_Max,IF($A847&gt;=DPS_Graph_Speed_Min,1/M847,),),)</f>
        <v/>
      </c>
      <c r="R847" s="104" t="str">
        <f>IF(DPS_Graph_Tooltip_Speed=TRUE,IF($E$8=$A847,1/$N$6,),)</f>
        <v/>
      </c>
    </row>
    <row r="848">
      <c r="A848" s="370">
        <v>6.05</v>
      </c>
      <c r="B848" s="213">
        <f>If(DPS_Weapon_Type="远程",($E848+1)/60+(ROUNDDOWN($F848*60+1,0)/60)*2,(ROUNDDOWN(($E848+1)+ROUNDDOWN($F848*60+1,0)+ROUNDDOWN($G848/2*60+1,0)+ROUNDDOWN($H848*60+1,0)+1,0))/60+If(DPS_ATK_TYPE="挥砍",1/60)+If(DPS_ATK_TYPE="挥砍/刺击",1/120))+DPS_Weapon_Randomization/60</f>
        <v>0.105</v>
      </c>
      <c r="C848" s="104" t="str">
        <f>IF(DPS_Graph_True_Speed=TRUE,IF($A848&lt;=DPS_Graph_Max,IF($A848&gt;=DPS_Graph_Speed_Min,1/B848,),),)</f>
        <v/>
      </c>
      <c r="D848" s="115" t="str">
        <f>IF(DPS_Graph_True_Speed=TRUE,IF($E$8=$A848,DPS_Attacks_P_Sec,),)</f>
        <v/>
      </c>
      <c r="E848" s="222">
        <f>ROUNDDOWN(MAX(2,IF(A848&gt;=0, DPS_Base_Wpn_Spd/(1+A848),DPS_Base_Wpn_Spd*(1+ABS(A848)))),0)</f>
        <v>2</v>
      </c>
      <c r="F848" s="232">
        <f>IF(A848&gt;=0, DPS_Base_Recoil/(1+A848),DPS_Base_Recoil)</f>
        <v>0.007092198582</v>
      </c>
      <c r="G848" s="377">
        <f t="shared" si="7"/>
        <v>0.51</v>
      </c>
      <c r="H848" s="377">
        <f t="shared" si="8"/>
        <v>0.01044386423</v>
      </c>
      <c r="I848" s="104"/>
      <c r="J848" s="377">
        <f>MAX(0, Max(25,(DPS_Base_Range + ((DPS_Range_Stat) / 2))) / MIN(MAX(70, (70 * (1 + ($A848 / 3)))), 120))</f>
        <v>3.333333333</v>
      </c>
      <c r="K848" s="115" t="str">
        <f>IF(A848&lt;=DPS_Graph_Max,IF(A848&gt;=DPS_Graph_Speed_Min,A848,),)</f>
        <v/>
      </c>
      <c r="M848" s="213">
        <f>If(DPS_Weapon_Type="远程",$E848/60+$F848*2,$E848/60+$F848+$G848/2+$H848)</f>
        <v>0.0475177305</v>
      </c>
      <c r="N848" s="104" t="str">
        <f>IF(DPS_Graph_Tooltip_Speed=TRUE,IF($A848&lt;=DPS_Graph_Max,IF($A848&gt;=DPS_Graph_Speed_Min,1/M848,),),)</f>
        <v/>
      </c>
      <c r="R848" s="104" t="str">
        <f>IF(DPS_Graph_Tooltip_Speed=TRUE,IF($E$8=$A848,1/$N$6,),)</f>
        <v/>
      </c>
    </row>
    <row r="849">
      <c r="A849" s="370">
        <v>6.06</v>
      </c>
      <c r="B849" s="213">
        <f>If(DPS_Weapon_Type="远程",($E849+1)/60+(ROUNDDOWN($F849*60+1,0)/60)*2,(ROUNDDOWN(($E849+1)+ROUNDDOWN($F849*60+1,0)+ROUNDDOWN($G849/2*60+1,0)+ROUNDDOWN($H849*60+1,0)+1,0))/60+If(DPS_ATK_TYPE="挥砍",1/60)+If(DPS_ATK_TYPE="挥砍/刺击",1/120))+DPS_Weapon_Randomization/60</f>
        <v>0.105</v>
      </c>
      <c r="C849" s="104" t="str">
        <f>IF(DPS_Graph_True_Speed=TRUE,IF($A849&lt;=DPS_Graph_Max,IF($A849&gt;=DPS_Graph_Speed_Min,1/B849,),),)</f>
        <v/>
      </c>
      <c r="D849" s="115" t="str">
        <f>IF(DPS_Graph_True_Speed=TRUE,IF($E$8=$A849,DPS_Attacks_P_Sec,),)</f>
        <v/>
      </c>
      <c r="E849" s="222">
        <f>ROUNDDOWN(MAX(2,IF(A849&gt;=0, DPS_Base_Wpn_Spd/(1+A849),DPS_Base_Wpn_Spd*(1+ABS(A849)))),0)</f>
        <v>2</v>
      </c>
      <c r="F849" s="232">
        <f>IF(A849&gt;=0, DPS_Base_Recoil/(1+A849),DPS_Base_Recoil)</f>
        <v>0.007082152975</v>
      </c>
      <c r="G849" s="377">
        <f t="shared" si="7"/>
        <v>0.51</v>
      </c>
      <c r="H849" s="377">
        <f t="shared" si="8"/>
        <v>0.01042752868</v>
      </c>
      <c r="I849" s="104"/>
      <c r="J849" s="377">
        <f>MAX(0, Max(25,(DPS_Base_Range + ((DPS_Range_Stat) / 2))) / MIN(MAX(70, (70 * (1 + ($A849 / 3)))), 120))</f>
        <v>3.333333333</v>
      </c>
      <c r="K849" s="115" t="str">
        <f>IF(A849&lt;=DPS_Graph_Max,IF(A849&gt;=DPS_Graph_Speed_Min,A849,),)</f>
        <v/>
      </c>
      <c r="M849" s="213">
        <f>If(DPS_Weapon_Type="远程",$E849/60+$F849*2,$E849/60+$F849+$G849/2+$H849)</f>
        <v>0.04749763928</v>
      </c>
      <c r="N849" s="104" t="str">
        <f>IF(DPS_Graph_Tooltip_Speed=TRUE,IF($A849&lt;=DPS_Graph_Max,IF($A849&gt;=DPS_Graph_Speed_Min,1/M849,),),)</f>
        <v/>
      </c>
      <c r="R849" s="104" t="str">
        <f>IF(DPS_Graph_Tooltip_Speed=TRUE,IF($E$8=$A849,1/$N$6,),)</f>
        <v/>
      </c>
    </row>
    <row r="850">
      <c r="A850" s="370">
        <v>6.07</v>
      </c>
      <c r="B850" s="213">
        <f>If(DPS_Weapon_Type="远程",($E850+1)/60+(ROUNDDOWN($F850*60+1,0)/60)*2,(ROUNDDOWN(($E850+1)+ROUNDDOWN($F850*60+1,0)+ROUNDDOWN($G850/2*60+1,0)+ROUNDDOWN($H850*60+1,0)+1,0))/60+If(DPS_ATK_TYPE="挥砍",1/60)+If(DPS_ATK_TYPE="挥砍/刺击",1/120))+DPS_Weapon_Randomization/60</f>
        <v>0.105</v>
      </c>
      <c r="C850" s="104" t="str">
        <f>IF(DPS_Graph_True_Speed=TRUE,IF($A850&lt;=DPS_Graph_Max,IF($A850&gt;=DPS_Graph_Speed_Min,1/B850,),),)</f>
        <v/>
      </c>
      <c r="D850" s="115" t="str">
        <f>IF(DPS_Graph_True_Speed=TRUE,IF($E$8=$A850,DPS_Attacks_P_Sec,),)</f>
        <v/>
      </c>
      <c r="E850" s="222">
        <f>ROUNDDOWN(MAX(2,IF(A850&gt;=0, DPS_Base_Wpn_Spd/(1+A850),DPS_Base_Wpn_Spd*(1+ABS(A850)))),0)</f>
        <v>2</v>
      </c>
      <c r="F850" s="232">
        <f>IF(A850&gt;=0, DPS_Base_Recoil/(1+A850),DPS_Base_Recoil)</f>
        <v>0.007072135785</v>
      </c>
      <c r="G850" s="377">
        <f t="shared" si="7"/>
        <v>0.51</v>
      </c>
      <c r="H850" s="377">
        <f t="shared" si="8"/>
        <v>0.01041124414</v>
      </c>
      <c r="I850" s="104"/>
      <c r="J850" s="377">
        <f>MAX(0, Max(25,(DPS_Base_Range + ((DPS_Range_Stat) / 2))) / MIN(MAX(70, (70 * (1 + ($A850 / 3)))), 120))</f>
        <v>3.333333333</v>
      </c>
      <c r="K850" s="115" t="str">
        <f>IF(A850&lt;=DPS_Graph_Max,IF(A850&gt;=DPS_Graph_Speed_Min,A850,),)</f>
        <v/>
      </c>
      <c r="M850" s="213">
        <f>If(DPS_Weapon_Type="远程",$E850/60+$F850*2,$E850/60+$F850+$G850/2+$H850)</f>
        <v>0.0474776049</v>
      </c>
      <c r="N850" s="104" t="str">
        <f>IF(DPS_Graph_Tooltip_Speed=TRUE,IF($A850&lt;=DPS_Graph_Max,IF($A850&gt;=DPS_Graph_Speed_Min,1/M850,),),)</f>
        <v/>
      </c>
      <c r="R850" s="104" t="str">
        <f>IF(DPS_Graph_Tooltip_Speed=TRUE,IF($E$8=$A850,1/$N$6,),)</f>
        <v/>
      </c>
    </row>
    <row r="851">
      <c r="A851" s="370">
        <v>6.08</v>
      </c>
      <c r="B851" s="213">
        <f>If(DPS_Weapon_Type="远程",($E851+1)/60+(ROUNDDOWN($F851*60+1,0)/60)*2,(ROUNDDOWN(($E851+1)+ROUNDDOWN($F851*60+1,0)+ROUNDDOWN($G851/2*60+1,0)+ROUNDDOWN($H851*60+1,0)+1,0))/60+If(DPS_ATK_TYPE="挥砍",1/60)+If(DPS_ATK_TYPE="挥砍/刺击",1/120))+DPS_Weapon_Randomization/60</f>
        <v>0.105</v>
      </c>
      <c r="C851" s="104" t="str">
        <f>IF(DPS_Graph_True_Speed=TRUE,IF($A851&lt;=DPS_Graph_Max,IF($A851&gt;=DPS_Graph_Speed_Min,1/B851,),),)</f>
        <v/>
      </c>
      <c r="D851" s="115" t="str">
        <f>IF(DPS_Graph_True_Speed=TRUE,IF($E$8=$A851,DPS_Attacks_P_Sec,),)</f>
        <v/>
      </c>
      <c r="E851" s="222">
        <f>ROUNDDOWN(MAX(2,IF(A851&gt;=0, DPS_Base_Wpn_Spd/(1+A851),DPS_Base_Wpn_Spd*(1+ABS(A851)))),0)</f>
        <v>2</v>
      </c>
      <c r="F851" s="232">
        <f>IF(A851&gt;=0, DPS_Base_Recoil/(1+A851),DPS_Base_Recoil)</f>
        <v>0.007062146893</v>
      </c>
      <c r="G851" s="377">
        <f t="shared" si="7"/>
        <v>0.51</v>
      </c>
      <c r="H851" s="377">
        <f t="shared" si="8"/>
        <v>0.0103950104</v>
      </c>
      <c r="I851" s="104"/>
      <c r="J851" s="377">
        <f>MAX(0, Max(25,(DPS_Base_Range + ((DPS_Range_Stat) / 2))) / MIN(MAX(70, (70 * (1 + ($A851 / 3)))), 120))</f>
        <v>3.333333333</v>
      </c>
      <c r="K851" s="115" t="str">
        <f>IF(A851&lt;=DPS_Graph_Max,IF(A851&gt;=DPS_Graph_Speed_Min,A851,),)</f>
        <v/>
      </c>
      <c r="M851" s="213">
        <f>If(DPS_Weapon_Type="远程",$E851/60+$F851*2,$E851/60+$F851+$G851/2+$H851)</f>
        <v>0.04745762712</v>
      </c>
      <c r="N851" s="104" t="str">
        <f>IF(DPS_Graph_Tooltip_Speed=TRUE,IF($A851&lt;=DPS_Graph_Max,IF($A851&gt;=DPS_Graph_Speed_Min,1/M851,),),)</f>
        <v/>
      </c>
      <c r="R851" s="104" t="str">
        <f>IF(DPS_Graph_Tooltip_Speed=TRUE,IF($E$8=$A851,1/$N$6,),)</f>
        <v/>
      </c>
    </row>
    <row r="852">
      <c r="A852" s="370">
        <v>6.09</v>
      </c>
      <c r="B852" s="213">
        <f>If(DPS_Weapon_Type="远程",($E852+1)/60+(ROUNDDOWN($F852*60+1,0)/60)*2,(ROUNDDOWN(($E852+1)+ROUNDDOWN($F852*60+1,0)+ROUNDDOWN($G852/2*60+1,0)+ROUNDDOWN($H852*60+1,0)+1,0))/60+If(DPS_ATK_TYPE="挥砍",1/60)+If(DPS_ATK_TYPE="挥砍/刺击",1/120))+DPS_Weapon_Randomization/60</f>
        <v>0.105</v>
      </c>
      <c r="C852" s="104" t="str">
        <f>IF(DPS_Graph_True_Speed=TRUE,IF($A852&lt;=DPS_Graph_Max,IF($A852&gt;=DPS_Graph_Speed_Min,1/B852,),),)</f>
        <v/>
      </c>
      <c r="D852" s="115" t="str">
        <f>IF(DPS_Graph_True_Speed=TRUE,IF($E$8=$A852,DPS_Attacks_P_Sec,),)</f>
        <v/>
      </c>
      <c r="E852" s="222">
        <f>ROUNDDOWN(MAX(2,IF(A852&gt;=0, DPS_Base_Wpn_Spd/(1+A852),DPS_Base_Wpn_Spd*(1+ABS(A852)))),0)</f>
        <v>2</v>
      </c>
      <c r="F852" s="232">
        <f>IF(A852&gt;=0, DPS_Base_Recoil/(1+A852),DPS_Base_Recoil)</f>
        <v>0.007052186178</v>
      </c>
      <c r="G852" s="377">
        <f t="shared" si="7"/>
        <v>0.51</v>
      </c>
      <c r="H852" s="377">
        <f t="shared" si="8"/>
        <v>0.01037882719</v>
      </c>
      <c r="I852" s="104"/>
      <c r="J852" s="377">
        <f>MAX(0, Max(25,(DPS_Base_Range + ((DPS_Range_Stat) / 2))) / MIN(MAX(70, (70 * (1 + ($A852 / 3)))), 120))</f>
        <v>3.333333333</v>
      </c>
      <c r="K852" s="115" t="str">
        <f>IF(A852&lt;=DPS_Graph_Max,IF(A852&gt;=DPS_Graph_Speed_Min,A852,),)</f>
        <v/>
      </c>
      <c r="M852" s="213">
        <f>If(DPS_Weapon_Type="远程",$E852/60+$F852*2,$E852/60+$F852+$G852/2+$H852)</f>
        <v>0.04743770569</v>
      </c>
      <c r="N852" s="104" t="str">
        <f>IF(DPS_Graph_Tooltip_Speed=TRUE,IF($A852&lt;=DPS_Graph_Max,IF($A852&gt;=DPS_Graph_Speed_Min,1/M852,),),)</f>
        <v/>
      </c>
      <c r="R852" s="104" t="str">
        <f>IF(DPS_Graph_Tooltip_Speed=TRUE,IF($E$8=$A852,1/$N$6,),)</f>
        <v/>
      </c>
    </row>
    <row r="853">
      <c r="A853" s="370">
        <v>6.1</v>
      </c>
      <c r="B853" s="213">
        <f>If(DPS_Weapon_Type="远程",($E853+1)/60+(ROUNDDOWN($F853*60+1,0)/60)*2,(ROUNDDOWN(($E853+1)+ROUNDDOWN($F853*60+1,0)+ROUNDDOWN($G853/2*60+1,0)+ROUNDDOWN($H853*60+1,0)+1,0))/60+If(DPS_ATK_TYPE="挥砍",1/60)+If(DPS_ATK_TYPE="挥砍/刺击",1/120))+DPS_Weapon_Randomization/60</f>
        <v>0.105</v>
      </c>
      <c r="C853" s="104" t="str">
        <f>IF(DPS_Graph_True_Speed=TRUE,IF($A853&lt;=DPS_Graph_Max,IF($A853&gt;=DPS_Graph_Speed_Min,1/B853,),),)</f>
        <v/>
      </c>
      <c r="D853" s="115" t="str">
        <f>IF(DPS_Graph_True_Speed=TRUE,IF($E$8=$A853,DPS_Attacks_P_Sec,),)</f>
        <v/>
      </c>
      <c r="E853" s="222">
        <f>ROUNDDOWN(MAX(2,IF(A853&gt;=0, DPS_Base_Wpn_Spd/(1+A853),DPS_Base_Wpn_Spd*(1+ABS(A853)))),0)</f>
        <v>2</v>
      </c>
      <c r="F853" s="232">
        <f>IF(A853&gt;=0, DPS_Base_Recoil/(1+A853),DPS_Base_Recoil)</f>
        <v>0.007042253521</v>
      </c>
      <c r="G853" s="377">
        <f t="shared" si="7"/>
        <v>0.51</v>
      </c>
      <c r="H853" s="377">
        <f t="shared" si="8"/>
        <v>0.0103626943</v>
      </c>
      <c r="I853" s="104"/>
      <c r="J853" s="377">
        <f>MAX(0, Max(25,(DPS_Base_Range + ((DPS_Range_Stat) / 2))) / MIN(MAX(70, (70 * (1 + ($A853 / 3)))), 120))</f>
        <v>3.333333333</v>
      </c>
      <c r="K853" s="115" t="str">
        <f>IF(A853&lt;=DPS_Graph_Max,IF(A853&gt;=DPS_Graph_Speed_Min,A853,),)</f>
        <v/>
      </c>
      <c r="M853" s="213">
        <f>If(DPS_Weapon_Type="远程",$E853/60+$F853*2,$E853/60+$F853+$G853/2+$H853)</f>
        <v>0.04741784038</v>
      </c>
      <c r="N853" s="104" t="str">
        <f>IF(DPS_Graph_Tooltip_Speed=TRUE,IF($A853&lt;=DPS_Graph_Max,IF($A853&gt;=DPS_Graph_Speed_Min,1/M853,),),)</f>
        <v/>
      </c>
      <c r="R853" s="104" t="str">
        <f>IF(DPS_Graph_Tooltip_Speed=TRUE,IF($E$8=$A853,1/$N$6,),)</f>
        <v/>
      </c>
    </row>
    <row r="854">
      <c r="A854" s="370">
        <v>6.11</v>
      </c>
      <c r="B854" s="213">
        <f>If(DPS_Weapon_Type="远程",($E854+1)/60+(ROUNDDOWN($F854*60+1,0)/60)*2,(ROUNDDOWN(($E854+1)+ROUNDDOWN($F854*60+1,0)+ROUNDDOWN($G854/2*60+1,0)+ROUNDDOWN($H854*60+1,0)+1,0))/60+If(DPS_ATK_TYPE="挥砍",1/60)+If(DPS_ATK_TYPE="挥砍/刺击",1/120))+DPS_Weapon_Randomization/60</f>
        <v>0.105</v>
      </c>
      <c r="C854" s="104" t="str">
        <f>IF(DPS_Graph_True_Speed=TRUE,IF($A854&lt;=DPS_Graph_Max,IF($A854&gt;=DPS_Graph_Speed_Min,1/B854,),),)</f>
        <v/>
      </c>
      <c r="D854" s="115" t="str">
        <f>IF(DPS_Graph_True_Speed=TRUE,IF($E$8=$A854,DPS_Attacks_P_Sec,),)</f>
        <v/>
      </c>
      <c r="E854" s="222">
        <f>ROUNDDOWN(MAX(2,IF(A854&gt;=0, DPS_Base_Wpn_Spd/(1+A854),DPS_Base_Wpn_Spd*(1+ABS(A854)))),0)</f>
        <v>2</v>
      </c>
      <c r="F854" s="232">
        <f>IF(A854&gt;=0, DPS_Base_Recoil/(1+A854),DPS_Base_Recoil)</f>
        <v>0.007032348805</v>
      </c>
      <c r="G854" s="377">
        <f t="shared" si="7"/>
        <v>0.51</v>
      </c>
      <c r="H854" s="377">
        <f t="shared" si="8"/>
        <v>0.01034661148</v>
      </c>
      <c r="I854" s="104"/>
      <c r="J854" s="377">
        <f>MAX(0, Max(25,(DPS_Base_Range + ((DPS_Range_Stat) / 2))) / MIN(MAX(70, (70 * (1 + ($A854 / 3)))), 120))</f>
        <v>3.333333333</v>
      </c>
      <c r="K854" s="115" t="str">
        <f>IF(A854&lt;=DPS_Graph_Max,IF(A854&gt;=DPS_Graph_Speed_Min,A854,),)</f>
        <v/>
      </c>
      <c r="M854" s="213">
        <f>If(DPS_Weapon_Type="远程",$E854/60+$F854*2,$E854/60+$F854+$G854/2+$H854)</f>
        <v>0.04739803094</v>
      </c>
      <c r="N854" s="104" t="str">
        <f>IF(DPS_Graph_Tooltip_Speed=TRUE,IF($A854&lt;=DPS_Graph_Max,IF($A854&gt;=DPS_Graph_Speed_Min,1/M854,),),)</f>
        <v/>
      </c>
      <c r="R854" s="104" t="str">
        <f>IF(DPS_Graph_Tooltip_Speed=TRUE,IF($E$8=$A854,1/$N$6,),)</f>
        <v/>
      </c>
    </row>
    <row r="855">
      <c r="A855" s="370">
        <v>6.12</v>
      </c>
      <c r="B855" s="213">
        <f>If(DPS_Weapon_Type="远程",($E855+1)/60+(ROUNDDOWN($F855*60+1,0)/60)*2,(ROUNDDOWN(($E855+1)+ROUNDDOWN($F855*60+1,0)+ROUNDDOWN($G855/2*60+1,0)+ROUNDDOWN($H855*60+1,0)+1,0))/60+If(DPS_ATK_TYPE="挥砍",1/60)+If(DPS_ATK_TYPE="挥砍/刺击",1/120))+DPS_Weapon_Randomization/60</f>
        <v>0.105</v>
      </c>
      <c r="C855" s="104" t="str">
        <f>IF(DPS_Graph_True_Speed=TRUE,IF($A855&lt;=DPS_Graph_Max,IF($A855&gt;=DPS_Graph_Speed_Min,1/B855,),),)</f>
        <v/>
      </c>
      <c r="D855" s="115" t="str">
        <f>IF(DPS_Graph_True_Speed=TRUE,IF($E$8=$A855,DPS_Attacks_P_Sec,),)</f>
        <v/>
      </c>
      <c r="E855" s="222">
        <f>ROUNDDOWN(MAX(2,IF(A855&gt;=0, DPS_Base_Wpn_Spd/(1+A855),DPS_Base_Wpn_Spd*(1+ABS(A855)))),0)</f>
        <v>2</v>
      </c>
      <c r="F855" s="232">
        <f>IF(A855&gt;=0, DPS_Base_Recoil/(1+A855),DPS_Base_Recoil)</f>
        <v>0.00702247191</v>
      </c>
      <c r="G855" s="377">
        <f t="shared" si="7"/>
        <v>0.51</v>
      </c>
      <c r="H855" s="377">
        <f t="shared" si="8"/>
        <v>0.01033057851</v>
      </c>
      <c r="I855" s="104"/>
      <c r="J855" s="377">
        <f>MAX(0, Max(25,(DPS_Base_Range + ((DPS_Range_Stat) / 2))) / MIN(MAX(70, (70 * (1 + ($A855 / 3)))), 120))</f>
        <v>3.333333333</v>
      </c>
      <c r="K855" s="115" t="str">
        <f>IF(A855&lt;=DPS_Graph_Max,IF(A855&gt;=DPS_Graph_Speed_Min,A855,),)</f>
        <v/>
      </c>
      <c r="M855" s="213">
        <f>If(DPS_Weapon_Type="远程",$E855/60+$F855*2,$E855/60+$F855+$G855/2+$H855)</f>
        <v>0.04737827715</v>
      </c>
      <c r="N855" s="104" t="str">
        <f>IF(DPS_Graph_Tooltip_Speed=TRUE,IF($A855&lt;=DPS_Graph_Max,IF($A855&gt;=DPS_Graph_Speed_Min,1/M855,),),)</f>
        <v/>
      </c>
      <c r="R855" s="104" t="str">
        <f>IF(DPS_Graph_Tooltip_Speed=TRUE,IF($E$8=$A855,1/$N$6,),)</f>
        <v/>
      </c>
    </row>
    <row r="856">
      <c r="A856" s="370">
        <v>6.13</v>
      </c>
      <c r="B856" s="213">
        <f>If(DPS_Weapon_Type="远程",($E856+1)/60+(ROUNDDOWN($F856*60+1,0)/60)*2,(ROUNDDOWN(($E856+1)+ROUNDDOWN($F856*60+1,0)+ROUNDDOWN($G856/2*60+1,0)+ROUNDDOWN($H856*60+1,0)+1,0))/60+If(DPS_ATK_TYPE="挥砍",1/60)+If(DPS_ATK_TYPE="挥砍/刺击",1/120))+DPS_Weapon_Randomization/60</f>
        <v>0.105</v>
      </c>
      <c r="C856" s="104" t="str">
        <f>IF(DPS_Graph_True_Speed=TRUE,IF($A856&lt;=DPS_Graph_Max,IF($A856&gt;=DPS_Graph_Speed_Min,1/B856,),),)</f>
        <v/>
      </c>
      <c r="D856" s="115" t="str">
        <f>IF(DPS_Graph_True_Speed=TRUE,IF($E$8=$A856,DPS_Attacks_P_Sec,),)</f>
        <v/>
      </c>
      <c r="E856" s="222">
        <f>ROUNDDOWN(MAX(2,IF(A856&gt;=0, DPS_Base_Wpn_Spd/(1+A856),DPS_Base_Wpn_Spd*(1+ABS(A856)))),0)</f>
        <v>2</v>
      </c>
      <c r="F856" s="232">
        <f>IF(A856&gt;=0, DPS_Base_Recoil/(1+A856),DPS_Base_Recoil)</f>
        <v>0.007012622721</v>
      </c>
      <c r="G856" s="377">
        <f t="shared" si="7"/>
        <v>0.51</v>
      </c>
      <c r="H856" s="377">
        <f t="shared" si="8"/>
        <v>0.01031459515</v>
      </c>
      <c r="I856" s="104"/>
      <c r="J856" s="377">
        <f>MAX(0, Max(25,(DPS_Base_Range + ((DPS_Range_Stat) / 2))) / MIN(MAX(70, (70 * (1 + ($A856 / 3)))), 120))</f>
        <v>3.333333333</v>
      </c>
      <c r="K856" s="115" t="str">
        <f>IF(A856&lt;=DPS_Graph_Max,IF(A856&gt;=DPS_Graph_Speed_Min,A856,),)</f>
        <v/>
      </c>
      <c r="M856" s="213">
        <f>If(DPS_Weapon_Type="远程",$E856/60+$F856*2,$E856/60+$F856+$G856/2+$H856)</f>
        <v>0.04735857878</v>
      </c>
      <c r="N856" s="104" t="str">
        <f>IF(DPS_Graph_Tooltip_Speed=TRUE,IF($A856&lt;=DPS_Graph_Max,IF($A856&gt;=DPS_Graph_Speed_Min,1/M856,),),)</f>
        <v/>
      </c>
      <c r="R856" s="104" t="str">
        <f>IF(DPS_Graph_Tooltip_Speed=TRUE,IF($E$8=$A856,1/$N$6,),)</f>
        <v/>
      </c>
    </row>
    <row r="857">
      <c r="A857" s="370">
        <v>6.14</v>
      </c>
      <c r="B857" s="213">
        <f>If(DPS_Weapon_Type="远程",($E857+1)/60+(ROUNDDOWN($F857*60+1,0)/60)*2,(ROUNDDOWN(($E857+1)+ROUNDDOWN($F857*60+1,0)+ROUNDDOWN($G857/2*60+1,0)+ROUNDDOWN($H857*60+1,0)+1,0))/60+If(DPS_ATK_TYPE="挥砍",1/60)+If(DPS_ATK_TYPE="挥砍/刺击",1/120))+DPS_Weapon_Randomization/60</f>
        <v>0.105</v>
      </c>
      <c r="C857" s="104" t="str">
        <f>IF(DPS_Graph_True_Speed=TRUE,IF($A857&lt;=DPS_Graph_Max,IF($A857&gt;=DPS_Graph_Speed_Min,1/B857,),),)</f>
        <v/>
      </c>
      <c r="D857" s="115" t="str">
        <f>IF(DPS_Graph_True_Speed=TRUE,IF($E$8=$A857,DPS_Attacks_P_Sec,),)</f>
        <v/>
      </c>
      <c r="E857" s="222">
        <f>ROUNDDOWN(MAX(2,IF(A857&gt;=0, DPS_Base_Wpn_Spd/(1+A857),DPS_Base_Wpn_Spd*(1+ABS(A857)))),0)</f>
        <v>2</v>
      </c>
      <c r="F857" s="232">
        <f>IF(A857&gt;=0, DPS_Base_Recoil/(1+A857),DPS_Base_Recoil)</f>
        <v>0.00700280112</v>
      </c>
      <c r="G857" s="377">
        <f t="shared" si="7"/>
        <v>0.51</v>
      </c>
      <c r="H857" s="377">
        <f t="shared" si="8"/>
        <v>0.01029866117</v>
      </c>
      <c r="I857" s="104"/>
      <c r="J857" s="377">
        <f>MAX(0, Max(25,(DPS_Base_Range + ((DPS_Range_Stat) / 2))) / MIN(MAX(70, (70 * (1 + ($A857 / 3)))), 120))</f>
        <v>3.333333333</v>
      </c>
      <c r="K857" s="115" t="str">
        <f>IF(A857&lt;=DPS_Graph_Max,IF(A857&gt;=DPS_Graph_Speed_Min,A857,),)</f>
        <v/>
      </c>
      <c r="M857" s="213">
        <f>If(DPS_Weapon_Type="远程",$E857/60+$F857*2,$E857/60+$F857+$G857/2+$H857)</f>
        <v>0.04733893557</v>
      </c>
      <c r="N857" s="104" t="str">
        <f>IF(DPS_Graph_Tooltip_Speed=TRUE,IF($A857&lt;=DPS_Graph_Max,IF($A857&gt;=DPS_Graph_Speed_Min,1/M857,),),)</f>
        <v/>
      </c>
      <c r="R857" s="104" t="str">
        <f>IF(DPS_Graph_Tooltip_Speed=TRUE,IF($E$8=$A857,1/$N$6,),)</f>
        <v/>
      </c>
    </row>
    <row r="858">
      <c r="A858" s="370">
        <v>6.15</v>
      </c>
      <c r="B858" s="213">
        <f>If(DPS_Weapon_Type="远程",($E858+1)/60+(ROUNDDOWN($F858*60+1,0)/60)*2,(ROUNDDOWN(($E858+1)+ROUNDDOWN($F858*60+1,0)+ROUNDDOWN($G858/2*60+1,0)+ROUNDDOWN($H858*60+1,0)+1,0))/60+If(DPS_ATK_TYPE="挥砍",1/60)+If(DPS_ATK_TYPE="挥砍/刺击",1/120))+DPS_Weapon_Randomization/60</f>
        <v>0.105</v>
      </c>
      <c r="C858" s="104" t="str">
        <f>IF(DPS_Graph_True_Speed=TRUE,IF($A858&lt;=DPS_Graph_Max,IF($A858&gt;=DPS_Graph_Speed_Min,1/B858,),),)</f>
        <v/>
      </c>
      <c r="D858" s="115" t="str">
        <f>IF(DPS_Graph_True_Speed=TRUE,IF($E$8=$A858,DPS_Attacks_P_Sec,),)</f>
        <v/>
      </c>
      <c r="E858" s="222">
        <f>ROUNDDOWN(MAX(2,IF(A858&gt;=0, DPS_Base_Wpn_Spd/(1+A858),DPS_Base_Wpn_Spd*(1+ABS(A858)))),0)</f>
        <v>2</v>
      </c>
      <c r="F858" s="232">
        <f>IF(A858&gt;=0, DPS_Base_Recoil/(1+A858),DPS_Base_Recoil)</f>
        <v>0.006993006993</v>
      </c>
      <c r="G858" s="377">
        <f t="shared" si="7"/>
        <v>0.51</v>
      </c>
      <c r="H858" s="377">
        <f t="shared" si="8"/>
        <v>0.01028277635</v>
      </c>
      <c r="I858" s="104"/>
      <c r="J858" s="377">
        <f>MAX(0, Max(25,(DPS_Base_Range + ((DPS_Range_Stat) / 2))) / MIN(MAX(70, (70 * (1 + ($A858 / 3)))), 120))</f>
        <v>3.333333333</v>
      </c>
      <c r="K858" s="115" t="str">
        <f>IF(A858&lt;=DPS_Graph_Max,IF(A858&gt;=DPS_Graph_Speed_Min,A858,),)</f>
        <v/>
      </c>
      <c r="M858" s="213">
        <f>If(DPS_Weapon_Type="远程",$E858/60+$F858*2,$E858/60+$F858+$G858/2+$H858)</f>
        <v>0.04731934732</v>
      </c>
      <c r="N858" s="104" t="str">
        <f>IF(DPS_Graph_Tooltip_Speed=TRUE,IF($A858&lt;=DPS_Graph_Max,IF($A858&gt;=DPS_Graph_Speed_Min,1/M858,),),)</f>
        <v/>
      </c>
      <c r="R858" s="104" t="str">
        <f>IF(DPS_Graph_Tooltip_Speed=TRUE,IF($E$8=$A858,1/$N$6,),)</f>
        <v/>
      </c>
    </row>
    <row r="859">
      <c r="A859" s="370">
        <v>6.16</v>
      </c>
      <c r="B859" s="213">
        <f>If(DPS_Weapon_Type="远程",($E859+1)/60+(ROUNDDOWN($F859*60+1,0)/60)*2,(ROUNDDOWN(($E859+1)+ROUNDDOWN($F859*60+1,0)+ROUNDDOWN($G859/2*60+1,0)+ROUNDDOWN($H859*60+1,0)+1,0))/60+If(DPS_ATK_TYPE="挥砍",1/60)+If(DPS_ATK_TYPE="挥砍/刺击",1/120))+DPS_Weapon_Randomization/60</f>
        <v>0.105</v>
      </c>
      <c r="C859" s="104" t="str">
        <f>IF(DPS_Graph_True_Speed=TRUE,IF($A859&lt;=DPS_Graph_Max,IF($A859&gt;=DPS_Graph_Speed_Min,1/B859,),),)</f>
        <v/>
      </c>
      <c r="D859" s="115" t="str">
        <f>IF(DPS_Graph_True_Speed=TRUE,IF($E$8=$A859,DPS_Attacks_P_Sec,),)</f>
        <v/>
      </c>
      <c r="E859" s="222">
        <f>ROUNDDOWN(MAX(2,IF(A859&gt;=0, DPS_Base_Wpn_Spd/(1+A859),DPS_Base_Wpn_Spd*(1+ABS(A859)))),0)</f>
        <v>2</v>
      </c>
      <c r="F859" s="232">
        <f>IF(A859&gt;=0, DPS_Base_Recoil/(1+A859),DPS_Base_Recoil)</f>
        <v>0.006983240223</v>
      </c>
      <c r="G859" s="377">
        <f t="shared" si="7"/>
        <v>0.51</v>
      </c>
      <c r="H859" s="377">
        <f t="shared" si="8"/>
        <v>0.01026694045</v>
      </c>
      <c r="I859" s="104"/>
      <c r="J859" s="377">
        <f>MAX(0, Max(25,(DPS_Base_Range + ((DPS_Range_Stat) / 2))) / MIN(MAX(70, (70 * (1 + ($A859 / 3)))), 120))</f>
        <v>3.333333333</v>
      </c>
      <c r="K859" s="115" t="str">
        <f>IF(A859&lt;=DPS_Graph_Max,IF(A859&gt;=DPS_Graph_Speed_Min,A859,),)</f>
        <v/>
      </c>
      <c r="M859" s="213">
        <f>If(DPS_Weapon_Type="远程",$E859/60+$F859*2,$E859/60+$F859+$G859/2+$H859)</f>
        <v>0.04729981378</v>
      </c>
      <c r="N859" s="104" t="str">
        <f>IF(DPS_Graph_Tooltip_Speed=TRUE,IF($A859&lt;=DPS_Graph_Max,IF($A859&gt;=DPS_Graph_Speed_Min,1/M859,),),)</f>
        <v/>
      </c>
      <c r="R859" s="104" t="str">
        <f>IF(DPS_Graph_Tooltip_Speed=TRUE,IF($E$8=$A859,1/$N$6,),)</f>
        <v/>
      </c>
    </row>
    <row r="860">
      <c r="A860" s="370">
        <v>6.17</v>
      </c>
      <c r="B860" s="213">
        <f>If(DPS_Weapon_Type="远程",($E860+1)/60+(ROUNDDOWN($F860*60+1,0)/60)*2,(ROUNDDOWN(($E860+1)+ROUNDDOWN($F860*60+1,0)+ROUNDDOWN($G860/2*60+1,0)+ROUNDDOWN($H860*60+1,0)+1,0))/60+If(DPS_ATK_TYPE="挥砍",1/60)+If(DPS_ATK_TYPE="挥砍/刺击",1/120))+DPS_Weapon_Randomization/60</f>
        <v>0.105</v>
      </c>
      <c r="C860" s="104" t="str">
        <f>IF(DPS_Graph_True_Speed=TRUE,IF($A860&lt;=DPS_Graph_Max,IF($A860&gt;=DPS_Graph_Speed_Min,1/B860,),),)</f>
        <v/>
      </c>
      <c r="D860" s="115" t="str">
        <f>IF(DPS_Graph_True_Speed=TRUE,IF($E$8=$A860,DPS_Attacks_P_Sec,),)</f>
        <v/>
      </c>
      <c r="E860" s="222">
        <f>ROUNDDOWN(MAX(2,IF(A860&gt;=0, DPS_Base_Wpn_Spd/(1+A860),DPS_Base_Wpn_Spd*(1+ABS(A860)))),0)</f>
        <v>2</v>
      </c>
      <c r="F860" s="232">
        <f>IF(A860&gt;=0, DPS_Base_Recoil/(1+A860),DPS_Base_Recoil)</f>
        <v>0.006973500697</v>
      </c>
      <c r="G860" s="377">
        <f t="shared" si="7"/>
        <v>0.51</v>
      </c>
      <c r="H860" s="377">
        <f t="shared" si="8"/>
        <v>0.01025115325</v>
      </c>
      <c r="I860" s="104"/>
      <c r="J860" s="377">
        <f>MAX(0, Max(25,(DPS_Base_Range + ((DPS_Range_Stat) / 2))) / MIN(MAX(70, (70 * (1 + ($A860 / 3)))), 120))</f>
        <v>3.333333333</v>
      </c>
      <c r="K860" s="115" t="str">
        <f>IF(A860&lt;=DPS_Graph_Max,IF(A860&gt;=DPS_Graph_Speed_Min,A860,),)</f>
        <v/>
      </c>
      <c r="M860" s="213">
        <f>If(DPS_Weapon_Type="远程",$E860/60+$F860*2,$E860/60+$F860+$G860/2+$H860)</f>
        <v>0.04728033473</v>
      </c>
      <c r="N860" s="104" t="str">
        <f>IF(DPS_Graph_Tooltip_Speed=TRUE,IF($A860&lt;=DPS_Graph_Max,IF($A860&gt;=DPS_Graph_Speed_Min,1/M860,),),)</f>
        <v/>
      </c>
      <c r="R860" s="104" t="str">
        <f>IF(DPS_Graph_Tooltip_Speed=TRUE,IF($E$8=$A860,1/$N$6,),)</f>
        <v/>
      </c>
    </row>
    <row r="861">
      <c r="A861" s="370">
        <v>6.18</v>
      </c>
      <c r="B861" s="213">
        <f>If(DPS_Weapon_Type="远程",($E861+1)/60+(ROUNDDOWN($F861*60+1,0)/60)*2,(ROUNDDOWN(($E861+1)+ROUNDDOWN($F861*60+1,0)+ROUNDDOWN($G861/2*60+1,0)+ROUNDDOWN($H861*60+1,0)+1,0))/60+If(DPS_ATK_TYPE="挥砍",1/60)+If(DPS_ATK_TYPE="挥砍/刺击",1/120))+DPS_Weapon_Randomization/60</f>
        <v>0.105</v>
      </c>
      <c r="C861" s="104" t="str">
        <f>IF(DPS_Graph_True_Speed=TRUE,IF($A861&lt;=DPS_Graph_Max,IF($A861&gt;=DPS_Graph_Speed_Min,1/B861,),),)</f>
        <v/>
      </c>
      <c r="D861" s="115" t="str">
        <f>IF(DPS_Graph_True_Speed=TRUE,IF($E$8=$A861,DPS_Attacks_P_Sec,),)</f>
        <v/>
      </c>
      <c r="E861" s="222">
        <f>ROUNDDOWN(MAX(2,IF(A861&gt;=0, DPS_Base_Wpn_Spd/(1+A861),DPS_Base_Wpn_Spd*(1+ABS(A861)))),0)</f>
        <v>2</v>
      </c>
      <c r="F861" s="232">
        <f>IF(A861&gt;=0, DPS_Base_Recoil/(1+A861),DPS_Base_Recoil)</f>
        <v>0.006963788301</v>
      </c>
      <c r="G861" s="377">
        <f t="shared" si="7"/>
        <v>0.51</v>
      </c>
      <c r="H861" s="377">
        <f t="shared" si="8"/>
        <v>0.01023541453</v>
      </c>
      <c r="I861" s="104"/>
      <c r="J861" s="377">
        <f>MAX(0, Max(25,(DPS_Base_Range + ((DPS_Range_Stat) / 2))) / MIN(MAX(70, (70 * (1 + ($A861 / 3)))), 120))</f>
        <v>3.333333333</v>
      </c>
      <c r="K861" s="115" t="str">
        <f>IF(A861&lt;=DPS_Graph_Max,IF(A861&gt;=DPS_Graph_Speed_Min,A861,),)</f>
        <v/>
      </c>
      <c r="M861" s="213">
        <f>If(DPS_Weapon_Type="远程",$E861/60+$F861*2,$E861/60+$F861+$G861/2+$H861)</f>
        <v>0.04726090994</v>
      </c>
      <c r="N861" s="104" t="str">
        <f>IF(DPS_Graph_Tooltip_Speed=TRUE,IF($A861&lt;=DPS_Graph_Max,IF($A861&gt;=DPS_Graph_Speed_Min,1/M861,),),)</f>
        <v/>
      </c>
      <c r="R861" s="104" t="str">
        <f>IF(DPS_Graph_Tooltip_Speed=TRUE,IF($E$8=$A861,1/$N$6,),)</f>
        <v/>
      </c>
    </row>
    <row r="862">
      <c r="A862" s="370">
        <v>6.19</v>
      </c>
      <c r="B862" s="213">
        <f>If(DPS_Weapon_Type="远程",($E862+1)/60+(ROUNDDOWN($F862*60+1,0)/60)*2,(ROUNDDOWN(($E862+1)+ROUNDDOWN($F862*60+1,0)+ROUNDDOWN($G862/2*60+1,0)+ROUNDDOWN($H862*60+1,0)+1,0))/60+If(DPS_ATK_TYPE="挥砍",1/60)+If(DPS_ATK_TYPE="挥砍/刺击",1/120))+DPS_Weapon_Randomization/60</f>
        <v>0.105</v>
      </c>
      <c r="C862" s="104" t="str">
        <f>IF(DPS_Graph_True_Speed=TRUE,IF($A862&lt;=DPS_Graph_Max,IF($A862&gt;=DPS_Graph_Speed_Min,1/B862,),),)</f>
        <v/>
      </c>
      <c r="D862" s="115" t="str">
        <f>IF(DPS_Graph_True_Speed=TRUE,IF($E$8=$A862,DPS_Attacks_P_Sec,),)</f>
        <v/>
      </c>
      <c r="E862" s="222">
        <f>ROUNDDOWN(MAX(2,IF(A862&gt;=0, DPS_Base_Wpn_Spd/(1+A862),DPS_Base_Wpn_Spd*(1+ABS(A862)))),0)</f>
        <v>2</v>
      </c>
      <c r="F862" s="232">
        <f>IF(A862&gt;=0, DPS_Base_Recoil/(1+A862),DPS_Base_Recoil)</f>
        <v>0.006954102921</v>
      </c>
      <c r="G862" s="377">
        <f t="shared" si="7"/>
        <v>0.51</v>
      </c>
      <c r="H862" s="377">
        <f t="shared" si="8"/>
        <v>0.01021972407</v>
      </c>
      <c r="I862" s="104"/>
      <c r="J862" s="377">
        <f>MAX(0, Max(25,(DPS_Base_Range + ((DPS_Range_Stat) / 2))) / MIN(MAX(70, (70 * (1 + ($A862 / 3)))), 120))</f>
        <v>3.333333333</v>
      </c>
      <c r="K862" s="115" t="str">
        <f>IF(A862&lt;=DPS_Graph_Max,IF(A862&gt;=DPS_Graph_Speed_Min,A862,),)</f>
        <v/>
      </c>
      <c r="M862" s="213">
        <f>If(DPS_Weapon_Type="远程",$E862/60+$F862*2,$E862/60+$F862+$G862/2+$H862)</f>
        <v>0.04724153917</v>
      </c>
      <c r="N862" s="104" t="str">
        <f>IF(DPS_Graph_Tooltip_Speed=TRUE,IF($A862&lt;=DPS_Graph_Max,IF($A862&gt;=DPS_Graph_Speed_Min,1/M862,),),)</f>
        <v/>
      </c>
      <c r="R862" s="104" t="str">
        <f>IF(DPS_Graph_Tooltip_Speed=TRUE,IF($E$8=$A862,1/$N$6,),)</f>
        <v/>
      </c>
    </row>
    <row r="863">
      <c r="A863" s="370">
        <v>6.2</v>
      </c>
      <c r="B863" s="213">
        <f>If(DPS_Weapon_Type="远程",($E863+1)/60+(ROUNDDOWN($F863*60+1,0)/60)*2,(ROUNDDOWN(($E863+1)+ROUNDDOWN($F863*60+1,0)+ROUNDDOWN($G863/2*60+1,0)+ROUNDDOWN($H863*60+1,0)+1,0))/60+If(DPS_ATK_TYPE="挥砍",1/60)+If(DPS_ATK_TYPE="挥砍/刺击",1/120))+DPS_Weapon_Randomization/60</f>
        <v>0.105</v>
      </c>
      <c r="C863" s="104" t="str">
        <f>IF(DPS_Graph_True_Speed=TRUE,IF($A863&lt;=DPS_Graph_Max,IF($A863&gt;=DPS_Graph_Speed_Min,1/B863,),),)</f>
        <v/>
      </c>
      <c r="D863" s="115" t="str">
        <f>IF(DPS_Graph_True_Speed=TRUE,IF($E$8=$A863,DPS_Attacks_P_Sec,),)</f>
        <v/>
      </c>
      <c r="E863" s="222">
        <f>ROUNDDOWN(MAX(2,IF(A863&gt;=0, DPS_Base_Wpn_Spd/(1+A863),DPS_Base_Wpn_Spd*(1+ABS(A863)))),0)</f>
        <v>2</v>
      </c>
      <c r="F863" s="232">
        <f>IF(A863&gt;=0, DPS_Base_Recoil/(1+A863),DPS_Base_Recoil)</f>
        <v>0.006944444444</v>
      </c>
      <c r="G863" s="377">
        <f t="shared" si="7"/>
        <v>0.51</v>
      </c>
      <c r="H863" s="377">
        <f t="shared" si="8"/>
        <v>0.01020408163</v>
      </c>
      <c r="I863" s="104"/>
      <c r="J863" s="377">
        <f>MAX(0, Max(25,(DPS_Base_Range + ((DPS_Range_Stat) / 2))) / MIN(MAX(70, (70 * (1 + ($A863 / 3)))), 120))</f>
        <v>3.333333333</v>
      </c>
      <c r="K863" s="115" t="str">
        <f>IF(A863&lt;=DPS_Graph_Max,IF(A863&gt;=DPS_Graph_Speed_Min,A863,),)</f>
        <v/>
      </c>
      <c r="M863" s="213">
        <f>If(DPS_Weapon_Type="远程",$E863/60+$F863*2,$E863/60+$F863+$G863/2+$H863)</f>
        <v>0.04722222222</v>
      </c>
      <c r="N863" s="104" t="str">
        <f>IF(DPS_Graph_Tooltip_Speed=TRUE,IF($A863&lt;=DPS_Graph_Max,IF($A863&gt;=DPS_Graph_Speed_Min,1/M863,),),)</f>
        <v/>
      </c>
      <c r="R863" s="104" t="str">
        <f>IF(DPS_Graph_Tooltip_Speed=TRUE,IF($E$8=$A863,1/$N$6,),)</f>
        <v/>
      </c>
    </row>
    <row r="864">
      <c r="A864" s="370">
        <v>6.21</v>
      </c>
      <c r="B864" s="213">
        <f>If(DPS_Weapon_Type="远程",($E864+1)/60+(ROUNDDOWN($F864*60+1,0)/60)*2,(ROUNDDOWN(($E864+1)+ROUNDDOWN($F864*60+1,0)+ROUNDDOWN($G864/2*60+1,0)+ROUNDDOWN($H864*60+1,0)+1,0))/60+If(DPS_ATK_TYPE="挥砍",1/60)+If(DPS_ATK_TYPE="挥砍/刺击",1/120))+DPS_Weapon_Randomization/60</f>
        <v>0.105</v>
      </c>
      <c r="C864" s="104" t="str">
        <f>IF(DPS_Graph_True_Speed=TRUE,IF($A864&lt;=DPS_Graph_Max,IF($A864&gt;=DPS_Graph_Speed_Min,1/B864,),),)</f>
        <v/>
      </c>
      <c r="D864" s="115" t="str">
        <f>IF(DPS_Graph_True_Speed=TRUE,IF($E$8=$A864,DPS_Attacks_P_Sec,),)</f>
        <v/>
      </c>
      <c r="E864" s="222">
        <f>ROUNDDOWN(MAX(2,IF(A864&gt;=0, DPS_Base_Wpn_Spd/(1+A864),DPS_Base_Wpn_Spd*(1+ABS(A864)))),0)</f>
        <v>2</v>
      </c>
      <c r="F864" s="232">
        <f>IF(A864&gt;=0, DPS_Base_Recoil/(1+A864),DPS_Base_Recoil)</f>
        <v>0.00693481276</v>
      </c>
      <c r="G864" s="377">
        <f t="shared" si="7"/>
        <v>0.51</v>
      </c>
      <c r="H864" s="377">
        <f t="shared" si="8"/>
        <v>0.01018848701</v>
      </c>
      <c r="I864" s="104"/>
      <c r="J864" s="377">
        <f>MAX(0, Max(25,(DPS_Base_Range + ((DPS_Range_Stat) / 2))) / MIN(MAX(70, (70 * (1 + ($A864 / 3)))), 120))</f>
        <v>3.333333333</v>
      </c>
      <c r="K864" s="115" t="str">
        <f>IF(A864&lt;=DPS_Graph_Max,IF(A864&gt;=DPS_Graph_Speed_Min,A864,),)</f>
        <v/>
      </c>
      <c r="M864" s="213">
        <f>If(DPS_Weapon_Type="远程",$E864/60+$F864*2,$E864/60+$F864+$G864/2+$H864)</f>
        <v>0.04720295885</v>
      </c>
      <c r="N864" s="104" t="str">
        <f>IF(DPS_Graph_Tooltip_Speed=TRUE,IF($A864&lt;=DPS_Graph_Max,IF($A864&gt;=DPS_Graph_Speed_Min,1/M864,),),)</f>
        <v/>
      </c>
      <c r="R864" s="104" t="str">
        <f>IF(DPS_Graph_Tooltip_Speed=TRUE,IF($E$8=$A864,1/$N$6,),)</f>
        <v/>
      </c>
    </row>
    <row r="865">
      <c r="A865" s="370">
        <v>6.22</v>
      </c>
      <c r="B865" s="213">
        <f>If(DPS_Weapon_Type="远程",($E865+1)/60+(ROUNDDOWN($F865*60+1,0)/60)*2,(ROUNDDOWN(($E865+1)+ROUNDDOWN($F865*60+1,0)+ROUNDDOWN($G865/2*60+1,0)+ROUNDDOWN($H865*60+1,0)+1,0))/60+If(DPS_ATK_TYPE="挥砍",1/60)+If(DPS_ATK_TYPE="挥砍/刺击",1/120))+DPS_Weapon_Randomization/60</f>
        <v>0.105</v>
      </c>
      <c r="C865" s="104" t="str">
        <f>IF(DPS_Graph_True_Speed=TRUE,IF($A865&lt;=DPS_Graph_Max,IF($A865&gt;=DPS_Graph_Speed_Min,1/B865,),),)</f>
        <v/>
      </c>
      <c r="D865" s="115" t="str">
        <f>IF(DPS_Graph_True_Speed=TRUE,IF($E$8=$A865,DPS_Attacks_P_Sec,),)</f>
        <v/>
      </c>
      <c r="E865" s="222">
        <f>ROUNDDOWN(MAX(2,IF(A865&gt;=0, DPS_Base_Wpn_Spd/(1+A865),DPS_Base_Wpn_Spd*(1+ABS(A865)))),0)</f>
        <v>2</v>
      </c>
      <c r="F865" s="232">
        <f>IF(A865&gt;=0, DPS_Base_Recoil/(1+A865),DPS_Base_Recoil)</f>
        <v>0.006925207756</v>
      </c>
      <c r="G865" s="377">
        <f t="shared" si="7"/>
        <v>0.51</v>
      </c>
      <c r="H865" s="377">
        <f t="shared" si="8"/>
        <v>0.01017293998</v>
      </c>
      <c r="I865" s="104"/>
      <c r="J865" s="377">
        <f>MAX(0, Max(25,(DPS_Base_Range + ((DPS_Range_Stat) / 2))) / MIN(MAX(70, (70 * (1 + ($A865 / 3)))), 120))</f>
        <v>3.333333333</v>
      </c>
      <c r="K865" s="115" t="str">
        <f>IF(A865&lt;=DPS_Graph_Max,IF(A865&gt;=DPS_Graph_Speed_Min,A865,),)</f>
        <v/>
      </c>
      <c r="M865" s="213">
        <f>If(DPS_Weapon_Type="远程",$E865/60+$F865*2,$E865/60+$F865+$G865/2+$H865)</f>
        <v>0.04718374885</v>
      </c>
      <c r="N865" s="104" t="str">
        <f>IF(DPS_Graph_Tooltip_Speed=TRUE,IF($A865&lt;=DPS_Graph_Max,IF($A865&gt;=DPS_Graph_Speed_Min,1/M865,),),)</f>
        <v/>
      </c>
      <c r="R865" s="104" t="str">
        <f>IF(DPS_Graph_Tooltip_Speed=TRUE,IF($E$8=$A865,1/$N$6,),)</f>
        <v/>
      </c>
    </row>
    <row r="866">
      <c r="A866" s="370">
        <v>6.23</v>
      </c>
      <c r="B866" s="213">
        <f>If(DPS_Weapon_Type="远程",($E866+1)/60+(ROUNDDOWN($F866*60+1,0)/60)*2,(ROUNDDOWN(($E866+1)+ROUNDDOWN($F866*60+1,0)+ROUNDDOWN($G866/2*60+1,0)+ROUNDDOWN($H866*60+1,0)+1,0))/60+If(DPS_ATK_TYPE="挥砍",1/60)+If(DPS_ATK_TYPE="挥砍/刺击",1/120))+DPS_Weapon_Randomization/60</f>
        <v>0.105</v>
      </c>
      <c r="C866" s="104" t="str">
        <f>IF(DPS_Graph_True_Speed=TRUE,IF($A866&lt;=DPS_Graph_Max,IF($A866&gt;=DPS_Graph_Speed_Min,1/B866,),),)</f>
        <v/>
      </c>
      <c r="D866" s="115" t="str">
        <f>IF(DPS_Graph_True_Speed=TRUE,IF($E$8=$A866,DPS_Attacks_P_Sec,),)</f>
        <v/>
      </c>
      <c r="E866" s="222">
        <f>ROUNDDOWN(MAX(2,IF(A866&gt;=0, DPS_Base_Wpn_Spd/(1+A866),DPS_Base_Wpn_Spd*(1+ABS(A866)))),0)</f>
        <v>2</v>
      </c>
      <c r="F866" s="232">
        <f>IF(A866&gt;=0, DPS_Base_Recoil/(1+A866),DPS_Base_Recoil)</f>
        <v>0.006915629322</v>
      </c>
      <c r="G866" s="377">
        <f t="shared" si="7"/>
        <v>0.51</v>
      </c>
      <c r="H866" s="377">
        <f t="shared" si="8"/>
        <v>0.01015744033</v>
      </c>
      <c r="I866" s="104"/>
      <c r="J866" s="377">
        <f>MAX(0, Max(25,(DPS_Base_Range + ((DPS_Range_Stat) / 2))) / MIN(MAX(70, (70 * (1 + ($A866 / 3)))), 120))</f>
        <v>3.333333333</v>
      </c>
      <c r="K866" s="115" t="str">
        <f>IF(A866&lt;=DPS_Graph_Max,IF(A866&gt;=DPS_Graph_Speed_Min,A866,),)</f>
        <v/>
      </c>
      <c r="M866" s="213">
        <f>If(DPS_Weapon_Type="远程",$E866/60+$F866*2,$E866/60+$F866+$G866/2+$H866)</f>
        <v>0.04716459198</v>
      </c>
      <c r="N866" s="104" t="str">
        <f>IF(DPS_Graph_Tooltip_Speed=TRUE,IF($A866&lt;=DPS_Graph_Max,IF($A866&gt;=DPS_Graph_Speed_Min,1/M866,),),)</f>
        <v/>
      </c>
      <c r="R866" s="104" t="str">
        <f>IF(DPS_Graph_Tooltip_Speed=TRUE,IF($E$8=$A866,1/$N$6,),)</f>
        <v/>
      </c>
    </row>
    <row r="867">
      <c r="A867" s="370">
        <v>6.24</v>
      </c>
      <c r="B867" s="213">
        <f>If(DPS_Weapon_Type="远程",($E867+1)/60+(ROUNDDOWN($F867*60+1,0)/60)*2,(ROUNDDOWN(($E867+1)+ROUNDDOWN($F867*60+1,0)+ROUNDDOWN($G867/2*60+1,0)+ROUNDDOWN($H867*60+1,0)+1,0))/60+If(DPS_ATK_TYPE="挥砍",1/60)+If(DPS_ATK_TYPE="挥砍/刺击",1/120))+DPS_Weapon_Randomization/60</f>
        <v>0.105</v>
      </c>
      <c r="C867" s="104" t="str">
        <f>IF(DPS_Graph_True_Speed=TRUE,IF($A867&lt;=DPS_Graph_Max,IF($A867&gt;=DPS_Graph_Speed_Min,1/B867,),),)</f>
        <v/>
      </c>
      <c r="D867" s="115" t="str">
        <f>IF(DPS_Graph_True_Speed=TRUE,IF($E$8=$A867,DPS_Attacks_P_Sec,),)</f>
        <v/>
      </c>
      <c r="E867" s="222">
        <f>ROUNDDOWN(MAX(2,IF(A867&gt;=0, DPS_Base_Wpn_Spd/(1+A867),DPS_Base_Wpn_Spd*(1+ABS(A867)))),0)</f>
        <v>2</v>
      </c>
      <c r="F867" s="232">
        <f>IF(A867&gt;=0, DPS_Base_Recoil/(1+A867),DPS_Base_Recoil)</f>
        <v>0.006906077348</v>
      </c>
      <c r="G867" s="377">
        <f t="shared" si="7"/>
        <v>0.51</v>
      </c>
      <c r="H867" s="377">
        <f t="shared" si="8"/>
        <v>0.01014198783</v>
      </c>
      <c r="I867" s="104"/>
      <c r="J867" s="377">
        <f>MAX(0, Max(25,(DPS_Base_Range + ((DPS_Range_Stat) / 2))) / MIN(MAX(70, (70 * (1 + ($A867 / 3)))), 120))</f>
        <v>3.333333333</v>
      </c>
      <c r="K867" s="115" t="str">
        <f>IF(A867&lt;=DPS_Graph_Max,IF(A867&gt;=DPS_Graph_Speed_Min,A867,),)</f>
        <v/>
      </c>
      <c r="M867" s="213">
        <f>If(DPS_Weapon_Type="远程",$E867/60+$F867*2,$E867/60+$F867+$G867/2+$H867)</f>
        <v>0.04714548803</v>
      </c>
      <c r="N867" s="104" t="str">
        <f>IF(DPS_Graph_Tooltip_Speed=TRUE,IF($A867&lt;=DPS_Graph_Max,IF($A867&gt;=DPS_Graph_Speed_Min,1/M867,),),)</f>
        <v/>
      </c>
      <c r="R867" s="104" t="str">
        <f>IF(DPS_Graph_Tooltip_Speed=TRUE,IF($E$8=$A867,1/$N$6,),)</f>
        <v/>
      </c>
    </row>
    <row r="868">
      <c r="A868" s="370">
        <v>6.25</v>
      </c>
      <c r="B868" s="213">
        <f>If(DPS_Weapon_Type="远程",($E868+1)/60+(ROUNDDOWN($F868*60+1,0)/60)*2,(ROUNDDOWN(($E868+1)+ROUNDDOWN($F868*60+1,0)+ROUNDDOWN($G868/2*60+1,0)+ROUNDDOWN($H868*60+1,0)+1,0))/60+If(DPS_ATK_TYPE="挥砍",1/60)+If(DPS_ATK_TYPE="挥砍/刺击",1/120))+DPS_Weapon_Randomization/60</f>
        <v>0.105</v>
      </c>
      <c r="C868" s="104" t="str">
        <f>IF(DPS_Graph_True_Speed=TRUE,IF($A868&lt;=DPS_Graph_Max,IF($A868&gt;=DPS_Graph_Speed_Min,1/B868,),),)</f>
        <v/>
      </c>
      <c r="D868" s="115" t="str">
        <f>IF(DPS_Graph_True_Speed=TRUE,IF($E$8=$A868,DPS_Attacks_P_Sec,),)</f>
        <v/>
      </c>
      <c r="E868" s="222">
        <f>ROUNDDOWN(MAX(2,IF(A868&gt;=0, DPS_Base_Wpn_Spd/(1+A868),DPS_Base_Wpn_Spd*(1+ABS(A868)))),0)</f>
        <v>2</v>
      </c>
      <c r="F868" s="232">
        <f>IF(A868&gt;=0, DPS_Base_Recoil/(1+A868),DPS_Base_Recoil)</f>
        <v>0.006896551724</v>
      </c>
      <c r="G868" s="377">
        <f t="shared" si="7"/>
        <v>0.51</v>
      </c>
      <c r="H868" s="377">
        <f t="shared" si="8"/>
        <v>0.01012658228</v>
      </c>
      <c r="I868" s="104"/>
      <c r="J868" s="377">
        <f>MAX(0, Max(25,(DPS_Base_Range + ((DPS_Range_Stat) / 2))) / MIN(MAX(70, (70 * (1 + ($A868 / 3)))), 120))</f>
        <v>3.333333333</v>
      </c>
      <c r="K868" s="115" t="str">
        <f>IF(A868&lt;=DPS_Graph_Max,IF(A868&gt;=DPS_Graph_Speed_Min,A868,),)</f>
        <v/>
      </c>
      <c r="M868" s="213">
        <f>If(DPS_Weapon_Type="远程",$E868/60+$F868*2,$E868/60+$F868+$G868/2+$H868)</f>
        <v>0.04712643678</v>
      </c>
      <c r="N868" s="104" t="str">
        <f>IF(DPS_Graph_Tooltip_Speed=TRUE,IF($A868&lt;=DPS_Graph_Max,IF($A868&gt;=DPS_Graph_Speed_Min,1/M868,),),)</f>
        <v/>
      </c>
      <c r="R868" s="104" t="str">
        <f>IF(DPS_Graph_Tooltip_Speed=TRUE,IF($E$8=$A868,1/$N$6,),)</f>
        <v/>
      </c>
    </row>
    <row r="869">
      <c r="A869" s="370">
        <v>6.26</v>
      </c>
      <c r="B869" s="213">
        <f>If(DPS_Weapon_Type="远程",($E869+1)/60+(ROUNDDOWN($F869*60+1,0)/60)*2,(ROUNDDOWN(($E869+1)+ROUNDDOWN($F869*60+1,0)+ROUNDDOWN($G869/2*60+1,0)+ROUNDDOWN($H869*60+1,0)+1,0))/60+If(DPS_ATK_TYPE="挥砍",1/60)+If(DPS_ATK_TYPE="挥砍/刺击",1/120))+DPS_Weapon_Randomization/60</f>
        <v>0.105</v>
      </c>
      <c r="C869" s="104" t="str">
        <f>IF(DPS_Graph_True_Speed=TRUE,IF($A869&lt;=DPS_Graph_Max,IF($A869&gt;=DPS_Graph_Speed_Min,1/B869,),),)</f>
        <v/>
      </c>
      <c r="D869" s="115" t="str">
        <f>IF(DPS_Graph_True_Speed=TRUE,IF($E$8=$A869,DPS_Attacks_P_Sec,),)</f>
        <v/>
      </c>
      <c r="E869" s="222">
        <f>ROUNDDOWN(MAX(2,IF(A869&gt;=0, DPS_Base_Wpn_Spd/(1+A869),DPS_Base_Wpn_Spd*(1+ABS(A869)))),0)</f>
        <v>2</v>
      </c>
      <c r="F869" s="232">
        <f>IF(A869&gt;=0, DPS_Base_Recoil/(1+A869),DPS_Base_Recoil)</f>
        <v>0.006887052342</v>
      </c>
      <c r="G869" s="377">
        <f t="shared" si="7"/>
        <v>0.51</v>
      </c>
      <c r="H869" s="377">
        <f t="shared" si="8"/>
        <v>0.01011122346</v>
      </c>
      <c r="I869" s="104"/>
      <c r="J869" s="377">
        <f>MAX(0, Max(25,(DPS_Base_Range + ((DPS_Range_Stat) / 2))) / MIN(MAX(70, (70 * (1 + ($A869 / 3)))), 120))</f>
        <v>3.333333333</v>
      </c>
      <c r="K869" s="115" t="str">
        <f>IF(A869&lt;=DPS_Graph_Max,IF(A869&gt;=DPS_Graph_Speed_Min,A869,),)</f>
        <v/>
      </c>
      <c r="M869" s="213">
        <f>If(DPS_Weapon_Type="远程",$E869/60+$F869*2,$E869/60+$F869+$G869/2+$H869)</f>
        <v>0.04710743802</v>
      </c>
      <c r="N869" s="104" t="str">
        <f>IF(DPS_Graph_Tooltip_Speed=TRUE,IF($A869&lt;=DPS_Graph_Max,IF($A869&gt;=DPS_Graph_Speed_Min,1/M869,),),)</f>
        <v/>
      </c>
      <c r="R869" s="104" t="str">
        <f>IF(DPS_Graph_Tooltip_Speed=TRUE,IF($E$8=$A869,1/$N$6,),)</f>
        <v/>
      </c>
    </row>
    <row r="870">
      <c r="A870" s="370">
        <v>6.27</v>
      </c>
      <c r="B870" s="213">
        <f>If(DPS_Weapon_Type="远程",($E870+1)/60+(ROUNDDOWN($F870*60+1,0)/60)*2,(ROUNDDOWN(($E870+1)+ROUNDDOWN($F870*60+1,0)+ROUNDDOWN($G870/2*60+1,0)+ROUNDDOWN($H870*60+1,0)+1,0))/60+If(DPS_ATK_TYPE="挥砍",1/60)+If(DPS_ATK_TYPE="挥砍/刺击",1/120))+DPS_Weapon_Randomization/60</f>
        <v>0.105</v>
      </c>
      <c r="C870" s="104" t="str">
        <f>IF(DPS_Graph_True_Speed=TRUE,IF($A870&lt;=DPS_Graph_Max,IF($A870&gt;=DPS_Graph_Speed_Min,1/B870,),),)</f>
        <v/>
      </c>
      <c r="D870" s="115" t="str">
        <f>IF(DPS_Graph_True_Speed=TRUE,IF($E$8=$A870,DPS_Attacks_P_Sec,),)</f>
        <v/>
      </c>
      <c r="E870" s="222">
        <f>ROUNDDOWN(MAX(2,IF(A870&gt;=0, DPS_Base_Wpn_Spd/(1+A870),DPS_Base_Wpn_Spd*(1+ABS(A870)))),0)</f>
        <v>2</v>
      </c>
      <c r="F870" s="232">
        <f>IF(A870&gt;=0, DPS_Base_Recoil/(1+A870),DPS_Base_Recoil)</f>
        <v>0.006877579092</v>
      </c>
      <c r="G870" s="377">
        <f t="shared" si="7"/>
        <v>0.51</v>
      </c>
      <c r="H870" s="377">
        <f t="shared" si="8"/>
        <v>0.01009591116</v>
      </c>
      <c r="I870" s="104"/>
      <c r="J870" s="377">
        <f>MAX(0, Max(25,(DPS_Base_Range + ((DPS_Range_Stat) / 2))) / MIN(MAX(70, (70 * (1 + ($A870 / 3)))), 120))</f>
        <v>3.333333333</v>
      </c>
      <c r="K870" s="115" t="str">
        <f>IF(A870&lt;=DPS_Graph_Max,IF(A870&gt;=DPS_Graph_Speed_Min,A870,),)</f>
        <v/>
      </c>
      <c r="M870" s="213">
        <f>If(DPS_Weapon_Type="远程",$E870/60+$F870*2,$E870/60+$F870+$G870/2+$H870)</f>
        <v>0.04708849152</v>
      </c>
      <c r="N870" s="104" t="str">
        <f>IF(DPS_Graph_Tooltip_Speed=TRUE,IF($A870&lt;=DPS_Graph_Max,IF($A870&gt;=DPS_Graph_Speed_Min,1/M870,),),)</f>
        <v/>
      </c>
      <c r="R870" s="104" t="str">
        <f>IF(DPS_Graph_Tooltip_Speed=TRUE,IF($E$8=$A870,1/$N$6,),)</f>
        <v/>
      </c>
    </row>
    <row r="871">
      <c r="A871" s="370">
        <v>6.28</v>
      </c>
      <c r="B871" s="213">
        <f>If(DPS_Weapon_Type="远程",($E871+1)/60+(ROUNDDOWN($F871*60+1,0)/60)*2,(ROUNDDOWN(($E871+1)+ROUNDDOWN($F871*60+1,0)+ROUNDDOWN($G871/2*60+1,0)+ROUNDDOWN($H871*60+1,0)+1,0))/60+If(DPS_ATK_TYPE="挥砍",1/60)+If(DPS_ATK_TYPE="挥砍/刺击",1/120))+DPS_Weapon_Randomization/60</f>
        <v>0.105</v>
      </c>
      <c r="C871" s="104" t="str">
        <f>IF(DPS_Graph_True_Speed=TRUE,IF($A871&lt;=DPS_Graph_Max,IF($A871&gt;=DPS_Graph_Speed_Min,1/B871,),),)</f>
        <v/>
      </c>
      <c r="D871" s="115" t="str">
        <f>IF(DPS_Graph_True_Speed=TRUE,IF($E$8=$A871,DPS_Attacks_P_Sec,),)</f>
        <v/>
      </c>
      <c r="E871" s="222">
        <f>ROUNDDOWN(MAX(2,IF(A871&gt;=0, DPS_Base_Wpn_Spd/(1+A871),DPS_Base_Wpn_Spd*(1+ABS(A871)))),0)</f>
        <v>2</v>
      </c>
      <c r="F871" s="232">
        <f>IF(A871&gt;=0, DPS_Base_Recoil/(1+A871),DPS_Base_Recoil)</f>
        <v>0.006868131868</v>
      </c>
      <c r="G871" s="377">
        <f t="shared" si="7"/>
        <v>0.51</v>
      </c>
      <c r="H871" s="377">
        <f t="shared" si="8"/>
        <v>0.01008064516</v>
      </c>
      <c r="I871" s="104"/>
      <c r="J871" s="377">
        <f>MAX(0, Max(25,(DPS_Base_Range + ((DPS_Range_Stat) / 2))) / MIN(MAX(70, (70 * (1 + ($A871 / 3)))), 120))</f>
        <v>3.333333333</v>
      </c>
      <c r="K871" s="115" t="str">
        <f>IF(A871&lt;=DPS_Graph_Max,IF(A871&gt;=DPS_Graph_Speed_Min,A871,),)</f>
        <v/>
      </c>
      <c r="M871" s="213">
        <f>If(DPS_Weapon_Type="远程",$E871/60+$F871*2,$E871/60+$F871+$G871/2+$H871)</f>
        <v>0.04706959707</v>
      </c>
      <c r="N871" s="104" t="str">
        <f>IF(DPS_Graph_Tooltip_Speed=TRUE,IF($A871&lt;=DPS_Graph_Max,IF($A871&gt;=DPS_Graph_Speed_Min,1/M871,),),)</f>
        <v/>
      </c>
      <c r="R871" s="104" t="str">
        <f>IF(DPS_Graph_Tooltip_Speed=TRUE,IF($E$8=$A871,1/$N$6,),)</f>
        <v/>
      </c>
    </row>
    <row r="872">
      <c r="A872" s="370">
        <v>6.29</v>
      </c>
      <c r="B872" s="213">
        <f>If(DPS_Weapon_Type="远程",($E872+1)/60+(ROUNDDOWN($F872*60+1,0)/60)*2,(ROUNDDOWN(($E872+1)+ROUNDDOWN($F872*60+1,0)+ROUNDDOWN($G872/2*60+1,0)+ROUNDDOWN($H872*60+1,0)+1,0))/60+If(DPS_ATK_TYPE="挥砍",1/60)+If(DPS_ATK_TYPE="挥砍/刺击",1/120))+DPS_Weapon_Randomization/60</f>
        <v>0.105</v>
      </c>
      <c r="C872" s="104" t="str">
        <f>IF(DPS_Graph_True_Speed=TRUE,IF($A872&lt;=DPS_Graph_Max,IF($A872&gt;=DPS_Graph_Speed_Min,1/B872,),),)</f>
        <v/>
      </c>
      <c r="D872" s="115" t="str">
        <f>IF(DPS_Graph_True_Speed=TRUE,IF($E$8=$A872,DPS_Attacks_P_Sec,),)</f>
        <v/>
      </c>
      <c r="E872" s="222">
        <f>ROUNDDOWN(MAX(2,IF(A872&gt;=0, DPS_Base_Wpn_Spd/(1+A872),DPS_Base_Wpn_Spd*(1+ABS(A872)))),0)</f>
        <v>2</v>
      </c>
      <c r="F872" s="232">
        <f>IF(A872&gt;=0, DPS_Base_Recoil/(1+A872),DPS_Base_Recoil)</f>
        <v>0.006858710562</v>
      </c>
      <c r="G872" s="377">
        <f t="shared" si="7"/>
        <v>0.51</v>
      </c>
      <c r="H872" s="377">
        <f t="shared" si="8"/>
        <v>0.01006542526</v>
      </c>
      <c r="I872" s="104"/>
      <c r="J872" s="377">
        <f>MAX(0, Max(25,(DPS_Base_Range + ((DPS_Range_Stat) / 2))) / MIN(MAX(70, (70 * (1 + ($A872 / 3)))), 120))</f>
        <v>3.333333333</v>
      </c>
      <c r="K872" s="115" t="str">
        <f>IF(A872&lt;=DPS_Graph_Max,IF(A872&gt;=DPS_Graph_Speed_Min,A872,),)</f>
        <v/>
      </c>
      <c r="M872" s="213">
        <f>If(DPS_Weapon_Type="远程",$E872/60+$F872*2,$E872/60+$F872+$G872/2+$H872)</f>
        <v>0.04705075446</v>
      </c>
      <c r="N872" s="104" t="str">
        <f>IF(DPS_Graph_Tooltip_Speed=TRUE,IF($A872&lt;=DPS_Graph_Max,IF($A872&gt;=DPS_Graph_Speed_Min,1/M872,),),)</f>
        <v/>
      </c>
      <c r="R872" s="104" t="str">
        <f>IF(DPS_Graph_Tooltip_Speed=TRUE,IF($E$8=$A872,1/$N$6,),)</f>
        <v/>
      </c>
    </row>
    <row r="873">
      <c r="A873" s="370">
        <v>6.3</v>
      </c>
      <c r="B873" s="213">
        <f>If(DPS_Weapon_Type="远程",($E873+1)/60+(ROUNDDOWN($F873*60+1,0)/60)*2,(ROUNDDOWN(($E873+1)+ROUNDDOWN($F873*60+1,0)+ROUNDDOWN($G873/2*60+1,0)+ROUNDDOWN($H873*60+1,0)+1,0))/60+If(DPS_ATK_TYPE="挥砍",1/60)+If(DPS_ATK_TYPE="挥砍/刺击",1/120))+DPS_Weapon_Randomization/60</f>
        <v>0.105</v>
      </c>
      <c r="C873" s="104" t="str">
        <f>IF(DPS_Graph_True_Speed=TRUE,IF($A873&lt;=DPS_Graph_Max,IF($A873&gt;=DPS_Graph_Speed_Min,1/B873,),),)</f>
        <v/>
      </c>
      <c r="D873" s="115" t="str">
        <f>IF(DPS_Graph_True_Speed=TRUE,IF($E$8=$A873,DPS_Attacks_P_Sec,),)</f>
        <v/>
      </c>
      <c r="E873" s="222">
        <f>ROUNDDOWN(MAX(2,IF(A873&gt;=0, DPS_Base_Wpn_Spd/(1+A873),DPS_Base_Wpn_Spd*(1+ABS(A873)))),0)</f>
        <v>2</v>
      </c>
      <c r="F873" s="232">
        <f>IF(A873&gt;=0, DPS_Base_Recoil/(1+A873),DPS_Base_Recoil)</f>
        <v>0.006849315068</v>
      </c>
      <c r="G873" s="377">
        <f t="shared" si="7"/>
        <v>0.51</v>
      </c>
      <c r="H873" s="377">
        <f t="shared" si="8"/>
        <v>0.01005025126</v>
      </c>
      <c r="I873" s="104"/>
      <c r="J873" s="377">
        <f>MAX(0, Max(25,(DPS_Base_Range + ((DPS_Range_Stat) / 2))) / MIN(MAX(70, (70 * (1 + ($A873 / 3)))), 120))</f>
        <v>3.333333333</v>
      </c>
      <c r="K873" s="115" t="str">
        <f>IF(A873&lt;=DPS_Graph_Max,IF(A873&gt;=DPS_Graph_Speed_Min,A873,),)</f>
        <v/>
      </c>
      <c r="M873" s="213">
        <f>If(DPS_Weapon_Type="远程",$E873/60+$F873*2,$E873/60+$F873+$G873/2+$H873)</f>
        <v>0.04703196347</v>
      </c>
      <c r="N873" s="104" t="str">
        <f>IF(DPS_Graph_Tooltip_Speed=TRUE,IF($A873&lt;=DPS_Graph_Max,IF($A873&gt;=DPS_Graph_Speed_Min,1/M873,),),)</f>
        <v/>
      </c>
      <c r="R873" s="104" t="str">
        <f>IF(DPS_Graph_Tooltip_Speed=TRUE,IF($E$8=$A873,1/$N$6,),)</f>
        <v/>
      </c>
    </row>
    <row r="874">
      <c r="A874" s="370">
        <v>6.31</v>
      </c>
      <c r="B874" s="213">
        <f>If(DPS_Weapon_Type="远程",($E874+1)/60+(ROUNDDOWN($F874*60+1,0)/60)*2,(ROUNDDOWN(($E874+1)+ROUNDDOWN($F874*60+1,0)+ROUNDDOWN($G874/2*60+1,0)+ROUNDDOWN($H874*60+1,0)+1,0))/60+If(DPS_ATK_TYPE="挥砍",1/60)+If(DPS_ATK_TYPE="挥砍/刺击",1/120))+DPS_Weapon_Randomization/60</f>
        <v>0.105</v>
      </c>
      <c r="C874" s="104" t="str">
        <f>IF(DPS_Graph_True_Speed=TRUE,IF($A874&lt;=DPS_Graph_Max,IF($A874&gt;=DPS_Graph_Speed_Min,1/B874,),),)</f>
        <v/>
      </c>
      <c r="D874" s="115" t="str">
        <f>IF(DPS_Graph_True_Speed=TRUE,IF($E$8=$A874,DPS_Attacks_P_Sec,),)</f>
        <v/>
      </c>
      <c r="E874" s="222">
        <f>ROUNDDOWN(MAX(2,IF(A874&gt;=0, DPS_Base_Wpn_Spd/(1+A874),DPS_Base_Wpn_Spd*(1+ABS(A874)))),0)</f>
        <v>2</v>
      </c>
      <c r="F874" s="232">
        <f>IF(A874&gt;=0, DPS_Base_Recoil/(1+A874),DPS_Base_Recoil)</f>
        <v>0.00683994528</v>
      </c>
      <c r="G874" s="377">
        <f t="shared" si="7"/>
        <v>0.51</v>
      </c>
      <c r="H874" s="377">
        <f t="shared" si="8"/>
        <v>0.01003512293</v>
      </c>
      <c r="I874" s="104"/>
      <c r="J874" s="377">
        <f>MAX(0, Max(25,(DPS_Base_Range + ((DPS_Range_Stat) / 2))) / MIN(MAX(70, (70 * (1 + ($A874 / 3)))), 120))</f>
        <v>3.333333333</v>
      </c>
      <c r="K874" s="115" t="str">
        <f>IF(A874&lt;=DPS_Graph_Max,IF(A874&gt;=DPS_Graph_Speed_Min,A874,),)</f>
        <v/>
      </c>
      <c r="M874" s="213">
        <f>If(DPS_Weapon_Type="远程",$E874/60+$F874*2,$E874/60+$F874+$G874/2+$H874)</f>
        <v>0.04701322389</v>
      </c>
      <c r="N874" s="104" t="str">
        <f>IF(DPS_Graph_Tooltip_Speed=TRUE,IF($A874&lt;=DPS_Graph_Max,IF($A874&gt;=DPS_Graph_Speed_Min,1/M874,),),)</f>
        <v/>
      </c>
      <c r="R874" s="104" t="str">
        <f>IF(DPS_Graph_Tooltip_Speed=TRUE,IF($E$8=$A874,1/$N$6,),)</f>
        <v/>
      </c>
    </row>
    <row r="875">
      <c r="A875" s="370">
        <v>6.32</v>
      </c>
      <c r="B875" s="213">
        <f>If(DPS_Weapon_Type="远程",($E875+1)/60+(ROUNDDOWN($F875*60+1,0)/60)*2,(ROUNDDOWN(($E875+1)+ROUNDDOWN($F875*60+1,0)+ROUNDDOWN($G875/2*60+1,0)+ROUNDDOWN($H875*60+1,0)+1,0))/60+If(DPS_ATK_TYPE="挥砍",1/60)+If(DPS_ATK_TYPE="挥砍/刺击",1/120))+DPS_Weapon_Randomization/60</f>
        <v>0.105</v>
      </c>
      <c r="C875" s="104" t="str">
        <f>IF(DPS_Graph_True_Speed=TRUE,IF($A875&lt;=DPS_Graph_Max,IF($A875&gt;=DPS_Graph_Speed_Min,1/B875,),),)</f>
        <v/>
      </c>
      <c r="D875" s="115" t="str">
        <f>IF(DPS_Graph_True_Speed=TRUE,IF($E$8=$A875,DPS_Attacks_P_Sec,),)</f>
        <v/>
      </c>
      <c r="E875" s="222">
        <f>ROUNDDOWN(MAX(2,IF(A875&gt;=0, DPS_Base_Wpn_Spd/(1+A875),DPS_Base_Wpn_Spd*(1+ABS(A875)))),0)</f>
        <v>2</v>
      </c>
      <c r="F875" s="232">
        <f>IF(A875&gt;=0, DPS_Base_Recoil/(1+A875),DPS_Base_Recoil)</f>
        <v>0.006830601093</v>
      </c>
      <c r="G875" s="377">
        <f t="shared" si="7"/>
        <v>0.51</v>
      </c>
      <c r="H875" s="377">
        <f t="shared" si="8"/>
        <v>0.01002004008</v>
      </c>
      <c r="I875" s="104"/>
      <c r="J875" s="377">
        <f>MAX(0, Max(25,(DPS_Base_Range + ((DPS_Range_Stat) / 2))) / MIN(MAX(70, (70 * (1 + ($A875 / 3)))), 120))</f>
        <v>3.333333333</v>
      </c>
      <c r="K875" s="115" t="str">
        <f>IF(A875&lt;=DPS_Graph_Max,IF(A875&gt;=DPS_Graph_Speed_Min,A875,),)</f>
        <v/>
      </c>
      <c r="M875" s="213">
        <f>If(DPS_Weapon_Type="远程",$E875/60+$F875*2,$E875/60+$F875+$G875/2+$H875)</f>
        <v>0.04699453552</v>
      </c>
      <c r="N875" s="104" t="str">
        <f>IF(DPS_Graph_Tooltip_Speed=TRUE,IF($A875&lt;=DPS_Graph_Max,IF($A875&gt;=DPS_Graph_Speed_Min,1/M875,),),)</f>
        <v/>
      </c>
      <c r="R875" s="104" t="str">
        <f>IF(DPS_Graph_Tooltip_Speed=TRUE,IF($E$8=$A875,1/$N$6,),)</f>
        <v/>
      </c>
    </row>
    <row r="876">
      <c r="A876" s="370">
        <v>6.33</v>
      </c>
      <c r="B876" s="213">
        <f>If(DPS_Weapon_Type="远程",($E876+1)/60+(ROUNDDOWN($F876*60+1,0)/60)*2,(ROUNDDOWN(($E876+1)+ROUNDDOWN($F876*60+1,0)+ROUNDDOWN($G876/2*60+1,0)+ROUNDDOWN($H876*60+1,0)+1,0))/60+If(DPS_ATK_TYPE="挥砍",1/60)+If(DPS_ATK_TYPE="挥砍/刺击",1/120))+DPS_Weapon_Randomization/60</f>
        <v>0.105</v>
      </c>
      <c r="C876" s="104" t="str">
        <f>IF(DPS_Graph_True_Speed=TRUE,IF($A876&lt;=DPS_Graph_Max,IF($A876&gt;=DPS_Graph_Speed_Min,1/B876,),),)</f>
        <v/>
      </c>
      <c r="D876" s="115" t="str">
        <f>IF(DPS_Graph_True_Speed=TRUE,IF($E$8=$A876,DPS_Attacks_P_Sec,),)</f>
        <v/>
      </c>
      <c r="E876" s="222">
        <f>ROUNDDOWN(MAX(2,IF(A876&gt;=0, DPS_Base_Wpn_Spd/(1+A876),DPS_Base_Wpn_Spd*(1+ABS(A876)))),0)</f>
        <v>2</v>
      </c>
      <c r="F876" s="232">
        <f>IF(A876&gt;=0, DPS_Base_Recoil/(1+A876),DPS_Base_Recoil)</f>
        <v>0.006821282401</v>
      </c>
      <c r="G876" s="377">
        <f t="shared" si="7"/>
        <v>0.51</v>
      </c>
      <c r="H876" s="377">
        <f t="shared" si="8"/>
        <v>0.0100050025</v>
      </c>
      <c r="I876" s="104"/>
      <c r="J876" s="377">
        <f>MAX(0, Max(25,(DPS_Base_Range + ((DPS_Range_Stat) / 2))) / MIN(MAX(70, (70 * (1 + ($A876 / 3)))), 120))</f>
        <v>3.333333333</v>
      </c>
      <c r="K876" s="115" t="str">
        <f>IF(A876&lt;=DPS_Graph_Max,IF(A876&gt;=DPS_Graph_Speed_Min,A876,),)</f>
        <v/>
      </c>
      <c r="M876" s="213">
        <f>If(DPS_Weapon_Type="远程",$E876/60+$F876*2,$E876/60+$F876+$G876/2+$H876)</f>
        <v>0.04697589814</v>
      </c>
      <c r="N876" s="104" t="str">
        <f>IF(DPS_Graph_Tooltip_Speed=TRUE,IF($A876&lt;=DPS_Graph_Max,IF($A876&gt;=DPS_Graph_Speed_Min,1/M876,),),)</f>
        <v/>
      </c>
      <c r="R876" s="104" t="str">
        <f>IF(DPS_Graph_Tooltip_Speed=TRUE,IF($E$8=$A876,1/$N$6,),)</f>
        <v/>
      </c>
    </row>
    <row r="877">
      <c r="A877" s="370">
        <v>6.34</v>
      </c>
      <c r="B877" s="213">
        <f>If(DPS_Weapon_Type="远程",($E877+1)/60+(ROUNDDOWN($F877*60+1,0)/60)*2,(ROUNDDOWN(($E877+1)+ROUNDDOWN($F877*60+1,0)+ROUNDDOWN($G877/2*60+1,0)+ROUNDDOWN($H877*60+1,0)+1,0))/60+If(DPS_ATK_TYPE="挥砍",1/60)+If(DPS_ATK_TYPE="挥砍/刺击",1/120))+DPS_Weapon_Randomization/60</f>
        <v>0.105</v>
      </c>
      <c r="C877" s="104" t="str">
        <f>IF(DPS_Graph_True_Speed=TRUE,IF($A877&lt;=DPS_Graph_Max,IF($A877&gt;=DPS_Graph_Speed_Min,1/B877,),),)</f>
        <v/>
      </c>
      <c r="D877" s="115" t="str">
        <f>IF(DPS_Graph_True_Speed=TRUE,IF($E$8=$A877,DPS_Attacks_P_Sec,),)</f>
        <v/>
      </c>
      <c r="E877" s="222">
        <f>ROUNDDOWN(MAX(2,IF(A877&gt;=0, DPS_Base_Wpn_Spd/(1+A877),DPS_Base_Wpn_Spd*(1+ABS(A877)))),0)</f>
        <v>2</v>
      </c>
      <c r="F877" s="232">
        <f>IF(A877&gt;=0, DPS_Base_Recoil/(1+A877),DPS_Base_Recoil)</f>
        <v>0.006811989101</v>
      </c>
      <c r="G877" s="377">
        <f t="shared" si="7"/>
        <v>0.51</v>
      </c>
      <c r="H877" s="377">
        <f t="shared" si="8"/>
        <v>0.00999000999</v>
      </c>
      <c r="I877" s="104"/>
      <c r="J877" s="377">
        <f>MAX(0, Max(25,(DPS_Base_Range + ((DPS_Range_Stat) / 2))) / MIN(MAX(70, (70 * (1 + ($A877 / 3)))), 120))</f>
        <v>3.333333333</v>
      </c>
      <c r="K877" s="115" t="str">
        <f>IF(A877&lt;=DPS_Graph_Max,IF(A877&gt;=DPS_Graph_Speed_Min,A877,),)</f>
        <v/>
      </c>
      <c r="M877" s="213">
        <f>If(DPS_Weapon_Type="远程",$E877/60+$F877*2,$E877/60+$F877+$G877/2+$H877)</f>
        <v>0.04695731153</v>
      </c>
      <c r="N877" s="104" t="str">
        <f>IF(DPS_Graph_Tooltip_Speed=TRUE,IF($A877&lt;=DPS_Graph_Max,IF($A877&gt;=DPS_Graph_Speed_Min,1/M877,),),)</f>
        <v/>
      </c>
      <c r="R877" s="104" t="str">
        <f>IF(DPS_Graph_Tooltip_Speed=TRUE,IF($E$8=$A877,1/$N$6,),)</f>
        <v/>
      </c>
    </row>
    <row r="878">
      <c r="A878" s="370">
        <v>6.35</v>
      </c>
      <c r="B878" s="213">
        <f>If(DPS_Weapon_Type="远程",($E878+1)/60+(ROUNDDOWN($F878*60+1,0)/60)*2,(ROUNDDOWN(($E878+1)+ROUNDDOWN($F878*60+1,0)+ROUNDDOWN($G878/2*60+1,0)+ROUNDDOWN($H878*60+1,0)+1,0))/60+If(DPS_ATK_TYPE="挥砍",1/60)+If(DPS_ATK_TYPE="挥砍/刺击",1/120))+DPS_Weapon_Randomization/60</f>
        <v>0.105</v>
      </c>
      <c r="C878" s="104" t="str">
        <f>IF(DPS_Graph_True_Speed=TRUE,IF($A878&lt;=DPS_Graph_Max,IF($A878&gt;=DPS_Graph_Speed_Min,1/B878,),),)</f>
        <v/>
      </c>
      <c r="D878" s="115" t="str">
        <f>IF(DPS_Graph_True_Speed=TRUE,IF($E$8=$A878,DPS_Attacks_P_Sec,),)</f>
        <v/>
      </c>
      <c r="E878" s="222">
        <f>ROUNDDOWN(MAX(2,IF(A878&gt;=0, DPS_Base_Wpn_Spd/(1+A878),DPS_Base_Wpn_Spd*(1+ABS(A878)))),0)</f>
        <v>2</v>
      </c>
      <c r="F878" s="232">
        <f>IF(A878&gt;=0, DPS_Base_Recoil/(1+A878),DPS_Base_Recoil)</f>
        <v>0.006802721088</v>
      </c>
      <c r="G878" s="377">
        <f t="shared" si="7"/>
        <v>0.51</v>
      </c>
      <c r="H878" s="377">
        <f t="shared" si="8"/>
        <v>0.009975062344</v>
      </c>
      <c r="I878" s="104"/>
      <c r="J878" s="377">
        <f>MAX(0, Max(25,(DPS_Base_Range + ((DPS_Range_Stat) / 2))) / MIN(MAX(70, (70 * (1 + ($A878 / 3)))), 120))</f>
        <v>3.333333333</v>
      </c>
      <c r="K878" s="115" t="str">
        <f>IF(A878&lt;=DPS_Graph_Max,IF(A878&gt;=DPS_Graph_Speed_Min,A878,),)</f>
        <v/>
      </c>
      <c r="M878" s="213">
        <f>If(DPS_Weapon_Type="远程",$E878/60+$F878*2,$E878/60+$F878+$G878/2+$H878)</f>
        <v>0.04693877551</v>
      </c>
      <c r="N878" s="104" t="str">
        <f>IF(DPS_Graph_Tooltip_Speed=TRUE,IF($A878&lt;=DPS_Graph_Max,IF($A878&gt;=DPS_Graph_Speed_Min,1/M878,),),)</f>
        <v/>
      </c>
      <c r="R878" s="104" t="str">
        <f>IF(DPS_Graph_Tooltip_Speed=TRUE,IF($E$8=$A878,1/$N$6,),)</f>
        <v/>
      </c>
    </row>
    <row r="879">
      <c r="A879" s="370">
        <v>6.36</v>
      </c>
      <c r="B879" s="213">
        <f>If(DPS_Weapon_Type="远程",($E879+1)/60+(ROUNDDOWN($F879*60+1,0)/60)*2,(ROUNDDOWN(($E879+1)+ROUNDDOWN($F879*60+1,0)+ROUNDDOWN($G879/2*60+1,0)+ROUNDDOWN($H879*60+1,0)+1,0))/60+If(DPS_ATK_TYPE="挥砍",1/60)+If(DPS_ATK_TYPE="挥砍/刺击",1/120))+DPS_Weapon_Randomization/60</f>
        <v>0.105</v>
      </c>
      <c r="C879" s="104" t="str">
        <f>IF(DPS_Graph_True_Speed=TRUE,IF($A879&lt;=DPS_Graph_Max,IF($A879&gt;=DPS_Graph_Speed_Min,1/B879,),),)</f>
        <v/>
      </c>
      <c r="D879" s="115" t="str">
        <f>IF(DPS_Graph_True_Speed=TRUE,IF($E$8=$A879,DPS_Attacks_P_Sec,),)</f>
        <v/>
      </c>
      <c r="E879" s="222">
        <f>ROUNDDOWN(MAX(2,IF(A879&gt;=0, DPS_Base_Wpn_Spd/(1+A879),DPS_Base_Wpn_Spd*(1+ABS(A879)))),0)</f>
        <v>2</v>
      </c>
      <c r="F879" s="232">
        <f>IF(A879&gt;=0, DPS_Base_Recoil/(1+A879),DPS_Base_Recoil)</f>
        <v>0.006793478261</v>
      </c>
      <c r="G879" s="377">
        <f t="shared" si="7"/>
        <v>0.51</v>
      </c>
      <c r="H879" s="377">
        <f t="shared" si="8"/>
        <v>0.009960159363</v>
      </c>
      <c r="I879" s="104"/>
      <c r="J879" s="377">
        <f>MAX(0, Max(25,(DPS_Base_Range + ((DPS_Range_Stat) / 2))) / MIN(MAX(70, (70 * (1 + ($A879 / 3)))), 120))</f>
        <v>3.333333333</v>
      </c>
      <c r="K879" s="115" t="str">
        <f>IF(A879&lt;=DPS_Graph_Max,IF(A879&gt;=DPS_Graph_Speed_Min,A879,),)</f>
        <v/>
      </c>
      <c r="M879" s="213">
        <f>If(DPS_Weapon_Type="远程",$E879/60+$F879*2,$E879/60+$F879+$G879/2+$H879)</f>
        <v>0.04692028986</v>
      </c>
      <c r="N879" s="104" t="str">
        <f>IF(DPS_Graph_Tooltip_Speed=TRUE,IF($A879&lt;=DPS_Graph_Max,IF($A879&gt;=DPS_Graph_Speed_Min,1/M879,),),)</f>
        <v/>
      </c>
      <c r="R879" s="104" t="str">
        <f>IF(DPS_Graph_Tooltip_Speed=TRUE,IF($E$8=$A879,1/$N$6,),)</f>
        <v/>
      </c>
    </row>
    <row r="880">
      <c r="A880" s="370">
        <v>6.37</v>
      </c>
      <c r="B880" s="213">
        <f>If(DPS_Weapon_Type="远程",($E880+1)/60+(ROUNDDOWN($F880*60+1,0)/60)*2,(ROUNDDOWN(($E880+1)+ROUNDDOWN($F880*60+1,0)+ROUNDDOWN($G880/2*60+1,0)+ROUNDDOWN($H880*60+1,0)+1,0))/60+If(DPS_ATK_TYPE="挥砍",1/60)+If(DPS_ATK_TYPE="挥砍/刺击",1/120))+DPS_Weapon_Randomization/60</f>
        <v>0.105</v>
      </c>
      <c r="C880" s="104" t="str">
        <f>IF(DPS_Graph_True_Speed=TRUE,IF($A880&lt;=DPS_Graph_Max,IF($A880&gt;=DPS_Graph_Speed_Min,1/B880,),),)</f>
        <v/>
      </c>
      <c r="D880" s="115" t="str">
        <f>IF(DPS_Graph_True_Speed=TRUE,IF($E$8=$A880,DPS_Attacks_P_Sec,),)</f>
        <v/>
      </c>
      <c r="E880" s="222">
        <f>ROUNDDOWN(MAX(2,IF(A880&gt;=0, DPS_Base_Wpn_Spd/(1+A880),DPS_Base_Wpn_Spd*(1+ABS(A880)))),0)</f>
        <v>2</v>
      </c>
      <c r="F880" s="232">
        <f>IF(A880&gt;=0, DPS_Base_Recoil/(1+A880),DPS_Base_Recoil)</f>
        <v>0.006784260516</v>
      </c>
      <c r="G880" s="377">
        <f t="shared" si="7"/>
        <v>0.51</v>
      </c>
      <c r="H880" s="377">
        <f t="shared" si="8"/>
        <v>0.009945300845</v>
      </c>
      <c r="I880" s="104"/>
      <c r="J880" s="377">
        <f>MAX(0, Max(25,(DPS_Base_Range + ((DPS_Range_Stat) / 2))) / MIN(MAX(70, (70 * (1 + ($A880 / 3)))), 120))</f>
        <v>3.333333333</v>
      </c>
      <c r="K880" s="115" t="str">
        <f>IF(A880&lt;=DPS_Graph_Max,IF(A880&gt;=DPS_Graph_Speed_Min,A880,),)</f>
        <v/>
      </c>
      <c r="M880" s="213">
        <f>If(DPS_Weapon_Type="远程",$E880/60+$F880*2,$E880/60+$F880+$G880/2+$H880)</f>
        <v>0.04690185436</v>
      </c>
      <c r="N880" s="104" t="str">
        <f>IF(DPS_Graph_Tooltip_Speed=TRUE,IF($A880&lt;=DPS_Graph_Max,IF($A880&gt;=DPS_Graph_Speed_Min,1/M880,),),)</f>
        <v/>
      </c>
      <c r="R880" s="104" t="str">
        <f>IF(DPS_Graph_Tooltip_Speed=TRUE,IF($E$8=$A880,1/$N$6,),)</f>
        <v/>
      </c>
    </row>
    <row r="881">
      <c r="A881" s="370">
        <v>6.38</v>
      </c>
      <c r="B881" s="213">
        <f>If(DPS_Weapon_Type="远程",($E881+1)/60+(ROUNDDOWN($F881*60+1,0)/60)*2,(ROUNDDOWN(($E881+1)+ROUNDDOWN($F881*60+1,0)+ROUNDDOWN($G881/2*60+1,0)+ROUNDDOWN($H881*60+1,0)+1,0))/60+If(DPS_ATK_TYPE="挥砍",1/60)+If(DPS_ATK_TYPE="挥砍/刺击",1/120))+DPS_Weapon_Randomization/60</f>
        <v>0.105</v>
      </c>
      <c r="C881" s="104" t="str">
        <f>IF(DPS_Graph_True_Speed=TRUE,IF($A881&lt;=DPS_Graph_Max,IF($A881&gt;=DPS_Graph_Speed_Min,1/B881,),),)</f>
        <v/>
      </c>
      <c r="D881" s="115" t="str">
        <f>IF(DPS_Graph_True_Speed=TRUE,IF($E$8=$A881,DPS_Attacks_P_Sec,),)</f>
        <v/>
      </c>
      <c r="E881" s="222">
        <f>ROUNDDOWN(MAX(2,IF(A881&gt;=0, DPS_Base_Wpn_Spd/(1+A881),DPS_Base_Wpn_Spd*(1+ABS(A881)))),0)</f>
        <v>2</v>
      </c>
      <c r="F881" s="232">
        <f>IF(A881&gt;=0, DPS_Base_Recoil/(1+A881),DPS_Base_Recoil)</f>
        <v>0.006775067751</v>
      </c>
      <c r="G881" s="377">
        <f t="shared" si="7"/>
        <v>0.51</v>
      </c>
      <c r="H881" s="377">
        <f t="shared" si="8"/>
        <v>0.009930486594</v>
      </c>
      <c r="I881" s="104"/>
      <c r="J881" s="377">
        <f>MAX(0, Max(25,(DPS_Base_Range + ((DPS_Range_Stat) / 2))) / MIN(MAX(70, (70 * (1 + ($A881 / 3)))), 120))</f>
        <v>3.333333333</v>
      </c>
      <c r="K881" s="115" t="str">
        <f>IF(A881&lt;=DPS_Graph_Max,IF(A881&gt;=DPS_Graph_Speed_Min,A881,),)</f>
        <v/>
      </c>
      <c r="M881" s="213">
        <f>If(DPS_Weapon_Type="远程",$E881/60+$F881*2,$E881/60+$F881+$G881/2+$H881)</f>
        <v>0.04688346883</v>
      </c>
      <c r="N881" s="104" t="str">
        <f>IF(DPS_Graph_Tooltip_Speed=TRUE,IF($A881&lt;=DPS_Graph_Max,IF($A881&gt;=DPS_Graph_Speed_Min,1/M881,),),)</f>
        <v/>
      </c>
      <c r="R881" s="104" t="str">
        <f>IF(DPS_Graph_Tooltip_Speed=TRUE,IF($E$8=$A881,1/$N$6,),)</f>
        <v/>
      </c>
    </row>
    <row r="882">
      <c r="A882" s="370">
        <v>6.39</v>
      </c>
      <c r="B882" s="213">
        <f>If(DPS_Weapon_Type="远程",($E882+1)/60+(ROUNDDOWN($F882*60+1,0)/60)*2,(ROUNDDOWN(($E882+1)+ROUNDDOWN($F882*60+1,0)+ROUNDDOWN($G882/2*60+1,0)+ROUNDDOWN($H882*60+1,0)+1,0))/60+If(DPS_ATK_TYPE="挥砍",1/60)+If(DPS_ATK_TYPE="挥砍/刺击",1/120))+DPS_Weapon_Randomization/60</f>
        <v>0.105</v>
      </c>
      <c r="C882" s="104" t="str">
        <f>IF(DPS_Graph_True_Speed=TRUE,IF($A882&lt;=DPS_Graph_Max,IF($A882&gt;=DPS_Graph_Speed_Min,1/B882,),),)</f>
        <v/>
      </c>
      <c r="D882" s="115" t="str">
        <f>IF(DPS_Graph_True_Speed=TRUE,IF($E$8=$A882,DPS_Attacks_P_Sec,),)</f>
        <v/>
      </c>
      <c r="E882" s="222">
        <f>ROUNDDOWN(MAX(2,IF(A882&gt;=0, DPS_Base_Wpn_Spd/(1+A882),DPS_Base_Wpn_Spd*(1+ABS(A882)))),0)</f>
        <v>2</v>
      </c>
      <c r="F882" s="232">
        <f>IF(A882&gt;=0, DPS_Base_Recoil/(1+A882),DPS_Base_Recoil)</f>
        <v>0.006765899865</v>
      </c>
      <c r="G882" s="377">
        <f t="shared" si="7"/>
        <v>0.51</v>
      </c>
      <c r="H882" s="377">
        <f t="shared" si="8"/>
        <v>0.009915716411</v>
      </c>
      <c r="I882" s="104"/>
      <c r="J882" s="377">
        <f>MAX(0, Max(25,(DPS_Base_Range + ((DPS_Range_Stat) / 2))) / MIN(MAX(70, (70 * (1 + ($A882 / 3)))), 120))</f>
        <v>3.333333333</v>
      </c>
      <c r="K882" s="115" t="str">
        <f>IF(A882&lt;=DPS_Graph_Max,IF(A882&gt;=DPS_Graph_Speed_Min,A882,),)</f>
        <v/>
      </c>
      <c r="M882" s="213">
        <f>If(DPS_Weapon_Type="远程",$E882/60+$F882*2,$E882/60+$F882+$G882/2+$H882)</f>
        <v>0.04686513306</v>
      </c>
      <c r="N882" s="104" t="str">
        <f>IF(DPS_Graph_Tooltip_Speed=TRUE,IF($A882&lt;=DPS_Graph_Max,IF($A882&gt;=DPS_Graph_Speed_Min,1/M882,),),)</f>
        <v/>
      </c>
      <c r="R882" s="104" t="str">
        <f>IF(DPS_Graph_Tooltip_Speed=TRUE,IF($E$8=$A882,1/$N$6,),)</f>
        <v/>
      </c>
    </row>
    <row r="883">
      <c r="A883" s="370">
        <v>6.4</v>
      </c>
      <c r="B883" s="213">
        <f>If(DPS_Weapon_Type="远程",($E883+1)/60+(ROUNDDOWN($F883*60+1,0)/60)*2,(ROUNDDOWN(($E883+1)+ROUNDDOWN($F883*60+1,0)+ROUNDDOWN($G883/2*60+1,0)+ROUNDDOWN($H883*60+1,0)+1,0))/60+If(DPS_ATK_TYPE="挥砍",1/60)+If(DPS_ATK_TYPE="挥砍/刺击",1/120))+DPS_Weapon_Randomization/60</f>
        <v>0.105</v>
      </c>
      <c r="C883" s="104" t="str">
        <f>IF(DPS_Graph_True_Speed=TRUE,IF($A883&lt;=DPS_Graph_Max,IF($A883&gt;=DPS_Graph_Speed_Min,1/B883,),),)</f>
        <v/>
      </c>
      <c r="D883" s="115" t="str">
        <f>IF(DPS_Graph_True_Speed=TRUE,IF($E$8=$A883,DPS_Attacks_P_Sec,),)</f>
        <v/>
      </c>
      <c r="E883" s="222">
        <f>ROUNDDOWN(MAX(2,IF(A883&gt;=0, DPS_Base_Wpn_Spd/(1+A883),DPS_Base_Wpn_Spd*(1+ABS(A883)))),0)</f>
        <v>2</v>
      </c>
      <c r="F883" s="232">
        <f>IF(A883&gt;=0, DPS_Base_Recoil/(1+A883),DPS_Base_Recoil)</f>
        <v>0.006756756757</v>
      </c>
      <c r="G883" s="377">
        <f t="shared" si="7"/>
        <v>0.51</v>
      </c>
      <c r="H883" s="377">
        <f t="shared" si="8"/>
        <v>0.009900990099</v>
      </c>
      <c r="I883" s="104"/>
      <c r="J883" s="377">
        <f>MAX(0, Max(25,(DPS_Base_Range + ((DPS_Range_Stat) / 2))) / MIN(MAX(70, (70 * (1 + ($A883 / 3)))), 120))</f>
        <v>3.333333333</v>
      </c>
      <c r="K883" s="115" t="str">
        <f>IF(A883&lt;=DPS_Graph_Max,IF(A883&gt;=DPS_Graph_Speed_Min,A883,),)</f>
        <v/>
      </c>
      <c r="M883" s="213">
        <f>If(DPS_Weapon_Type="远程",$E883/60+$F883*2,$E883/60+$F883+$G883/2+$H883)</f>
        <v>0.04684684685</v>
      </c>
      <c r="N883" s="104" t="str">
        <f>IF(DPS_Graph_Tooltip_Speed=TRUE,IF($A883&lt;=DPS_Graph_Max,IF($A883&gt;=DPS_Graph_Speed_Min,1/M883,),),)</f>
        <v/>
      </c>
      <c r="R883" s="104" t="str">
        <f>IF(DPS_Graph_Tooltip_Speed=TRUE,IF($E$8=$A883,1/$N$6,),)</f>
        <v/>
      </c>
    </row>
    <row r="884">
      <c r="A884" s="370">
        <v>6.41</v>
      </c>
      <c r="B884" s="213">
        <f>If(DPS_Weapon_Type="远程",($E884+1)/60+(ROUNDDOWN($F884*60+1,0)/60)*2,(ROUNDDOWN(($E884+1)+ROUNDDOWN($F884*60+1,0)+ROUNDDOWN($G884/2*60+1,0)+ROUNDDOWN($H884*60+1,0)+1,0))/60+If(DPS_ATK_TYPE="挥砍",1/60)+If(DPS_ATK_TYPE="挥砍/刺击",1/120))+DPS_Weapon_Randomization/60</f>
        <v>0.105</v>
      </c>
      <c r="C884" s="104" t="str">
        <f>IF(DPS_Graph_True_Speed=TRUE,IF($A884&lt;=DPS_Graph_Max,IF($A884&gt;=DPS_Graph_Speed_Min,1/B884,),),)</f>
        <v/>
      </c>
      <c r="D884" s="115" t="str">
        <f>IF(DPS_Graph_True_Speed=TRUE,IF($E$8=$A884,DPS_Attacks_P_Sec,),)</f>
        <v/>
      </c>
      <c r="E884" s="222">
        <f>ROUNDDOWN(MAX(2,IF(A884&gt;=0, DPS_Base_Wpn_Spd/(1+A884),DPS_Base_Wpn_Spd*(1+ABS(A884)))),0)</f>
        <v>2</v>
      </c>
      <c r="F884" s="232">
        <f>IF(A884&gt;=0, DPS_Base_Recoil/(1+A884),DPS_Base_Recoil)</f>
        <v>0.006747638327</v>
      </c>
      <c r="G884" s="377">
        <f t="shared" si="7"/>
        <v>0.51</v>
      </c>
      <c r="H884" s="377">
        <f t="shared" si="8"/>
        <v>0.009886307464</v>
      </c>
      <c r="I884" s="104"/>
      <c r="J884" s="377">
        <f>MAX(0, Max(25,(DPS_Base_Range + ((DPS_Range_Stat) / 2))) / MIN(MAX(70, (70 * (1 + ($A884 / 3)))), 120))</f>
        <v>3.333333333</v>
      </c>
      <c r="K884" s="115" t="str">
        <f>IF(A884&lt;=DPS_Graph_Max,IF(A884&gt;=DPS_Graph_Speed_Min,A884,),)</f>
        <v/>
      </c>
      <c r="M884" s="213">
        <f>If(DPS_Weapon_Type="远程",$E884/60+$F884*2,$E884/60+$F884+$G884/2+$H884)</f>
        <v>0.04682860999</v>
      </c>
      <c r="N884" s="104" t="str">
        <f>IF(DPS_Graph_Tooltip_Speed=TRUE,IF($A884&lt;=DPS_Graph_Max,IF($A884&gt;=DPS_Graph_Speed_Min,1/M884,),),)</f>
        <v/>
      </c>
      <c r="R884" s="104" t="str">
        <f>IF(DPS_Graph_Tooltip_Speed=TRUE,IF($E$8=$A884,1/$N$6,),)</f>
        <v/>
      </c>
    </row>
    <row r="885">
      <c r="A885" s="370">
        <v>6.42</v>
      </c>
      <c r="B885" s="213">
        <f>If(DPS_Weapon_Type="远程",($E885+1)/60+(ROUNDDOWN($F885*60+1,0)/60)*2,(ROUNDDOWN(($E885+1)+ROUNDDOWN($F885*60+1,0)+ROUNDDOWN($G885/2*60+1,0)+ROUNDDOWN($H885*60+1,0)+1,0))/60+If(DPS_ATK_TYPE="挥砍",1/60)+If(DPS_ATK_TYPE="挥砍/刺击",1/120))+DPS_Weapon_Randomization/60</f>
        <v>0.105</v>
      </c>
      <c r="C885" s="104" t="str">
        <f>IF(DPS_Graph_True_Speed=TRUE,IF($A885&lt;=DPS_Graph_Max,IF($A885&gt;=DPS_Graph_Speed_Min,1/B885,),),)</f>
        <v/>
      </c>
      <c r="D885" s="115" t="str">
        <f>IF(DPS_Graph_True_Speed=TRUE,IF($E$8=$A885,DPS_Attacks_P_Sec,),)</f>
        <v/>
      </c>
      <c r="E885" s="222">
        <f>ROUNDDOWN(MAX(2,IF(A885&gt;=0, DPS_Base_Wpn_Spd/(1+A885),DPS_Base_Wpn_Spd*(1+ABS(A885)))),0)</f>
        <v>2</v>
      </c>
      <c r="F885" s="232">
        <f>IF(A885&gt;=0, DPS_Base_Recoil/(1+A885),DPS_Base_Recoil)</f>
        <v>0.006738544474</v>
      </c>
      <c r="G885" s="377">
        <f t="shared" si="7"/>
        <v>0.51</v>
      </c>
      <c r="H885" s="377">
        <f t="shared" si="8"/>
        <v>0.009871668312</v>
      </c>
      <c r="I885" s="104"/>
      <c r="J885" s="377">
        <f>MAX(0, Max(25,(DPS_Base_Range + ((DPS_Range_Stat) / 2))) / MIN(MAX(70, (70 * (1 + ($A885 / 3)))), 120))</f>
        <v>3.333333333</v>
      </c>
      <c r="K885" s="115" t="str">
        <f>IF(A885&lt;=DPS_Graph_Max,IF(A885&gt;=DPS_Graph_Speed_Min,A885,),)</f>
        <v/>
      </c>
      <c r="M885" s="213">
        <f>If(DPS_Weapon_Type="远程",$E885/60+$F885*2,$E885/60+$F885+$G885/2+$H885)</f>
        <v>0.04681042228</v>
      </c>
      <c r="N885" s="104" t="str">
        <f>IF(DPS_Graph_Tooltip_Speed=TRUE,IF($A885&lt;=DPS_Graph_Max,IF($A885&gt;=DPS_Graph_Speed_Min,1/M885,),),)</f>
        <v/>
      </c>
      <c r="R885" s="104" t="str">
        <f>IF(DPS_Graph_Tooltip_Speed=TRUE,IF($E$8=$A885,1/$N$6,),)</f>
        <v/>
      </c>
    </row>
    <row r="886">
      <c r="A886" s="370">
        <v>6.43</v>
      </c>
      <c r="B886" s="213">
        <f>If(DPS_Weapon_Type="远程",($E886+1)/60+(ROUNDDOWN($F886*60+1,0)/60)*2,(ROUNDDOWN(($E886+1)+ROUNDDOWN($F886*60+1,0)+ROUNDDOWN($G886/2*60+1,0)+ROUNDDOWN($H886*60+1,0)+1,0))/60+If(DPS_ATK_TYPE="挥砍",1/60)+If(DPS_ATK_TYPE="挥砍/刺击",1/120))+DPS_Weapon_Randomization/60</f>
        <v>0.105</v>
      </c>
      <c r="C886" s="104" t="str">
        <f>IF(DPS_Graph_True_Speed=TRUE,IF($A886&lt;=DPS_Graph_Max,IF($A886&gt;=DPS_Graph_Speed_Min,1/B886,),),)</f>
        <v/>
      </c>
      <c r="D886" s="115" t="str">
        <f>IF(DPS_Graph_True_Speed=TRUE,IF($E$8=$A886,DPS_Attacks_P_Sec,),)</f>
        <v/>
      </c>
      <c r="E886" s="222">
        <f>ROUNDDOWN(MAX(2,IF(A886&gt;=0, DPS_Base_Wpn_Spd/(1+A886),DPS_Base_Wpn_Spd*(1+ABS(A886)))),0)</f>
        <v>2</v>
      </c>
      <c r="F886" s="232">
        <f>IF(A886&gt;=0, DPS_Base_Recoil/(1+A886),DPS_Base_Recoil)</f>
        <v>0.006729475101</v>
      </c>
      <c r="G886" s="377">
        <f t="shared" si="7"/>
        <v>0.51</v>
      </c>
      <c r="H886" s="377">
        <f t="shared" si="8"/>
        <v>0.009857072449</v>
      </c>
      <c r="I886" s="104"/>
      <c r="J886" s="377">
        <f>MAX(0, Max(25,(DPS_Base_Range + ((DPS_Range_Stat) / 2))) / MIN(MAX(70, (70 * (1 + ($A886 / 3)))), 120))</f>
        <v>3.333333333</v>
      </c>
      <c r="K886" s="115" t="str">
        <f>IF(A886&lt;=DPS_Graph_Max,IF(A886&gt;=DPS_Graph_Speed_Min,A886,),)</f>
        <v/>
      </c>
      <c r="M886" s="213">
        <f>If(DPS_Weapon_Type="远程",$E886/60+$F886*2,$E886/60+$F886+$G886/2+$H886)</f>
        <v>0.04679228354</v>
      </c>
      <c r="N886" s="104" t="str">
        <f>IF(DPS_Graph_Tooltip_Speed=TRUE,IF($A886&lt;=DPS_Graph_Max,IF($A886&gt;=DPS_Graph_Speed_Min,1/M886,),),)</f>
        <v/>
      </c>
      <c r="R886" s="104" t="str">
        <f>IF(DPS_Graph_Tooltip_Speed=TRUE,IF($E$8=$A886,1/$N$6,),)</f>
        <v/>
      </c>
    </row>
    <row r="887">
      <c r="A887" s="370">
        <v>6.44</v>
      </c>
      <c r="B887" s="213">
        <f>If(DPS_Weapon_Type="远程",($E887+1)/60+(ROUNDDOWN($F887*60+1,0)/60)*2,(ROUNDDOWN(($E887+1)+ROUNDDOWN($F887*60+1,0)+ROUNDDOWN($G887/2*60+1,0)+ROUNDDOWN($H887*60+1,0)+1,0))/60+If(DPS_ATK_TYPE="挥砍",1/60)+If(DPS_ATK_TYPE="挥砍/刺击",1/120))+DPS_Weapon_Randomization/60</f>
        <v>0.105</v>
      </c>
      <c r="C887" s="104" t="str">
        <f>IF(DPS_Graph_True_Speed=TRUE,IF($A887&lt;=DPS_Graph_Max,IF($A887&gt;=DPS_Graph_Speed_Min,1/B887,),),)</f>
        <v/>
      </c>
      <c r="D887" s="115" t="str">
        <f>IF(DPS_Graph_True_Speed=TRUE,IF($E$8=$A887,DPS_Attacks_P_Sec,),)</f>
        <v/>
      </c>
      <c r="E887" s="222">
        <f>ROUNDDOWN(MAX(2,IF(A887&gt;=0, DPS_Base_Wpn_Spd/(1+A887),DPS_Base_Wpn_Spd*(1+ABS(A887)))),0)</f>
        <v>2</v>
      </c>
      <c r="F887" s="232">
        <f>IF(A887&gt;=0, DPS_Base_Recoil/(1+A887),DPS_Base_Recoil)</f>
        <v>0.006720430108</v>
      </c>
      <c r="G887" s="377">
        <f t="shared" si="7"/>
        <v>0.51</v>
      </c>
      <c r="H887" s="377">
        <f t="shared" si="8"/>
        <v>0.009842519685</v>
      </c>
      <c r="I887" s="104"/>
      <c r="J887" s="377">
        <f>MAX(0, Max(25,(DPS_Base_Range + ((DPS_Range_Stat) / 2))) / MIN(MAX(70, (70 * (1 + ($A887 / 3)))), 120))</f>
        <v>3.333333333</v>
      </c>
      <c r="K887" s="115" t="str">
        <f>IF(A887&lt;=DPS_Graph_Max,IF(A887&gt;=DPS_Graph_Speed_Min,A887,),)</f>
        <v/>
      </c>
      <c r="M887" s="213">
        <f>If(DPS_Weapon_Type="远程",$E887/60+$F887*2,$E887/60+$F887+$G887/2+$H887)</f>
        <v>0.04677419355</v>
      </c>
      <c r="N887" s="104" t="str">
        <f>IF(DPS_Graph_Tooltip_Speed=TRUE,IF($A887&lt;=DPS_Graph_Max,IF($A887&gt;=DPS_Graph_Speed_Min,1/M887,),),)</f>
        <v/>
      </c>
      <c r="R887" s="104" t="str">
        <f>IF(DPS_Graph_Tooltip_Speed=TRUE,IF($E$8=$A887,1/$N$6,),)</f>
        <v/>
      </c>
    </row>
    <row r="888">
      <c r="A888" s="370">
        <v>6.45</v>
      </c>
      <c r="B888" s="213">
        <f>If(DPS_Weapon_Type="远程",($E888+1)/60+(ROUNDDOWN($F888*60+1,0)/60)*2,(ROUNDDOWN(($E888+1)+ROUNDDOWN($F888*60+1,0)+ROUNDDOWN($G888/2*60+1,0)+ROUNDDOWN($H888*60+1,0)+1,0))/60+If(DPS_ATK_TYPE="挥砍",1/60)+If(DPS_ATK_TYPE="挥砍/刺击",1/120))+DPS_Weapon_Randomization/60</f>
        <v>0.105</v>
      </c>
      <c r="C888" s="104" t="str">
        <f>IF(DPS_Graph_True_Speed=TRUE,IF($A888&lt;=DPS_Graph_Max,IF($A888&gt;=DPS_Graph_Speed_Min,1/B888,),),)</f>
        <v/>
      </c>
      <c r="D888" s="115" t="str">
        <f>IF(DPS_Graph_True_Speed=TRUE,IF($E$8=$A888,DPS_Attacks_P_Sec,),)</f>
        <v/>
      </c>
      <c r="E888" s="222">
        <f>ROUNDDOWN(MAX(2,IF(A888&gt;=0, DPS_Base_Wpn_Spd/(1+A888),DPS_Base_Wpn_Spd*(1+ABS(A888)))),0)</f>
        <v>2</v>
      </c>
      <c r="F888" s="232">
        <f>IF(A888&gt;=0, DPS_Base_Recoil/(1+A888),DPS_Base_Recoil)</f>
        <v>0.006711409396</v>
      </c>
      <c r="G888" s="377">
        <f t="shared" si="7"/>
        <v>0.51</v>
      </c>
      <c r="H888" s="377">
        <f t="shared" si="8"/>
        <v>0.009828009828</v>
      </c>
      <c r="I888" s="104"/>
      <c r="J888" s="377">
        <f>MAX(0, Max(25,(DPS_Base_Range + ((DPS_Range_Stat) / 2))) / MIN(MAX(70, (70 * (1 + ($A888 / 3)))), 120))</f>
        <v>3.333333333</v>
      </c>
      <c r="K888" s="115" t="str">
        <f>IF(A888&lt;=DPS_Graph_Max,IF(A888&gt;=DPS_Graph_Speed_Min,A888,),)</f>
        <v/>
      </c>
      <c r="M888" s="213">
        <f>If(DPS_Weapon_Type="远程",$E888/60+$F888*2,$E888/60+$F888+$G888/2+$H888)</f>
        <v>0.04675615213</v>
      </c>
      <c r="N888" s="104" t="str">
        <f>IF(DPS_Graph_Tooltip_Speed=TRUE,IF($A888&lt;=DPS_Graph_Max,IF($A888&gt;=DPS_Graph_Speed_Min,1/M888,),),)</f>
        <v/>
      </c>
      <c r="R888" s="104" t="str">
        <f>IF(DPS_Graph_Tooltip_Speed=TRUE,IF($E$8=$A888,1/$N$6,),)</f>
        <v/>
      </c>
    </row>
    <row r="889">
      <c r="A889" s="370">
        <v>6.46</v>
      </c>
      <c r="B889" s="213">
        <f>If(DPS_Weapon_Type="远程",($E889+1)/60+(ROUNDDOWN($F889*60+1,0)/60)*2,(ROUNDDOWN(($E889+1)+ROUNDDOWN($F889*60+1,0)+ROUNDDOWN($G889/2*60+1,0)+ROUNDDOWN($H889*60+1,0)+1,0))/60+If(DPS_ATK_TYPE="挥砍",1/60)+If(DPS_ATK_TYPE="挥砍/刺击",1/120))+DPS_Weapon_Randomization/60</f>
        <v>0.105</v>
      </c>
      <c r="C889" s="104" t="str">
        <f>IF(DPS_Graph_True_Speed=TRUE,IF($A889&lt;=DPS_Graph_Max,IF($A889&gt;=DPS_Graph_Speed_Min,1/B889,),),)</f>
        <v/>
      </c>
      <c r="D889" s="115" t="str">
        <f>IF(DPS_Graph_True_Speed=TRUE,IF($E$8=$A889,DPS_Attacks_P_Sec,),)</f>
        <v/>
      </c>
      <c r="E889" s="222">
        <f>ROUNDDOWN(MAX(2,IF(A889&gt;=0, DPS_Base_Wpn_Spd/(1+A889),DPS_Base_Wpn_Spd*(1+ABS(A889)))),0)</f>
        <v>2</v>
      </c>
      <c r="F889" s="232">
        <f>IF(A889&gt;=0, DPS_Base_Recoil/(1+A889),DPS_Base_Recoil)</f>
        <v>0.006702412869</v>
      </c>
      <c r="G889" s="377">
        <f t="shared" si="7"/>
        <v>0.51</v>
      </c>
      <c r="H889" s="377">
        <f t="shared" si="8"/>
        <v>0.009813542689</v>
      </c>
      <c r="I889" s="104"/>
      <c r="J889" s="377">
        <f>MAX(0, Max(25,(DPS_Base_Range + ((DPS_Range_Stat) / 2))) / MIN(MAX(70, (70 * (1 + ($A889 / 3)))), 120))</f>
        <v>3.333333333</v>
      </c>
      <c r="K889" s="115" t="str">
        <f>IF(A889&lt;=DPS_Graph_Max,IF(A889&gt;=DPS_Graph_Speed_Min,A889,),)</f>
        <v/>
      </c>
      <c r="M889" s="213">
        <f>If(DPS_Weapon_Type="远程",$E889/60+$F889*2,$E889/60+$F889+$G889/2+$H889)</f>
        <v>0.04673815907</v>
      </c>
      <c r="N889" s="104" t="str">
        <f>IF(DPS_Graph_Tooltip_Speed=TRUE,IF($A889&lt;=DPS_Graph_Max,IF($A889&gt;=DPS_Graph_Speed_Min,1/M889,),),)</f>
        <v/>
      </c>
      <c r="R889" s="104" t="str">
        <f>IF(DPS_Graph_Tooltip_Speed=TRUE,IF($E$8=$A889,1/$N$6,),)</f>
        <v/>
      </c>
    </row>
    <row r="890">
      <c r="A890" s="370">
        <v>6.47</v>
      </c>
      <c r="B890" s="213">
        <f>If(DPS_Weapon_Type="远程",($E890+1)/60+(ROUNDDOWN($F890*60+1,0)/60)*2,(ROUNDDOWN(($E890+1)+ROUNDDOWN($F890*60+1,0)+ROUNDDOWN($G890/2*60+1,0)+ROUNDDOWN($H890*60+1,0)+1,0))/60+If(DPS_ATK_TYPE="挥砍",1/60)+If(DPS_ATK_TYPE="挥砍/刺击",1/120))+DPS_Weapon_Randomization/60</f>
        <v>0.105</v>
      </c>
      <c r="C890" s="104" t="str">
        <f>IF(DPS_Graph_True_Speed=TRUE,IF($A890&lt;=DPS_Graph_Max,IF($A890&gt;=DPS_Graph_Speed_Min,1/B890,),),)</f>
        <v/>
      </c>
      <c r="D890" s="115" t="str">
        <f>IF(DPS_Graph_True_Speed=TRUE,IF($E$8=$A890,DPS_Attacks_P_Sec,),)</f>
        <v/>
      </c>
      <c r="E890" s="222">
        <f>ROUNDDOWN(MAX(2,IF(A890&gt;=0, DPS_Base_Wpn_Spd/(1+A890),DPS_Base_Wpn_Spd*(1+ABS(A890)))),0)</f>
        <v>2</v>
      </c>
      <c r="F890" s="232">
        <f>IF(A890&gt;=0, DPS_Base_Recoil/(1+A890),DPS_Base_Recoil)</f>
        <v>0.006693440428</v>
      </c>
      <c r="G890" s="377">
        <f t="shared" si="7"/>
        <v>0.51</v>
      </c>
      <c r="H890" s="377">
        <f t="shared" si="8"/>
        <v>0.009799118079</v>
      </c>
      <c r="I890" s="104"/>
      <c r="J890" s="377">
        <f>MAX(0, Max(25,(DPS_Base_Range + ((DPS_Range_Stat) / 2))) / MIN(MAX(70, (70 * (1 + ($A890 / 3)))), 120))</f>
        <v>3.333333333</v>
      </c>
      <c r="K890" s="115" t="str">
        <f>IF(A890&lt;=DPS_Graph_Max,IF(A890&gt;=DPS_Graph_Speed_Min,A890,),)</f>
        <v/>
      </c>
      <c r="M890" s="213">
        <f>If(DPS_Weapon_Type="远程",$E890/60+$F890*2,$E890/60+$F890+$G890/2+$H890)</f>
        <v>0.04672021419</v>
      </c>
      <c r="N890" s="104" t="str">
        <f>IF(DPS_Graph_Tooltip_Speed=TRUE,IF($A890&lt;=DPS_Graph_Max,IF($A890&gt;=DPS_Graph_Speed_Min,1/M890,),),)</f>
        <v/>
      </c>
      <c r="R890" s="104" t="str">
        <f>IF(DPS_Graph_Tooltip_Speed=TRUE,IF($E$8=$A890,1/$N$6,),)</f>
        <v/>
      </c>
    </row>
    <row r="891">
      <c r="A891" s="370">
        <v>6.48</v>
      </c>
      <c r="B891" s="213">
        <f>If(DPS_Weapon_Type="远程",($E891+1)/60+(ROUNDDOWN($F891*60+1,0)/60)*2,(ROUNDDOWN(($E891+1)+ROUNDDOWN($F891*60+1,0)+ROUNDDOWN($G891/2*60+1,0)+ROUNDDOWN($H891*60+1,0)+1,0))/60+If(DPS_ATK_TYPE="挥砍",1/60)+If(DPS_ATK_TYPE="挥砍/刺击",1/120))+DPS_Weapon_Randomization/60</f>
        <v>0.105</v>
      </c>
      <c r="C891" s="104" t="str">
        <f>IF(DPS_Graph_True_Speed=TRUE,IF($A891&lt;=DPS_Graph_Max,IF($A891&gt;=DPS_Graph_Speed_Min,1/B891,),),)</f>
        <v/>
      </c>
      <c r="D891" s="115" t="str">
        <f>IF(DPS_Graph_True_Speed=TRUE,IF($E$8=$A891,DPS_Attacks_P_Sec,),)</f>
        <v/>
      </c>
      <c r="E891" s="222">
        <f>ROUNDDOWN(MAX(2,IF(A891&gt;=0, DPS_Base_Wpn_Spd/(1+A891),DPS_Base_Wpn_Spd*(1+ABS(A891)))),0)</f>
        <v>2</v>
      </c>
      <c r="F891" s="232">
        <f>IF(A891&gt;=0, DPS_Base_Recoil/(1+A891),DPS_Base_Recoil)</f>
        <v>0.006684491979</v>
      </c>
      <c r="G891" s="377">
        <f t="shared" si="7"/>
        <v>0.51</v>
      </c>
      <c r="H891" s="377">
        <f t="shared" si="8"/>
        <v>0.009784735812</v>
      </c>
      <c r="I891" s="104"/>
      <c r="J891" s="377">
        <f>MAX(0, Max(25,(DPS_Base_Range + ((DPS_Range_Stat) / 2))) / MIN(MAX(70, (70 * (1 + ($A891 / 3)))), 120))</f>
        <v>3.333333333</v>
      </c>
      <c r="K891" s="115" t="str">
        <f>IF(A891&lt;=DPS_Graph_Max,IF(A891&gt;=DPS_Graph_Speed_Min,A891,),)</f>
        <v/>
      </c>
      <c r="M891" s="213">
        <f>If(DPS_Weapon_Type="远程",$E891/60+$F891*2,$E891/60+$F891+$G891/2+$H891)</f>
        <v>0.04670231729</v>
      </c>
      <c r="N891" s="104" t="str">
        <f>IF(DPS_Graph_Tooltip_Speed=TRUE,IF($A891&lt;=DPS_Graph_Max,IF($A891&gt;=DPS_Graph_Speed_Min,1/M891,),),)</f>
        <v/>
      </c>
      <c r="R891" s="104" t="str">
        <f>IF(DPS_Graph_Tooltip_Speed=TRUE,IF($E$8=$A891,1/$N$6,),)</f>
        <v/>
      </c>
    </row>
    <row r="892">
      <c r="A892" s="370">
        <v>6.49</v>
      </c>
      <c r="B892" s="213">
        <f>If(DPS_Weapon_Type="远程",($E892+1)/60+(ROUNDDOWN($F892*60+1,0)/60)*2,(ROUNDDOWN(($E892+1)+ROUNDDOWN($F892*60+1,0)+ROUNDDOWN($G892/2*60+1,0)+ROUNDDOWN($H892*60+1,0)+1,0))/60+If(DPS_ATK_TYPE="挥砍",1/60)+If(DPS_ATK_TYPE="挥砍/刺击",1/120))+DPS_Weapon_Randomization/60</f>
        <v>0.105</v>
      </c>
      <c r="C892" s="104" t="str">
        <f>IF(DPS_Graph_True_Speed=TRUE,IF($A892&lt;=DPS_Graph_Max,IF($A892&gt;=DPS_Graph_Speed_Min,1/B892,),),)</f>
        <v/>
      </c>
      <c r="D892" s="115" t="str">
        <f>IF(DPS_Graph_True_Speed=TRUE,IF($E$8=$A892,DPS_Attacks_P_Sec,),)</f>
        <v/>
      </c>
      <c r="E892" s="222">
        <f>ROUNDDOWN(MAX(2,IF(A892&gt;=0, DPS_Base_Wpn_Spd/(1+A892),DPS_Base_Wpn_Spd*(1+ABS(A892)))),0)</f>
        <v>2</v>
      </c>
      <c r="F892" s="232">
        <f>IF(A892&gt;=0, DPS_Base_Recoil/(1+A892),DPS_Base_Recoil)</f>
        <v>0.006675567423</v>
      </c>
      <c r="G892" s="377">
        <f t="shared" si="7"/>
        <v>0.51</v>
      </c>
      <c r="H892" s="377">
        <f t="shared" si="8"/>
        <v>0.009770395701</v>
      </c>
      <c r="I892" s="104"/>
      <c r="J892" s="377">
        <f>MAX(0, Max(25,(DPS_Base_Range + ((DPS_Range_Stat) / 2))) / MIN(MAX(70, (70 * (1 + ($A892 / 3)))), 120))</f>
        <v>3.333333333</v>
      </c>
      <c r="K892" s="115" t="str">
        <f>IF(A892&lt;=DPS_Graph_Max,IF(A892&gt;=DPS_Graph_Speed_Min,A892,),)</f>
        <v/>
      </c>
      <c r="M892" s="213">
        <f>If(DPS_Weapon_Type="远程",$E892/60+$F892*2,$E892/60+$F892+$G892/2+$H892)</f>
        <v>0.04668446818</v>
      </c>
      <c r="N892" s="104" t="str">
        <f>IF(DPS_Graph_Tooltip_Speed=TRUE,IF($A892&lt;=DPS_Graph_Max,IF($A892&gt;=DPS_Graph_Speed_Min,1/M892,),),)</f>
        <v/>
      </c>
      <c r="R892" s="104" t="str">
        <f>IF(DPS_Graph_Tooltip_Speed=TRUE,IF($E$8=$A892,1/$N$6,),)</f>
        <v/>
      </c>
    </row>
    <row r="893">
      <c r="A893" s="370">
        <v>6.5</v>
      </c>
      <c r="B893" s="213">
        <f>If(DPS_Weapon_Type="远程",($E893+1)/60+(ROUNDDOWN($F893*60+1,0)/60)*2,(ROUNDDOWN(($E893+1)+ROUNDDOWN($F893*60+1,0)+ROUNDDOWN($G893/2*60+1,0)+ROUNDDOWN($H893*60+1,0)+1,0))/60+If(DPS_ATK_TYPE="挥砍",1/60)+If(DPS_ATK_TYPE="挥砍/刺击",1/120))+DPS_Weapon_Randomization/60</f>
        <v>0.105</v>
      </c>
      <c r="C893" s="104" t="str">
        <f>IF(DPS_Graph_True_Speed=TRUE,IF($A893&lt;=DPS_Graph_Max,IF($A893&gt;=DPS_Graph_Speed_Min,1/B893,),),)</f>
        <v/>
      </c>
      <c r="D893" s="115" t="str">
        <f>IF(DPS_Graph_True_Speed=TRUE,IF($E$8=$A893,DPS_Attacks_P_Sec,),)</f>
        <v/>
      </c>
      <c r="E893" s="222">
        <f>ROUNDDOWN(MAX(2,IF(A893&gt;=0, DPS_Base_Wpn_Spd/(1+A893),DPS_Base_Wpn_Spd*(1+ABS(A893)))),0)</f>
        <v>2</v>
      </c>
      <c r="F893" s="232">
        <f>IF(A893&gt;=0, DPS_Base_Recoil/(1+A893),DPS_Base_Recoil)</f>
        <v>0.006666666667</v>
      </c>
      <c r="G893" s="377">
        <f t="shared" si="7"/>
        <v>0.51</v>
      </c>
      <c r="H893" s="377">
        <f t="shared" si="8"/>
        <v>0.009756097561</v>
      </c>
      <c r="I893" s="104"/>
      <c r="J893" s="377">
        <f>MAX(0, Max(25,(DPS_Base_Range + ((DPS_Range_Stat) / 2))) / MIN(MAX(70, (70 * (1 + ($A893 / 3)))), 120))</f>
        <v>3.333333333</v>
      </c>
      <c r="K893" s="115" t="str">
        <f>IF(A893&lt;=DPS_Graph_Max,IF(A893&gt;=DPS_Graph_Speed_Min,A893,),)</f>
        <v/>
      </c>
      <c r="M893" s="213">
        <f>If(DPS_Weapon_Type="远程",$E893/60+$F893*2,$E893/60+$F893+$G893/2+$H893)</f>
        <v>0.04666666667</v>
      </c>
      <c r="N893" s="104" t="str">
        <f>IF(DPS_Graph_Tooltip_Speed=TRUE,IF($A893&lt;=DPS_Graph_Max,IF($A893&gt;=DPS_Graph_Speed_Min,1/M893,),),)</f>
        <v/>
      </c>
      <c r="R893" s="104" t="str">
        <f>IF(DPS_Graph_Tooltip_Speed=TRUE,IF($E$8=$A893,1/$N$6,),)</f>
        <v/>
      </c>
    </row>
    <row r="894">
      <c r="A894" s="370">
        <v>6.51</v>
      </c>
      <c r="B894" s="213">
        <f>If(DPS_Weapon_Type="远程",($E894+1)/60+(ROUNDDOWN($F894*60+1,0)/60)*2,(ROUNDDOWN(($E894+1)+ROUNDDOWN($F894*60+1,0)+ROUNDDOWN($G894/2*60+1,0)+ROUNDDOWN($H894*60+1,0)+1,0))/60+If(DPS_ATK_TYPE="挥砍",1/60)+If(DPS_ATK_TYPE="挥砍/刺击",1/120))+DPS_Weapon_Randomization/60</f>
        <v>0.105</v>
      </c>
      <c r="C894" s="104" t="str">
        <f>IF(DPS_Graph_True_Speed=TRUE,IF($A894&lt;=DPS_Graph_Max,IF($A894&gt;=DPS_Graph_Speed_Min,1/B894,),),)</f>
        <v/>
      </c>
      <c r="D894" s="115" t="str">
        <f>IF(DPS_Graph_True_Speed=TRUE,IF($E$8=$A894,DPS_Attacks_P_Sec,),)</f>
        <v/>
      </c>
      <c r="E894" s="222">
        <f>ROUNDDOWN(MAX(2,IF(A894&gt;=0, DPS_Base_Wpn_Spd/(1+A894),DPS_Base_Wpn_Spd*(1+ABS(A894)))),0)</f>
        <v>2</v>
      </c>
      <c r="F894" s="232">
        <f>IF(A894&gt;=0, DPS_Base_Recoil/(1+A894),DPS_Base_Recoil)</f>
        <v>0.006657789614</v>
      </c>
      <c r="G894" s="377">
        <f t="shared" si="7"/>
        <v>0.51</v>
      </c>
      <c r="H894" s="377">
        <f t="shared" si="8"/>
        <v>0.009741841208</v>
      </c>
      <c r="I894" s="104"/>
      <c r="J894" s="377">
        <f>MAX(0, Max(25,(DPS_Base_Range + ((DPS_Range_Stat) / 2))) / MIN(MAX(70, (70 * (1 + ($A894 / 3)))), 120))</f>
        <v>3.333333333</v>
      </c>
      <c r="K894" s="115" t="str">
        <f>IF(A894&lt;=DPS_Graph_Max,IF(A894&gt;=DPS_Graph_Speed_Min,A894,),)</f>
        <v/>
      </c>
      <c r="M894" s="213">
        <f>If(DPS_Weapon_Type="远程",$E894/60+$F894*2,$E894/60+$F894+$G894/2+$H894)</f>
        <v>0.04664891256</v>
      </c>
      <c r="N894" s="104" t="str">
        <f>IF(DPS_Graph_Tooltip_Speed=TRUE,IF($A894&lt;=DPS_Graph_Max,IF($A894&gt;=DPS_Graph_Speed_Min,1/M894,),),)</f>
        <v/>
      </c>
      <c r="R894" s="104" t="str">
        <f>IF(DPS_Graph_Tooltip_Speed=TRUE,IF($E$8=$A894,1/$N$6,),)</f>
        <v/>
      </c>
    </row>
    <row r="895">
      <c r="A895" s="370">
        <v>6.52</v>
      </c>
      <c r="B895" s="213">
        <f>If(DPS_Weapon_Type="远程",($E895+1)/60+(ROUNDDOWN($F895*60+1,0)/60)*2,(ROUNDDOWN(($E895+1)+ROUNDDOWN($F895*60+1,0)+ROUNDDOWN($G895/2*60+1,0)+ROUNDDOWN($H895*60+1,0)+1,0))/60+If(DPS_ATK_TYPE="挥砍",1/60)+If(DPS_ATK_TYPE="挥砍/刺击",1/120))+DPS_Weapon_Randomization/60</f>
        <v>0.105</v>
      </c>
      <c r="C895" s="104" t="str">
        <f>IF(DPS_Graph_True_Speed=TRUE,IF($A895&lt;=DPS_Graph_Max,IF($A895&gt;=DPS_Graph_Speed_Min,1/B895,),),)</f>
        <v/>
      </c>
      <c r="D895" s="115" t="str">
        <f>IF(DPS_Graph_True_Speed=TRUE,IF($E$8=$A895,DPS_Attacks_P_Sec,),)</f>
        <v/>
      </c>
      <c r="E895" s="222">
        <f>ROUNDDOWN(MAX(2,IF(A895&gt;=0, DPS_Base_Wpn_Spd/(1+A895),DPS_Base_Wpn_Spd*(1+ABS(A895)))),0)</f>
        <v>2</v>
      </c>
      <c r="F895" s="232">
        <f>IF(A895&gt;=0, DPS_Base_Recoil/(1+A895),DPS_Base_Recoil)</f>
        <v>0.00664893617</v>
      </c>
      <c r="G895" s="377">
        <f t="shared" si="7"/>
        <v>0.51</v>
      </c>
      <c r="H895" s="377">
        <f t="shared" si="8"/>
        <v>0.009727626459</v>
      </c>
      <c r="I895" s="104"/>
      <c r="J895" s="377">
        <f>MAX(0, Max(25,(DPS_Base_Range + ((DPS_Range_Stat) / 2))) / MIN(MAX(70, (70 * (1 + ($A895 / 3)))), 120))</f>
        <v>3.333333333</v>
      </c>
      <c r="K895" s="115" t="str">
        <f>IF(A895&lt;=DPS_Graph_Max,IF(A895&gt;=DPS_Graph_Speed_Min,A895,),)</f>
        <v/>
      </c>
      <c r="M895" s="213">
        <f>If(DPS_Weapon_Type="远程",$E895/60+$F895*2,$E895/60+$F895+$G895/2+$H895)</f>
        <v>0.04663120567</v>
      </c>
      <c r="N895" s="104" t="str">
        <f>IF(DPS_Graph_Tooltip_Speed=TRUE,IF($A895&lt;=DPS_Graph_Max,IF($A895&gt;=DPS_Graph_Speed_Min,1/M895,),),)</f>
        <v/>
      </c>
      <c r="R895" s="104" t="str">
        <f>IF(DPS_Graph_Tooltip_Speed=TRUE,IF($E$8=$A895,1/$N$6,),)</f>
        <v/>
      </c>
    </row>
    <row r="896">
      <c r="A896" s="370">
        <v>6.53</v>
      </c>
      <c r="B896" s="213">
        <f>If(DPS_Weapon_Type="远程",($E896+1)/60+(ROUNDDOWN($F896*60+1,0)/60)*2,(ROUNDDOWN(($E896+1)+ROUNDDOWN($F896*60+1,0)+ROUNDDOWN($G896/2*60+1,0)+ROUNDDOWN($H896*60+1,0)+1,0))/60+If(DPS_ATK_TYPE="挥砍",1/60)+If(DPS_ATK_TYPE="挥砍/刺击",1/120))+DPS_Weapon_Randomization/60</f>
        <v>0.105</v>
      </c>
      <c r="C896" s="104" t="str">
        <f>IF(DPS_Graph_True_Speed=TRUE,IF($A896&lt;=DPS_Graph_Max,IF($A896&gt;=DPS_Graph_Speed_Min,1/B896,),),)</f>
        <v/>
      </c>
      <c r="D896" s="115" t="str">
        <f>IF(DPS_Graph_True_Speed=TRUE,IF($E$8=$A896,DPS_Attacks_P_Sec,),)</f>
        <v/>
      </c>
      <c r="E896" s="222">
        <f>ROUNDDOWN(MAX(2,IF(A896&gt;=0, DPS_Base_Wpn_Spd/(1+A896),DPS_Base_Wpn_Spd*(1+ABS(A896)))),0)</f>
        <v>2</v>
      </c>
      <c r="F896" s="232">
        <f>IF(A896&gt;=0, DPS_Base_Recoil/(1+A896),DPS_Base_Recoil)</f>
        <v>0.006640106242</v>
      </c>
      <c r="G896" s="377">
        <f t="shared" si="7"/>
        <v>0.51</v>
      </c>
      <c r="H896" s="377">
        <f t="shared" si="8"/>
        <v>0.009713453133</v>
      </c>
      <c r="I896" s="104"/>
      <c r="J896" s="377">
        <f>MAX(0, Max(25,(DPS_Base_Range + ((DPS_Range_Stat) / 2))) / MIN(MAX(70, (70 * (1 + ($A896 / 3)))), 120))</f>
        <v>3.333333333</v>
      </c>
      <c r="K896" s="115" t="str">
        <f>IF(A896&lt;=DPS_Graph_Max,IF(A896&gt;=DPS_Graph_Speed_Min,A896,),)</f>
        <v/>
      </c>
      <c r="M896" s="213">
        <f>If(DPS_Weapon_Type="远程",$E896/60+$F896*2,$E896/60+$F896+$G896/2+$H896)</f>
        <v>0.04661354582</v>
      </c>
      <c r="N896" s="104" t="str">
        <f>IF(DPS_Graph_Tooltip_Speed=TRUE,IF($A896&lt;=DPS_Graph_Max,IF($A896&gt;=DPS_Graph_Speed_Min,1/M896,),),)</f>
        <v/>
      </c>
      <c r="R896" s="104" t="str">
        <f>IF(DPS_Graph_Tooltip_Speed=TRUE,IF($E$8=$A896,1/$N$6,),)</f>
        <v/>
      </c>
    </row>
    <row r="897">
      <c r="A897" s="370">
        <v>6.54</v>
      </c>
      <c r="B897" s="213">
        <f>If(DPS_Weapon_Type="远程",($E897+1)/60+(ROUNDDOWN($F897*60+1,0)/60)*2,(ROUNDDOWN(($E897+1)+ROUNDDOWN($F897*60+1,0)+ROUNDDOWN($G897/2*60+1,0)+ROUNDDOWN($H897*60+1,0)+1,0))/60+If(DPS_ATK_TYPE="挥砍",1/60)+If(DPS_ATK_TYPE="挥砍/刺击",1/120))+DPS_Weapon_Randomization/60</f>
        <v>0.105</v>
      </c>
      <c r="C897" s="104" t="str">
        <f>IF(DPS_Graph_True_Speed=TRUE,IF($A897&lt;=DPS_Graph_Max,IF($A897&gt;=DPS_Graph_Speed_Min,1/B897,),),)</f>
        <v/>
      </c>
      <c r="D897" s="115" t="str">
        <f>IF(DPS_Graph_True_Speed=TRUE,IF($E$8=$A897,DPS_Attacks_P_Sec,),)</f>
        <v/>
      </c>
      <c r="E897" s="222">
        <f>ROUNDDOWN(MAX(2,IF(A897&gt;=0, DPS_Base_Wpn_Spd/(1+A897),DPS_Base_Wpn_Spd*(1+ABS(A897)))),0)</f>
        <v>2</v>
      </c>
      <c r="F897" s="232">
        <f>IF(A897&gt;=0, DPS_Base_Recoil/(1+A897),DPS_Base_Recoil)</f>
        <v>0.006631299735</v>
      </c>
      <c r="G897" s="377">
        <f t="shared" si="7"/>
        <v>0.51</v>
      </c>
      <c r="H897" s="377">
        <f t="shared" si="8"/>
        <v>0.009699321048</v>
      </c>
      <c r="I897" s="104"/>
      <c r="J897" s="377">
        <f>MAX(0, Max(25,(DPS_Base_Range + ((DPS_Range_Stat) / 2))) / MIN(MAX(70, (70 * (1 + ($A897 / 3)))), 120))</f>
        <v>3.333333333</v>
      </c>
      <c r="K897" s="115" t="str">
        <f>IF(A897&lt;=DPS_Graph_Max,IF(A897&gt;=DPS_Graph_Speed_Min,A897,),)</f>
        <v/>
      </c>
      <c r="M897" s="213">
        <f>If(DPS_Weapon_Type="远程",$E897/60+$F897*2,$E897/60+$F897+$G897/2+$H897)</f>
        <v>0.0465959328</v>
      </c>
      <c r="N897" s="104" t="str">
        <f>IF(DPS_Graph_Tooltip_Speed=TRUE,IF($A897&lt;=DPS_Graph_Max,IF($A897&gt;=DPS_Graph_Speed_Min,1/M897,),),)</f>
        <v/>
      </c>
      <c r="R897" s="104" t="str">
        <f>IF(DPS_Graph_Tooltip_Speed=TRUE,IF($E$8=$A897,1/$N$6,),)</f>
        <v/>
      </c>
    </row>
    <row r="898">
      <c r="A898" s="370">
        <v>6.55</v>
      </c>
      <c r="B898" s="213">
        <f>If(DPS_Weapon_Type="远程",($E898+1)/60+(ROUNDDOWN($F898*60+1,0)/60)*2,(ROUNDDOWN(($E898+1)+ROUNDDOWN($F898*60+1,0)+ROUNDDOWN($G898/2*60+1,0)+ROUNDDOWN($H898*60+1,0)+1,0))/60+If(DPS_ATK_TYPE="挥砍",1/60)+If(DPS_ATK_TYPE="挥砍/刺击",1/120))+DPS_Weapon_Randomization/60</f>
        <v>0.105</v>
      </c>
      <c r="C898" s="104" t="str">
        <f>IF(DPS_Graph_True_Speed=TRUE,IF($A898&lt;=DPS_Graph_Max,IF($A898&gt;=DPS_Graph_Speed_Min,1/B898,),),)</f>
        <v/>
      </c>
      <c r="D898" s="115" t="str">
        <f>IF(DPS_Graph_True_Speed=TRUE,IF($E$8=$A898,DPS_Attacks_P_Sec,),)</f>
        <v/>
      </c>
      <c r="E898" s="222">
        <f>ROUNDDOWN(MAX(2,IF(A898&gt;=0, DPS_Base_Wpn_Spd/(1+A898),DPS_Base_Wpn_Spd*(1+ABS(A898)))),0)</f>
        <v>2</v>
      </c>
      <c r="F898" s="232">
        <f>IF(A898&gt;=0, DPS_Base_Recoil/(1+A898),DPS_Base_Recoil)</f>
        <v>0.006622516556</v>
      </c>
      <c r="G898" s="377">
        <f t="shared" si="7"/>
        <v>0.51</v>
      </c>
      <c r="H898" s="377">
        <f t="shared" si="8"/>
        <v>0.009685230024</v>
      </c>
      <c r="I898" s="104"/>
      <c r="J898" s="377">
        <f>MAX(0, Max(25,(DPS_Base_Range + ((DPS_Range_Stat) / 2))) / MIN(MAX(70, (70 * (1 + ($A898 / 3)))), 120))</f>
        <v>3.333333333</v>
      </c>
      <c r="K898" s="115" t="str">
        <f>IF(A898&lt;=DPS_Graph_Max,IF(A898&gt;=DPS_Graph_Speed_Min,A898,),)</f>
        <v/>
      </c>
      <c r="M898" s="213">
        <f>If(DPS_Weapon_Type="远程",$E898/60+$F898*2,$E898/60+$F898+$G898/2+$H898)</f>
        <v>0.04657836645</v>
      </c>
      <c r="N898" s="104" t="str">
        <f>IF(DPS_Graph_Tooltip_Speed=TRUE,IF($A898&lt;=DPS_Graph_Max,IF($A898&gt;=DPS_Graph_Speed_Min,1/M898,),),)</f>
        <v/>
      </c>
      <c r="R898" s="104" t="str">
        <f>IF(DPS_Graph_Tooltip_Speed=TRUE,IF($E$8=$A898,1/$N$6,),)</f>
        <v/>
      </c>
    </row>
    <row r="899">
      <c r="A899" s="370">
        <v>6.56</v>
      </c>
      <c r="B899" s="213">
        <f>If(DPS_Weapon_Type="远程",($E899+1)/60+(ROUNDDOWN($F899*60+1,0)/60)*2,(ROUNDDOWN(($E899+1)+ROUNDDOWN($F899*60+1,0)+ROUNDDOWN($G899/2*60+1,0)+ROUNDDOWN($H899*60+1,0)+1,0))/60+If(DPS_ATK_TYPE="挥砍",1/60)+If(DPS_ATK_TYPE="挥砍/刺击",1/120))+DPS_Weapon_Randomization/60</f>
        <v>0.105</v>
      </c>
      <c r="C899" s="104" t="str">
        <f>IF(DPS_Graph_True_Speed=TRUE,IF($A899&lt;=DPS_Graph_Max,IF($A899&gt;=DPS_Graph_Speed_Min,1/B899,),),)</f>
        <v/>
      </c>
      <c r="D899" s="115" t="str">
        <f>IF(DPS_Graph_True_Speed=TRUE,IF($E$8=$A899,DPS_Attacks_P_Sec,),)</f>
        <v/>
      </c>
      <c r="E899" s="222">
        <f>ROUNDDOWN(MAX(2,IF(A899&gt;=0, DPS_Base_Wpn_Spd/(1+A899),DPS_Base_Wpn_Spd*(1+ABS(A899)))),0)</f>
        <v>2</v>
      </c>
      <c r="F899" s="232">
        <f>IF(A899&gt;=0, DPS_Base_Recoil/(1+A899),DPS_Base_Recoil)</f>
        <v>0.006613756614</v>
      </c>
      <c r="G899" s="377">
        <f t="shared" si="7"/>
        <v>0.51</v>
      </c>
      <c r="H899" s="377">
        <f t="shared" si="8"/>
        <v>0.009671179884</v>
      </c>
      <c r="I899" s="104"/>
      <c r="J899" s="377">
        <f>MAX(0, Max(25,(DPS_Base_Range + ((DPS_Range_Stat) / 2))) / MIN(MAX(70, (70 * (1 + ($A899 / 3)))), 120))</f>
        <v>3.333333333</v>
      </c>
      <c r="K899" s="115" t="str">
        <f>IF(A899&lt;=DPS_Graph_Max,IF(A899&gt;=DPS_Graph_Speed_Min,A899,),)</f>
        <v/>
      </c>
      <c r="M899" s="213">
        <f>If(DPS_Weapon_Type="远程",$E899/60+$F899*2,$E899/60+$F899+$G899/2+$H899)</f>
        <v>0.04656084656</v>
      </c>
      <c r="N899" s="104" t="str">
        <f>IF(DPS_Graph_Tooltip_Speed=TRUE,IF($A899&lt;=DPS_Graph_Max,IF($A899&gt;=DPS_Graph_Speed_Min,1/M899,),),)</f>
        <v/>
      </c>
      <c r="R899" s="104" t="str">
        <f>IF(DPS_Graph_Tooltip_Speed=TRUE,IF($E$8=$A899,1/$N$6,),)</f>
        <v/>
      </c>
    </row>
    <row r="900">
      <c r="A900" s="370">
        <v>6.57</v>
      </c>
      <c r="B900" s="213">
        <f>If(DPS_Weapon_Type="远程",($E900+1)/60+(ROUNDDOWN($F900*60+1,0)/60)*2,(ROUNDDOWN(($E900+1)+ROUNDDOWN($F900*60+1,0)+ROUNDDOWN($G900/2*60+1,0)+ROUNDDOWN($H900*60+1,0)+1,0))/60+If(DPS_ATK_TYPE="挥砍",1/60)+If(DPS_ATK_TYPE="挥砍/刺击",1/120))+DPS_Weapon_Randomization/60</f>
        <v>0.105</v>
      </c>
      <c r="C900" s="104" t="str">
        <f>IF(DPS_Graph_True_Speed=TRUE,IF($A900&lt;=DPS_Graph_Max,IF($A900&gt;=DPS_Graph_Speed_Min,1/B900,),),)</f>
        <v/>
      </c>
      <c r="D900" s="115" t="str">
        <f>IF(DPS_Graph_True_Speed=TRUE,IF($E$8=$A900,DPS_Attacks_P_Sec,),)</f>
        <v/>
      </c>
      <c r="E900" s="222">
        <f>ROUNDDOWN(MAX(2,IF(A900&gt;=0, DPS_Base_Wpn_Spd/(1+A900),DPS_Base_Wpn_Spd*(1+ABS(A900)))),0)</f>
        <v>2</v>
      </c>
      <c r="F900" s="232">
        <f>IF(A900&gt;=0, DPS_Base_Recoil/(1+A900),DPS_Base_Recoil)</f>
        <v>0.006605019815</v>
      </c>
      <c r="G900" s="377">
        <f t="shared" si="7"/>
        <v>0.51</v>
      </c>
      <c r="H900" s="377">
        <f t="shared" si="8"/>
        <v>0.009657170449</v>
      </c>
      <c r="I900" s="104"/>
      <c r="J900" s="377">
        <f>MAX(0, Max(25,(DPS_Base_Range + ((DPS_Range_Stat) / 2))) / MIN(MAX(70, (70 * (1 + ($A900 / 3)))), 120))</f>
        <v>3.333333333</v>
      </c>
      <c r="K900" s="115" t="str">
        <f>IF(A900&lt;=DPS_Graph_Max,IF(A900&gt;=DPS_Graph_Speed_Min,A900,),)</f>
        <v/>
      </c>
      <c r="M900" s="213">
        <f>If(DPS_Weapon_Type="远程",$E900/60+$F900*2,$E900/60+$F900+$G900/2+$H900)</f>
        <v>0.04654337296</v>
      </c>
      <c r="N900" s="104" t="str">
        <f>IF(DPS_Graph_Tooltip_Speed=TRUE,IF($A900&lt;=DPS_Graph_Max,IF($A900&gt;=DPS_Graph_Speed_Min,1/M900,),),)</f>
        <v/>
      </c>
      <c r="R900" s="104" t="str">
        <f>IF(DPS_Graph_Tooltip_Speed=TRUE,IF($E$8=$A900,1/$N$6,),)</f>
        <v/>
      </c>
    </row>
    <row r="901">
      <c r="A901" s="370">
        <v>6.58</v>
      </c>
      <c r="B901" s="213">
        <f>If(DPS_Weapon_Type="远程",($E901+1)/60+(ROUNDDOWN($F901*60+1,0)/60)*2,(ROUNDDOWN(($E901+1)+ROUNDDOWN($F901*60+1,0)+ROUNDDOWN($G901/2*60+1,0)+ROUNDDOWN($H901*60+1,0)+1,0))/60+If(DPS_ATK_TYPE="挥砍",1/60)+If(DPS_ATK_TYPE="挥砍/刺击",1/120))+DPS_Weapon_Randomization/60</f>
        <v>0.105</v>
      </c>
      <c r="C901" s="104" t="str">
        <f>IF(DPS_Graph_True_Speed=TRUE,IF($A901&lt;=DPS_Graph_Max,IF($A901&gt;=DPS_Graph_Speed_Min,1/B901,),),)</f>
        <v/>
      </c>
      <c r="D901" s="115" t="str">
        <f>IF(DPS_Graph_True_Speed=TRUE,IF($E$8=$A901,DPS_Attacks_P_Sec,),)</f>
        <v/>
      </c>
      <c r="E901" s="222">
        <f>ROUNDDOWN(MAX(2,IF(A901&gt;=0, DPS_Base_Wpn_Spd/(1+A901),DPS_Base_Wpn_Spd*(1+ABS(A901)))),0)</f>
        <v>2</v>
      </c>
      <c r="F901" s="232">
        <f>IF(A901&gt;=0, DPS_Base_Recoil/(1+A901),DPS_Base_Recoil)</f>
        <v>0.006596306069</v>
      </c>
      <c r="G901" s="377">
        <f t="shared" si="7"/>
        <v>0.51</v>
      </c>
      <c r="H901" s="377">
        <f t="shared" si="8"/>
        <v>0.009643201543</v>
      </c>
      <c r="I901" s="104"/>
      <c r="J901" s="377">
        <f>MAX(0, Max(25,(DPS_Base_Range + ((DPS_Range_Stat) / 2))) / MIN(MAX(70, (70 * (1 + ($A901 / 3)))), 120))</f>
        <v>3.333333333</v>
      </c>
      <c r="K901" s="115" t="str">
        <f>IF(A901&lt;=DPS_Graph_Max,IF(A901&gt;=DPS_Graph_Speed_Min,A901,),)</f>
        <v/>
      </c>
      <c r="M901" s="213">
        <f>If(DPS_Weapon_Type="远程",$E901/60+$F901*2,$E901/60+$F901+$G901/2+$H901)</f>
        <v>0.04652594547</v>
      </c>
      <c r="N901" s="104" t="str">
        <f>IF(DPS_Graph_Tooltip_Speed=TRUE,IF($A901&lt;=DPS_Graph_Max,IF($A901&gt;=DPS_Graph_Speed_Min,1/M901,),),)</f>
        <v/>
      </c>
      <c r="R901" s="104" t="str">
        <f>IF(DPS_Graph_Tooltip_Speed=TRUE,IF($E$8=$A901,1/$N$6,),)</f>
        <v/>
      </c>
    </row>
    <row r="902">
      <c r="A902" s="370">
        <v>6.59</v>
      </c>
      <c r="B902" s="213">
        <f>If(DPS_Weapon_Type="远程",($E902+1)/60+(ROUNDDOWN($F902*60+1,0)/60)*2,(ROUNDDOWN(($E902+1)+ROUNDDOWN($F902*60+1,0)+ROUNDDOWN($G902/2*60+1,0)+ROUNDDOWN($H902*60+1,0)+1,0))/60+If(DPS_ATK_TYPE="挥砍",1/60)+If(DPS_ATK_TYPE="挥砍/刺击",1/120))+DPS_Weapon_Randomization/60</f>
        <v>0.105</v>
      </c>
      <c r="C902" s="104" t="str">
        <f>IF(DPS_Graph_True_Speed=TRUE,IF($A902&lt;=DPS_Graph_Max,IF($A902&gt;=DPS_Graph_Speed_Min,1/B902,),),)</f>
        <v/>
      </c>
      <c r="D902" s="115" t="str">
        <f>IF(DPS_Graph_True_Speed=TRUE,IF($E$8=$A902,DPS_Attacks_P_Sec,),)</f>
        <v/>
      </c>
      <c r="E902" s="222">
        <f>ROUNDDOWN(MAX(2,IF(A902&gt;=0, DPS_Base_Wpn_Spd/(1+A902),DPS_Base_Wpn_Spd*(1+ABS(A902)))),0)</f>
        <v>2</v>
      </c>
      <c r="F902" s="232">
        <f>IF(A902&gt;=0, DPS_Base_Recoil/(1+A902),DPS_Base_Recoil)</f>
        <v>0.006587615283</v>
      </c>
      <c r="G902" s="377">
        <f t="shared" si="7"/>
        <v>0.51</v>
      </c>
      <c r="H902" s="377">
        <f t="shared" si="8"/>
        <v>0.00962927299</v>
      </c>
      <c r="I902" s="104"/>
      <c r="J902" s="377">
        <f>MAX(0, Max(25,(DPS_Base_Range + ((DPS_Range_Stat) / 2))) / MIN(MAX(70, (70 * (1 + ($A902 / 3)))), 120))</f>
        <v>3.333333333</v>
      </c>
      <c r="K902" s="115" t="str">
        <f>IF(A902&lt;=DPS_Graph_Max,IF(A902&gt;=DPS_Graph_Speed_Min,A902,),)</f>
        <v/>
      </c>
      <c r="M902" s="213">
        <f>If(DPS_Weapon_Type="远程",$E902/60+$F902*2,$E902/60+$F902+$G902/2+$H902)</f>
        <v>0.0465085639</v>
      </c>
      <c r="N902" s="104" t="str">
        <f>IF(DPS_Graph_Tooltip_Speed=TRUE,IF($A902&lt;=DPS_Graph_Max,IF($A902&gt;=DPS_Graph_Speed_Min,1/M902,),),)</f>
        <v/>
      </c>
      <c r="R902" s="104" t="str">
        <f>IF(DPS_Graph_Tooltip_Speed=TRUE,IF($E$8=$A902,1/$N$6,),)</f>
        <v/>
      </c>
    </row>
    <row r="903">
      <c r="A903" s="370">
        <v>6.6</v>
      </c>
      <c r="B903" s="213">
        <f>If(DPS_Weapon_Type="远程",($E903+1)/60+(ROUNDDOWN($F903*60+1,0)/60)*2,(ROUNDDOWN(($E903+1)+ROUNDDOWN($F903*60+1,0)+ROUNDDOWN($G903/2*60+1,0)+ROUNDDOWN($H903*60+1,0)+1,0))/60+If(DPS_ATK_TYPE="挥砍",1/60)+If(DPS_ATK_TYPE="挥砍/刺击",1/120))+DPS_Weapon_Randomization/60</f>
        <v>0.105</v>
      </c>
      <c r="C903" s="104" t="str">
        <f>IF(DPS_Graph_True_Speed=TRUE,IF($A903&lt;=DPS_Graph_Max,IF($A903&gt;=DPS_Graph_Speed_Min,1/B903,),),)</f>
        <v/>
      </c>
      <c r="D903" s="115" t="str">
        <f>IF(DPS_Graph_True_Speed=TRUE,IF($E$8=$A903,DPS_Attacks_P_Sec,),)</f>
        <v/>
      </c>
      <c r="E903" s="222">
        <f>ROUNDDOWN(MAX(2,IF(A903&gt;=0, DPS_Base_Wpn_Spd/(1+A903),DPS_Base_Wpn_Spd*(1+ABS(A903)))),0)</f>
        <v>2</v>
      </c>
      <c r="F903" s="232">
        <f>IF(A903&gt;=0, DPS_Base_Recoil/(1+A903),DPS_Base_Recoil)</f>
        <v>0.006578947368</v>
      </c>
      <c r="G903" s="377">
        <f t="shared" si="7"/>
        <v>0.51</v>
      </c>
      <c r="H903" s="377">
        <f t="shared" si="8"/>
        <v>0.009615384615</v>
      </c>
      <c r="I903" s="104"/>
      <c r="J903" s="377">
        <f>MAX(0, Max(25,(DPS_Base_Range + ((DPS_Range_Stat) / 2))) / MIN(MAX(70, (70 * (1 + ($A903 / 3)))), 120))</f>
        <v>3.333333333</v>
      </c>
      <c r="K903" s="115" t="str">
        <f>IF(A903&lt;=DPS_Graph_Max,IF(A903&gt;=DPS_Graph_Speed_Min,A903,),)</f>
        <v/>
      </c>
      <c r="M903" s="213">
        <f>If(DPS_Weapon_Type="远程",$E903/60+$F903*2,$E903/60+$F903+$G903/2+$H903)</f>
        <v>0.04649122807</v>
      </c>
      <c r="N903" s="104" t="str">
        <f>IF(DPS_Graph_Tooltip_Speed=TRUE,IF($A903&lt;=DPS_Graph_Max,IF($A903&gt;=DPS_Graph_Speed_Min,1/M903,),),)</f>
        <v/>
      </c>
      <c r="R903" s="104" t="str">
        <f>IF(DPS_Graph_Tooltip_Speed=TRUE,IF($E$8=$A903,1/$N$6,),)</f>
        <v/>
      </c>
    </row>
    <row r="904">
      <c r="A904" s="370">
        <v>6.61</v>
      </c>
      <c r="B904" s="213">
        <f>If(DPS_Weapon_Type="远程",($E904+1)/60+(ROUNDDOWN($F904*60+1,0)/60)*2,(ROUNDDOWN(($E904+1)+ROUNDDOWN($F904*60+1,0)+ROUNDDOWN($G904/2*60+1,0)+ROUNDDOWN($H904*60+1,0)+1,0))/60+If(DPS_ATK_TYPE="挥砍",1/60)+If(DPS_ATK_TYPE="挥砍/刺击",1/120))+DPS_Weapon_Randomization/60</f>
        <v>0.105</v>
      </c>
      <c r="C904" s="104" t="str">
        <f>IF(DPS_Graph_True_Speed=TRUE,IF($A904&lt;=DPS_Graph_Max,IF($A904&gt;=DPS_Graph_Speed_Min,1/B904,),),)</f>
        <v/>
      </c>
      <c r="D904" s="115" t="str">
        <f>IF(DPS_Graph_True_Speed=TRUE,IF($E$8=$A904,DPS_Attacks_P_Sec,),)</f>
        <v/>
      </c>
      <c r="E904" s="222">
        <f>ROUNDDOWN(MAX(2,IF(A904&gt;=0, DPS_Base_Wpn_Spd/(1+A904),DPS_Base_Wpn_Spd*(1+ABS(A904)))),0)</f>
        <v>2</v>
      </c>
      <c r="F904" s="232">
        <f>IF(A904&gt;=0, DPS_Base_Recoil/(1+A904),DPS_Base_Recoil)</f>
        <v>0.006570302234</v>
      </c>
      <c r="G904" s="377">
        <f t="shared" si="7"/>
        <v>0.51</v>
      </c>
      <c r="H904" s="377">
        <f t="shared" si="8"/>
        <v>0.009601536246</v>
      </c>
      <c r="I904" s="104"/>
      <c r="J904" s="377">
        <f>MAX(0, Max(25,(DPS_Base_Range + ((DPS_Range_Stat) / 2))) / MIN(MAX(70, (70 * (1 + ($A904 / 3)))), 120))</f>
        <v>3.333333333</v>
      </c>
      <c r="K904" s="115" t="str">
        <f>IF(A904&lt;=DPS_Graph_Max,IF(A904&gt;=DPS_Graph_Speed_Min,A904,),)</f>
        <v/>
      </c>
      <c r="M904" s="213">
        <f>If(DPS_Weapon_Type="远程",$E904/60+$F904*2,$E904/60+$F904+$G904/2+$H904)</f>
        <v>0.0464739378</v>
      </c>
      <c r="N904" s="104" t="str">
        <f>IF(DPS_Graph_Tooltip_Speed=TRUE,IF($A904&lt;=DPS_Graph_Max,IF($A904&gt;=DPS_Graph_Speed_Min,1/M904,),),)</f>
        <v/>
      </c>
      <c r="R904" s="104" t="str">
        <f>IF(DPS_Graph_Tooltip_Speed=TRUE,IF($E$8=$A904,1/$N$6,),)</f>
        <v/>
      </c>
    </row>
    <row r="905">
      <c r="A905" s="370">
        <v>6.62</v>
      </c>
      <c r="B905" s="213">
        <f>If(DPS_Weapon_Type="远程",($E905+1)/60+(ROUNDDOWN($F905*60+1,0)/60)*2,(ROUNDDOWN(($E905+1)+ROUNDDOWN($F905*60+1,0)+ROUNDDOWN($G905/2*60+1,0)+ROUNDDOWN($H905*60+1,0)+1,0))/60+If(DPS_ATK_TYPE="挥砍",1/60)+If(DPS_ATK_TYPE="挥砍/刺击",1/120))+DPS_Weapon_Randomization/60</f>
        <v>0.105</v>
      </c>
      <c r="C905" s="104" t="str">
        <f>IF(DPS_Graph_True_Speed=TRUE,IF($A905&lt;=DPS_Graph_Max,IF($A905&gt;=DPS_Graph_Speed_Min,1/B905,),),)</f>
        <v/>
      </c>
      <c r="D905" s="115" t="str">
        <f>IF(DPS_Graph_True_Speed=TRUE,IF($E$8=$A905,DPS_Attacks_P_Sec,),)</f>
        <v/>
      </c>
      <c r="E905" s="222">
        <f>ROUNDDOWN(MAX(2,IF(A905&gt;=0, DPS_Base_Wpn_Spd/(1+A905),DPS_Base_Wpn_Spd*(1+ABS(A905)))),0)</f>
        <v>2</v>
      </c>
      <c r="F905" s="232">
        <f>IF(A905&gt;=0, DPS_Base_Recoil/(1+A905),DPS_Base_Recoil)</f>
        <v>0.00656167979</v>
      </c>
      <c r="G905" s="377">
        <f t="shared" si="7"/>
        <v>0.51</v>
      </c>
      <c r="H905" s="377">
        <f t="shared" si="8"/>
        <v>0.009587727709</v>
      </c>
      <c r="I905" s="104"/>
      <c r="J905" s="377">
        <f>MAX(0, Max(25,(DPS_Base_Range + ((DPS_Range_Stat) / 2))) / MIN(MAX(70, (70 * (1 + ($A905 / 3)))), 120))</f>
        <v>3.333333333</v>
      </c>
      <c r="K905" s="115" t="str">
        <f>IF(A905&lt;=DPS_Graph_Max,IF(A905&gt;=DPS_Graph_Speed_Min,A905,),)</f>
        <v/>
      </c>
      <c r="M905" s="213">
        <f>If(DPS_Weapon_Type="远程",$E905/60+$F905*2,$E905/60+$F905+$G905/2+$H905)</f>
        <v>0.04645669291</v>
      </c>
      <c r="N905" s="104" t="str">
        <f>IF(DPS_Graph_Tooltip_Speed=TRUE,IF($A905&lt;=DPS_Graph_Max,IF($A905&gt;=DPS_Graph_Speed_Min,1/M905,),),)</f>
        <v/>
      </c>
      <c r="R905" s="104" t="str">
        <f>IF(DPS_Graph_Tooltip_Speed=TRUE,IF($E$8=$A905,1/$N$6,),)</f>
        <v/>
      </c>
    </row>
    <row r="906">
      <c r="A906" s="370">
        <v>6.63</v>
      </c>
      <c r="B906" s="213">
        <f>If(DPS_Weapon_Type="远程",($E906+1)/60+(ROUNDDOWN($F906*60+1,0)/60)*2,(ROUNDDOWN(($E906+1)+ROUNDDOWN($F906*60+1,0)+ROUNDDOWN($G906/2*60+1,0)+ROUNDDOWN($H906*60+1,0)+1,0))/60+If(DPS_ATK_TYPE="挥砍",1/60)+If(DPS_ATK_TYPE="挥砍/刺击",1/120))+DPS_Weapon_Randomization/60</f>
        <v>0.105</v>
      </c>
      <c r="C906" s="104" t="str">
        <f>IF(DPS_Graph_True_Speed=TRUE,IF($A906&lt;=DPS_Graph_Max,IF($A906&gt;=DPS_Graph_Speed_Min,1/B906,),),)</f>
        <v/>
      </c>
      <c r="D906" s="115" t="str">
        <f>IF(DPS_Graph_True_Speed=TRUE,IF($E$8=$A906,DPS_Attacks_P_Sec,),)</f>
        <v/>
      </c>
      <c r="E906" s="222">
        <f>ROUNDDOWN(MAX(2,IF(A906&gt;=0, DPS_Base_Wpn_Spd/(1+A906),DPS_Base_Wpn_Spd*(1+ABS(A906)))),0)</f>
        <v>2</v>
      </c>
      <c r="F906" s="232">
        <f>IF(A906&gt;=0, DPS_Base_Recoil/(1+A906),DPS_Base_Recoil)</f>
        <v>0.006553079948</v>
      </c>
      <c r="G906" s="377">
        <f t="shared" si="7"/>
        <v>0.51</v>
      </c>
      <c r="H906" s="377">
        <f t="shared" si="8"/>
        <v>0.009573958832</v>
      </c>
      <c r="I906" s="104"/>
      <c r="J906" s="377">
        <f>MAX(0, Max(25,(DPS_Base_Range + ((DPS_Range_Stat) / 2))) / MIN(MAX(70, (70 * (1 + ($A906 / 3)))), 120))</f>
        <v>3.333333333</v>
      </c>
      <c r="K906" s="115" t="str">
        <f>IF(A906&lt;=DPS_Graph_Max,IF(A906&gt;=DPS_Graph_Speed_Min,A906,),)</f>
        <v/>
      </c>
      <c r="M906" s="213">
        <f>If(DPS_Weapon_Type="远程",$E906/60+$F906*2,$E906/60+$F906+$G906/2+$H906)</f>
        <v>0.04643949323</v>
      </c>
      <c r="N906" s="104" t="str">
        <f>IF(DPS_Graph_Tooltip_Speed=TRUE,IF($A906&lt;=DPS_Graph_Max,IF($A906&gt;=DPS_Graph_Speed_Min,1/M906,),),)</f>
        <v/>
      </c>
      <c r="R906" s="104" t="str">
        <f>IF(DPS_Graph_Tooltip_Speed=TRUE,IF($E$8=$A906,1/$N$6,),)</f>
        <v/>
      </c>
    </row>
    <row r="907">
      <c r="A907" s="370">
        <v>6.64</v>
      </c>
      <c r="B907" s="213">
        <f>If(DPS_Weapon_Type="远程",($E907+1)/60+(ROUNDDOWN($F907*60+1,0)/60)*2,(ROUNDDOWN(($E907+1)+ROUNDDOWN($F907*60+1,0)+ROUNDDOWN($G907/2*60+1,0)+ROUNDDOWN($H907*60+1,0)+1,0))/60+If(DPS_ATK_TYPE="挥砍",1/60)+If(DPS_ATK_TYPE="挥砍/刺击",1/120))+DPS_Weapon_Randomization/60</f>
        <v>0.105</v>
      </c>
      <c r="C907" s="104" t="str">
        <f>IF(DPS_Graph_True_Speed=TRUE,IF($A907&lt;=DPS_Graph_Max,IF($A907&gt;=DPS_Graph_Speed_Min,1/B907,),),)</f>
        <v/>
      </c>
      <c r="D907" s="115" t="str">
        <f>IF(DPS_Graph_True_Speed=TRUE,IF($E$8=$A907,DPS_Attacks_P_Sec,),)</f>
        <v/>
      </c>
      <c r="E907" s="222">
        <f>ROUNDDOWN(MAX(2,IF(A907&gt;=0, DPS_Base_Wpn_Spd/(1+A907),DPS_Base_Wpn_Spd*(1+ABS(A907)))),0)</f>
        <v>2</v>
      </c>
      <c r="F907" s="232">
        <f>IF(A907&gt;=0, DPS_Base_Recoil/(1+A907),DPS_Base_Recoil)</f>
        <v>0.006544502618</v>
      </c>
      <c r="G907" s="377">
        <f t="shared" si="7"/>
        <v>0.51</v>
      </c>
      <c r="H907" s="377">
        <f t="shared" si="8"/>
        <v>0.009560229446</v>
      </c>
      <c r="I907" s="104"/>
      <c r="J907" s="377">
        <f>MAX(0, Max(25,(DPS_Base_Range + ((DPS_Range_Stat) / 2))) / MIN(MAX(70, (70 * (1 + ($A907 / 3)))), 120))</f>
        <v>3.333333333</v>
      </c>
      <c r="K907" s="115" t="str">
        <f>IF(A907&lt;=DPS_Graph_Max,IF(A907&gt;=DPS_Graph_Speed_Min,A907,),)</f>
        <v/>
      </c>
      <c r="M907" s="213">
        <f>If(DPS_Weapon_Type="远程",$E907/60+$F907*2,$E907/60+$F907+$G907/2+$H907)</f>
        <v>0.04642233857</v>
      </c>
      <c r="N907" s="104" t="str">
        <f>IF(DPS_Graph_Tooltip_Speed=TRUE,IF($A907&lt;=DPS_Graph_Max,IF($A907&gt;=DPS_Graph_Speed_Min,1/M907,),),)</f>
        <v/>
      </c>
      <c r="R907" s="104" t="str">
        <f>IF(DPS_Graph_Tooltip_Speed=TRUE,IF($E$8=$A907,1/$N$6,),)</f>
        <v/>
      </c>
    </row>
    <row r="908">
      <c r="A908" s="370">
        <v>6.65</v>
      </c>
      <c r="B908" s="213">
        <f>If(DPS_Weapon_Type="远程",($E908+1)/60+(ROUNDDOWN($F908*60+1,0)/60)*2,(ROUNDDOWN(($E908+1)+ROUNDDOWN($F908*60+1,0)+ROUNDDOWN($G908/2*60+1,0)+ROUNDDOWN($H908*60+1,0)+1,0))/60+If(DPS_ATK_TYPE="挥砍",1/60)+If(DPS_ATK_TYPE="挥砍/刺击",1/120))+DPS_Weapon_Randomization/60</f>
        <v>0.105</v>
      </c>
      <c r="C908" s="104" t="str">
        <f>IF(DPS_Graph_True_Speed=TRUE,IF($A908&lt;=DPS_Graph_Max,IF($A908&gt;=DPS_Graph_Speed_Min,1/B908,),),)</f>
        <v/>
      </c>
      <c r="D908" s="115" t="str">
        <f>IF(DPS_Graph_True_Speed=TRUE,IF($E$8=$A908,DPS_Attacks_P_Sec,),)</f>
        <v/>
      </c>
      <c r="E908" s="222">
        <f>ROUNDDOWN(MAX(2,IF(A908&gt;=0, DPS_Base_Wpn_Spd/(1+A908),DPS_Base_Wpn_Spd*(1+ABS(A908)))),0)</f>
        <v>2</v>
      </c>
      <c r="F908" s="232">
        <f>IF(A908&gt;=0, DPS_Base_Recoil/(1+A908),DPS_Base_Recoil)</f>
        <v>0.006535947712</v>
      </c>
      <c r="G908" s="377">
        <f t="shared" si="7"/>
        <v>0.51</v>
      </c>
      <c r="H908" s="377">
        <f t="shared" si="8"/>
        <v>0.009546539379</v>
      </c>
      <c r="I908" s="104"/>
      <c r="J908" s="377">
        <f>MAX(0, Max(25,(DPS_Base_Range + ((DPS_Range_Stat) / 2))) / MIN(MAX(70, (70 * (1 + ($A908 / 3)))), 120))</f>
        <v>3.333333333</v>
      </c>
      <c r="K908" s="115" t="str">
        <f>IF(A908&lt;=DPS_Graph_Max,IF(A908&gt;=DPS_Graph_Speed_Min,A908,),)</f>
        <v/>
      </c>
      <c r="M908" s="213">
        <f>If(DPS_Weapon_Type="远程",$E908/60+$F908*2,$E908/60+$F908+$G908/2+$H908)</f>
        <v>0.04640522876</v>
      </c>
      <c r="N908" s="104" t="str">
        <f>IF(DPS_Graph_Tooltip_Speed=TRUE,IF($A908&lt;=DPS_Graph_Max,IF($A908&gt;=DPS_Graph_Speed_Min,1/M908,),),)</f>
        <v/>
      </c>
      <c r="R908" s="104" t="str">
        <f>IF(DPS_Graph_Tooltip_Speed=TRUE,IF($E$8=$A908,1/$N$6,),)</f>
        <v/>
      </c>
    </row>
    <row r="909">
      <c r="A909" s="370">
        <v>6.66</v>
      </c>
      <c r="B909" s="213">
        <f>If(DPS_Weapon_Type="远程",($E909+1)/60+(ROUNDDOWN($F909*60+1,0)/60)*2,(ROUNDDOWN(($E909+1)+ROUNDDOWN($F909*60+1,0)+ROUNDDOWN($G909/2*60+1,0)+ROUNDDOWN($H909*60+1,0)+1,0))/60+If(DPS_ATK_TYPE="挥砍",1/60)+If(DPS_ATK_TYPE="挥砍/刺击",1/120))+DPS_Weapon_Randomization/60</f>
        <v>0.105</v>
      </c>
      <c r="C909" s="104" t="str">
        <f>IF(DPS_Graph_True_Speed=TRUE,IF($A909&lt;=DPS_Graph_Max,IF($A909&gt;=DPS_Graph_Speed_Min,1/B909,),),)</f>
        <v/>
      </c>
      <c r="D909" s="115" t="str">
        <f>IF(DPS_Graph_True_Speed=TRUE,IF($E$8=$A909,DPS_Attacks_P_Sec,),)</f>
        <v/>
      </c>
      <c r="E909" s="222">
        <f>ROUNDDOWN(MAX(2,IF(A909&gt;=0, DPS_Base_Wpn_Spd/(1+A909),DPS_Base_Wpn_Spd*(1+ABS(A909)))),0)</f>
        <v>2</v>
      </c>
      <c r="F909" s="232">
        <f>IF(A909&gt;=0, DPS_Base_Recoil/(1+A909),DPS_Base_Recoil)</f>
        <v>0.006527415144</v>
      </c>
      <c r="G909" s="377">
        <f t="shared" si="7"/>
        <v>0.51</v>
      </c>
      <c r="H909" s="377">
        <f t="shared" si="8"/>
        <v>0.009532888465</v>
      </c>
      <c r="I909" s="104"/>
      <c r="J909" s="377">
        <f>MAX(0, Max(25,(DPS_Base_Range + ((DPS_Range_Stat) / 2))) / MIN(MAX(70, (70 * (1 + ($A909 / 3)))), 120))</f>
        <v>3.333333333</v>
      </c>
      <c r="K909" s="115" t="str">
        <f>IF(A909&lt;=DPS_Graph_Max,IF(A909&gt;=DPS_Graph_Speed_Min,A909,),)</f>
        <v/>
      </c>
      <c r="M909" s="213">
        <f>If(DPS_Weapon_Type="远程",$E909/60+$F909*2,$E909/60+$F909+$G909/2+$H909)</f>
        <v>0.04638816362</v>
      </c>
      <c r="N909" s="104" t="str">
        <f>IF(DPS_Graph_Tooltip_Speed=TRUE,IF($A909&lt;=DPS_Graph_Max,IF($A909&gt;=DPS_Graph_Speed_Min,1/M909,),),)</f>
        <v/>
      </c>
      <c r="R909" s="104" t="str">
        <f>IF(DPS_Graph_Tooltip_Speed=TRUE,IF($E$8=$A909,1/$N$6,),)</f>
        <v/>
      </c>
    </row>
    <row r="910">
      <c r="A910" s="370">
        <v>6.67</v>
      </c>
      <c r="B910" s="213">
        <f>If(DPS_Weapon_Type="远程",($E910+1)/60+(ROUNDDOWN($F910*60+1,0)/60)*2,(ROUNDDOWN(($E910+1)+ROUNDDOWN($F910*60+1,0)+ROUNDDOWN($G910/2*60+1,0)+ROUNDDOWN($H910*60+1,0)+1,0))/60+If(DPS_ATK_TYPE="挥砍",1/60)+If(DPS_ATK_TYPE="挥砍/刺击",1/120))+DPS_Weapon_Randomization/60</f>
        <v>0.105</v>
      </c>
      <c r="C910" s="104" t="str">
        <f>IF(DPS_Graph_True_Speed=TRUE,IF($A910&lt;=DPS_Graph_Max,IF($A910&gt;=DPS_Graph_Speed_Min,1/B910,),),)</f>
        <v/>
      </c>
      <c r="D910" s="115" t="str">
        <f>IF(DPS_Graph_True_Speed=TRUE,IF($E$8=$A910,DPS_Attacks_P_Sec,),)</f>
        <v/>
      </c>
      <c r="E910" s="222">
        <f>ROUNDDOWN(MAX(2,IF(A910&gt;=0, DPS_Base_Wpn_Spd/(1+A910),DPS_Base_Wpn_Spd*(1+ABS(A910)))),0)</f>
        <v>2</v>
      </c>
      <c r="F910" s="232">
        <f>IF(A910&gt;=0, DPS_Base_Recoil/(1+A910),DPS_Base_Recoil)</f>
        <v>0.006518904824</v>
      </c>
      <c r="G910" s="377">
        <f t="shared" si="7"/>
        <v>0.51</v>
      </c>
      <c r="H910" s="377">
        <f t="shared" si="8"/>
        <v>0.009519276535</v>
      </c>
      <c r="I910" s="104"/>
      <c r="J910" s="377">
        <f>MAX(0, Max(25,(DPS_Base_Range + ((DPS_Range_Stat) / 2))) / MIN(MAX(70, (70 * (1 + ($A910 / 3)))), 120))</f>
        <v>3.333333333</v>
      </c>
      <c r="K910" s="115" t="str">
        <f>IF(A910&lt;=DPS_Graph_Max,IF(A910&gt;=DPS_Graph_Speed_Min,A910,),)</f>
        <v/>
      </c>
      <c r="M910" s="213">
        <f>If(DPS_Weapon_Type="远程",$E910/60+$F910*2,$E910/60+$F910+$G910/2+$H910)</f>
        <v>0.04637114298</v>
      </c>
      <c r="N910" s="104" t="str">
        <f>IF(DPS_Graph_Tooltip_Speed=TRUE,IF($A910&lt;=DPS_Graph_Max,IF($A910&gt;=DPS_Graph_Speed_Min,1/M910,),),)</f>
        <v/>
      </c>
      <c r="R910" s="104" t="str">
        <f>IF(DPS_Graph_Tooltip_Speed=TRUE,IF($E$8=$A910,1/$N$6,),)</f>
        <v/>
      </c>
    </row>
    <row r="911">
      <c r="A911" s="370">
        <v>6.68</v>
      </c>
      <c r="B911" s="213">
        <f>If(DPS_Weapon_Type="远程",($E911+1)/60+(ROUNDDOWN($F911*60+1,0)/60)*2,(ROUNDDOWN(($E911+1)+ROUNDDOWN($F911*60+1,0)+ROUNDDOWN($G911/2*60+1,0)+ROUNDDOWN($H911*60+1,0)+1,0))/60+If(DPS_ATK_TYPE="挥砍",1/60)+If(DPS_ATK_TYPE="挥砍/刺击",1/120))+DPS_Weapon_Randomization/60</f>
        <v>0.105</v>
      </c>
      <c r="C911" s="104" t="str">
        <f>IF(DPS_Graph_True_Speed=TRUE,IF($A911&lt;=DPS_Graph_Max,IF($A911&gt;=DPS_Graph_Speed_Min,1/B911,),),)</f>
        <v/>
      </c>
      <c r="D911" s="115" t="str">
        <f>IF(DPS_Graph_True_Speed=TRUE,IF($E$8=$A911,DPS_Attacks_P_Sec,),)</f>
        <v/>
      </c>
      <c r="E911" s="222">
        <f>ROUNDDOWN(MAX(2,IF(A911&gt;=0, DPS_Base_Wpn_Spd/(1+A911),DPS_Base_Wpn_Spd*(1+ABS(A911)))),0)</f>
        <v>2</v>
      </c>
      <c r="F911" s="232">
        <f>IF(A911&gt;=0, DPS_Base_Recoil/(1+A911),DPS_Base_Recoil)</f>
        <v>0.006510416667</v>
      </c>
      <c r="G911" s="377">
        <f t="shared" si="7"/>
        <v>0.51</v>
      </c>
      <c r="H911" s="377">
        <f t="shared" si="8"/>
        <v>0.009505703422</v>
      </c>
      <c r="I911" s="104"/>
      <c r="J911" s="377">
        <f>MAX(0, Max(25,(DPS_Base_Range + ((DPS_Range_Stat) / 2))) / MIN(MAX(70, (70 * (1 + ($A911 / 3)))), 120))</f>
        <v>3.333333333</v>
      </c>
      <c r="K911" s="115" t="str">
        <f>IF(A911&lt;=DPS_Graph_Max,IF(A911&gt;=DPS_Graph_Speed_Min,A911,),)</f>
        <v/>
      </c>
      <c r="M911" s="213">
        <f>If(DPS_Weapon_Type="远程",$E911/60+$F911*2,$E911/60+$F911+$G911/2+$H911)</f>
        <v>0.04635416667</v>
      </c>
      <c r="N911" s="104" t="str">
        <f>IF(DPS_Graph_Tooltip_Speed=TRUE,IF($A911&lt;=DPS_Graph_Max,IF($A911&gt;=DPS_Graph_Speed_Min,1/M911,),),)</f>
        <v/>
      </c>
      <c r="R911" s="104" t="str">
        <f>IF(DPS_Graph_Tooltip_Speed=TRUE,IF($E$8=$A911,1/$N$6,),)</f>
        <v/>
      </c>
    </row>
    <row r="912">
      <c r="A912" s="370">
        <v>6.69</v>
      </c>
      <c r="B912" s="213">
        <f>If(DPS_Weapon_Type="远程",($E912+1)/60+(ROUNDDOWN($F912*60+1,0)/60)*2,(ROUNDDOWN(($E912+1)+ROUNDDOWN($F912*60+1,0)+ROUNDDOWN($G912/2*60+1,0)+ROUNDDOWN($H912*60+1,0)+1,0))/60+If(DPS_ATK_TYPE="挥砍",1/60)+If(DPS_ATK_TYPE="挥砍/刺击",1/120))+DPS_Weapon_Randomization/60</f>
        <v>0.105</v>
      </c>
      <c r="C912" s="104" t="str">
        <f>IF(DPS_Graph_True_Speed=TRUE,IF($A912&lt;=DPS_Graph_Max,IF($A912&gt;=DPS_Graph_Speed_Min,1/B912,),),)</f>
        <v/>
      </c>
      <c r="D912" s="115" t="str">
        <f>IF(DPS_Graph_True_Speed=TRUE,IF($E$8=$A912,DPS_Attacks_P_Sec,),)</f>
        <v/>
      </c>
      <c r="E912" s="222">
        <f>ROUNDDOWN(MAX(2,IF(A912&gt;=0, DPS_Base_Wpn_Spd/(1+A912),DPS_Base_Wpn_Spd*(1+ABS(A912)))),0)</f>
        <v>2</v>
      </c>
      <c r="F912" s="232">
        <f>IF(A912&gt;=0, DPS_Base_Recoil/(1+A912),DPS_Base_Recoil)</f>
        <v>0.006501950585</v>
      </c>
      <c r="G912" s="377">
        <f t="shared" si="7"/>
        <v>0.51</v>
      </c>
      <c r="H912" s="377">
        <f t="shared" si="8"/>
        <v>0.009492168961</v>
      </c>
      <c r="I912" s="104"/>
      <c r="J912" s="377">
        <f>MAX(0, Max(25,(DPS_Base_Range + ((DPS_Range_Stat) / 2))) / MIN(MAX(70, (70 * (1 + ($A912 / 3)))), 120))</f>
        <v>3.333333333</v>
      </c>
      <c r="K912" s="115" t="str">
        <f>IF(A912&lt;=DPS_Graph_Max,IF(A912&gt;=DPS_Graph_Speed_Min,A912,),)</f>
        <v/>
      </c>
      <c r="M912" s="213">
        <f>If(DPS_Weapon_Type="远程",$E912/60+$F912*2,$E912/60+$F912+$G912/2+$H912)</f>
        <v>0.0463372345</v>
      </c>
      <c r="N912" s="104" t="str">
        <f>IF(DPS_Graph_Tooltip_Speed=TRUE,IF($A912&lt;=DPS_Graph_Max,IF($A912&gt;=DPS_Graph_Speed_Min,1/M912,),),)</f>
        <v/>
      </c>
      <c r="R912" s="104" t="str">
        <f>IF(DPS_Graph_Tooltip_Speed=TRUE,IF($E$8=$A912,1/$N$6,),)</f>
        <v/>
      </c>
    </row>
    <row r="913">
      <c r="A913" s="370">
        <v>6.7</v>
      </c>
      <c r="B913" s="213">
        <f>If(DPS_Weapon_Type="远程",($E913+1)/60+(ROUNDDOWN($F913*60+1,0)/60)*2,(ROUNDDOWN(($E913+1)+ROUNDDOWN($F913*60+1,0)+ROUNDDOWN($G913/2*60+1,0)+ROUNDDOWN($H913*60+1,0)+1,0))/60+If(DPS_ATK_TYPE="挥砍",1/60)+If(DPS_ATK_TYPE="挥砍/刺击",1/120))+DPS_Weapon_Randomization/60</f>
        <v>0.105</v>
      </c>
      <c r="C913" s="104" t="str">
        <f>IF(DPS_Graph_True_Speed=TRUE,IF($A913&lt;=DPS_Graph_Max,IF($A913&gt;=DPS_Graph_Speed_Min,1/B913,),),)</f>
        <v/>
      </c>
      <c r="D913" s="115" t="str">
        <f>IF(DPS_Graph_True_Speed=TRUE,IF($E$8=$A913,DPS_Attacks_P_Sec,),)</f>
        <v/>
      </c>
      <c r="E913" s="222">
        <f>ROUNDDOWN(MAX(2,IF(A913&gt;=0, DPS_Base_Wpn_Spd/(1+A913),DPS_Base_Wpn_Spd*(1+ABS(A913)))),0)</f>
        <v>2</v>
      </c>
      <c r="F913" s="232">
        <f>IF(A913&gt;=0, DPS_Base_Recoil/(1+A913),DPS_Base_Recoil)</f>
        <v>0.006493506494</v>
      </c>
      <c r="G913" s="377">
        <f t="shared" si="7"/>
        <v>0.51</v>
      </c>
      <c r="H913" s="377">
        <f t="shared" si="8"/>
        <v>0.009478672986</v>
      </c>
      <c r="I913" s="104"/>
      <c r="J913" s="377">
        <f>MAX(0, Max(25,(DPS_Base_Range + ((DPS_Range_Stat) / 2))) / MIN(MAX(70, (70 * (1 + ($A913 / 3)))), 120))</f>
        <v>3.333333333</v>
      </c>
      <c r="K913" s="115" t="str">
        <f>IF(A913&lt;=DPS_Graph_Max,IF(A913&gt;=DPS_Graph_Speed_Min,A913,),)</f>
        <v/>
      </c>
      <c r="M913" s="213">
        <f>If(DPS_Weapon_Type="远程",$E913/60+$F913*2,$E913/60+$F913+$G913/2+$H913)</f>
        <v>0.04632034632</v>
      </c>
      <c r="N913" s="104" t="str">
        <f>IF(DPS_Graph_Tooltip_Speed=TRUE,IF($A913&lt;=DPS_Graph_Max,IF($A913&gt;=DPS_Graph_Speed_Min,1/M913,),),)</f>
        <v/>
      </c>
      <c r="R913" s="104" t="str">
        <f>IF(DPS_Graph_Tooltip_Speed=TRUE,IF($E$8=$A913,1/$N$6,),)</f>
        <v/>
      </c>
    </row>
    <row r="914">
      <c r="A914" s="370">
        <v>6.71</v>
      </c>
      <c r="B914" s="213">
        <f>If(DPS_Weapon_Type="远程",($E914+1)/60+(ROUNDDOWN($F914*60+1,0)/60)*2,(ROUNDDOWN(($E914+1)+ROUNDDOWN($F914*60+1,0)+ROUNDDOWN($G914/2*60+1,0)+ROUNDDOWN($H914*60+1,0)+1,0))/60+If(DPS_ATK_TYPE="挥砍",1/60)+If(DPS_ATK_TYPE="挥砍/刺击",1/120))+DPS_Weapon_Randomization/60</f>
        <v>0.105</v>
      </c>
      <c r="C914" s="104" t="str">
        <f>IF(DPS_Graph_True_Speed=TRUE,IF($A914&lt;=DPS_Graph_Max,IF($A914&gt;=DPS_Graph_Speed_Min,1/B914,),),)</f>
        <v/>
      </c>
      <c r="D914" s="115" t="str">
        <f>IF(DPS_Graph_True_Speed=TRUE,IF($E$8=$A914,DPS_Attacks_P_Sec,),)</f>
        <v/>
      </c>
      <c r="E914" s="222">
        <f>ROUNDDOWN(MAX(2,IF(A914&gt;=0, DPS_Base_Wpn_Spd/(1+A914),DPS_Base_Wpn_Spd*(1+ABS(A914)))),0)</f>
        <v>2</v>
      </c>
      <c r="F914" s="232">
        <f>IF(A914&gt;=0, DPS_Base_Recoil/(1+A914),DPS_Base_Recoil)</f>
        <v>0.006485084306</v>
      </c>
      <c r="G914" s="377">
        <f t="shared" si="7"/>
        <v>0.51</v>
      </c>
      <c r="H914" s="377">
        <f t="shared" si="8"/>
        <v>0.009465215334</v>
      </c>
      <c r="I914" s="104"/>
      <c r="J914" s="377">
        <f>MAX(0, Max(25,(DPS_Base_Range + ((DPS_Range_Stat) / 2))) / MIN(MAX(70, (70 * (1 + ($A914 / 3)))), 120))</f>
        <v>3.333333333</v>
      </c>
      <c r="K914" s="115" t="str">
        <f>IF(A914&lt;=DPS_Graph_Max,IF(A914&gt;=DPS_Graph_Speed_Min,A914,),)</f>
        <v/>
      </c>
      <c r="M914" s="213">
        <f>If(DPS_Weapon_Type="远程",$E914/60+$F914*2,$E914/60+$F914+$G914/2+$H914)</f>
        <v>0.04630350195</v>
      </c>
      <c r="N914" s="104" t="str">
        <f>IF(DPS_Graph_Tooltip_Speed=TRUE,IF($A914&lt;=DPS_Graph_Max,IF($A914&gt;=DPS_Graph_Speed_Min,1/M914,),),)</f>
        <v/>
      </c>
      <c r="R914" s="104" t="str">
        <f>IF(DPS_Graph_Tooltip_Speed=TRUE,IF($E$8=$A914,1/$N$6,),)</f>
        <v/>
      </c>
    </row>
    <row r="915">
      <c r="A915" s="370">
        <v>6.72</v>
      </c>
      <c r="B915" s="213">
        <f>If(DPS_Weapon_Type="远程",($E915+1)/60+(ROUNDDOWN($F915*60+1,0)/60)*2,(ROUNDDOWN(($E915+1)+ROUNDDOWN($F915*60+1,0)+ROUNDDOWN($G915/2*60+1,0)+ROUNDDOWN($H915*60+1,0)+1,0))/60+If(DPS_ATK_TYPE="挥砍",1/60)+If(DPS_ATK_TYPE="挥砍/刺击",1/120))+DPS_Weapon_Randomization/60</f>
        <v>0.105</v>
      </c>
      <c r="C915" s="104" t="str">
        <f>IF(DPS_Graph_True_Speed=TRUE,IF($A915&lt;=DPS_Graph_Max,IF($A915&gt;=DPS_Graph_Speed_Min,1/B915,),),)</f>
        <v/>
      </c>
      <c r="D915" s="115" t="str">
        <f>IF(DPS_Graph_True_Speed=TRUE,IF($E$8=$A915,DPS_Attacks_P_Sec,),)</f>
        <v/>
      </c>
      <c r="E915" s="222">
        <f>ROUNDDOWN(MAX(2,IF(A915&gt;=0, DPS_Base_Wpn_Spd/(1+A915),DPS_Base_Wpn_Spd*(1+ABS(A915)))),0)</f>
        <v>2</v>
      </c>
      <c r="F915" s="232">
        <f>IF(A915&gt;=0, DPS_Base_Recoil/(1+A915),DPS_Base_Recoil)</f>
        <v>0.006476683938</v>
      </c>
      <c r="G915" s="377">
        <f t="shared" si="7"/>
        <v>0.51</v>
      </c>
      <c r="H915" s="377">
        <f t="shared" si="8"/>
        <v>0.009451795841</v>
      </c>
      <c r="I915" s="104"/>
      <c r="J915" s="377">
        <f>MAX(0, Max(25,(DPS_Base_Range + ((DPS_Range_Stat) / 2))) / MIN(MAX(70, (70 * (1 + ($A915 / 3)))), 120))</f>
        <v>3.333333333</v>
      </c>
      <c r="K915" s="115" t="str">
        <f>IF(A915&lt;=DPS_Graph_Max,IF(A915&gt;=DPS_Graph_Speed_Min,A915,),)</f>
        <v/>
      </c>
      <c r="M915" s="213">
        <f>If(DPS_Weapon_Type="远程",$E915/60+$F915*2,$E915/60+$F915+$G915/2+$H915)</f>
        <v>0.04628670121</v>
      </c>
      <c r="N915" s="104" t="str">
        <f>IF(DPS_Graph_Tooltip_Speed=TRUE,IF($A915&lt;=DPS_Graph_Max,IF($A915&gt;=DPS_Graph_Speed_Min,1/M915,),),)</f>
        <v/>
      </c>
      <c r="R915" s="104" t="str">
        <f>IF(DPS_Graph_Tooltip_Speed=TRUE,IF($E$8=$A915,1/$N$6,),)</f>
        <v/>
      </c>
    </row>
    <row r="916">
      <c r="A916" s="370">
        <v>6.73</v>
      </c>
      <c r="B916" s="213">
        <f>If(DPS_Weapon_Type="远程",($E916+1)/60+(ROUNDDOWN($F916*60+1,0)/60)*2,(ROUNDDOWN(($E916+1)+ROUNDDOWN($F916*60+1,0)+ROUNDDOWN($G916/2*60+1,0)+ROUNDDOWN($H916*60+1,0)+1,0))/60+If(DPS_ATK_TYPE="挥砍",1/60)+If(DPS_ATK_TYPE="挥砍/刺击",1/120))+DPS_Weapon_Randomization/60</f>
        <v>0.105</v>
      </c>
      <c r="C916" s="104" t="str">
        <f>IF(DPS_Graph_True_Speed=TRUE,IF($A916&lt;=DPS_Graph_Max,IF($A916&gt;=DPS_Graph_Speed_Min,1/B916,),),)</f>
        <v/>
      </c>
      <c r="D916" s="115" t="str">
        <f>IF(DPS_Graph_True_Speed=TRUE,IF($E$8=$A916,DPS_Attacks_P_Sec,),)</f>
        <v/>
      </c>
      <c r="E916" s="222">
        <f>ROUNDDOWN(MAX(2,IF(A916&gt;=0, DPS_Base_Wpn_Spd/(1+A916),DPS_Base_Wpn_Spd*(1+ABS(A916)))),0)</f>
        <v>2</v>
      </c>
      <c r="F916" s="232">
        <f>IF(A916&gt;=0, DPS_Base_Recoil/(1+A916),DPS_Base_Recoil)</f>
        <v>0.006468305304</v>
      </c>
      <c r="G916" s="377">
        <f t="shared" si="7"/>
        <v>0.51</v>
      </c>
      <c r="H916" s="377">
        <f t="shared" si="8"/>
        <v>0.009438414346</v>
      </c>
      <c r="I916" s="104"/>
      <c r="J916" s="377">
        <f>MAX(0, Max(25,(DPS_Base_Range + ((DPS_Range_Stat) / 2))) / MIN(MAX(70, (70 * (1 + ($A916 / 3)))), 120))</f>
        <v>3.333333333</v>
      </c>
      <c r="K916" s="115" t="str">
        <f>IF(A916&lt;=DPS_Graph_Max,IF(A916&gt;=DPS_Graph_Speed_Min,A916,),)</f>
        <v/>
      </c>
      <c r="M916" s="213">
        <f>If(DPS_Weapon_Type="远程",$E916/60+$F916*2,$E916/60+$F916+$G916/2+$H916)</f>
        <v>0.04626994394</v>
      </c>
      <c r="N916" s="104" t="str">
        <f>IF(DPS_Graph_Tooltip_Speed=TRUE,IF($A916&lt;=DPS_Graph_Max,IF($A916&gt;=DPS_Graph_Speed_Min,1/M916,),),)</f>
        <v/>
      </c>
      <c r="R916" s="104" t="str">
        <f>IF(DPS_Graph_Tooltip_Speed=TRUE,IF($E$8=$A916,1/$N$6,),)</f>
        <v/>
      </c>
    </row>
    <row r="917">
      <c r="A917" s="370">
        <v>6.74</v>
      </c>
      <c r="B917" s="213">
        <f>If(DPS_Weapon_Type="远程",($E917+1)/60+(ROUNDDOWN($F917*60+1,0)/60)*2,(ROUNDDOWN(($E917+1)+ROUNDDOWN($F917*60+1,0)+ROUNDDOWN($G917/2*60+1,0)+ROUNDDOWN($H917*60+1,0)+1,0))/60+If(DPS_ATK_TYPE="挥砍",1/60)+If(DPS_ATK_TYPE="挥砍/刺击",1/120))+DPS_Weapon_Randomization/60</f>
        <v>0.105</v>
      </c>
      <c r="C917" s="104" t="str">
        <f>IF(DPS_Graph_True_Speed=TRUE,IF($A917&lt;=DPS_Graph_Max,IF($A917&gt;=DPS_Graph_Speed_Min,1/B917,),),)</f>
        <v/>
      </c>
      <c r="D917" s="115" t="str">
        <f>IF(DPS_Graph_True_Speed=TRUE,IF($E$8=$A917,DPS_Attacks_P_Sec,),)</f>
        <v/>
      </c>
      <c r="E917" s="222">
        <f>ROUNDDOWN(MAX(2,IF(A917&gt;=0, DPS_Base_Wpn_Spd/(1+A917),DPS_Base_Wpn_Spd*(1+ABS(A917)))),0)</f>
        <v>2</v>
      </c>
      <c r="F917" s="232">
        <f>IF(A917&gt;=0, DPS_Base_Recoil/(1+A917),DPS_Base_Recoil)</f>
        <v>0.00645994832</v>
      </c>
      <c r="G917" s="377">
        <f t="shared" si="7"/>
        <v>0.51</v>
      </c>
      <c r="H917" s="377">
        <f t="shared" si="8"/>
        <v>0.009425070688</v>
      </c>
      <c r="I917" s="104"/>
      <c r="J917" s="377">
        <f>MAX(0, Max(25,(DPS_Base_Range + ((DPS_Range_Stat) / 2))) / MIN(MAX(70, (70 * (1 + ($A917 / 3)))), 120))</f>
        <v>3.333333333</v>
      </c>
      <c r="K917" s="115" t="str">
        <f>IF(A917&lt;=DPS_Graph_Max,IF(A917&gt;=DPS_Graph_Speed_Min,A917,),)</f>
        <v/>
      </c>
      <c r="M917" s="213">
        <f>If(DPS_Weapon_Type="远程",$E917/60+$F917*2,$E917/60+$F917+$G917/2+$H917)</f>
        <v>0.04625322997</v>
      </c>
      <c r="N917" s="104" t="str">
        <f>IF(DPS_Graph_Tooltip_Speed=TRUE,IF($A917&lt;=DPS_Graph_Max,IF($A917&gt;=DPS_Graph_Speed_Min,1/M917,),),)</f>
        <v/>
      </c>
      <c r="R917" s="104" t="str">
        <f>IF(DPS_Graph_Tooltip_Speed=TRUE,IF($E$8=$A917,1/$N$6,),)</f>
        <v/>
      </c>
    </row>
    <row r="918">
      <c r="A918" s="370">
        <v>6.75</v>
      </c>
      <c r="B918" s="213">
        <f>If(DPS_Weapon_Type="远程",($E918+1)/60+(ROUNDDOWN($F918*60+1,0)/60)*2,(ROUNDDOWN(($E918+1)+ROUNDDOWN($F918*60+1,0)+ROUNDDOWN($G918/2*60+1,0)+ROUNDDOWN($H918*60+1,0)+1,0))/60+If(DPS_ATK_TYPE="挥砍",1/60)+If(DPS_ATK_TYPE="挥砍/刺击",1/120))+DPS_Weapon_Randomization/60</f>
        <v>0.105</v>
      </c>
      <c r="C918" s="104" t="str">
        <f>IF(DPS_Graph_True_Speed=TRUE,IF($A918&lt;=DPS_Graph_Max,IF($A918&gt;=DPS_Graph_Speed_Min,1/B918,),),)</f>
        <v/>
      </c>
      <c r="D918" s="115" t="str">
        <f>IF(DPS_Graph_True_Speed=TRUE,IF($E$8=$A918,DPS_Attacks_P_Sec,),)</f>
        <v/>
      </c>
      <c r="E918" s="222">
        <f>ROUNDDOWN(MAX(2,IF(A918&gt;=0, DPS_Base_Wpn_Spd/(1+A918),DPS_Base_Wpn_Spd*(1+ABS(A918)))),0)</f>
        <v>2</v>
      </c>
      <c r="F918" s="232">
        <f>IF(A918&gt;=0, DPS_Base_Recoil/(1+A918),DPS_Base_Recoil)</f>
        <v>0.006451612903</v>
      </c>
      <c r="G918" s="377">
        <f t="shared" si="7"/>
        <v>0.51</v>
      </c>
      <c r="H918" s="377">
        <f t="shared" si="8"/>
        <v>0.009411764706</v>
      </c>
      <c r="I918" s="104"/>
      <c r="J918" s="377">
        <f>MAX(0, Max(25,(DPS_Base_Range + ((DPS_Range_Stat) / 2))) / MIN(MAX(70, (70 * (1 + ($A918 / 3)))), 120))</f>
        <v>3.333333333</v>
      </c>
      <c r="K918" s="115" t="str">
        <f>IF(A918&lt;=DPS_Graph_Max,IF(A918&gt;=DPS_Graph_Speed_Min,A918,),)</f>
        <v/>
      </c>
      <c r="M918" s="213">
        <f>If(DPS_Weapon_Type="远程",$E918/60+$F918*2,$E918/60+$F918+$G918/2+$H918)</f>
        <v>0.04623655914</v>
      </c>
      <c r="N918" s="104" t="str">
        <f>IF(DPS_Graph_Tooltip_Speed=TRUE,IF($A918&lt;=DPS_Graph_Max,IF($A918&gt;=DPS_Graph_Speed_Min,1/M918,),),)</f>
        <v/>
      </c>
      <c r="R918" s="104" t="str">
        <f>IF(DPS_Graph_Tooltip_Speed=TRUE,IF($E$8=$A918,1/$N$6,),)</f>
        <v/>
      </c>
    </row>
    <row r="919">
      <c r="A919" s="370">
        <v>6.76</v>
      </c>
      <c r="B919" s="213">
        <f>If(DPS_Weapon_Type="远程",($E919+1)/60+(ROUNDDOWN($F919*60+1,0)/60)*2,(ROUNDDOWN(($E919+1)+ROUNDDOWN($F919*60+1,0)+ROUNDDOWN($G919/2*60+1,0)+ROUNDDOWN($H919*60+1,0)+1,0))/60+If(DPS_ATK_TYPE="挥砍",1/60)+If(DPS_ATK_TYPE="挥砍/刺击",1/120))+DPS_Weapon_Randomization/60</f>
        <v>0.105</v>
      </c>
      <c r="C919" s="104" t="str">
        <f>IF(DPS_Graph_True_Speed=TRUE,IF($A919&lt;=DPS_Graph_Max,IF($A919&gt;=DPS_Graph_Speed_Min,1/B919,),),)</f>
        <v/>
      </c>
      <c r="D919" s="115" t="str">
        <f>IF(DPS_Graph_True_Speed=TRUE,IF($E$8=$A919,DPS_Attacks_P_Sec,),)</f>
        <v/>
      </c>
      <c r="E919" s="222">
        <f>ROUNDDOWN(MAX(2,IF(A919&gt;=0, DPS_Base_Wpn_Spd/(1+A919),DPS_Base_Wpn_Spd*(1+ABS(A919)))),0)</f>
        <v>2</v>
      </c>
      <c r="F919" s="232">
        <f>IF(A919&gt;=0, DPS_Base_Recoil/(1+A919),DPS_Base_Recoil)</f>
        <v>0.006443298969</v>
      </c>
      <c r="G919" s="377">
        <f t="shared" si="7"/>
        <v>0.51</v>
      </c>
      <c r="H919" s="377">
        <f t="shared" si="8"/>
        <v>0.009398496241</v>
      </c>
      <c r="I919" s="104"/>
      <c r="J919" s="377">
        <f>MAX(0, Max(25,(DPS_Base_Range + ((DPS_Range_Stat) / 2))) / MIN(MAX(70, (70 * (1 + ($A919 / 3)))), 120))</f>
        <v>3.333333333</v>
      </c>
      <c r="K919" s="115" t="str">
        <f>IF(A919&lt;=DPS_Graph_Max,IF(A919&gt;=DPS_Graph_Speed_Min,A919,),)</f>
        <v/>
      </c>
      <c r="M919" s="213">
        <f>If(DPS_Weapon_Type="远程",$E919/60+$F919*2,$E919/60+$F919+$G919/2+$H919)</f>
        <v>0.04621993127</v>
      </c>
      <c r="N919" s="104" t="str">
        <f>IF(DPS_Graph_Tooltip_Speed=TRUE,IF($A919&lt;=DPS_Graph_Max,IF($A919&gt;=DPS_Graph_Speed_Min,1/M919,),),)</f>
        <v/>
      </c>
      <c r="R919" s="104" t="str">
        <f>IF(DPS_Graph_Tooltip_Speed=TRUE,IF($E$8=$A919,1/$N$6,),)</f>
        <v/>
      </c>
    </row>
    <row r="920">
      <c r="A920" s="370">
        <v>6.77</v>
      </c>
      <c r="B920" s="213">
        <f>If(DPS_Weapon_Type="远程",($E920+1)/60+(ROUNDDOWN($F920*60+1,0)/60)*2,(ROUNDDOWN(($E920+1)+ROUNDDOWN($F920*60+1,0)+ROUNDDOWN($G920/2*60+1,0)+ROUNDDOWN($H920*60+1,0)+1,0))/60+If(DPS_ATK_TYPE="挥砍",1/60)+If(DPS_ATK_TYPE="挥砍/刺击",1/120))+DPS_Weapon_Randomization/60</f>
        <v>0.105</v>
      </c>
      <c r="C920" s="104" t="str">
        <f>IF(DPS_Graph_True_Speed=TRUE,IF($A920&lt;=DPS_Graph_Max,IF($A920&gt;=DPS_Graph_Speed_Min,1/B920,),),)</f>
        <v/>
      </c>
      <c r="D920" s="115" t="str">
        <f>IF(DPS_Graph_True_Speed=TRUE,IF($E$8=$A920,DPS_Attacks_P_Sec,),)</f>
        <v/>
      </c>
      <c r="E920" s="222">
        <f>ROUNDDOWN(MAX(2,IF(A920&gt;=0, DPS_Base_Wpn_Spd/(1+A920),DPS_Base_Wpn_Spd*(1+ABS(A920)))),0)</f>
        <v>2</v>
      </c>
      <c r="F920" s="232">
        <f>IF(A920&gt;=0, DPS_Base_Recoil/(1+A920),DPS_Base_Recoil)</f>
        <v>0.006435006435</v>
      </c>
      <c r="G920" s="377">
        <f t="shared" si="7"/>
        <v>0.51</v>
      </c>
      <c r="H920" s="377">
        <f t="shared" si="8"/>
        <v>0.009385265134</v>
      </c>
      <c r="I920" s="104"/>
      <c r="J920" s="377">
        <f>MAX(0, Max(25,(DPS_Base_Range + ((DPS_Range_Stat) / 2))) / MIN(MAX(70, (70 * (1 + ($A920 / 3)))), 120))</f>
        <v>3.333333333</v>
      </c>
      <c r="K920" s="115" t="str">
        <f>IF(A920&lt;=DPS_Graph_Max,IF(A920&gt;=DPS_Graph_Speed_Min,A920,),)</f>
        <v/>
      </c>
      <c r="M920" s="213">
        <f>If(DPS_Weapon_Type="远程",$E920/60+$F920*2,$E920/60+$F920+$G920/2+$H920)</f>
        <v>0.0462033462</v>
      </c>
      <c r="N920" s="104" t="str">
        <f>IF(DPS_Graph_Tooltip_Speed=TRUE,IF($A920&lt;=DPS_Graph_Max,IF($A920&gt;=DPS_Graph_Speed_Min,1/M920,),),)</f>
        <v/>
      </c>
      <c r="R920" s="104" t="str">
        <f>IF(DPS_Graph_Tooltip_Speed=TRUE,IF($E$8=$A920,1/$N$6,),)</f>
        <v/>
      </c>
    </row>
    <row r="921">
      <c r="A921" s="370">
        <v>6.78</v>
      </c>
      <c r="B921" s="213">
        <f>If(DPS_Weapon_Type="远程",($E921+1)/60+(ROUNDDOWN($F921*60+1,0)/60)*2,(ROUNDDOWN(($E921+1)+ROUNDDOWN($F921*60+1,0)+ROUNDDOWN($G921/2*60+1,0)+ROUNDDOWN($H921*60+1,0)+1,0))/60+If(DPS_ATK_TYPE="挥砍",1/60)+If(DPS_ATK_TYPE="挥砍/刺击",1/120))+DPS_Weapon_Randomization/60</f>
        <v>0.105</v>
      </c>
      <c r="C921" s="104" t="str">
        <f>IF(DPS_Graph_True_Speed=TRUE,IF($A921&lt;=DPS_Graph_Max,IF($A921&gt;=DPS_Graph_Speed_Min,1/B921,),),)</f>
        <v/>
      </c>
      <c r="D921" s="115" t="str">
        <f>IF(DPS_Graph_True_Speed=TRUE,IF($E$8=$A921,DPS_Attacks_P_Sec,),)</f>
        <v/>
      </c>
      <c r="E921" s="222">
        <f>ROUNDDOWN(MAX(2,IF(A921&gt;=0, DPS_Base_Wpn_Spd/(1+A921),DPS_Base_Wpn_Spd*(1+ABS(A921)))),0)</f>
        <v>2</v>
      </c>
      <c r="F921" s="232">
        <f>IF(A921&gt;=0, DPS_Base_Recoil/(1+A921),DPS_Base_Recoil)</f>
        <v>0.006426735219</v>
      </c>
      <c r="G921" s="377">
        <f t="shared" si="7"/>
        <v>0.51</v>
      </c>
      <c r="H921" s="377">
        <f t="shared" si="8"/>
        <v>0.009372071228</v>
      </c>
      <c r="I921" s="104"/>
      <c r="J921" s="377">
        <f>MAX(0, Max(25,(DPS_Base_Range + ((DPS_Range_Stat) / 2))) / MIN(MAX(70, (70 * (1 + ($A921 / 3)))), 120))</f>
        <v>3.333333333</v>
      </c>
      <c r="K921" s="115" t="str">
        <f>IF(A921&lt;=DPS_Graph_Max,IF(A921&gt;=DPS_Graph_Speed_Min,A921,),)</f>
        <v/>
      </c>
      <c r="M921" s="213">
        <f>If(DPS_Weapon_Type="远程",$E921/60+$F921*2,$E921/60+$F921+$G921/2+$H921)</f>
        <v>0.04618680377</v>
      </c>
      <c r="N921" s="104" t="str">
        <f>IF(DPS_Graph_Tooltip_Speed=TRUE,IF($A921&lt;=DPS_Graph_Max,IF($A921&gt;=DPS_Graph_Speed_Min,1/M921,),),)</f>
        <v/>
      </c>
      <c r="R921" s="104" t="str">
        <f>IF(DPS_Graph_Tooltip_Speed=TRUE,IF($E$8=$A921,1/$N$6,),)</f>
        <v/>
      </c>
    </row>
    <row r="922">
      <c r="A922" s="370">
        <v>6.79</v>
      </c>
      <c r="B922" s="213">
        <f>If(DPS_Weapon_Type="远程",($E922+1)/60+(ROUNDDOWN($F922*60+1,0)/60)*2,(ROUNDDOWN(($E922+1)+ROUNDDOWN($F922*60+1,0)+ROUNDDOWN($G922/2*60+1,0)+ROUNDDOWN($H922*60+1,0)+1,0))/60+If(DPS_ATK_TYPE="挥砍",1/60)+If(DPS_ATK_TYPE="挥砍/刺击",1/120))+DPS_Weapon_Randomization/60</f>
        <v>0.105</v>
      </c>
      <c r="C922" s="104" t="str">
        <f>IF(DPS_Graph_True_Speed=TRUE,IF($A922&lt;=DPS_Graph_Max,IF($A922&gt;=DPS_Graph_Speed_Min,1/B922,),),)</f>
        <v/>
      </c>
      <c r="D922" s="115" t="str">
        <f>IF(DPS_Graph_True_Speed=TRUE,IF($E$8=$A922,DPS_Attacks_P_Sec,),)</f>
        <v/>
      </c>
      <c r="E922" s="222">
        <f>ROUNDDOWN(MAX(2,IF(A922&gt;=0, DPS_Base_Wpn_Spd/(1+A922),DPS_Base_Wpn_Spd*(1+ABS(A922)))),0)</f>
        <v>2</v>
      </c>
      <c r="F922" s="232">
        <f>IF(A922&gt;=0, DPS_Base_Recoil/(1+A922),DPS_Base_Recoil)</f>
        <v>0.006418485237</v>
      </c>
      <c r="G922" s="377">
        <f t="shared" si="7"/>
        <v>0.51</v>
      </c>
      <c r="H922" s="377">
        <f t="shared" si="8"/>
        <v>0.009358914366</v>
      </c>
      <c r="I922" s="104"/>
      <c r="J922" s="377">
        <f>MAX(0, Max(25,(DPS_Base_Range + ((DPS_Range_Stat) / 2))) / MIN(MAX(70, (70 * (1 + ($A922 / 3)))), 120))</f>
        <v>3.333333333</v>
      </c>
      <c r="K922" s="115" t="str">
        <f>IF(A922&lt;=DPS_Graph_Max,IF(A922&gt;=DPS_Graph_Speed_Min,A922,),)</f>
        <v/>
      </c>
      <c r="M922" s="213">
        <f>If(DPS_Weapon_Type="远程",$E922/60+$F922*2,$E922/60+$F922+$G922/2+$H922)</f>
        <v>0.04617030381</v>
      </c>
      <c r="N922" s="104" t="str">
        <f>IF(DPS_Graph_Tooltip_Speed=TRUE,IF($A922&lt;=DPS_Graph_Max,IF($A922&gt;=DPS_Graph_Speed_Min,1/M922,),),)</f>
        <v/>
      </c>
      <c r="R922" s="104" t="str">
        <f>IF(DPS_Graph_Tooltip_Speed=TRUE,IF($E$8=$A922,1/$N$6,),)</f>
        <v/>
      </c>
    </row>
    <row r="923">
      <c r="A923" s="370">
        <v>6.8</v>
      </c>
      <c r="B923" s="213">
        <f>If(DPS_Weapon_Type="远程",($E923+1)/60+(ROUNDDOWN($F923*60+1,0)/60)*2,(ROUNDDOWN(($E923+1)+ROUNDDOWN($F923*60+1,0)+ROUNDDOWN($G923/2*60+1,0)+ROUNDDOWN($H923*60+1,0)+1,0))/60+If(DPS_ATK_TYPE="挥砍",1/60)+If(DPS_ATK_TYPE="挥砍/刺击",1/120))+DPS_Weapon_Randomization/60</f>
        <v>0.105</v>
      </c>
      <c r="C923" s="104" t="str">
        <f>IF(DPS_Graph_True_Speed=TRUE,IF($A923&lt;=DPS_Graph_Max,IF($A923&gt;=DPS_Graph_Speed_Min,1/B923,),),)</f>
        <v/>
      </c>
      <c r="D923" s="115" t="str">
        <f>IF(DPS_Graph_True_Speed=TRUE,IF($E$8=$A923,DPS_Attacks_P_Sec,),)</f>
        <v/>
      </c>
      <c r="E923" s="222">
        <f>ROUNDDOWN(MAX(2,IF(A923&gt;=0, DPS_Base_Wpn_Spd/(1+A923),DPS_Base_Wpn_Spd*(1+ABS(A923)))),0)</f>
        <v>2</v>
      </c>
      <c r="F923" s="232">
        <f>IF(A923&gt;=0, DPS_Base_Recoil/(1+A923),DPS_Base_Recoil)</f>
        <v>0.00641025641</v>
      </c>
      <c r="G923" s="377">
        <f t="shared" si="7"/>
        <v>0.51</v>
      </c>
      <c r="H923" s="377">
        <f t="shared" si="8"/>
        <v>0.009345794393</v>
      </c>
      <c r="I923" s="104"/>
      <c r="J923" s="377">
        <f>MAX(0, Max(25,(DPS_Base_Range + ((DPS_Range_Stat) / 2))) / MIN(MAX(70, (70 * (1 + ($A923 / 3)))), 120))</f>
        <v>3.333333333</v>
      </c>
      <c r="K923" s="115" t="str">
        <f>IF(A923&lt;=DPS_Graph_Max,IF(A923&gt;=DPS_Graph_Speed_Min,A923,),)</f>
        <v/>
      </c>
      <c r="M923" s="213">
        <f>If(DPS_Weapon_Type="远程",$E923/60+$F923*2,$E923/60+$F923+$G923/2+$H923)</f>
        <v>0.04615384615</v>
      </c>
      <c r="N923" s="104" t="str">
        <f>IF(DPS_Graph_Tooltip_Speed=TRUE,IF($A923&lt;=DPS_Graph_Max,IF($A923&gt;=DPS_Graph_Speed_Min,1/M923,),),)</f>
        <v/>
      </c>
      <c r="R923" s="104" t="str">
        <f>IF(DPS_Graph_Tooltip_Speed=TRUE,IF($E$8=$A923,1/$N$6,),)</f>
        <v/>
      </c>
    </row>
    <row r="924">
      <c r="A924" s="370">
        <v>6.81</v>
      </c>
      <c r="B924" s="213">
        <f>If(DPS_Weapon_Type="远程",($E924+1)/60+(ROUNDDOWN($F924*60+1,0)/60)*2,(ROUNDDOWN(($E924+1)+ROUNDDOWN($F924*60+1,0)+ROUNDDOWN($G924/2*60+1,0)+ROUNDDOWN($H924*60+1,0)+1,0))/60+If(DPS_ATK_TYPE="挥砍",1/60)+If(DPS_ATK_TYPE="挥砍/刺击",1/120))+DPS_Weapon_Randomization/60</f>
        <v>0.105</v>
      </c>
      <c r="C924" s="104" t="str">
        <f>IF(DPS_Graph_True_Speed=TRUE,IF($A924&lt;=DPS_Graph_Max,IF($A924&gt;=DPS_Graph_Speed_Min,1/B924,),),)</f>
        <v/>
      </c>
      <c r="D924" s="115" t="str">
        <f>IF(DPS_Graph_True_Speed=TRUE,IF($E$8=$A924,DPS_Attacks_P_Sec,),)</f>
        <v/>
      </c>
      <c r="E924" s="222">
        <f>ROUNDDOWN(MAX(2,IF(A924&gt;=0, DPS_Base_Wpn_Spd/(1+A924),DPS_Base_Wpn_Spd*(1+ABS(A924)))),0)</f>
        <v>2</v>
      </c>
      <c r="F924" s="232">
        <f>IF(A924&gt;=0, DPS_Base_Recoil/(1+A924),DPS_Base_Recoil)</f>
        <v>0.006402048656</v>
      </c>
      <c r="G924" s="377">
        <f t="shared" si="7"/>
        <v>0.51</v>
      </c>
      <c r="H924" s="377">
        <f t="shared" si="8"/>
        <v>0.009332711153</v>
      </c>
      <c r="I924" s="104"/>
      <c r="J924" s="377">
        <f>MAX(0, Max(25,(DPS_Base_Range + ((DPS_Range_Stat) / 2))) / MIN(MAX(70, (70 * (1 + ($A924 / 3)))), 120))</f>
        <v>3.333333333</v>
      </c>
      <c r="K924" s="115" t="str">
        <f>IF(A924&lt;=DPS_Graph_Max,IF(A924&gt;=DPS_Graph_Speed_Min,A924,),)</f>
        <v/>
      </c>
      <c r="M924" s="213">
        <f>If(DPS_Weapon_Type="远程",$E924/60+$F924*2,$E924/60+$F924+$G924/2+$H924)</f>
        <v>0.04613743064</v>
      </c>
      <c r="N924" s="104" t="str">
        <f>IF(DPS_Graph_Tooltip_Speed=TRUE,IF($A924&lt;=DPS_Graph_Max,IF($A924&gt;=DPS_Graph_Speed_Min,1/M924,),),)</f>
        <v/>
      </c>
      <c r="R924" s="104" t="str">
        <f>IF(DPS_Graph_Tooltip_Speed=TRUE,IF($E$8=$A924,1/$N$6,),)</f>
        <v/>
      </c>
    </row>
    <row r="925">
      <c r="A925" s="370">
        <v>6.82</v>
      </c>
      <c r="B925" s="213">
        <f>If(DPS_Weapon_Type="远程",($E925+1)/60+(ROUNDDOWN($F925*60+1,0)/60)*2,(ROUNDDOWN(($E925+1)+ROUNDDOWN($F925*60+1,0)+ROUNDDOWN($G925/2*60+1,0)+ROUNDDOWN($H925*60+1,0)+1,0))/60+If(DPS_ATK_TYPE="挥砍",1/60)+If(DPS_ATK_TYPE="挥砍/刺击",1/120))+DPS_Weapon_Randomization/60</f>
        <v>0.105</v>
      </c>
      <c r="C925" s="104" t="str">
        <f>IF(DPS_Graph_True_Speed=TRUE,IF($A925&lt;=DPS_Graph_Max,IF($A925&gt;=DPS_Graph_Speed_Min,1/B925,),),)</f>
        <v/>
      </c>
      <c r="D925" s="115" t="str">
        <f>IF(DPS_Graph_True_Speed=TRUE,IF($E$8=$A925,DPS_Attacks_P_Sec,),)</f>
        <v/>
      </c>
      <c r="E925" s="222">
        <f>ROUNDDOWN(MAX(2,IF(A925&gt;=0, DPS_Base_Wpn_Spd/(1+A925),DPS_Base_Wpn_Spd*(1+ABS(A925)))),0)</f>
        <v>2</v>
      </c>
      <c r="F925" s="232">
        <f>IF(A925&gt;=0, DPS_Base_Recoil/(1+A925),DPS_Base_Recoil)</f>
        <v>0.006393861893</v>
      </c>
      <c r="G925" s="377">
        <f t="shared" si="7"/>
        <v>0.51</v>
      </c>
      <c r="H925" s="377">
        <f t="shared" si="8"/>
        <v>0.009319664492</v>
      </c>
      <c r="I925" s="104"/>
      <c r="J925" s="377">
        <f>MAX(0, Max(25,(DPS_Base_Range + ((DPS_Range_Stat) / 2))) / MIN(MAX(70, (70 * (1 + ($A925 / 3)))), 120))</f>
        <v>3.333333333</v>
      </c>
      <c r="K925" s="115" t="str">
        <f>IF(A925&lt;=DPS_Graph_Max,IF(A925&gt;=DPS_Graph_Speed_Min,A925,),)</f>
        <v/>
      </c>
      <c r="M925" s="213">
        <f>If(DPS_Weapon_Type="远程",$E925/60+$F925*2,$E925/60+$F925+$G925/2+$H925)</f>
        <v>0.04612105712</v>
      </c>
      <c r="N925" s="104" t="str">
        <f>IF(DPS_Graph_Tooltip_Speed=TRUE,IF($A925&lt;=DPS_Graph_Max,IF($A925&gt;=DPS_Graph_Speed_Min,1/M925,),),)</f>
        <v/>
      </c>
      <c r="R925" s="104" t="str">
        <f>IF(DPS_Graph_Tooltip_Speed=TRUE,IF($E$8=$A925,1/$N$6,),)</f>
        <v/>
      </c>
    </row>
    <row r="926">
      <c r="A926" s="370">
        <v>6.83</v>
      </c>
      <c r="B926" s="213">
        <f>If(DPS_Weapon_Type="远程",($E926+1)/60+(ROUNDDOWN($F926*60+1,0)/60)*2,(ROUNDDOWN(($E926+1)+ROUNDDOWN($F926*60+1,0)+ROUNDDOWN($G926/2*60+1,0)+ROUNDDOWN($H926*60+1,0)+1,0))/60+If(DPS_ATK_TYPE="挥砍",1/60)+If(DPS_ATK_TYPE="挥砍/刺击",1/120))+DPS_Weapon_Randomization/60</f>
        <v>0.105</v>
      </c>
      <c r="C926" s="104" t="str">
        <f>IF(DPS_Graph_True_Speed=TRUE,IF($A926&lt;=DPS_Graph_Max,IF($A926&gt;=DPS_Graph_Speed_Min,1/B926,),),)</f>
        <v/>
      </c>
      <c r="D926" s="115" t="str">
        <f>IF(DPS_Graph_True_Speed=TRUE,IF($E$8=$A926,DPS_Attacks_P_Sec,),)</f>
        <v/>
      </c>
      <c r="E926" s="222">
        <f>ROUNDDOWN(MAX(2,IF(A926&gt;=0, DPS_Base_Wpn_Spd/(1+A926),DPS_Base_Wpn_Spd*(1+ABS(A926)))),0)</f>
        <v>2</v>
      </c>
      <c r="F926" s="232">
        <f>IF(A926&gt;=0, DPS_Base_Recoil/(1+A926),DPS_Base_Recoil)</f>
        <v>0.006385696041</v>
      </c>
      <c r="G926" s="377">
        <f t="shared" si="7"/>
        <v>0.51</v>
      </c>
      <c r="H926" s="377">
        <f t="shared" si="8"/>
        <v>0.009306654258</v>
      </c>
      <c r="I926" s="104"/>
      <c r="J926" s="377">
        <f>MAX(0, Max(25,(DPS_Base_Range + ((DPS_Range_Stat) / 2))) / MIN(MAX(70, (70 * (1 + ($A926 / 3)))), 120))</f>
        <v>3.333333333</v>
      </c>
      <c r="K926" s="115" t="str">
        <f>IF(A926&lt;=DPS_Graph_Max,IF(A926&gt;=DPS_Graph_Speed_Min,A926,),)</f>
        <v/>
      </c>
      <c r="M926" s="213">
        <f>If(DPS_Weapon_Type="远程",$E926/60+$F926*2,$E926/60+$F926+$G926/2+$H926)</f>
        <v>0.04610472542</v>
      </c>
      <c r="N926" s="104" t="str">
        <f>IF(DPS_Graph_Tooltip_Speed=TRUE,IF($A926&lt;=DPS_Graph_Max,IF($A926&gt;=DPS_Graph_Speed_Min,1/M926,),),)</f>
        <v/>
      </c>
      <c r="R926" s="104" t="str">
        <f>IF(DPS_Graph_Tooltip_Speed=TRUE,IF($E$8=$A926,1/$N$6,),)</f>
        <v/>
      </c>
    </row>
    <row r="927">
      <c r="A927" s="370">
        <v>6.84</v>
      </c>
      <c r="B927" s="213">
        <f>If(DPS_Weapon_Type="远程",($E927+1)/60+(ROUNDDOWN($F927*60+1,0)/60)*2,(ROUNDDOWN(($E927+1)+ROUNDDOWN($F927*60+1,0)+ROUNDDOWN($G927/2*60+1,0)+ROUNDDOWN($H927*60+1,0)+1,0))/60+If(DPS_ATK_TYPE="挥砍",1/60)+If(DPS_ATK_TYPE="挥砍/刺击",1/120))+DPS_Weapon_Randomization/60</f>
        <v>0.105</v>
      </c>
      <c r="C927" s="104" t="str">
        <f>IF(DPS_Graph_True_Speed=TRUE,IF($A927&lt;=DPS_Graph_Max,IF($A927&gt;=DPS_Graph_Speed_Min,1/B927,),),)</f>
        <v/>
      </c>
      <c r="D927" s="115" t="str">
        <f>IF(DPS_Graph_True_Speed=TRUE,IF($E$8=$A927,DPS_Attacks_P_Sec,),)</f>
        <v/>
      </c>
      <c r="E927" s="222">
        <f>ROUNDDOWN(MAX(2,IF(A927&gt;=0, DPS_Base_Wpn_Spd/(1+A927),DPS_Base_Wpn_Spd*(1+ABS(A927)))),0)</f>
        <v>2</v>
      </c>
      <c r="F927" s="232">
        <f>IF(A927&gt;=0, DPS_Base_Recoil/(1+A927),DPS_Base_Recoil)</f>
        <v>0.00637755102</v>
      </c>
      <c r="G927" s="377">
        <f t="shared" si="7"/>
        <v>0.51</v>
      </c>
      <c r="H927" s="377">
        <f t="shared" si="8"/>
        <v>0.009293680297</v>
      </c>
      <c r="I927" s="104"/>
      <c r="J927" s="377">
        <f>MAX(0, Max(25,(DPS_Base_Range + ((DPS_Range_Stat) / 2))) / MIN(MAX(70, (70 * (1 + ($A927 / 3)))), 120))</f>
        <v>3.333333333</v>
      </c>
      <c r="K927" s="115" t="str">
        <f>IF(A927&lt;=DPS_Graph_Max,IF(A927&gt;=DPS_Graph_Speed_Min,A927,),)</f>
        <v/>
      </c>
      <c r="M927" s="213">
        <f>If(DPS_Weapon_Type="远程",$E927/60+$F927*2,$E927/60+$F927+$G927/2+$H927)</f>
        <v>0.04608843537</v>
      </c>
      <c r="N927" s="104" t="str">
        <f>IF(DPS_Graph_Tooltip_Speed=TRUE,IF($A927&lt;=DPS_Graph_Max,IF($A927&gt;=DPS_Graph_Speed_Min,1/M927,),),)</f>
        <v/>
      </c>
      <c r="R927" s="104" t="str">
        <f>IF(DPS_Graph_Tooltip_Speed=TRUE,IF($E$8=$A927,1/$N$6,),)</f>
        <v/>
      </c>
    </row>
    <row r="928">
      <c r="A928" s="370">
        <v>6.85</v>
      </c>
      <c r="B928" s="213">
        <f>If(DPS_Weapon_Type="远程",($E928+1)/60+(ROUNDDOWN($F928*60+1,0)/60)*2,(ROUNDDOWN(($E928+1)+ROUNDDOWN($F928*60+1,0)+ROUNDDOWN($G928/2*60+1,0)+ROUNDDOWN($H928*60+1,0)+1,0))/60+If(DPS_ATK_TYPE="挥砍",1/60)+If(DPS_ATK_TYPE="挥砍/刺击",1/120))+DPS_Weapon_Randomization/60</f>
        <v>0.105</v>
      </c>
      <c r="C928" s="104" t="str">
        <f>IF(DPS_Graph_True_Speed=TRUE,IF($A928&lt;=DPS_Graph_Max,IF($A928&gt;=DPS_Graph_Speed_Min,1/B928,),),)</f>
        <v/>
      </c>
      <c r="D928" s="115" t="str">
        <f>IF(DPS_Graph_True_Speed=TRUE,IF($E$8=$A928,DPS_Attacks_P_Sec,),)</f>
        <v/>
      </c>
      <c r="E928" s="222">
        <f>ROUNDDOWN(MAX(2,IF(A928&gt;=0, DPS_Base_Wpn_Spd/(1+A928),DPS_Base_Wpn_Spd*(1+ABS(A928)))),0)</f>
        <v>2</v>
      </c>
      <c r="F928" s="232">
        <f>IF(A928&gt;=0, DPS_Base_Recoil/(1+A928),DPS_Base_Recoil)</f>
        <v>0.006369426752</v>
      </c>
      <c r="G928" s="377">
        <f t="shared" si="7"/>
        <v>0.51</v>
      </c>
      <c r="H928" s="377">
        <f t="shared" si="8"/>
        <v>0.009280742459</v>
      </c>
      <c r="I928" s="104"/>
      <c r="J928" s="377">
        <f>MAX(0, Max(25,(DPS_Base_Range + ((DPS_Range_Stat) / 2))) / MIN(MAX(70, (70 * (1 + ($A928 / 3)))), 120))</f>
        <v>3.333333333</v>
      </c>
      <c r="K928" s="115" t="str">
        <f>IF(A928&lt;=DPS_Graph_Max,IF(A928&gt;=DPS_Graph_Speed_Min,A928,),)</f>
        <v/>
      </c>
      <c r="M928" s="213">
        <f>If(DPS_Weapon_Type="远程",$E928/60+$F928*2,$E928/60+$F928+$G928/2+$H928)</f>
        <v>0.04607218684</v>
      </c>
      <c r="N928" s="104" t="str">
        <f>IF(DPS_Graph_Tooltip_Speed=TRUE,IF($A928&lt;=DPS_Graph_Max,IF($A928&gt;=DPS_Graph_Speed_Min,1/M928,),),)</f>
        <v/>
      </c>
      <c r="R928" s="104" t="str">
        <f>IF(DPS_Graph_Tooltip_Speed=TRUE,IF($E$8=$A928,1/$N$6,),)</f>
        <v/>
      </c>
    </row>
    <row r="929">
      <c r="A929" s="370">
        <v>6.86</v>
      </c>
      <c r="B929" s="213">
        <f>If(DPS_Weapon_Type="远程",($E929+1)/60+(ROUNDDOWN($F929*60+1,0)/60)*2,(ROUNDDOWN(($E929+1)+ROUNDDOWN($F929*60+1,0)+ROUNDDOWN($G929/2*60+1,0)+ROUNDDOWN($H929*60+1,0)+1,0))/60+If(DPS_ATK_TYPE="挥砍",1/60)+If(DPS_ATK_TYPE="挥砍/刺击",1/120))+DPS_Weapon_Randomization/60</f>
        <v>0.105</v>
      </c>
      <c r="C929" s="104" t="str">
        <f>IF(DPS_Graph_True_Speed=TRUE,IF($A929&lt;=DPS_Graph_Max,IF($A929&gt;=DPS_Graph_Speed_Min,1/B929,),),)</f>
        <v/>
      </c>
      <c r="D929" s="115" t="str">
        <f>IF(DPS_Graph_True_Speed=TRUE,IF($E$8=$A929,DPS_Attacks_P_Sec,),)</f>
        <v/>
      </c>
      <c r="E929" s="222">
        <f>ROUNDDOWN(MAX(2,IF(A929&gt;=0, DPS_Base_Wpn_Spd/(1+A929),DPS_Base_Wpn_Spd*(1+ABS(A929)))),0)</f>
        <v>2</v>
      </c>
      <c r="F929" s="232">
        <f>IF(A929&gt;=0, DPS_Base_Recoil/(1+A929),DPS_Base_Recoil)</f>
        <v>0.006361323155</v>
      </c>
      <c r="G929" s="377">
        <f t="shared" si="7"/>
        <v>0.51</v>
      </c>
      <c r="H929" s="377">
        <f t="shared" si="8"/>
        <v>0.009267840593</v>
      </c>
      <c r="I929" s="104"/>
      <c r="J929" s="377">
        <f>MAX(0, Max(25,(DPS_Base_Range + ((DPS_Range_Stat) / 2))) / MIN(MAX(70, (70 * (1 + ($A929 / 3)))), 120))</f>
        <v>3.333333333</v>
      </c>
      <c r="K929" s="115" t="str">
        <f>IF(A929&lt;=DPS_Graph_Max,IF(A929&gt;=DPS_Graph_Speed_Min,A929,),)</f>
        <v/>
      </c>
      <c r="M929" s="213">
        <f>If(DPS_Weapon_Type="远程",$E929/60+$F929*2,$E929/60+$F929+$G929/2+$H929)</f>
        <v>0.04605597964</v>
      </c>
      <c r="N929" s="104" t="str">
        <f>IF(DPS_Graph_Tooltip_Speed=TRUE,IF($A929&lt;=DPS_Graph_Max,IF($A929&gt;=DPS_Graph_Speed_Min,1/M929,),),)</f>
        <v/>
      </c>
      <c r="R929" s="104" t="str">
        <f>IF(DPS_Graph_Tooltip_Speed=TRUE,IF($E$8=$A929,1/$N$6,),)</f>
        <v/>
      </c>
    </row>
    <row r="930">
      <c r="A930" s="370">
        <v>6.87</v>
      </c>
      <c r="B930" s="213">
        <f>If(DPS_Weapon_Type="远程",($E930+1)/60+(ROUNDDOWN($F930*60+1,0)/60)*2,(ROUNDDOWN(($E930+1)+ROUNDDOWN($F930*60+1,0)+ROUNDDOWN($G930/2*60+1,0)+ROUNDDOWN($H930*60+1,0)+1,0))/60+If(DPS_ATK_TYPE="挥砍",1/60)+If(DPS_ATK_TYPE="挥砍/刺击",1/120))+DPS_Weapon_Randomization/60</f>
        <v>0.105</v>
      </c>
      <c r="C930" s="104" t="str">
        <f>IF(DPS_Graph_True_Speed=TRUE,IF($A930&lt;=DPS_Graph_Max,IF($A930&gt;=DPS_Graph_Speed_Min,1/B930,),),)</f>
        <v/>
      </c>
      <c r="D930" s="115" t="str">
        <f>IF(DPS_Graph_True_Speed=TRUE,IF($E$8=$A930,DPS_Attacks_P_Sec,),)</f>
        <v/>
      </c>
      <c r="E930" s="222">
        <f>ROUNDDOWN(MAX(2,IF(A930&gt;=0, DPS_Base_Wpn_Spd/(1+A930),DPS_Base_Wpn_Spd*(1+ABS(A930)))),0)</f>
        <v>2</v>
      </c>
      <c r="F930" s="232">
        <f>IF(A930&gt;=0, DPS_Base_Recoil/(1+A930),DPS_Base_Recoil)</f>
        <v>0.006353240152</v>
      </c>
      <c r="G930" s="377">
        <f t="shared" si="7"/>
        <v>0.51</v>
      </c>
      <c r="H930" s="377">
        <f t="shared" si="8"/>
        <v>0.009254974549</v>
      </c>
      <c r="I930" s="104"/>
      <c r="J930" s="377">
        <f>MAX(0, Max(25,(DPS_Base_Range + ((DPS_Range_Stat) / 2))) / MIN(MAX(70, (70 * (1 + ($A930 / 3)))), 120))</f>
        <v>3.333333333</v>
      </c>
      <c r="K930" s="115" t="str">
        <f>IF(A930&lt;=DPS_Graph_Max,IF(A930&gt;=DPS_Graph_Speed_Min,A930,),)</f>
        <v/>
      </c>
      <c r="M930" s="213">
        <f>If(DPS_Weapon_Type="远程",$E930/60+$F930*2,$E930/60+$F930+$G930/2+$H930)</f>
        <v>0.04603981364</v>
      </c>
      <c r="N930" s="104" t="str">
        <f>IF(DPS_Graph_Tooltip_Speed=TRUE,IF($A930&lt;=DPS_Graph_Max,IF($A930&gt;=DPS_Graph_Speed_Min,1/M930,),),)</f>
        <v/>
      </c>
      <c r="R930" s="104" t="str">
        <f>IF(DPS_Graph_Tooltip_Speed=TRUE,IF($E$8=$A930,1/$N$6,),)</f>
        <v/>
      </c>
    </row>
    <row r="931">
      <c r="A931" s="370">
        <v>6.88</v>
      </c>
      <c r="B931" s="213">
        <f>If(DPS_Weapon_Type="远程",($E931+1)/60+(ROUNDDOWN($F931*60+1,0)/60)*2,(ROUNDDOWN(($E931+1)+ROUNDDOWN($F931*60+1,0)+ROUNDDOWN($G931/2*60+1,0)+ROUNDDOWN($H931*60+1,0)+1,0))/60+If(DPS_ATK_TYPE="挥砍",1/60)+If(DPS_ATK_TYPE="挥砍/刺击",1/120))+DPS_Weapon_Randomization/60</f>
        <v>0.105</v>
      </c>
      <c r="C931" s="104" t="str">
        <f>IF(DPS_Graph_True_Speed=TRUE,IF($A931&lt;=DPS_Graph_Max,IF($A931&gt;=DPS_Graph_Speed_Min,1/B931,),),)</f>
        <v/>
      </c>
      <c r="D931" s="115" t="str">
        <f>IF(DPS_Graph_True_Speed=TRUE,IF($E$8=$A931,DPS_Attacks_P_Sec,),)</f>
        <v/>
      </c>
      <c r="E931" s="222">
        <f>ROUNDDOWN(MAX(2,IF(A931&gt;=0, DPS_Base_Wpn_Spd/(1+A931),DPS_Base_Wpn_Spd*(1+ABS(A931)))),0)</f>
        <v>2</v>
      </c>
      <c r="F931" s="232">
        <f>IF(A931&gt;=0, DPS_Base_Recoil/(1+A931),DPS_Base_Recoil)</f>
        <v>0.006345177665</v>
      </c>
      <c r="G931" s="377">
        <f t="shared" si="7"/>
        <v>0.51</v>
      </c>
      <c r="H931" s="377">
        <f t="shared" si="8"/>
        <v>0.009242144177</v>
      </c>
      <c r="I931" s="104"/>
      <c r="J931" s="377">
        <f>MAX(0, Max(25,(DPS_Base_Range + ((DPS_Range_Stat) / 2))) / MIN(MAX(70, (70 * (1 + ($A931 / 3)))), 120))</f>
        <v>3.333333333</v>
      </c>
      <c r="K931" s="115" t="str">
        <f>IF(A931&lt;=DPS_Graph_Max,IF(A931&gt;=DPS_Graph_Speed_Min,A931,),)</f>
        <v/>
      </c>
      <c r="M931" s="213">
        <f>If(DPS_Weapon_Type="远程",$E931/60+$F931*2,$E931/60+$F931+$G931/2+$H931)</f>
        <v>0.04602368866</v>
      </c>
      <c r="N931" s="104" t="str">
        <f>IF(DPS_Graph_Tooltip_Speed=TRUE,IF($A931&lt;=DPS_Graph_Max,IF($A931&gt;=DPS_Graph_Speed_Min,1/M931,),),)</f>
        <v/>
      </c>
      <c r="R931" s="104" t="str">
        <f>IF(DPS_Graph_Tooltip_Speed=TRUE,IF($E$8=$A931,1/$N$6,),)</f>
        <v/>
      </c>
    </row>
    <row r="932">
      <c r="A932" s="370">
        <v>6.89</v>
      </c>
      <c r="B932" s="213">
        <f>If(DPS_Weapon_Type="远程",($E932+1)/60+(ROUNDDOWN($F932*60+1,0)/60)*2,(ROUNDDOWN(($E932+1)+ROUNDDOWN($F932*60+1,0)+ROUNDDOWN($G932/2*60+1,0)+ROUNDDOWN($H932*60+1,0)+1,0))/60+If(DPS_ATK_TYPE="挥砍",1/60)+If(DPS_ATK_TYPE="挥砍/刺击",1/120))+DPS_Weapon_Randomization/60</f>
        <v>0.105</v>
      </c>
      <c r="C932" s="104" t="str">
        <f>IF(DPS_Graph_True_Speed=TRUE,IF($A932&lt;=DPS_Graph_Max,IF($A932&gt;=DPS_Graph_Speed_Min,1/B932,),),)</f>
        <v/>
      </c>
      <c r="D932" s="115" t="str">
        <f>IF(DPS_Graph_True_Speed=TRUE,IF($E$8=$A932,DPS_Attacks_P_Sec,),)</f>
        <v/>
      </c>
      <c r="E932" s="222">
        <f>ROUNDDOWN(MAX(2,IF(A932&gt;=0, DPS_Base_Wpn_Spd/(1+A932),DPS_Base_Wpn_Spd*(1+ABS(A932)))),0)</f>
        <v>2</v>
      </c>
      <c r="F932" s="232">
        <f>IF(A932&gt;=0, DPS_Base_Recoil/(1+A932),DPS_Base_Recoil)</f>
        <v>0.006337135615</v>
      </c>
      <c r="G932" s="377">
        <f t="shared" si="7"/>
        <v>0.51</v>
      </c>
      <c r="H932" s="377">
        <f t="shared" si="8"/>
        <v>0.009229349331</v>
      </c>
      <c r="I932" s="104"/>
      <c r="J932" s="377">
        <f>MAX(0, Max(25,(DPS_Base_Range + ((DPS_Range_Stat) / 2))) / MIN(MAX(70, (70 * (1 + ($A932 / 3)))), 120))</f>
        <v>3.333333333</v>
      </c>
      <c r="K932" s="115" t="str">
        <f>IF(A932&lt;=DPS_Graph_Max,IF(A932&gt;=DPS_Graph_Speed_Min,A932,),)</f>
        <v/>
      </c>
      <c r="M932" s="213">
        <f>If(DPS_Weapon_Type="远程",$E932/60+$F932*2,$E932/60+$F932+$G932/2+$H932)</f>
        <v>0.04600760456</v>
      </c>
      <c r="N932" s="104" t="str">
        <f>IF(DPS_Graph_Tooltip_Speed=TRUE,IF($A932&lt;=DPS_Graph_Max,IF($A932&gt;=DPS_Graph_Speed_Min,1/M932,),),)</f>
        <v/>
      </c>
      <c r="R932" s="104" t="str">
        <f>IF(DPS_Graph_Tooltip_Speed=TRUE,IF($E$8=$A932,1/$N$6,),)</f>
        <v/>
      </c>
    </row>
    <row r="933">
      <c r="A933" s="370">
        <v>6.9</v>
      </c>
      <c r="B933" s="213">
        <f>If(DPS_Weapon_Type="远程",($E933+1)/60+(ROUNDDOWN($F933*60+1,0)/60)*2,(ROUNDDOWN(($E933+1)+ROUNDDOWN($F933*60+1,0)+ROUNDDOWN($G933/2*60+1,0)+ROUNDDOWN($H933*60+1,0)+1,0))/60+If(DPS_ATK_TYPE="挥砍",1/60)+If(DPS_ATK_TYPE="挥砍/刺击",1/120))+DPS_Weapon_Randomization/60</f>
        <v>0.105</v>
      </c>
      <c r="C933" s="104" t="str">
        <f>IF(DPS_Graph_True_Speed=TRUE,IF($A933&lt;=DPS_Graph_Max,IF($A933&gt;=DPS_Graph_Speed_Min,1/B933,),),)</f>
        <v/>
      </c>
      <c r="D933" s="115" t="str">
        <f>IF(DPS_Graph_True_Speed=TRUE,IF($E$8=$A933,DPS_Attacks_P_Sec,),)</f>
        <v/>
      </c>
      <c r="E933" s="222">
        <f>ROUNDDOWN(MAX(2,IF(A933&gt;=0, DPS_Base_Wpn_Spd/(1+A933),DPS_Base_Wpn_Spd*(1+ABS(A933)))),0)</f>
        <v>2</v>
      </c>
      <c r="F933" s="232">
        <f>IF(A933&gt;=0, DPS_Base_Recoil/(1+A933),DPS_Base_Recoil)</f>
        <v>0.006329113924</v>
      </c>
      <c r="G933" s="377">
        <f t="shared" si="7"/>
        <v>0.51</v>
      </c>
      <c r="H933" s="377">
        <f t="shared" si="8"/>
        <v>0.009216589862</v>
      </c>
      <c r="I933" s="104"/>
      <c r="J933" s="377">
        <f>MAX(0, Max(25,(DPS_Base_Range + ((DPS_Range_Stat) / 2))) / MIN(MAX(70, (70 * (1 + ($A933 / 3)))), 120))</f>
        <v>3.333333333</v>
      </c>
      <c r="K933" s="115" t="str">
        <f>IF(A933&lt;=DPS_Graph_Max,IF(A933&gt;=DPS_Graph_Speed_Min,A933,),)</f>
        <v/>
      </c>
      <c r="M933" s="213">
        <f>If(DPS_Weapon_Type="远程",$E933/60+$F933*2,$E933/60+$F933+$G933/2+$H933)</f>
        <v>0.04599156118</v>
      </c>
      <c r="N933" s="104" t="str">
        <f>IF(DPS_Graph_Tooltip_Speed=TRUE,IF($A933&lt;=DPS_Graph_Max,IF($A933&gt;=DPS_Graph_Speed_Min,1/M933,),),)</f>
        <v/>
      </c>
      <c r="R933" s="104" t="str">
        <f>IF(DPS_Graph_Tooltip_Speed=TRUE,IF($E$8=$A933,1/$N$6,),)</f>
        <v/>
      </c>
    </row>
    <row r="934">
      <c r="A934" s="370">
        <v>6.91</v>
      </c>
      <c r="B934" s="213">
        <f>If(DPS_Weapon_Type="远程",($E934+1)/60+(ROUNDDOWN($F934*60+1,0)/60)*2,(ROUNDDOWN(($E934+1)+ROUNDDOWN($F934*60+1,0)+ROUNDDOWN($G934/2*60+1,0)+ROUNDDOWN($H934*60+1,0)+1,0))/60+If(DPS_ATK_TYPE="挥砍",1/60)+If(DPS_ATK_TYPE="挥砍/刺击",1/120))+DPS_Weapon_Randomization/60</f>
        <v>0.105</v>
      </c>
      <c r="C934" s="104" t="str">
        <f>IF(DPS_Graph_True_Speed=TRUE,IF($A934&lt;=DPS_Graph_Max,IF($A934&gt;=DPS_Graph_Speed_Min,1/B934,),),)</f>
        <v/>
      </c>
      <c r="D934" s="115" t="str">
        <f>IF(DPS_Graph_True_Speed=TRUE,IF($E$8=$A934,DPS_Attacks_P_Sec,),)</f>
        <v/>
      </c>
      <c r="E934" s="222">
        <f>ROUNDDOWN(MAX(2,IF(A934&gt;=0, DPS_Base_Wpn_Spd/(1+A934),DPS_Base_Wpn_Spd*(1+ABS(A934)))),0)</f>
        <v>2</v>
      </c>
      <c r="F934" s="232">
        <f>IF(A934&gt;=0, DPS_Base_Recoil/(1+A934),DPS_Base_Recoil)</f>
        <v>0.006321112516</v>
      </c>
      <c r="G934" s="377">
        <f t="shared" si="7"/>
        <v>0.51</v>
      </c>
      <c r="H934" s="377">
        <f t="shared" si="8"/>
        <v>0.009203865624</v>
      </c>
      <c r="I934" s="104"/>
      <c r="J934" s="377">
        <f>MAX(0, Max(25,(DPS_Base_Range + ((DPS_Range_Stat) / 2))) / MIN(MAX(70, (70 * (1 + ($A934 / 3)))), 120))</f>
        <v>3.333333333</v>
      </c>
      <c r="K934" s="115" t="str">
        <f>IF(A934&lt;=DPS_Graph_Max,IF(A934&gt;=DPS_Graph_Speed_Min,A934,),)</f>
        <v/>
      </c>
      <c r="M934" s="213">
        <f>If(DPS_Weapon_Type="远程",$E934/60+$F934*2,$E934/60+$F934+$G934/2+$H934)</f>
        <v>0.04597555836</v>
      </c>
      <c r="N934" s="104" t="str">
        <f>IF(DPS_Graph_Tooltip_Speed=TRUE,IF($A934&lt;=DPS_Graph_Max,IF($A934&gt;=DPS_Graph_Speed_Min,1/M934,),),)</f>
        <v/>
      </c>
      <c r="R934" s="104" t="str">
        <f>IF(DPS_Graph_Tooltip_Speed=TRUE,IF($E$8=$A934,1/$N$6,),)</f>
        <v/>
      </c>
    </row>
    <row r="935">
      <c r="A935" s="370">
        <v>6.92</v>
      </c>
      <c r="B935" s="213">
        <f>If(DPS_Weapon_Type="远程",($E935+1)/60+(ROUNDDOWN($F935*60+1,0)/60)*2,(ROUNDDOWN(($E935+1)+ROUNDDOWN($F935*60+1,0)+ROUNDDOWN($G935/2*60+1,0)+ROUNDDOWN($H935*60+1,0)+1,0))/60+If(DPS_ATK_TYPE="挥砍",1/60)+If(DPS_ATK_TYPE="挥砍/刺击",1/120))+DPS_Weapon_Randomization/60</f>
        <v>0.105</v>
      </c>
      <c r="C935" s="104" t="str">
        <f>IF(DPS_Graph_True_Speed=TRUE,IF($A935&lt;=DPS_Graph_Max,IF($A935&gt;=DPS_Graph_Speed_Min,1/B935,),),)</f>
        <v/>
      </c>
      <c r="D935" s="115" t="str">
        <f>IF(DPS_Graph_True_Speed=TRUE,IF($E$8=$A935,DPS_Attacks_P_Sec,),)</f>
        <v/>
      </c>
      <c r="E935" s="222">
        <f>ROUNDDOWN(MAX(2,IF(A935&gt;=0, DPS_Base_Wpn_Spd/(1+A935),DPS_Base_Wpn_Spd*(1+ABS(A935)))),0)</f>
        <v>2</v>
      </c>
      <c r="F935" s="232">
        <f>IF(A935&gt;=0, DPS_Base_Recoil/(1+A935),DPS_Base_Recoil)</f>
        <v>0.006313131313</v>
      </c>
      <c r="G935" s="377">
        <f t="shared" si="7"/>
        <v>0.51</v>
      </c>
      <c r="H935" s="377">
        <f t="shared" si="8"/>
        <v>0.009191176471</v>
      </c>
      <c r="I935" s="104"/>
      <c r="J935" s="377">
        <f>MAX(0, Max(25,(DPS_Base_Range + ((DPS_Range_Stat) / 2))) / MIN(MAX(70, (70 * (1 + ($A935 / 3)))), 120))</f>
        <v>3.333333333</v>
      </c>
      <c r="K935" s="115" t="str">
        <f>IF(A935&lt;=DPS_Graph_Max,IF(A935&gt;=DPS_Graph_Speed_Min,A935,),)</f>
        <v/>
      </c>
      <c r="M935" s="213">
        <f>If(DPS_Weapon_Type="远程",$E935/60+$F935*2,$E935/60+$F935+$G935/2+$H935)</f>
        <v>0.04595959596</v>
      </c>
      <c r="N935" s="104" t="str">
        <f>IF(DPS_Graph_Tooltip_Speed=TRUE,IF($A935&lt;=DPS_Graph_Max,IF($A935&gt;=DPS_Graph_Speed_Min,1/M935,),),)</f>
        <v/>
      </c>
      <c r="R935" s="104" t="str">
        <f>IF(DPS_Graph_Tooltip_Speed=TRUE,IF($E$8=$A935,1/$N$6,),)</f>
        <v/>
      </c>
    </row>
    <row r="936">
      <c r="A936" s="370">
        <v>6.93</v>
      </c>
      <c r="B936" s="213">
        <f>If(DPS_Weapon_Type="远程",($E936+1)/60+(ROUNDDOWN($F936*60+1,0)/60)*2,(ROUNDDOWN(($E936+1)+ROUNDDOWN($F936*60+1,0)+ROUNDDOWN($G936/2*60+1,0)+ROUNDDOWN($H936*60+1,0)+1,0))/60+If(DPS_ATK_TYPE="挥砍",1/60)+If(DPS_ATK_TYPE="挥砍/刺击",1/120))+DPS_Weapon_Randomization/60</f>
        <v>0.105</v>
      </c>
      <c r="C936" s="104" t="str">
        <f>IF(DPS_Graph_True_Speed=TRUE,IF($A936&lt;=DPS_Graph_Max,IF($A936&gt;=DPS_Graph_Speed_Min,1/B936,),),)</f>
        <v/>
      </c>
      <c r="D936" s="115" t="str">
        <f>IF(DPS_Graph_True_Speed=TRUE,IF($E$8=$A936,DPS_Attacks_P_Sec,),)</f>
        <v/>
      </c>
      <c r="E936" s="222">
        <f>ROUNDDOWN(MAX(2,IF(A936&gt;=0, DPS_Base_Wpn_Spd/(1+A936),DPS_Base_Wpn_Spd*(1+ABS(A936)))),0)</f>
        <v>2</v>
      </c>
      <c r="F936" s="232">
        <f>IF(A936&gt;=0, DPS_Base_Recoil/(1+A936),DPS_Base_Recoil)</f>
        <v>0.00630517024</v>
      </c>
      <c r="G936" s="377">
        <f t="shared" si="7"/>
        <v>0.51</v>
      </c>
      <c r="H936" s="377">
        <f t="shared" si="8"/>
        <v>0.009178522258</v>
      </c>
      <c r="I936" s="104"/>
      <c r="J936" s="377">
        <f>MAX(0, Max(25,(DPS_Base_Range + ((DPS_Range_Stat) / 2))) / MIN(MAX(70, (70 * (1 + ($A936 / 3)))), 120))</f>
        <v>3.333333333</v>
      </c>
      <c r="K936" s="115" t="str">
        <f>IF(A936&lt;=DPS_Graph_Max,IF(A936&gt;=DPS_Graph_Speed_Min,A936,),)</f>
        <v/>
      </c>
      <c r="M936" s="213">
        <f>If(DPS_Weapon_Type="远程",$E936/60+$F936*2,$E936/60+$F936+$G936/2+$H936)</f>
        <v>0.04594367381</v>
      </c>
      <c r="N936" s="104" t="str">
        <f>IF(DPS_Graph_Tooltip_Speed=TRUE,IF($A936&lt;=DPS_Graph_Max,IF($A936&gt;=DPS_Graph_Speed_Min,1/M936,),),)</f>
        <v/>
      </c>
      <c r="R936" s="104" t="str">
        <f>IF(DPS_Graph_Tooltip_Speed=TRUE,IF($E$8=$A936,1/$N$6,),)</f>
        <v/>
      </c>
    </row>
    <row r="937">
      <c r="A937" s="370">
        <v>6.94</v>
      </c>
      <c r="B937" s="213">
        <f>If(DPS_Weapon_Type="远程",($E937+1)/60+(ROUNDDOWN($F937*60+1,0)/60)*2,(ROUNDDOWN(($E937+1)+ROUNDDOWN($F937*60+1,0)+ROUNDDOWN($G937/2*60+1,0)+ROUNDDOWN($H937*60+1,0)+1,0))/60+If(DPS_ATK_TYPE="挥砍",1/60)+If(DPS_ATK_TYPE="挥砍/刺击",1/120))+DPS_Weapon_Randomization/60</f>
        <v>0.105</v>
      </c>
      <c r="C937" s="104" t="str">
        <f>IF(DPS_Graph_True_Speed=TRUE,IF($A937&lt;=DPS_Graph_Max,IF($A937&gt;=DPS_Graph_Speed_Min,1/B937,),),)</f>
        <v/>
      </c>
      <c r="D937" s="115" t="str">
        <f>IF(DPS_Graph_True_Speed=TRUE,IF($E$8=$A937,DPS_Attacks_P_Sec,),)</f>
        <v/>
      </c>
      <c r="E937" s="222">
        <f>ROUNDDOWN(MAX(2,IF(A937&gt;=0, DPS_Base_Wpn_Spd/(1+A937),DPS_Base_Wpn_Spd*(1+ABS(A937)))),0)</f>
        <v>2</v>
      </c>
      <c r="F937" s="232">
        <f>IF(A937&gt;=0, DPS_Base_Recoil/(1+A937),DPS_Base_Recoil)</f>
        <v>0.006297229219</v>
      </c>
      <c r="G937" s="377">
        <f t="shared" si="7"/>
        <v>0.51</v>
      </c>
      <c r="H937" s="377">
        <f t="shared" si="8"/>
        <v>0.009165902841</v>
      </c>
      <c r="I937" s="104"/>
      <c r="J937" s="377">
        <f>MAX(0, Max(25,(DPS_Base_Range + ((DPS_Range_Stat) / 2))) / MIN(MAX(70, (70 * (1 + ($A937 / 3)))), 120))</f>
        <v>3.333333333</v>
      </c>
      <c r="K937" s="115" t="str">
        <f>IF(A937&lt;=DPS_Graph_Max,IF(A937&gt;=DPS_Graph_Speed_Min,A937,),)</f>
        <v/>
      </c>
      <c r="M937" s="213">
        <f>If(DPS_Weapon_Type="远程",$E937/60+$F937*2,$E937/60+$F937+$G937/2+$H937)</f>
        <v>0.04592779177</v>
      </c>
      <c r="N937" s="104" t="str">
        <f>IF(DPS_Graph_Tooltip_Speed=TRUE,IF($A937&lt;=DPS_Graph_Max,IF($A937&gt;=DPS_Graph_Speed_Min,1/M937,),),)</f>
        <v/>
      </c>
      <c r="R937" s="104" t="str">
        <f>IF(DPS_Graph_Tooltip_Speed=TRUE,IF($E$8=$A937,1/$N$6,),)</f>
        <v/>
      </c>
    </row>
    <row r="938">
      <c r="A938" s="370">
        <v>6.95</v>
      </c>
      <c r="B938" s="213">
        <f>If(DPS_Weapon_Type="远程",($E938+1)/60+(ROUNDDOWN($F938*60+1,0)/60)*2,(ROUNDDOWN(($E938+1)+ROUNDDOWN($F938*60+1,0)+ROUNDDOWN($G938/2*60+1,0)+ROUNDDOWN($H938*60+1,0)+1,0))/60+If(DPS_ATK_TYPE="挥砍",1/60)+If(DPS_ATK_TYPE="挥砍/刺击",1/120))+DPS_Weapon_Randomization/60</f>
        <v>0.105</v>
      </c>
      <c r="C938" s="104" t="str">
        <f>IF(DPS_Graph_True_Speed=TRUE,IF($A938&lt;=DPS_Graph_Max,IF($A938&gt;=DPS_Graph_Speed_Min,1/B938,),),)</f>
        <v/>
      </c>
      <c r="D938" s="115" t="str">
        <f>IF(DPS_Graph_True_Speed=TRUE,IF($E$8=$A938,DPS_Attacks_P_Sec,),)</f>
        <v/>
      </c>
      <c r="E938" s="222">
        <f>ROUNDDOWN(MAX(2,IF(A938&gt;=0, DPS_Base_Wpn_Spd/(1+A938),DPS_Base_Wpn_Spd*(1+ABS(A938)))),0)</f>
        <v>2</v>
      </c>
      <c r="F938" s="232">
        <f>IF(A938&gt;=0, DPS_Base_Recoil/(1+A938),DPS_Base_Recoil)</f>
        <v>0.006289308176</v>
      </c>
      <c r="G938" s="377">
        <f t="shared" si="7"/>
        <v>0.51</v>
      </c>
      <c r="H938" s="377">
        <f t="shared" si="8"/>
        <v>0.009153318078</v>
      </c>
      <c r="I938" s="104"/>
      <c r="J938" s="377">
        <f>MAX(0, Max(25,(DPS_Base_Range + ((DPS_Range_Stat) / 2))) / MIN(MAX(70, (70 * (1 + ($A938 / 3)))), 120))</f>
        <v>3.333333333</v>
      </c>
      <c r="K938" s="115" t="str">
        <f>IF(A938&lt;=DPS_Graph_Max,IF(A938&gt;=DPS_Graph_Speed_Min,A938,),)</f>
        <v/>
      </c>
      <c r="M938" s="213">
        <f>If(DPS_Weapon_Type="远程",$E938/60+$F938*2,$E938/60+$F938+$G938/2+$H938)</f>
        <v>0.04591194969</v>
      </c>
      <c r="N938" s="104" t="str">
        <f>IF(DPS_Graph_Tooltip_Speed=TRUE,IF($A938&lt;=DPS_Graph_Max,IF($A938&gt;=DPS_Graph_Speed_Min,1/M938,),),)</f>
        <v/>
      </c>
      <c r="R938" s="104" t="str">
        <f>IF(DPS_Graph_Tooltip_Speed=TRUE,IF($E$8=$A938,1/$N$6,),)</f>
        <v/>
      </c>
    </row>
    <row r="939">
      <c r="A939" s="370">
        <v>6.96</v>
      </c>
      <c r="B939" s="213">
        <f>If(DPS_Weapon_Type="远程",($E939+1)/60+(ROUNDDOWN($F939*60+1,0)/60)*2,(ROUNDDOWN(($E939+1)+ROUNDDOWN($F939*60+1,0)+ROUNDDOWN($G939/2*60+1,0)+ROUNDDOWN($H939*60+1,0)+1,0))/60+If(DPS_ATK_TYPE="挥砍",1/60)+If(DPS_ATK_TYPE="挥砍/刺击",1/120))+DPS_Weapon_Randomization/60</f>
        <v>0.105</v>
      </c>
      <c r="C939" s="104" t="str">
        <f>IF(DPS_Graph_True_Speed=TRUE,IF($A939&lt;=DPS_Graph_Max,IF($A939&gt;=DPS_Graph_Speed_Min,1/B939,),),)</f>
        <v/>
      </c>
      <c r="D939" s="115" t="str">
        <f>IF(DPS_Graph_True_Speed=TRUE,IF($E$8=$A939,DPS_Attacks_P_Sec,),)</f>
        <v/>
      </c>
      <c r="E939" s="222">
        <f>ROUNDDOWN(MAX(2,IF(A939&gt;=0, DPS_Base_Wpn_Spd/(1+A939),DPS_Base_Wpn_Spd*(1+ABS(A939)))),0)</f>
        <v>2</v>
      </c>
      <c r="F939" s="232">
        <f>IF(A939&gt;=0, DPS_Base_Recoil/(1+A939),DPS_Base_Recoil)</f>
        <v>0.006281407035</v>
      </c>
      <c r="G939" s="377">
        <f t="shared" si="7"/>
        <v>0.51</v>
      </c>
      <c r="H939" s="377">
        <f t="shared" si="8"/>
        <v>0.009140767824</v>
      </c>
      <c r="I939" s="104"/>
      <c r="J939" s="377">
        <f>MAX(0, Max(25,(DPS_Base_Range + ((DPS_Range_Stat) / 2))) / MIN(MAX(70, (70 * (1 + ($A939 / 3)))), 120))</f>
        <v>3.333333333</v>
      </c>
      <c r="K939" s="115" t="str">
        <f>IF(A939&lt;=DPS_Graph_Max,IF(A939&gt;=DPS_Graph_Speed_Min,A939,),)</f>
        <v/>
      </c>
      <c r="M939" s="213">
        <f>If(DPS_Weapon_Type="远程",$E939/60+$F939*2,$E939/60+$F939+$G939/2+$H939)</f>
        <v>0.0458961474</v>
      </c>
      <c r="N939" s="104" t="str">
        <f>IF(DPS_Graph_Tooltip_Speed=TRUE,IF($A939&lt;=DPS_Graph_Max,IF($A939&gt;=DPS_Graph_Speed_Min,1/M939,),),)</f>
        <v/>
      </c>
      <c r="R939" s="104" t="str">
        <f>IF(DPS_Graph_Tooltip_Speed=TRUE,IF($E$8=$A939,1/$N$6,),)</f>
        <v/>
      </c>
    </row>
    <row r="940">
      <c r="A940" s="370">
        <v>6.97</v>
      </c>
      <c r="B940" s="213">
        <f>If(DPS_Weapon_Type="远程",($E940+1)/60+(ROUNDDOWN($F940*60+1,0)/60)*2,(ROUNDDOWN(($E940+1)+ROUNDDOWN($F940*60+1,0)+ROUNDDOWN($G940/2*60+1,0)+ROUNDDOWN($H940*60+1,0)+1,0))/60+If(DPS_ATK_TYPE="挥砍",1/60)+If(DPS_ATK_TYPE="挥砍/刺击",1/120))+DPS_Weapon_Randomization/60</f>
        <v>0.105</v>
      </c>
      <c r="C940" s="104" t="str">
        <f>IF(DPS_Graph_True_Speed=TRUE,IF($A940&lt;=DPS_Graph_Max,IF($A940&gt;=DPS_Graph_Speed_Min,1/B940,),),)</f>
        <v/>
      </c>
      <c r="D940" s="115" t="str">
        <f>IF(DPS_Graph_True_Speed=TRUE,IF($E$8=$A940,DPS_Attacks_P_Sec,),)</f>
        <v/>
      </c>
      <c r="E940" s="222">
        <f>ROUNDDOWN(MAX(2,IF(A940&gt;=0, DPS_Base_Wpn_Spd/(1+A940),DPS_Base_Wpn_Spd*(1+ABS(A940)))),0)</f>
        <v>2</v>
      </c>
      <c r="F940" s="232">
        <f>IF(A940&gt;=0, DPS_Base_Recoil/(1+A940),DPS_Base_Recoil)</f>
        <v>0.006273525721</v>
      </c>
      <c r="G940" s="377">
        <f t="shared" si="7"/>
        <v>0.51</v>
      </c>
      <c r="H940" s="377">
        <f t="shared" si="8"/>
        <v>0.00912825194</v>
      </c>
      <c r="I940" s="104"/>
      <c r="J940" s="377">
        <f>MAX(0, Max(25,(DPS_Base_Range + ((DPS_Range_Stat) / 2))) / MIN(MAX(70, (70 * (1 + ($A940 / 3)))), 120))</f>
        <v>3.333333333</v>
      </c>
      <c r="K940" s="115" t="str">
        <f>IF(A940&lt;=DPS_Graph_Max,IF(A940&gt;=DPS_Graph_Speed_Min,A940,),)</f>
        <v/>
      </c>
      <c r="M940" s="213">
        <f>If(DPS_Weapon_Type="远程",$E940/60+$F940*2,$E940/60+$F940+$G940/2+$H940)</f>
        <v>0.04588038478</v>
      </c>
      <c r="N940" s="104" t="str">
        <f>IF(DPS_Graph_Tooltip_Speed=TRUE,IF($A940&lt;=DPS_Graph_Max,IF($A940&gt;=DPS_Graph_Speed_Min,1/M940,),),)</f>
        <v/>
      </c>
      <c r="R940" s="104" t="str">
        <f>IF(DPS_Graph_Tooltip_Speed=TRUE,IF($E$8=$A940,1/$N$6,),)</f>
        <v/>
      </c>
    </row>
    <row r="941">
      <c r="A941" s="370">
        <v>6.98</v>
      </c>
      <c r="B941" s="213">
        <f>If(DPS_Weapon_Type="远程",($E941+1)/60+(ROUNDDOWN($F941*60+1,0)/60)*2,(ROUNDDOWN(($E941+1)+ROUNDDOWN($F941*60+1,0)+ROUNDDOWN($G941/2*60+1,0)+ROUNDDOWN($H941*60+1,0)+1,0))/60+If(DPS_ATK_TYPE="挥砍",1/60)+If(DPS_ATK_TYPE="挥砍/刺击",1/120))+DPS_Weapon_Randomization/60</f>
        <v>0.105</v>
      </c>
      <c r="C941" s="104" t="str">
        <f>IF(DPS_Graph_True_Speed=TRUE,IF($A941&lt;=DPS_Graph_Max,IF($A941&gt;=DPS_Graph_Speed_Min,1/B941,),),)</f>
        <v/>
      </c>
      <c r="D941" s="115" t="str">
        <f>IF(DPS_Graph_True_Speed=TRUE,IF($E$8=$A941,DPS_Attacks_P_Sec,),)</f>
        <v/>
      </c>
      <c r="E941" s="222">
        <f>ROUNDDOWN(MAX(2,IF(A941&gt;=0, DPS_Base_Wpn_Spd/(1+A941),DPS_Base_Wpn_Spd*(1+ABS(A941)))),0)</f>
        <v>2</v>
      </c>
      <c r="F941" s="232">
        <f>IF(A941&gt;=0, DPS_Base_Recoil/(1+A941),DPS_Base_Recoil)</f>
        <v>0.00626566416</v>
      </c>
      <c r="G941" s="377">
        <f t="shared" si="7"/>
        <v>0.51</v>
      </c>
      <c r="H941" s="377">
        <f t="shared" si="8"/>
        <v>0.009115770283</v>
      </c>
      <c r="I941" s="104"/>
      <c r="J941" s="377">
        <f>MAX(0, Max(25,(DPS_Base_Range + ((DPS_Range_Stat) / 2))) / MIN(MAX(70, (70 * (1 + ($A941 / 3)))), 120))</f>
        <v>3.333333333</v>
      </c>
      <c r="K941" s="115" t="str">
        <f>IF(A941&lt;=DPS_Graph_Max,IF(A941&gt;=DPS_Graph_Speed_Min,A941,),)</f>
        <v/>
      </c>
      <c r="M941" s="213">
        <f>If(DPS_Weapon_Type="远程",$E941/60+$F941*2,$E941/60+$F941+$G941/2+$H941)</f>
        <v>0.04586466165</v>
      </c>
      <c r="N941" s="104" t="str">
        <f>IF(DPS_Graph_Tooltip_Speed=TRUE,IF($A941&lt;=DPS_Graph_Max,IF($A941&gt;=DPS_Graph_Speed_Min,1/M941,),),)</f>
        <v/>
      </c>
      <c r="R941" s="104" t="str">
        <f>IF(DPS_Graph_Tooltip_Speed=TRUE,IF($E$8=$A941,1/$N$6,),)</f>
        <v/>
      </c>
    </row>
    <row r="942">
      <c r="A942" s="370">
        <v>6.99</v>
      </c>
      <c r="B942" s="213">
        <f>If(DPS_Weapon_Type="远程",($E942+1)/60+(ROUNDDOWN($F942*60+1,0)/60)*2,(ROUNDDOWN(($E942+1)+ROUNDDOWN($F942*60+1,0)+ROUNDDOWN($G942/2*60+1,0)+ROUNDDOWN($H942*60+1,0)+1,0))/60+If(DPS_ATK_TYPE="挥砍",1/60)+If(DPS_ATK_TYPE="挥砍/刺击",1/120))+DPS_Weapon_Randomization/60</f>
        <v>0.105</v>
      </c>
      <c r="C942" s="104" t="str">
        <f>IF(DPS_Graph_True_Speed=TRUE,IF($A942&lt;=DPS_Graph_Max,IF($A942&gt;=DPS_Graph_Speed_Min,1/B942,),),)</f>
        <v/>
      </c>
      <c r="D942" s="115" t="str">
        <f>IF(DPS_Graph_True_Speed=TRUE,IF($E$8=$A942,DPS_Attacks_P_Sec,),)</f>
        <v/>
      </c>
      <c r="E942" s="222">
        <f>ROUNDDOWN(MAX(2,IF(A942&gt;=0, DPS_Base_Wpn_Spd/(1+A942),DPS_Base_Wpn_Spd*(1+ABS(A942)))),0)</f>
        <v>2</v>
      </c>
      <c r="F942" s="232">
        <f>IF(A942&gt;=0, DPS_Base_Recoil/(1+A942),DPS_Base_Recoil)</f>
        <v>0.006257822278</v>
      </c>
      <c r="G942" s="377">
        <f t="shared" si="7"/>
        <v>0.51</v>
      </c>
      <c r="H942" s="377">
        <f t="shared" si="8"/>
        <v>0.009103322713</v>
      </c>
      <c r="I942" s="104"/>
      <c r="J942" s="377">
        <f>MAX(0, Max(25,(DPS_Base_Range + ((DPS_Range_Stat) / 2))) / MIN(MAX(70, (70 * (1 + ($A942 / 3)))), 120))</f>
        <v>3.333333333</v>
      </c>
      <c r="K942" s="115" t="str">
        <f>IF(A942&lt;=DPS_Graph_Max,IF(A942&gt;=DPS_Graph_Speed_Min,A942,),)</f>
        <v/>
      </c>
      <c r="M942" s="213">
        <f>If(DPS_Weapon_Type="远程",$E942/60+$F942*2,$E942/60+$F942+$G942/2+$H942)</f>
        <v>0.04584897789</v>
      </c>
      <c r="N942" s="104" t="str">
        <f>IF(DPS_Graph_Tooltip_Speed=TRUE,IF($A942&lt;=DPS_Graph_Max,IF($A942&gt;=DPS_Graph_Speed_Min,1/M942,),),)</f>
        <v/>
      </c>
      <c r="R942" s="104" t="str">
        <f>IF(DPS_Graph_Tooltip_Speed=TRUE,IF($E$8=$A942,1/$N$6,),)</f>
        <v/>
      </c>
    </row>
    <row r="943">
      <c r="A943" s="370">
        <v>7.0</v>
      </c>
      <c r="B943" s="213">
        <f>If(DPS_Weapon_Type="远程",($E943+1)/60+(ROUNDDOWN($F943*60+1,0)/60)*2,(ROUNDDOWN(($E943+1)+ROUNDDOWN($F943*60+1,0)+ROUNDDOWN($G943/2*60+1,0)+ROUNDDOWN($H943*60+1,0)+1,0))/60+If(DPS_ATK_TYPE="挥砍",1/60)+If(DPS_ATK_TYPE="挥砍/刺击",1/120))+DPS_Weapon_Randomization/60</f>
        <v>0.105</v>
      </c>
      <c r="C943" s="104" t="str">
        <f>IF(DPS_Graph_True_Speed=TRUE,IF($A943&lt;=DPS_Graph_Max,IF($A943&gt;=DPS_Graph_Speed_Min,1/B943,),),)</f>
        <v/>
      </c>
      <c r="D943" s="115" t="str">
        <f>IF(DPS_Graph_True_Speed=TRUE,IF($E$8=$A943,DPS_Attacks_P_Sec,),)</f>
        <v/>
      </c>
      <c r="E943" s="222">
        <f>ROUNDDOWN(MAX(2,IF(A943&gt;=0, DPS_Base_Wpn_Spd/(1+A943),DPS_Base_Wpn_Spd*(1+ABS(A943)))),0)</f>
        <v>2</v>
      </c>
      <c r="F943" s="232">
        <f>IF(A943&gt;=0, DPS_Base_Recoil/(1+A943),DPS_Base_Recoil)</f>
        <v>0.00625</v>
      </c>
      <c r="G943" s="377">
        <f t="shared" si="7"/>
        <v>0.51</v>
      </c>
      <c r="H943" s="377">
        <f t="shared" si="8"/>
        <v>0.009090909091</v>
      </c>
      <c r="I943" s="104"/>
      <c r="J943" s="377">
        <f>MAX(0, Max(25,(DPS_Base_Range + ((DPS_Range_Stat) / 2))) / MIN(MAX(70, (70 * (1 + ($A943 / 3)))), 120))</f>
        <v>3.333333333</v>
      </c>
      <c r="K943" s="115" t="str">
        <f>IF(A943&lt;=DPS_Graph_Max,IF(A943&gt;=DPS_Graph_Speed_Min,A943,),)</f>
        <v/>
      </c>
      <c r="M943" s="213">
        <f>If(DPS_Weapon_Type="远程",$E943/60+$F943*2,$E943/60+$F943+$G943/2+$H943)</f>
        <v>0.04583333333</v>
      </c>
      <c r="N943" s="104" t="str">
        <f>IF(DPS_Graph_Tooltip_Speed=TRUE,IF($A943&lt;=DPS_Graph_Max,IF($A943&gt;=DPS_Graph_Speed_Min,1/M943,),),)</f>
        <v/>
      </c>
      <c r="R943" s="104" t="str">
        <f>IF(DPS_Graph_Tooltip_Speed=TRUE,IF($E$8=$A943,1/$N$6,),)</f>
        <v/>
      </c>
    </row>
    <row r="944">
      <c r="A944" s="370">
        <v>7.01</v>
      </c>
      <c r="B944" s="213">
        <f>If(DPS_Weapon_Type="远程",($E944+1)/60+(ROUNDDOWN($F944*60+1,0)/60)*2,(ROUNDDOWN(($E944+1)+ROUNDDOWN($F944*60+1,0)+ROUNDDOWN($G944/2*60+1,0)+ROUNDDOWN($H944*60+1,0)+1,0))/60+If(DPS_ATK_TYPE="挥砍",1/60)+If(DPS_ATK_TYPE="挥砍/刺击",1/120))+DPS_Weapon_Randomization/60</f>
        <v>0.105</v>
      </c>
      <c r="C944" s="104" t="str">
        <f>IF(DPS_Graph_True_Speed=TRUE,IF($A944&lt;=DPS_Graph_Max,IF($A944&gt;=DPS_Graph_Speed_Min,1/B944,),),)</f>
        <v/>
      </c>
      <c r="D944" s="115" t="str">
        <f>IF(DPS_Graph_True_Speed=TRUE,IF($E$8=$A944,DPS_Attacks_P_Sec,),)</f>
        <v/>
      </c>
      <c r="E944" s="222">
        <f>ROUNDDOWN(MAX(2,IF(A944&gt;=0, DPS_Base_Wpn_Spd/(1+A944),DPS_Base_Wpn_Spd*(1+ABS(A944)))),0)</f>
        <v>2</v>
      </c>
      <c r="F944" s="232">
        <f>IF(A944&gt;=0, DPS_Base_Recoil/(1+A944),DPS_Base_Recoil)</f>
        <v>0.006242197253</v>
      </c>
      <c r="G944" s="377">
        <f t="shared" si="7"/>
        <v>0.51</v>
      </c>
      <c r="H944" s="377">
        <f t="shared" si="8"/>
        <v>0.009078529278</v>
      </c>
      <c r="I944" s="104"/>
      <c r="J944" s="377">
        <f>MAX(0, Max(25,(DPS_Base_Range + ((DPS_Range_Stat) / 2))) / MIN(MAX(70, (70 * (1 + ($A944 / 3)))), 120))</f>
        <v>3.333333333</v>
      </c>
      <c r="K944" s="115" t="str">
        <f>IF(A944&lt;=DPS_Graph_Max,IF(A944&gt;=DPS_Graph_Speed_Min,A944,),)</f>
        <v/>
      </c>
      <c r="M944" s="213">
        <f>If(DPS_Weapon_Type="远程",$E944/60+$F944*2,$E944/60+$F944+$G944/2+$H944)</f>
        <v>0.04581772784</v>
      </c>
      <c r="N944" s="104" t="str">
        <f>IF(DPS_Graph_Tooltip_Speed=TRUE,IF($A944&lt;=DPS_Graph_Max,IF($A944&gt;=DPS_Graph_Speed_Min,1/M944,),),)</f>
        <v/>
      </c>
      <c r="R944" s="104" t="str">
        <f>IF(DPS_Graph_Tooltip_Speed=TRUE,IF($E$8=$A944,1/$N$6,),)</f>
        <v/>
      </c>
    </row>
    <row r="945">
      <c r="A945" s="370">
        <v>7.02</v>
      </c>
      <c r="B945" s="213">
        <f>If(DPS_Weapon_Type="远程",($E945+1)/60+(ROUNDDOWN($F945*60+1,0)/60)*2,(ROUNDDOWN(($E945+1)+ROUNDDOWN($F945*60+1,0)+ROUNDDOWN($G945/2*60+1,0)+ROUNDDOWN($H945*60+1,0)+1,0))/60+If(DPS_ATK_TYPE="挥砍",1/60)+If(DPS_ATK_TYPE="挥砍/刺击",1/120))+DPS_Weapon_Randomization/60</f>
        <v>0.105</v>
      </c>
      <c r="C945" s="104" t="str">
        <f>IF(DPS_Graph_True_Speed=TRUE,IF($A945&lt;=DPS_Graph_Max,IF($A945&gt;=DPS_Graph_Speed_Min,1/B945,),),)</f>
        <v/>
      </c>
      <c r="D945" s="115" t="str">
        <f>IF(DPS_Graph_True_Speed=TRUE,IF($E$8=$A945,DPS_Attacks_P_Sec,),)</f>
        <v/>
      </c>
      <c r="E945" s="222">
        <f>ROUNDDOWN(MAX(2,IF(A945&gt;=0, DPS_Base_Wpn_Spd/(1+A945),DPS_Base_Wpn_Spd*(1+ABS(A945)))),0)</f>
        <v>2</v>
      </c>
      <c r="F945" s="232">
        <f>IF(A945&gt;=0, DPS_Base_Recoil/(1+A945),DPS_Base_Recoil)</f>
        <v>0.006234413965</v>
      </c>
      <c r="G945" s="377">
        <f t="shared" si="7"/>
        <v>0.51</v>
      </c>
      <c r="H945" s="377">
        <f t="shared" si="8"/>
        <v>0.009066183137</v>
      </c>
      <c r="I945" s="104"/>
      <c r="J945" s="377">
        <f>MAX(0, Max(25,(DPS_Base_Range + ((DPS_Range_Stat) / 2))) / MIN(MAX(70, (70 * (1 + ($A945 / 3)))), 120))</f>
        <v>3.333333333</v>
      </c>
      <c r="K945" s="115" t="str">
        <f>IF(A945&lt;=DPS_Graph_Max,IF(A945&gt;=DPS_Graph_Speed_Min,A945,),)</f>
        <v/>
      </c>
      <c r="M945" s="213">
        <f>If(DPS_Weapon_Type="远程",$E945/60+$F945*2,$E945/60+$F945+$G945/2+$H945)</f>
        <v>0.04580216126</v>
      </c>
      <c r="N945" s="104" t="str">
        <f>IF(DPS_Graph_Tooltip_Speed=TRUE,IF($A945&lt;=DPS_Graph_Max,IF($A945&gt;=DPS_Graph_Speed_Min,1/M945,),),)</f>
        <v/>
      </c>
      <c r="R945" s="104" t="str">
        <f>IF(DPS_Graph_Tooltip_Speed=TRUE,IF($E$8=$A945,1/$N$6,),)</f>
        <v/>
      </c>
    </row>
    <row r="946">
      <c r="A946" s="370">
        <v>7.03</v>
      </c>
      <c r="B946" s="213">
        <f>If(DPS_Weapon_Type="远程",($E946+1)/60+(ROUNDDOWN($F946*60+1,0)/60)*2,(ROUNDDOWN(($E946+1)+ROUNDDOWN($F946*60+1,0)+ROUNDDOWN($G946/2*60+1,0)+ROUNDDOWN($H946*60+1,0)+1,0))/60+If(DPS_ATK_TYPE="挥砍",1/60)+If(DPS_ATK_TYPE="挥砍/刺击",1/120))+DPS_Weapon_Randomization/60</f>
        <v>0.105</v>
      </c>
      <c r="C946" s="104" t="str">
        <f>IF(DPS_Graph_True_Speed=TRUE,IF($A946&lt;=DPS_Graph_Max,IF($A946&gt;=DPS_Graph_Speed_Min,1/B946,),),)</f>
        <v/>
      </c>
      <c r="D946" s="115" t="str">
        <f>IF(DPS_Graph_True_Speed=TRUE,IF($E$8=$A946,DPS_Attacks_P_Sec,),)</f>
        <v/>
      </c>
      <c r="E946" s="222">
        <f>ROUNDDOWN(MAX(2,IF(A946&gt;=0, DPS_Base_Wpn_Spd/(1+A946),DPS_Base_Wpn_Spd*(1+ABS(A946)))),0)</f>
        <v>2</v>
      </c>
      <c r="F946" s="232">
        <f>IF(A946&gt;=0, DPS_Base_Recoil/(1+A946),DPS_Base_Recoil)</f>
        <v>0.006226650062</v>
      </c>
      <c r="G946" s="377">
        <f t="shared" si="7"/>
        <v>0.51</v>
      </c>
      <c r="H946" s="377">
        <f t="shared" si="8"/>
        <v>0.00905387053</v>
      </c>
      <c r="I946" s="104"/>
      <c r="J946" s="377">
        <f>MAX(0, Max(25,(DPS_Base_Range + ((DPS_Range_Stat) / 2))) / MIN(MAX(70, (70 * (1 + ($A946 / 3)))), 120))</f>
        <v>3.333333333</v>
      </c>
      <c r="K946" s="115" t="str">
        <f>IF(A946&lt;=DPS_Graph_Max,IF(A946&gt;=DPS_Graph_Speed_Min,A946,),)</f>
        <v/>
      </c>
      <c r="M946" s="213">
        <f>If(DPS_Weapon_Type="远程",$E946/60+$F946*2,$E946/60+$F946+$G946/2+$H946)</f>
        <v>0.04578663346</v>
      </c>
      <c r="N946" s="104" t="str">
        <f>IF(DPS_Graph_Tooltip_Speed=TRUE,IF($A946&lt;=DPS_Graph_Max,IF($A946&gt;=DPS_Graph_Speed_Min,1/M946,),),)</f>
        <v/>
      </c>
      <c r="R946" s="104" t="str">
        <f>IF(DPS_Graph_Tooltip_Speed=TRUE,IF($E$8=$A946,1/$N$6,),)</f>
        <v/>
      </c>
    </row>
    <row r="947">
      <c r="A947" s="370">
        <v>7.04</v>
      </c>
      <c r="B947" s="213">
        <f>If(DPS_Weapon_Type="远程",($E947+1)/60+(ROUNDDOWN($F947*60+1,0)/60)*2,(ROUNDDOWN(($E947+1)+ROUNDDOWN($F947*60+1,0)+ROUNDDOWN($G947/2*60+1,0)+ROUNDDOWN($H947*60+1,0)+1,0))/60+If(DPS_ATK_TYPE="挥砍",1/60)+If(DPS_ATK_TYPE="挥砍/刺击",1/120))+DPS_Weapon_Randomization/60</f>
        <v>0.105</v>
      </c>
      <c r="C947" s="104" t="str">
        <f>IF(DPS_Graph_True_Speed=TRUE,IF($A947&lt;=DPS_Graph_Max,IF($A947&gt;=DPS_Graph_Speed_Min,1/B947,),),)</f>
        <v/>
      </c>
      <c r="D947" s="115" t="str">
        <f>IF(DPS_Graph_True_Speed=TRUE,IF($E$8=$A947,DPS_Attacks_P_Sec,),)</f>
        <v/>
      </c>
      <c r="E947" s="222">
        <f>ROUNDDOWN(MAX(2,IF(A947&gt;=0, DPS_Base_Wpn_Spd/(1+A947),DPS_Base_Wpn_Spd*(1+ABS(A947)))),0)</f>
        <v>2</v>
      </c>
      <c r="F947" s="232">
        <f>IF(A947&gt;=0, DPS_Base_Recoil/(1+A947),DPS_Base_Recoil)</f>
        <v>0.006218905473</v>
      </c>
      <c r="G947" s="377">
        <f t="shared" si="7"/>
        <v>0.51</v>
      </c>
      <c r="H947" s="377">
        <f t="shared" si="8"/>
        <v>0.00904159132</v>
      </c>
      <c r="I947" s="104"/>
      <c r="J947" s="377">
        <f>MAX(0, Max(25,(DPS_Base_Range + ((DPS_Range_Stat) / 2))) / MIN(MAX(70, (70 * (1 + ($A947 / 3)))), 120))</f>
        <v>3.333333333</v>
      </c>
      <c r="K947" s="115" t="str">
        <f>IF(A947&lt;=DPS_Graph_Max,IF(A947&gt;=DPS_Graph_Speed_Min,A947,),)</f>
        <v/>
      </c>
      <c r="M947" s="213">
        <f>If(DPS_Weapon_Type="远程",$E947/60+$F947*2,$E947/60+$F947+$G947/2+$H947)</f>
        <v>0.04577114428</v>
      </c>
      <c r="N947" s="104" t="str">
        <f>IF(DPS_Graph_Tooltip_Speed=TRUE,IF($A947&lt;=DPS_Graph_Max,IF($A947&gt;=DPS_Graph_Speed_Min,1/M947,),),)</f>
        <v/>
      </c>
      <c r="R947" s="104" t="str">
        <f>IF(DPS_Graph_Tooltip_Speed=TRUE,IF($E$8=$A947,1/$N$6,),)</f>
        <v/>
      </c>
    </row>
    <row r="948">
      <c r="A948" s="370">
        <v>7.05</v>
      </c>
      <c r="B948" s="213">
        <f>If(DPS_Weapon_Type="远程",($E948+1)/60+(ROUNDDOWN($F948*60+1,0)/60)*2,(ROUNDDOWN(($E948+1)+ROUNDDOWN($F948*60+1,0)+ROUNDDOWN($G948/2*60+1,0)+ROUNDDOWN($H948*60+1,0)+1,0))/60+If(DPS_ATK_TYPE="挥砍",1/60)+If(DPS_ATK_TYPE="挥砍/刺击",1/120))+DPS_Weapon_Randomization/60</f>
        <v>0.105</v>
      </c>
      <c r="C948" s="104" t="str">
        <f>IF(DPS_Graph_True_Speed=TRUE,IF($A948&lt;=DPS_Graph_Max,IF($A948&gt;=DPS_Graph_Speed_Min,1/B948,),),)</f>
        <v/>
      </c>
      <c r="D948" s="115" t="str">
        <f>IF(DPS_Graph_True_Speed=TRUE,IF($E$8=$A948,DPS_Attacks_P_Sec,),)</f>
        <v/>
      </c>
      <c r="E948" s="222">
        <f>ROUNDDOWN(MAX(2,IF(A948&gt;=0, DPS_Base_Wpn_Spd/(1+A948),DPS_Base_Wpn_Spd*(1+ABS(A948)))),0)</f>
        <v>2</v>
      </c>
      <c r="F948" s="232">
        <f>IF(A948&gt;=0, DPS_Base_Recoil/(1+A948),DPS_Base_Recoil)</f>
        <v>0.006211180124</v>
      </c>
      <c r="G948" s="377">
        <f t="shared" si="7"/>
        <v>0.51</v>
      </c>
      <c r="H948" s="377">
        <f t="shared" si="8"/>
        <v>0.009029345372</v>
      </c>
      <c r="I948" s="104"/>
      <c r="J948" s="377">
        <f>MAX(0, Max(25,(DPS_Base_Range + ((DPS_Range_Stat) / 2))) / MIN(MAX(70, (70 * (1 + ($A948 / 3)))), 120))</f>
        <v>3.333333333</v>
      </c>
      <c r="K948" s="115" t="str">
        <f>IF(A948&lt;=DPS_Graph_Max,IF(A948&gt;=DPS_Graph_Speed_Min,A948,),)</f>
        <v/>
      </c>
      <c r="M948" s="213">
        <f>If(DPS_Weapon_Type="远程",$E948/60+$F948*2,$E948/60+$F948+$G948/2+$H948)</f>
        <v>0.04575569358</v>
      </c>
      <c r="N948" s="104" t="str">
        <f>IF(DPS_Graph_Tooltip_Speed=TRUE,IF($A948&lt;=DPS_Graph_Max,IF($A948&gt;=DPS_Graph_Speed_Min,1/M948,),),)</f>
        <v/>
      </c>
      <c r="R948" s="104" t="str">
        <f>IF(DPS_Graph_Tooltip_Speed=TRUE,IF($E$8=$A948,1/$N$6,),)</f>
        <v/>
      </c>
    </row>
    <row r="949">
      <c r="A949" s="370">
        <v>7.06</v>
      </c>
      <c r="B949" s="213">
        <f>If(DPS_Weapon_Type="远程",($E949+1)/60+(ROUNDDOWN($F949*60+1,0)/60)*2,(ROUNDDOWN(($E949+1)+ROUNDDOWN($F949*60+1,0)+ROUNDDOWN($G949/2*60+1,0)+ROUNDDOWN($H949*60+1,0)+1,0))/60+If(DPS_ATK_TYPE="挥砍",1/60)+If(DPS_ATK_TYPE="挥砍/刺击",1/120))+DPS_Weapon_Randomization/60</f>
        <v>0.105</v>
      </c>
      <c r="C949" s="104" t="str">
        <f>IF(DPS_Graph_True_Speed=TRUE,IF($A949&lt;=DPS_Graph_Max,IF($A949&gt;=DPS_Graph_Speed_Min,1/B949,),),)</f>
        <v/>
      </c>
      <c r="D949" s="115" t="str">
        <f>IF(DPS_Graph_True_Speed=TRUE,IF($E$8=$A949,DPS_Attacks_P_Sec,),)</f>
        <v/>
      </c>
      <c r="E949" s="222">
        <f>ROUNDDOWN(MAX(2,IF(A949&gt;=0, DPS_Base_Wpn_Spd/(1+A949),DPS_Base_Wpn_Spd*(1+ABS(A949)))),0)</f>
        <v>2</v>
      </c>
      <c r="F949" s="232">
        <f>IF(A949&gt;=0, DPS_Base_Recoil/(1+A949),DPS_Base_Recoil)</f>
        <v>0.006203473945</v>
      </c>
      <c r="G949" s="377">
        <f t="shared" si="7"/>
        <v>0.51</v>
      </c>
      <c r="H949" s="377">
        <f t="shared" si="8"/>
        <v>0.009017132552</v>
      </c>
      <c r="I949" s="104"/>
      <c r="J949" s="377">
        <f>MAX(0, Max(25,(DPS_Base_Range + ((DPS_Range_Stat) / 2))) / MIN(MAX(70, (70 * (1 + ($A949 / 3)))), 120))</f>
        <v>3.333333333</v>
      </c>
      <c r="K949" s="115" t="str">
        <f>IF(A949&lt;=DPS_Graph_Max,IF(A949&gt;=DPS_Graph_Speed_Min,A949,),)</f>
        <v/>
      </c>
      <c r="M949" s="213">
        <f>If(DPS_Weapon_Type="远程",$E949/60+$F949*2,$E949/60+$F949+$G949/2+$H949)</f>
        <v>0.04574028122</v>
      </c>
      <c r="N949" s="104" t="str">
        <f>IF(DPS_Graph_Tooltip_Speed=TRUE,IF($A949&lt;=DPS_Graph_Max,IF($A949&gt;=DPS_Graph_Speed_Min,1/M949,),),)</f>
        <v/>
      </c>
      <c r="R949" s="104" t="str">
        <f>IF(DPS_Graph_Tooltip_Speed=TRUE,IF($E$8=$A949,1/$N$6,),)</f>
        <v/>
      </c>
    </row>
    <row r="950">
      <c r="A950" s="370">
        <v>7.07</v>
      </c>
      <c r="B950" s="213">
        <f>If(DPS_Weapon_Type="远程",($E950+1)/60+(ROUNDDOWN($F950*60+1,0)/60)*2,(ROUNDDOWN(($E950+1)+ROUNDDOWN($F950*60+1,0)+ROUNDDOWN($G950/2*60+1,0)+ROUNDDOWN($H950*60+1,0)+1,0))/60+If(DPS_ATK_TYPE="挥砍",1/60)+If(DPS_ATK_TYPE="挥砍/刺击",1/120))+DPS_Weapon_Randomization/60</f>
        <v>0.105</v>
      </c>
      <c r="C950" s="104" t="str">
        <f>IF(DPS_Graph_True_Speed=TRUE,IF($A950&lt;=DPS_Graph_Max,IF($A950&gt;=DPS_Graph_Speed_Min,1/B950,),),)</f>
        <v/>
      </c>
      <c r="D950" s="115" t="str">
        <f>IF(DPS_Graph_True_Speed=TRUE,IF($E$8=$A950,DPS_Attacks_P_Sec,),)</f>
        <v/>
      </c>
      <c r="E950" s="222">
        <f>ROUNDDOWN(MAX(2,IF(A950&gt;=0, DPS_Base_Wpn_Spd/(1+A950),DPS_Base_Wpn_Spd*(1+ABS(A950)))),0)</f>
        <v>2</v>
      </c>
      <c r="F950" s="232">
        <f>IF(A950&gt;=0, DPS_Base_Recoil/(1+A950),DPS_Base_Recoil)</f>
        <v>0.006195786865</v>
      </c>
      <c r="G950" s="377">
        <f t="shared" si="7"/>
        <v>0.51</v>
      </c>
      <c r="H950" s="377">
        <f t="shared" si="8"/>
        <v>0.009004952724</v>
      </c>
      <c r="I950" s="104"/>
      <c r="J950" s="377">
        <f>MAX(0, Max(25,(DPS_Base_Range + ((DPS_Range_Stat) / 2))) / MIN(MAX(70, (70 * (1 + ($A950 / 3)))), 120))</f>
        <v>3.333333333</v>
      </c>
      <c r="K950" s="115" t="str">
        <f>IF(A950&lt;=DPS_Graph_Max,IF(A950&gt;=DPS_Graph_Speed_Min,A950,),)</f>
        <v/>
      </c>
      <c r="M950" s="213">
        <f>If(DPS_Weapon_Type="远程",$E950/60+$F950*2,$E950/60+$F950+$G950/2+$H950)</f>
        <v>0.04572490706</v>
      </c>
      <c r="N950" s="104" t="str">
        <f>IF(DPS_Graph_Tooltip_Speed=TRUE,IF($A950&lt;=DPS_Graph_Max,IF($A950&gt;=DPS_Graph_Speed_Min,1/M950,),),)</f>
        <v/>
      </c>
      <c r="R950" s="104" t="str">
        <f>IF(DPS_Graph_Tooltip_Speed=TRUE,IF($E$8=$A950,1/$N$6,),)</f>
        <v/>
      </c>
    </row>
    <row r="951">
      <c r="A951" s="370">
        <v>7.08</v>
      </c>
      <c r="B951" s="213">
        <f>If(DPS_Weapon_Type="远程",($E951+1)/60+(ROUNDDOWN($F951*60+1,0)/60)*2,(ROUNDDOWN(($E951+1)+ROUNDDOWN($F951*60+1,0)+ROUNDDOWN($G951/2*60+1,0)+ROUNDDOWN($H951*60+1,0)+1,0))/60+If(DPS_ATK_TYPE="挥砍",1/60)+If(DPS_ATK_TYPE="挥砍/刺击",1/120))+DPS_Weapon_Randomization/60</f>
        <v>0.105</v>
      </c>
      <c r="C951" s="104" t="str">
        <f>IF(DPS_Graph_True_Speed=TRUE,IF($A951&lt;=DPS_Graph_Max,IF($A951&gt;=DPS_Graph_Speed_Min,1/B951,),),)</f>
        <v/>
      </c>
      <c r="D951" s="115" t="str">
        <f>IF(DPS_Graph_True_Speed=TRUE,IF($E$8=$A951,DPS_Attacks_P_Sec,),)</f>
        <v/>
      </c>
      <c r="E951" s="222">
        <f>ROUNDDOWN(MAX(2,IF(A951&gt;=0, DPS_Base_Wpn_Spd/(1+A951),DPS_Base_Wpn_Spd*(1+ABS(A951)))),0)</f>
        <v>2</v>
      </c>
      <c r="F951" s="232">
        <f>IF(A951&gt;=0, DPS_Base_Recoil/(1+A951),DPS_Base_Recoil)</f>
        <v>0.006188118812</v>
      </c>
      <c r="G951" s="377">
        <f t="shared" si="7"/>
        <v>0.51</v>
      </c>
      <c r="H951" s="377">
        <f t="shared" si="8"/>
        <v>0.008992805755</v>
      </c>
      <c r="I951" s="104"/>
      <c r="J951" s="377">
        <f>MAX(0, Max(25,(DPS_Base_Range + ((DPS_Range_Stat) / 2))) / MIN(MAX(70, (70 * (1 + ($A951 / 3)))), 120))</f>
        <v>3.333333333</v>
      </c>
      <c r="K951" s="115" t="str">
        <f>IF(A951&lt;=DPS_Graph_Max,IF(A951&gt;=DPS_Graph_Speed_Min,A951,),)</f>
        <v/>
      </c>
      <c r="M951" s="213">
        <f>If(DPS_Weapon_Type="远程",$E951/60+$F951*2,$E951/60+$F951+$G951/2+$H951)</f>
        <v>0.04570957096</v>
      </c>
      <c r="N951" s="104" t="str">
        <f>IF(DPS_Graph_Tooltip_Speed=TRUE,IF($A951&lt;=DPS_Graph_Max,IF($A951&gt;=DPS_Graph_Speed_Min,1/M951,),),)</f>
        <v/>
      </c>
      <c r="R951" s="104" t="str">
        <f>IF(DPS_Graph_Tooltip_Speed=TRUE,IF($E$8=$A951,1/$N$6,),)</f>
        <v/>
      </c>
    </row>
    <row r="952">
      <c r="A952" s="370">
        <v>7.09</v>
      </c>
      <c r="B952" s="213">
        <f>If(DPS_Weapon_Type="远程",($E952+1)/60+(ROUNDDOWN($F952*60+1,0)/60)*2,(ROUNDDOWN(($E952+1)+ROUNDDOWN($F952*60+1,0)+ROUNDDOWN($G952/2*60+1,0)+ROUNDDOWN($H952*60+1,0)+1,0))/60+If(DPS_ATK_TYPE="挥砍",1/60)+If(DPS_ATK_TYPE="挥砍/刺击",1/120))+DPS_Weapon_Randomization/60</f>
        <v>0.105</v>
      </c>
      <c r="C952" s="104" t="str">
        <f>IF(DPS_Graph_True_Speed=TRUE,IF($A952&lt;=DPS_Graph_Max,IF($A952&gt;=DPS_Graph_Speed_Min,1/B952,),),)</f>
        <v/>
      </c>
      <c r="D952" s="115" t="str">
        <f>IF(DPS_Graph_True_Speed=TRUE,IF($E$8=$A952,DPS_Attacks_P_Sec,),)</f>
        <v/>
      </c>
      <c r="E952" s="222">
        <f>ROUNDDOWN(MAX(2,IF(A952&gt;=0, DPS_Base_Wpn_Spd/(1+A952),DPS_Base_Wpn_Spd*(1+ABS(A952)))),0)</f>
        <v>2</v>
      </c>
      <c r="F952" s="232">
        <f>IF(A952&gt;=0, DPS_Base_Recoil/(1+A952),DPS_Base_Recoil)</f>
        <v>0.006180469716</v>
      </c>
      <c r="G952" s="377">
        <f t="shared" si="7"/>
        <v>0.51</v>
      </c>
      <c r="H952" s="377">
        <f t="shared" si="8"/>
        <v>0.008980691513</v>
      </c>
      <c r="I952" s="104"/>
      <c r="J952" s="377">
        <f>MAX(0, Max(25,(DPS_Base_Range + ((DPS_Range_Stat) / 2))) / MIN(MAX(70, (70 * (1 + ($A952 / 3)))), 120))</f>
        <v>3.333333333</v>
      </c>
      <c r="K952" s="115" t="str">
        <f>IF(A952&lt;=DPS_Graph_Max,IF(A952&gt;=DPS_Graph_Speed_Min,A952,),)</f>
        <v/>
      </c>
      <c r="M952" s="213">
        <f>If(DPS_Weapon_Type="远程",$E952/60+$F952*2,$E952/60+$F952+$G952/2+$H952)</f>
        <v>0.04569427276</v>
      </c>
      <c r="N952" s="104" t="str">
        <f>IF(DPS_Graph_Tooltip_Speed=TRUE,IF($A952&lt;=DPS_Graph_Max,IF($A952&gt;=DPS_Graph_Speed_Min,1/M952,),),)</f>
        <v/>
      </c>
      <c r="R952" s="104" t="str">
        <f>IF(DPS_Graph_Tooltip_Speed=TRUE,IF($E$8=$A952,1/$N$6,),)</f>
        <v/>
      </c>
    </row>
    <row r="953">
      <c r="A953" s="370">
        <v>7.1</v>
      </c>
      <c r="B953" s="213">
        <f>If(DPS_Weapon_Type="远程",($E953+1)/60+(ROUNDDOWN($F953*60+1,0)/60)*2,(ROUNDDOWN(($E953+1)+ROUNDDOWN($F953*60+1,0)+ROUNDDOWN($G953/2*60+1,0)+ROUNDDOWN($H953*60+1,0)+1,0))/60+If(DPS_ATK_TYPE="挥砍",1/60)+If(DPS_ATK_TYPE="挥砍/刺击",1/120))+DPS_Weapon_Randomization/60</f>
        <v>0.105</v>
      </c>
      <c r="C953" s="104" t="str">
        <f>IF(DPS_Graph_True_Speed=TRUE,IF($A953&lt;=DPS_Graph_Max,IF($A953&gt;=DPS_Graph_Speed_Min,1/B953,),),)</f>
        <v/>
      </c>
      <c r="D953" s="115" t="str">
        <f>IF(DPS_Graph_True_Speed=TRUE,IF($E$8=$A953,DPS_Attacks_P_Sec,),)</f>
        <v/>
      </c>
      <c r="E953" s="222">
        <f>ROUNDDOWN(MAX(2,IF(A953&gt;=0, DPS_Base_Wpn_Spd/(1+A953),DPS_Base_Wpn_Spd*(1+ABS(A953)))),0)</f>
        <v>2</v>
      </c>
      <c r="F953" s="232">
        <f>IF(A953&gt;=0, DPS_Base_Recoil/(1+A953),DPS_Base_Recoil)</f>
        <v>0.006172839506</v>
      </c>
      <c r="G953" s="377">
        <f t="shared" si="7"/>
        <v>0.51</v>
      </c>
      <c r="H953" s="377">
        <f t="shared" si="8"/>
        <v>0.008968609865</v>
      </c>
      <c r="I953" s="104"/>
      <c r="J953" s="377">
        <f>MAX(0, Max(25,(DPS_Base_Range + ((DPS_Range_Stat) / 2))) / MIN(MAX(70, (70 * (1 + ($A953 / 3)))), 120))</f>
        <v>3.333333333</v>
      </c>
      <c r="K953" s="115" t="str">
        <f>IF(A953&lt;=DPS_Graph_Max,IF(A953&gt;=DPS_Graph_Speed_Min,A953,),)</f>
        <v/>
      </c>
      <c r="M953" s="213">
        <f>If(DPS_Weapon_Type="远程",$E953/60+$F953*2,$E953/60+$F953+$G953/2+$H953)</f>
        <v>0.04567901235</v>
      </c>
      <c r="N953" s="104" t="str">
        <f>IF(DPS_Graph_Tooltip_Speed=TRUE,IF($A953&lt;=DPS_Graph_Max,IF($A953&gt;=DPS_Graph_Speed_Min,1/M953,),),)</f>
        <v/>
      </c>
      <c r="R953" s="104" t="str">
        <f>IF(DPS_Graph_Tooltip_Speed=TRUE,IF($E$8=$A953,1/$N$6,),)</f>
        <v/>
      </c>
    </row>
    <row r="954">
      <c r="A954" s="370">
        <v>7.11</v>
      </c>
      <c r="B954" s="213">
        <f>If(DPS_Weapon_Type="远程",($E954+1)/60+(ROUNDDOWN($F954*60+1,0)/60)*2,(ROUNDDOWN(($E954+1)+ROUNDDOWN($F954*60+1,0)+ROUNDDOWN($G954/2*60+1,0)+ROUNDDOWN($H954*60+1,0)+1,0))/60+If(DPS_ATK_TYPE="挥砍",1/60)+If(DPS_ATK_TYPE="挥砍/刺击",1/120))+DPS_Weapon_Randomization/60</f>
        <v>0.105</v>
      </c>
      <c r="C954" s="104" t="str">
        <f>IF(DPS_Graph_True_Speed=TRUE,IF($A954&lt;=DPS_Graph_Max,IF($A954&gt;=DPS_Graph_Speed_Min,1/B954,),),)</f>
        <v/>
      </c>
      <c r="D954" s="115" t="str">
        <f>IF(DPS_Graph_True_Speed=TRUE,IF($E$8=$A954,DPS_Attacks_P_Sec,),)</f>
        <v/>
      </c>
      <c r="E954" s="222">
        <f>ROUNDDOWN(MAX(2,IF(A954&gt;=0, DPS_Base_Wpn_Spd/(1+A954),DPS_Base_Wpn_Spd*(1+ABS(A954)))),0)</f>
        <v>2</v>
      </c>
      <c r="F954" s="232">
        <f>IF(A954&gt;=0, DPS_Base_Recoil/(1+A954),DPS_Base_Recoil)</f>
        <v>0.006165228113</v>
      </c>
      <c r="G954" s="377">
        <f t="shared" si="7"/>
        <v>0.51</v>
      </c>
      <c r="H954" s="377">
        <f t="shared" si="8"/>
        <v>0.008956560681</v>
      </c>
      <c r="I954" s="104"/>
      <c r="J954" s="377">
        <f>MAX(0, Max(25,(DPS_Base_Range + ((DPS_Range_Stat) / 2))) / MIN(MAX(70, (70 * (1 + ($A954 / 3)))), 120))</f>
        <v>3.333333333</v>
      </c>
      <c r="K954" s="115" t="str">
        <f>IF(A954&lt;=DPS_Graph_Max,IF(A954&gt;=DPS_Graph_Speed_Min,A954,),)</f>
        <v/>
      </c>
      <c r="M954" s="213">
        <f>If(DPS_Weapon_Type="远程",$E954/60+$F954*2,$E954/60+$F954+$G954/2+$H954)</f>
        <v>0.04566378956</v>
      </c>
      <c r="N954" s="104" t="str">
        <f>IF(DPS_Graph_Tooltip_Speed=TRUE,IF($A954&lt;=DPS_Graph_Max,IF($A954&gt;=DPS_Graph_Speed_Min,1/M954,),),)</f>
        <v/>
      </c>
      <c r="R954" s="104" t="str">
        <f>IF(DPS_Graph_Tooltip_Speed=TRUE,IF($E$8=$A954,1/$N$6,),)</f>
        <v/>
      </c>
    </row>
    <row r="955">
      <c r="A955" s="370">
        <v>7.12</v>
      </c>
      <c r="B955" s="213">
        <f>If(DPS_Weapon_Type="远程",($E955+1)/60+(ROUNDDOWN($F955*60+1,0)/60)*2,(ROUNDDOWN(($E955+1)+ROUNDDOWN($F955*60+1,0)+ROUNDDOWN($G955/2*60+1,0)+ROUNDDOWN($H955*60+1,0)+1,0))/60+If(DPS_ATK_TYPE="挥砍",1/60)+If(DPS_ATK_TYPE="挥砍/刺击",1/120))+DPS_Weapon_Randomization/60</f>
        <v>0.105</v>
      </c>
      <c r="C955" s="104" t="str">
        <f>IF(DPS_Graph_True_Speed=TRUE,IF($A955&lt;=DPS_Graph_Max,IF($A955&gt;=DPS_Graph_Speed_Min,1/B955,),),)</f>
        <v/>
      </c>
      <c r="D955" s="115" t="str">
        <f>IF(DPS_Graph_True_Speed=TRUE,IF($E$8=$A955,DPS_Attacks_P_Sec,),)</f>
        <v/>
      </c>
      <c r="E955" s="222">
        <f>ROUNDDOWN(MAX(2,IF(A955&gt;=0, DPS_Base_Wpn_Spd/(1+A955),DPS_Base_Wpn_Spd*(1+ABS(A955)))),0)</f>
        <v>2</v>
      </c>
      <c r="F955" s="232">
        <f>IF(A955&gt;=0, DPS_Base_Recoil/(1+A955),DPS_Base_Recoil)</f>
        <v>0.006157635468</v>
      </c>
      <c r="G955" s="377">
        <f t="shared" si="7"/>
        <v>0.51</v>
      </c>
      <c r="H955" s="377">
        <f t="shared" si="8"/>
        <v>0.008944543828</v>
      </c>
      <c r="I955" s="104"/>
      <c r="J955" s="377">
        <f>MAX(0, Max(25,(DPS_Base_Range + ((DPS_Range_Stat) / 2))) / MIN(MAX(70, (70 * (1 + ($A955 / 3)))), 120))</f>
        <v>3.333333333</v>
      </c>
      <c r="K955" s="115" t="str">
        <f>IF(A955&lt;=DPS_Graph_Max,IF(A955&gt;=DPS_Graph_Speed_Min,A955,),)</f>
        <v/>
      </c>
      <c r="M955" s="213">
        <f>If(DPS_Weapon_Type="远程",$E955/60+$F955*2,$E955/60+$F955+$G955/2+$H955)</f>
        <v>0.04564860427</v>
      </c>
      <c r="N955" s="104" t="str">
        <f>IF(DPS_Graph_Tooltip_Speed=TRUE,IF($A955&lt;=DPS_Graph_Max,IF($A955&gt;=DPS_Graph_Speed_Min,1/M955,),),)</f>
        <v/>
      </c>
      <c r="R955" s="104" t="str">
        <f>IF(DPS_Graph_Tooltip_Speed=TRUE,IF($E$8=$A955,1/$N$6,),)</f>
        <v/>
      </c>
    </row>
    <row r="956">
      <c r="A956" s="370">
        <v>7.13</v>
      </c>
      <c r="B956" s="213">
        <f>If(DPS_Weapon_Type="远程",($E956+1)/60+(ROUNDDOWN($F956*60+1,0)/60)*2,(ROUNDDOWN(($E956+1)+ROUNDDOWN($F956*60+1,0)+ROUNDDOWN($G956/2*60+1,0)+ROUNDDOWN($H956*60+1,0)+1,0))/60+If(DPS_ATK_TYPE="挥砍",1/60)+If(DPS_ATK_TYPE="挥砍/刺击",1/120))+DPS_Weapon_Randomization/60</f>
        <v>0.105</v>
      </c>
      <c r="C956" s="104" t="str">
        <f>IF(DPS_Graph_True_Speed=TRUE,IF($A956&lt;=DPS_Graph_Max,IF($A956&gt;=DPS_Graph_Speed_Min,1/B956,),),)</f>
        <v/>
      </c>
      <c r="D956" s="115" t="str">
        <f>IF(DPS_Graph_True_Speed=TRUE,IF($E$8=$A956,DPS_Attacks_P_Sec,),)</f>
        <v/>
      </c>
      <c r="E956" s="222">
        <f>ROUNDDOWN(MAX(2,IF(A956&gt;=0, DPS_Base_Wpn_Spd/(1+A956),DPS_Base_Wpn_Spd*(1+ABS(A956)))),0)</f>
        <v>2</v>
      </c>
      <c r="F956" s="232">
        <f>IF(A956&gt;=0, DPS_Base_Recoil/(1+A956),DPS_Base_Recoil)</f>
        <v>0.006150061501</v>
      </c>
      <c r="G956" s="377">
        <f t="shared" si="7"/>
        <v>0.51</v>
      </c>
      <c r="H956" s="377">
        <f t="shared" si="8"/>
        <v>0.008932559178</v>
      </c>
      <c r="I956" s="104"/>
      <c r="J956" s="377">
        <f>MAX(0, Max(25,(DPS_Base_Range + ((DPS_Range_Stat) / 2))) / MIN(MAX(70, (70 * (1 + ($A956 / 3)))), 120))</f>
        <v>3.333333333</v>
      </c>
      <c r="K956" s="115" t="str">
        <f>IF(A956&lt;=DPS_Graph_Max,IF(A956&gt;=DPS_Graph_Speed_Min,A956,),)</f>
        <v/>
      </c>
      <c r="M956" s="213">
        <f>If(DPS_Weapon_Type="远程",$E956/60+$F956*2,$E956/60+$F956+$G956/2+$H956)</f>
        <v>0.04563345633</v>
      </c>
      <c r="N956" s="104" t="str">
        <f>IF(DPS_Graph_Tooltip_Speed=TRUE,IF($A956&lt;=DPS_Graph_Max,IF($A956&gt;=DPS_Graph_Speed_Min,1/M956,),),)</f>
        <v/>
      </c>
      <c r="R956" s="104" t="str">
        <f>IF(DPS_Graph_Tooltip_Speed=TRUE,IF($E$8=$A956,1/$N$6,),)</f>
        <v/>
      </c>
    </row>
    <row r="957">
      <c r="A957" s="370">
        <v>7.14</v>
      </c>
      <c r="B957" s="213">
        <f>If(DPS_Weapon_Type="远程",($E957+1)/60+(ROUNDDOWN($F957*60+1,0)/60)*2,(ROUNDDOWN(($E957+1)+ROUNDDOWN($F957*60+1,0)+ROUNDDOWN($G957/2*60+1,0)+ROUNDDOWN($H957*60+1,0)+1,0))/60+If(DPS_ATK_TYPE="挥砍",1/60)+If(DPS_ATK_TYPE="挥砍/刺击",1/120))+DPS_Weapon_Randomization/60</f>
        <v>0.105</v>
      </c>
      <c r="C957" s="104" t="str">
        <f>IF(DPS_Graph_True_Speed=TRUE,IF($A957&lt;=DPS_Graph_Max,IF($A957&gt;=DPS_Graph_Speed_Min,1/B957,),),)</f>
        <v/>
      </c>
      <c r="D957" s="115" t="str">
        <f>IF(DPS_Graph_True_Speed=TRUE,IF($E$8=$A957,DPS_Attacks_P_Sec,),)</f>
        <v/>
      </c>
      <c r="E957" s="222">
        <f>ROUNDDOWN(MAX(2,IF(A957&gt;=0, DPS_Base_Wpn_Spd/(1+A957),DPS_Base_Wpn_Spd*(1+ABS(A957)))),0)</f>
        <v>2</v>
      </c>
      <c r="F957" s="232">
        <f>IF(A957&gt;=0, DPS_Base_Recoil/(1+A957),DPS_Base_Recoil)</f>
        <v>0.006142506143</v>
      </c>
      <c r="G957" s="377">
        <f t="shared" si="7"/>
        <v>0.51</v>
      </c>
      <c r="H957" s="377">
        <f t="shared" si="8"/>
        <v>0.008920606601</v>
      </c>
      <c r="I957" s="104"/>
      <c r="J957" s="377">
        <f>MAX(0, Max(25,(DPS_Base_Range + ((DPS_Range_Stat) / 2))) / MIN(MAX(70, (70 * (1 + ($A957 / 3)))), 120))</f>
        <v>3.333333333</v>
      </c>
      <c r="K957" s="115" t="str">
        <f>IF(A957&lt;=DPS_Graph_Max,IF(A957&gt;=DPS_Graph_Speed_Min,A957,),)</f>
        <v/>
      </c>
      <c r="M957" s="213">
        <f>If(DPS_Weapon_Type="远程",$E957/60+$F957*2,$E957/60+$F957+$G957/2+$H957)</f>
        <v>0.04561834562</v>
      </c>
      <c r="N957" s="104" t="str">
        <f>IF(DPS_Graph_Tooltip_Speed=TRUE,IF($A957&lt;=DPS_Graph_Max,IF($A957&gt;=DPS_Graph_Speed_Min,1/M957,),),)</f>
        <v/>
      </c>
      <c r="R957" s="104" t="str">
        <f>IF(DPS_Graph_Tooltip_Speed=TRUE,IF($E$8=$A957,1/$N$6,),)</f>
        <v/>
      </c>
    </row>
    <row r="958">
      <c r="A958" s="370">
        <v>7.15</v>
      </c>
      <c r="B958" s="213">
        <f>If(DPS_Weapon_Type="远程",($E958+1)/60+(ROUNDDOWN($F958*60+1,0)/60)*2,(ROUNDDOWN(($E958+1)+ROUNDDOWN($F958*60+1,0)+ROUNDDOWN($G958/2*60+1,0)+ROUNDDOWN($H958*60+1,0)+1,0))/60+If(DPS_ATK_TYPE="挥砍",1/60)+If(DPS_ATK_TYPE="挥砍/刺击",1/120))+DPS_Weapon_Randomization/60</f>
        <v>0.105</v>
      </c>
      <c r="C958" s="104" t="str">
        <f>IF(DPS_Graph_True_Speed=TRUE,IF($A958&lt;=DPS_Graph_Max,IF($A958&gt;=DPS_Graph_Speed_Min,1/B958,),),)</f>
        <v/>
      </c>
      <c r="D958" s="115" t="str">
        <f>IF(DPS_Graph_True_Speed=TRUE,IF($E$8=$A958,DPS_Attacks_P_Sec,),)</f>
        <v/>
      </c>
      <c r="E958" s="222">
        <f>ROUNDDOWN(MAX(2,IF(A958&gt;=0, DPS_Base_Wpn_Spd/(1+A958),DPS_Base_Wpn_Spd*(1+ABS(A958)))),0)</f>
        <v>2</v>
      </c>
      <c r="F958" s="232">
        <f>IF(A958&gt;=0, DPS_Base_Recoil/(1+A958),DPS_Base_Recoil)</f>
        <v>0.006134969325</v>
      </c>
      <c r="G958" s="377">
        <f t="shared" si="7"/>
        <v>0.51</v>
      </c>
      <c r="H958" s="377">
        <f t="shared" si="8"/>
        <v>0.008908685969</v>
      </c>
      <c r="I958" s="104"/>
      <c r="J958" s="377">
        <f>MAX(0, Max(25,(DPS_Base_Range + ((DPS_Range_Stat) / 2))) / MIN(MAX(70, (70 * (1 + ($A958 / 3)))), 120))</f>
        <v>3.333333333</v>
      </c>
      <c r="K958" s="115" t="str">
        <f>IF(A958&lt;=DPS_Graph_Max,IF(A958&gt;=DPS_Graph_Speed_Min,A958,),)</f>
        <v/>
      </c>
      <c r="M958" s="213">
        <f>If(DPS_Weapon_Type="远程",$E958/60+$F958*2,$E958/60+$F958+$G958/2+$H958)</f>
        <v>0.04560327198</v>
      </c>
      <c r="N958" s="104" t="str">
        <f>IF(DPS_Graph_Tooltip_Speed=TRUE,IF($A958&lt;=DPS_Graph_Max,IF($A958&gt;=DPS_Graph_Speed_Min,1/M958,),),)</f>
        <v/>
      </c>
      <c r="R958" s="104" t="str">
        <f>IF(DPS_Graph_Tooltip_Speed=TRUE,IF($E$8=$A958,1/$N$6,),)</f>
        <v/>
      </c>
    </row>
    <row r="959">
      <c r="A959" s="370">
        <v>7.16</v>
      </c>
      <c r="B959" s="213">
        <f>If(DPS_Weapon_Type="远程",($E959+1)/60+(ROUNDDOWN($F959*60+1,0)/60)*2,(ROUNDDOWN(($E959+1)+ROUNDDOWN($F959*60+1,0)+ROUNDDOWN($G959/2*60+1,0)+ROUNDDOWN($H959*60+1,0)+1,0))/60+If(DPS_ATK_TYPE="挥砍",1/60)+If(DPS_ATK_TYPE="挥砍/刺击",1/120))+DPS_Weapon_Randomization/60</f>
        <v>0.105</v>
      </c>
      <c r="C959" s="104" t="str">
        <f>IF(DPS_Graph_True_Speed=TRUE,IF($A959&lt;=DPS_Graph_Max,IF($A959&gt;=DPS_Graph_Speed_Min,1/B959,),),)</f>
        <v/>
      </c>
      <c r="D959" s="115" t="str">
        <f>IF(DPS_Graph_True_Speed=TRUE,IF($E$8=$A959,DPS_Attacks_P_Sec,),)</f>
        <v/>
      </c>
      <c r="E959" s="222">
        <f>ROUNDDOWN(MAX(2,IF(A959&gt;=0, DPS_Base_Wpn_Spd/(1+A959),DPS_Base_Wpn_Spd*(1+ABS(A959)))),0)</f>
        <v>2</v>
      </c>
      <c r="F959" s="232">
        <f>IF(A959&gt;=0, DPS_Base_Recoil/(1+A959),DPS_Base_Recoil)</f>
        <v>0.00612745098</v>
      </c>
      <c r="G959" s="377">
        <f t="shared" si="7"/>
        <v>0.51</v>
      </c>
      <c r="H959" s="377">
        <f t="shared" si="8"/>
        <v>0.008896797153</v>
      </c>
      <c r="I959" s="104"/>
      <c r="J959" s="377">
        <f>MAX(0, Max(25,(DPS_Base_Range + ((DPS_Range_Stat) / 2))) / MIN(MAX(70, (70 * (1 + ($A959 / 3)))), 120))</f>
        <v>3.333333333</v>
      </c>
      <c r="K959" s="115" t="str">
        <f>IF(A959&lt;=DPS_Graph_Max,IF(A959&gt;=DPS_Graph_Speed_Min,A959,),)</f>
        <v/>
      </c>
      <c r="M959" s="213">
        <f>If(DPS_Weapon_Type="远程",$E959/60+$F959*2,$E959/60+$F959+$G959/2+$H959)</f>
        <v>0.04558823529</v>
      </c>
      <c r="N959" s="104" t="str">
        <f>IF(DPS_Graph_Tooltip_Speed=TRUE,IF($A959&lt;=DPS_Graph_Max,IF($A959&gt;=DPS_Graph_Speed_Min,1/M959,),),)</f>
        <v/>
      </c>
      <c r="R959" s="104" t="str">
        <f>IF(DPS_Graph_Tooltip_Speed=TRUE,IF($E$8=$A959,1/$N$6,),)</f>
        <v/>
      </c>
    </row>
    <row r="960">
      <c r="A960" s="370">
        <v>7.17</v>
      </c>
      <c r="B960" s="213">
        <f>If(DPS_Weapon_Type="远程",($E960+1)/60+(ROUNDDOWN($F960*60+1,0)/60)*2,(ROUNDDOWN(($E960+1)+ROUNDDOWN($F960*60+1,0)+ROUNDDOWN($G960/2*60+1,0)+ROUNDDOWN($H960*60+1,0)+1,0))/60+If(DPS_ATK_TYPE="挥砍",1/60)+If(DPS_ATK_TYPE="挥砍/刺击",1/120))+DPS_Weapon_Randomization/60</f>
        <v>0.105</v>
      </c>
      <c r="C960" s="104" t="str">
        <f>IF(DPS_Graph_True_Speed=TRUE,IF($A960&lt;=DPS_Graph_Max,IF($A960&gt;=DPS_Graph_Speed_Min,1/B960,),),)</f>
        <v/>
      </c>
      <c r="D960" s="115" t="str">
        <f>IF(DPS_Graph_True_Speed=TRUE,IF($E$8=$A960,DPS_Attacks_P_Sec,),)</f>
        <v/>
      </c>
      <c r="E960" s="222">
        <f>ROUNDDOWN(MAX(2,IF(A960&gt;=0, DPS_Base_Wpn_Spd/(1+A960),DPS_Base_Wpn_Spd*(1+ABS(A960)))),0)</f>
        <v>2</v>
      </c>
      <c r="F960" s="232">
        <f>IF(A960&gt;=0, DPS_Base_Recoil/(1+A960),DPS_Base_Recoil)</f>
        <v>0.00611995104</v>
      </c>
      <c r="G960" s="377">
        <f t="shared" si="7"/>
        <v>0.51</v>
      </c>
      <c r="H960" s="377">
        <f t="shared" si="8"/>
        <v>0.008884940027</v>
      </c>
      <c r="I960" s="104"/>
      <c r="J960" s="377">
        <f>MAX(0, Max(25,(DPS_Base_Range + ((DPS_Range_Stat) / 2))) / MIN(MAX(70, (70 * (1 + ($A960 / 3)))), 120))</f>
        <v>3.333333333</v>
      </c>
      <c r="K960" s="115" t="str">
        <f>IF(A960&lt;=DPS_Graph_Max,IF(A960&gt;=DPS_Graph_Speed_Min,A960,),)</f>
        <v/>
      </c>
      <c r="M960" s="213">
        <f>If(DPS_Weapon_Type="远程",$E960/60+$F960*2,$E960/60+$F960+$G960/2+$H960)</f>
        <v>0.04557323541</v>
      </c>
      <c r="N960" s="104" t="str">
        <f>IF(DPS_Graph_Tooltip_Speed=TRUE,IF($A960&lt;=DPS_Graph_Max,IF($A960&gt;=DPS_Graph_Speed_Min,1/M960,),),)</f>
        <v/>
      </c>
      <c r="R960" s="104" t="str">
        <f>IF(DPS_Graph_Tooltip_Speed=TRUE,IF($E$8=$A960,1/$N$6,),)</f>
        <v/>
      </c>
    </row>
    <row r="961">
      <c r="A961" s="370">
        <v>7.18</v>
      </c>
      <c r="B961" s="213">
        <f>If(DPS_Weapon_Type="远程",($E961+1)/60+(ROUNDDOWN($F961*60+1,0)/60)*2,(ROUNDDOWN(($E961+1)+ROUNDDOWN($F961*60+1,0)+ROUNDDOWN($G961/2*60+1,0)+ROUNDDOWN($H961*60+1,0)+1,0))/60+If(DPS_ATK_TYPE="挥砍",1/60)+If(DPS_ATK_TYPE="挥砍/刺击",1/120))+DPS_Weapon_Randomization/60</f>
        <v>0.105</v>
      </c>
      <c r="C961" s="104" t="str">
        <f>IF(DPS_Graph_True_Speed=TRUE,IF($A961&lt;=DPS_Graph_Max,IF($A961&gt;=DPS_Graph_Speed_Min,1/B961,),),)</f>
        <v/>
      </c>
      <c r="D961" s="115" t="str">
        <f>IF(DPS_Graph_True_Speed=TRUE,IF($E$8=$A961,DPS_Attacks_P_Sec,),)</f>
        <v/>
      </c>
      <c r="E961" s="222">
        <f>ROUNDDOWN(MAX(2,IF(A961&gt;=0, DPS_Base_Wpn_Spd/(1+A961),DPS_Base_Wpn_Spd*(1+ABS(A961)))),0)</f>
        <v>2</v>
      </c>
      <c r="F961" s="232">
        <f>IF(A961&gt;=0, DPS_Base_Recoil/(1+A961),DPS_Base_Recoil)</f>
        <v>0.006112469438</v>
      </c>
      <c r="G961" s="377">
        <f t="shared" si="7"/>
        <v>0.51</v>
      </c>
      <c r="H961" s="377">
        <f t="shared" si="8"/>
        <v>0.008873114463</v>
      </c>
      <c r="I961" s="104"/>
      <c r="J961" s="377">
        <f>MAX(0, Max(25,(DPS_Base_Range + ((DPS_Range_Stat) / 2))) / MIN(MAX(70, (70 * (1 + ($A961 / 3)))), 120))</f>
        <v>3.333333333</v>
      </c>
      <c r="K961" s="115" t="str">
        <f>IF(A961&lt;=DPS_Graph_Max,IF(A961&gt;=DPS_Graph_Speed_Min,A961,),)</f>
        <v/>
      </c>
      <c r="M961" s="213">
        <f>If(DPS_Weapon_Type="远程",$E961/60+$F961*2,$E961/60+$F961+$G961/2+$H961)</f>
        <v>0.04555827221</v>
      </c>
      <c r="N961" s="104" t="str">
        <f>IF(DPS_Graph_Tooltip_Speed=TRUE,IF($A961&lt;=DPS_Graph_Max,IF($A961&gt;=DPS_Graph_Speed_Min,1/M961,),),)</f>
        <v/>
      </c>
      <c r="R961" s="104" t="str">
        <f>IF(DPS_Graph_Tooltip_Speed=TRUE,IF($E$8=$A961,1/$N$6,),)</f>
        <v/>
      </c>
    </row>
    <row r="962">
      <c r="A962" s="370">
        <v>7.19</v>
      </c>
      <c r="B962" s="213">
        <f>If(DPS_Weapon_Type="远程",($E962+1)/60+(ROUNDDOWN($F962*60+1,0)/60)*2,(ROUNDDOWN(($E962+1)+ROUNDDOWN($F962*60+1,0)+ROUNDDOWN($G962/2*60+1,0)+ROUNDDOWN($H962*60+1,0)+1,0))/60+If(DPS_ATK_TYPE="挥砍",1/60)+If(DPS_ATK_TYPE="挥砍/刺击",1/120))+DPS_Weapon_Randomization/60</f>
        <v>0.105</v>
      </c>
      <c r="C962" s="104" t="str">
        <f>IF(DPS_Graph_True_Speed=TRUE,IF($A962&lt;=DPS_Graph_Max,IF($A962&gt;=DPS_Graph_Speed_Min,1/B962,),),)</f>
        <v/>
      </c>
      <c r="D962" s="115" t="str">
        <f>IF(DPS_Graph_True_Speed=TRUE,IF($E$8=$A962,DPS_Attacks_P_Sec,),)</f>
        <v/>
      </c>
      <c r="E962" s="222">
        <f>ROUNDDOWN(MAX(2,IF(A962&gt;=0, DPS_Base_Wpn_Spd/(1+A962),DPS_Base_Wpn_Spd*(1+ABS(A962)))),0)</f>
        <v>2</v>
      </c>
      <c r="F962" s="232">
        <f>IF(A962&gt;=0, DPS_Base_Recoil/(1+A962),DPS_Base_Recoil)</f>
        <v>0.006105006105</v>
      </c>
      <c r="G962" s="377">
        <f t="shared" si="7"/>
        <v>0.51</v>
      </c>
      <c r="H962" s="377">
        <f t="shared" si="8"/>
        <v>0.008861320337</v>
      </c>
      <c r="I962" s="104"/>
      <c r="J962" s="377">
        <f>MAX(0, Max(25,(DPS_Base_Range + ((DPS_Range_Stat) / 2))) / MIN(MAX(70, (70 * (1 + ($A962 / 3)))), 120))</f>
        <v>3.333333333</v>
      </c>
      <c r="K962" s="115" t="str">
        <f>IF(A962&lt;=DPS_Graph_Max,IF(A962&gt;=DPS_Graph_Speed_Min,A962,),)</f>
        <v/>
      </c>
      <c r="M962" s="213">
        <f>If(DPS_Weapon_Type="远程",$E962/60+$F962*2,$E962/60+$F962+$G962/2+$H962)</f>
        <v>0.04554334554</v>
      </c>
      <c r="N962" s="104" t="str">
        <f>IF(DPS_Graph_Tooltip_Speed=TRUE,IF($A962&lt;=DPS_Graph_Max,IF($A962&gt;=DPS_Graph_Speed_Min,1/M962,),),)</f>
        <v/>
      </c>
      <c r="R962" s="104" t="str">
        <f>IF(DPS_Graph_Tooltip_Speed=TRUE,IF($E$8=$A962,1/$N$6,),)</f>
        <v/>
      </c>
    </row>
    <row r="963">
      <c r="A963" s="370">
        <v>7.2</v>
      </c>
      <c r="B963" s="213">
        <f>If(DPS_Weapon_Type="远程",($E963+1)/60+(ROUNDDOWN($F963*60+1,0)/60)*2,(ROUNDDOWN(($E963+1)+ROUNDDOWN($F963*60+1,0)+ROUNDDOWN($G963/2*60+1,0)+ROUNDDOWN($H963*60+1,0)+1,0))/60+If(DPS_ATK_TYPE="挥砍",1/60)+If(DPS_ATK_TYPE="挥砍/刺击",1/120))+DPS_Weapon_Randomization/60</f>
        <v>0.105</v>
      </c>
      <c r="C963" s="104" t="str">
        <f>IF(DPS_Graph_True_Speed=TRUE,IF($A963&lt;=DPS_Graph_Max,IF($A963&gt;=DPS_Graph_Speed_Min,1/B963,),),)</f>
        <v/>
      </c>
      <c r="D963" s="115" t="str">
        <f>IF(DPS_Graph_True_Speed=TRUE,IF($E$8=$A963,DPS_Attacks_P_Sec,),)</f>
        <v/>
      </c>
      <c r="E963" s="222">
        <f>ROUNDDOWN(MAX(2,IF(A963&gt;=0, DPS_Base_Wpn_Spd/(1+A963),DPS_Base_Wpn_Spd*(1+ABS(A963)))),0)</f>
        <v>2</v>
      </c>
      <c r="F963" s="232">
        <f>IF(A963&gt;=0, DPS_Base_Recoil/(1+A963),DPS_Base_Recoil)</f>
        <v>0.006097560976</v>
      </c>
      <c r="G963" s="377">
        <f t="shared" si="7"/>
        <v>0.51</v>
      </c>
      <c r="H963" s="377">
        <f t="shared" si="8"/>
        <v>0.008849557522</v>
      </c>
      <c r="I963" s="104"/>
      <c r="J963" s="377">
        <f>MAX(0, Max(25,(DPS_Base_Range + ((DPS_Range_Stat) / 2))) / MIN(MAX(70, (70 * (1 + ($A963 / 3)))), 120))</f>
        <v>3.333333333</v>
      </c>
      <c r="K963" s="115" t="str">
        <f>IF(A963&lt;=DPS_Graph_Max,IF(A963&gt;=DPS_Graph_Speed_Min,A963,),)</f>
        <v/>
      </c>
      <c r="M963" s="213">
        <f>If(DPS_Weapon_Type="远程",$E963/60+$F963*2,$E963/60+$F963+$G963/2+$H963)</f>
        <v>0.04552845528</v>
      </c>
      <c r="N963" s="104" t="str">
        <f>IF(DPS_Graph_Tooltip_Speed=TRUE,IF($A963&lt;=DPS_Graph_Max,IF($A963&gt;=DPS_Graph_Speed_Min,1/M963,),),)</f>
        <v/>
      </c>
      <c r="R963" s="104" t="str">
        <f>IF(DPS_Graph_Tooltip_Speed=TRUE,IF($E$8=$A963,1/$N$6,),)</f>
        <v/>
      </c>
    </row>
    <row r="964">
      <c r="A964" s="370">
        <v>7.21</v>
      </c>
      <c r="B964" s="213">
        <f>If(DPS_Weapon_Type="远程",($E964+1)/60+(ROUNDDOWN($F964*60+1,0)/60)*2,(ROUNDDOWN(($E964+1)+ROUNDDOWN($F964*60+1,0)+ROUNDDOWN($G964/2*60+1,0)+ROUNDDOWN($H964*60+1,0)+1,0))/60+If(DPS_ATK_TYPE="挥砍",1/60)+If(DPS_ATK_TYPE="挥砍/刺击",1/120))+DPS_Weapon_Randomization/60</f>
        <v>0.105</v>
      </c>
      <c r="C964" s="104" t="str">
        <f>IF(DPS_Graph_True_Speed=TRUE,IF($A964&lt;=DPS_Graph_Max,IF($A964&gt;=DPS_Graph_Speed_Min,1/B964,),),)</f>
        <v/>
      </c>
      <c r="D964" s="115" t="str">
        <f>IF(DPS_Graph_True_Speed=TRUE,IF($E$8=$A964,DPS_Attacks_P_Sec,),)</f>
        <v/>
      </c>
      <c r="E964" s="222">
        <f>ROUNDDOWN(MAX(2,IF(A964&gt;=0, DPS_Base_Wpn_Spd/(1+A964),DPS_Base_Wpn_Spd*(1+ABS(A964)))),0)</f>
        <v>2</v>
      </c>
      <c r="F964" s="232">
        <f>IF(A964&gt;=0, DPS_Base_Recoil/(1+A964),DPS_Base_Recoil)</f>
        <v>0.006090133983</v>
      </c>
      <c r="G964" s="377">
        <f t="shared" si="7"/>
        <v>0.51</v>
      </c>
      <c r="H964" s="377">
        <f t="shared" si="8"/>
        <v>0.008837825895</v>
      </c>
      <c r="I964" s="104"/>
      <c r="J964" s="377">
        <f>MAX(0, Max(25,(DPS_Base_Range + ((DPS_Range_Stat) / 2))) / MIN(MAX(70, (70 * (1 + ($A964 / 3)))), 120))</f>
        <v>3.333333333</v>
      </c>
      <c r="K964" s="115" t="str">
        <f>IF(A964&lt;=DPS_Graph_Max,IF(A964&gt;=DPS_Graph_Speed_Min,A964,),)</f>
        <v/>
      </c>
      <c r="M964" s="213">
        <f>If(DPS_Weapon_Type="远程",$E964/60+$F964*2,$E964/60+$F964+$G964/2+$H964)</f>
        <v>0.0455136013</v>
      </c>
      <c r="N964" s="104" t="str">
        <f>IF(DPS_Graph_Tooltip_Speed=TRUE,IF($A964&lt;=DPS_Graph_Max,IF($A964&gt;=DPS_Graph_Speed_Min,1/M964,),),)</f>
        <v/>
      </c>
      <c r="R964" s="104" t="str">
        <f>IF(DPS_Graph_Tooltip_Speed=TRUE,IF($E$8=$A964,1/$N$6,),)</f>
        <v/>
      </c>
    </row>
    <row r="965">
      <c r="A965" s="370">
        <v>7.22</v>
      </c>
      <c r="B965" s="213">
        <f>If(DPS_Weapon_Type="远程",($E965+1)/60+(ROUNDDOWN($F965*60+1,0)/60)*2,(ROUNDDOWN(($E965+1)+ROUNDDOWN($F965*60+1,0)+ROUNDDOWN($G965/2*60+1,0)+ROUNDDOWN($H965*60+1,0)+1,0))/60+If(DPS_ATK_TYPE="挥砍",1/60)+If(DPS_ATK_TYPE="挥砍/刺击",1/120))+DPS_Weapon_Randomization/60</f>
        <v>0.105</v>
      </c>
      <c r="C965" s="104" t="str">
        <f>IF(DPS_Graph_True_Speed=TRUE,IF($A965&lt;=DPS_Graph_Max,IF($A965&gt;=DPS_Graph_Speed_Min,1/B965,),),)</f>
        <v/>
      </c>
      <c r="D965" s="115" t="str">
        <f>IF(DPS_Graph_True_Speed=TRUE,IF($E$8=$A965,DPS_Attacks_P_Sec,),)</f>
        <v/>
      </c>
      <c r="E965" s="222">
        <f>ROUNDDOWN(MAX(2,IF(A965&gt;=0, DPS_Base_Wpn_Spd/(1+A965),DPS_Base_Wpn_Spd*(1+ABS(A965)))),0)</f>
        <v>2</v>
      </c>
      <c r="F965" s="232">
        <f>IF(A965&gt;=0, DPS_Base_Recoil/(1+A965),DPS_Base_Recoil)</f>
        <v>0.006082725061</v>
      </c>
      <c r="G965" s="377">
        <f t="shared" si="7"/>
        <v>0.51</v>
      </c>
      <c r="H965" s="377">
        <f t="shared" si="8"/>
        <v>0.008826125331</v>
      </c>
      <c r="I965" s="104"/>
      <c r="J965" s="377">
        <f>MAX(0, Max(25,(DPS_Base_Range + ((DPS_Range_Stat) / 2))) / MIN(MAX(70, (70 * (1 + ($A965 / 3)))), 120))</f>
        <v>3.333333333</v>
      </c>
      <c r="K965" s="115" t="str">
        <f>IF(A965&lt;=DPS_Graph_Max,IF(A965&gt;=DPS_Graph_Speed_Min,A965,),)</f>
        <v/>
      </c>
      <c r="M965" s="213">
        <f>If(DPS_Weapon_Type="远程",$E965/60+$F965*2,$E965/60+$F965+$G965/2+$H965)</f>
        <v>0.04549878345</v>
      </c>
      <c r="N965" s="104" t="str">
        <f>IF(DPS_Graph_Tooltip_Speed=TRUE,IF($A965&lt;=DPS_Graph_Max,IF($A965&gt;=DPS_Graph_Speed_Min,1/M965,),),)</f>
        <v/>
      </c>
      <c r="R965" s="104" t="str">
        <f>IF(DPS_Graph_Tooltip_Speed=TRUE,IF($E$8=$A965,1/$N$6,),)</f>
        <v/>
      </c>
    </row>
    <row r="966">
      <c r="A966" s="370">
        <v>7.23</v>
      </c>
      <c r="B966" s="213">
        <f>If(DPS_Weapon_Type="远程",($E966+1)/60+(ROUNDDOWN($F966*60+1,0)/60)*2,(ROUNDDOWN(($E966+1)+ROUNDDOWN($F966*60+1,0)+ROUNDDOWN($G966/2*60+1,0)+ROUNDDOWN($H966*60+1,0)+1,0))/60+If(DPS_ATK_TYPE="挥砍",1/60)+If(DPS_ATK_TYPE="挥砍/刺击",1/120))+DPS_Weapon_Randomization/60</f>
        <v>0.105</v>
      </c>
      <c r="C966" s="104" t="str">
        <f>IF(DPS_Graph_True_Speed=TRUE,IF($A966&lt;=DPS_Graph_Max,IF($A966&gt;=DPS_Graph_Speed_Min,1/B966,),),)</f>
        <v/>
      </c>
      <c r="D966" s="115" t="str">
        <f>IF(DPS_Graph_True_Speed=TRUE,IF($E$8=$A966,DPS_Attacks_P_Sec,),)</f>
        <v/>
      </c>
      <c r="E966" s="222">
        <f>ROUNDDOWN(MAX(2,IF(A966&gt;=0, DPS_Base_Wpn_Spd/(1+A966),DPS_Base_Wpn_Spd*(1+ABS(A966)))),0)</f>
        <v>2</v>
      </c>
      <c r="F966" s="232">
        <f>IF(A966&gt;=0, DPS_Base_Recoil/(1+A966),DPS_Base_Recoil)</f>
        <v>0.006075334143</v>
      </c>
      <c r="G966" s="377">
        <f t="shared" si="7"/>
        <v>0.51</v>
      </c>
      <c r="H966" s="377">
        <f t="shared" si="8"/>
        <v>0.008814455707</v>
      </c>
      <c r="I966" s="104"/>
      <c r="J966" s="377">
        <f>MAX(0, Max(25,(DPS_Base_Range + ((DPS_Range_Stat) / 2))) / MIN(MAX(70, (70 * (1 + ($A966 / 3)))), 120))</f>
        <v>3.333333333</v>
      </c>
      <c r="K966" s="115" t="str">
        <f>IF(A966&lt;=DPS_Graph_Max,IF(A966&gt;=DPS_Graph_Speed_Min,A966,),)</f>
        <v/>
      </c>
      <c r="M966" s="213">
        <f>If(DPS_Weapon_Type="远程",$E966/60+$F966*2,$E966/60+$F966+$G966/2+$H966)</f>
        <v>0.04548400162</v>
      </c>
      <c r="N966" s="104" t="str">
        <f>IF(DPS_Graph_Tooltip_Speed=TRUE,IF($A966&lt;=DPS_Graph_Max,IF($A966&gt;=DPS_Graph_Speed_Min,1/M966,),),)</f>
        <v/>
      </c>
      <c r="R966" s="104" t="str">
        <f>IF(DPS_Graph_Tooltip_Speed=TRUE,IF($E$8=$A966,1/$N$6,),)</f>
        <v/>
      </c>
    </row>
    <row r="967">
      <c r="A967" s="370">
        <v>7.24</v>
      </c>
      <c r="B967" s="213">
        <f>If(DPS_Weapon_Type="远程",($E967+1)/60+(ROUNDDOWN($F967*60+1,0)/60)*2,(ROUNDDOWN(($E967+1)+ROUNDDOWN($F967*60+1,0)+ROUNDDOWN($G967/2*60+1,0)+ROUNDDOWN($H967*60+1,0)+1,0))/60+If(DPS_ATK_TYPE="挥砍",1/60)+If(DPS_ATK_TYPE="挥砍/刺击",1/120))+DPS_Weapon_Randomization/60</f>
        <v>0.105</v>
      </c>
      <c r="C967" s="104" t="str">
        <f>IF(DPS_Graph_True_Speed=TRUE,IF($A967&lt;=DPS_Graph_Max,IF($A967&gt;=DPS_Graph_Speed_Min,1/B967,),),)</f>
        <v/>
      </c>
      <c r="D967" s="115" t="str">
        <f>IF(DPS_Graph_True_Speed=TRUE,IF($E$8=$A967,DPS_Attacks_P_Sec,),)</f>
        <v/>
      </c>
      <c r="E967" s="222">
        <f>ROUNDDOWN(MAX(2,IF(A967&gt;=0, DPS_Base_Wpn_Spd/(1+A967),DPS_Base_Wpn_Spd*(1+ABS(A967)))),0)</f>
        <v>2</v>
      </c>
      <c r="F967" s="232">
        <f>IF(A967&gt;=0, DPS_Base_Recoil/(1+A967),DPS_Base_Recoil)</f>
        <v>0.006067961165</v>
      </c>
      <c r="G967" s="377">
        <f t="shared" si="7"/>
        <v>0.51</v>
      </c>
      <c r="H967" s="377">
        <f t="shared" si="8"/>
        <v>0.008802816901</v>
      </c>
      <c r="I967" s="104"/>
      <c r="J967" s="377">
        <f>MAX(0, Max(25,(DPS_Base_Range + ((DPS_Range_Stat) / 2))) / MIN(MAX(70, (70 * (1 + ($A967 / 3)))), 120))</f>
        <v>3.333333333</v>
      </c>
      <c r="K967" s="115" t="str">
        <f>IF(A967&lt;=DPS_Graph_Max,IF(A967&gt;=DPS_Graph_Speed_Min,A967,),)</f>
        <v/>
      </c>
      <c r="M967" s="213">
        <f>If(DPS_Weapon_Type="远程",$E967/60+$F967*2,$E967/60+$F967+$G967/2+$H967)</f>
        <v>0.04546925566</v>
      </c>
      <c r="N967" s="104" t="str">
        <f>IF(DPS_Graph_Tooltip_Speed=TRUE,IF($A967&lt;=DPS_Graph_Max,IF($A967&gt;=DPS_Graph_Speed_Min,1/M967,),),)</f>
        <v/>
      </c>
      <c r="R967" s="104" t="str">
        <f>IF(DPS_Graph_Tooltip_Speed=TRUE,IF($E$8=$A967,1/$N$6,),)</f>
        <v/>
      </c>
    </row>
    <row r="968">
      <c r="A968" s="370">
        <v>7.25</v>
      </c>
      <c r="B968" s="213">
        <f>If(DPS_Weapon_Type="远程",($E968+1)/60+(ROUNDDOWN($F968*60+1,0)/60)*2,(ROUNDDOWN(($E968+1)+ROUNDDOWN($F968*60+1,0)+ROUNDDOWN($G968/2*60+1,0)+ROUNDDOWN($H968*60+1,0)+1,0))/60+If(DPS_ATK_TYPE="挥砍",1/60)+If(DPS_ATK_TYPE="挥砍/刺击",1/120))+DPS_Weapon_Randomization/60</f>
        <v>0.105</v>
      </c>
      <c r="C968" s="104" t="str">
        <f>IF(DPS_Graph_True_Speed=TRUE,IF($A968&lt;=DPS_Graph_Max,IF($A968&gt;=DPS_Graph_Speed_Min,1/B968,),),)</f>
        <v/>
      </c>
      <c r="D968" s="115" t="str">
        <f>IF(DPS_Graph_True_Speed=TRUE,IF($E$8=$A968,DPS_Attacks_P_Sec,),)</f>
        <v/>
      </c>
      <c r="E968" s="222">
        <f>ROUNDDOWN(MAX(2,IF(A968&gt;=0, DPS_Base_Wpn_Spd/(1+A968),DPS_Base_Wpn_Spd*(1+ABS(A968)))),0)</f>
        <v>2</v>
      </c>
      <c r="F968" s="232">
        <f>IF(A968&gt;=0, DPS_Base_Recoil/(1+A968),DPS_Base_Recoil)</f>
        <v>0.006060606061</v>
      </c>
      <c r="G968" s="377">
        <f t="shared" si="7"/>
        <v>0.51</v>
      </c>
      <c r="H968" s="377">
        <f t="shared" si="8"/>
        <v>0.008791208791</v>
      </c>
      <c r="I968" s="104"/>
      <c r="J968" s="377">
        <f>MAX(0, Max(25,(DPS_Base_Range + ((DPS_Range_Stat) / 2))) / MIN(MAX(70, (70 * (1 + ($A968 / 3)))), 120))</f>
        <v>3.333333333</v>
      </c>
      <c r="K968" s="115" t="str">
        <f>IF(A968&lt;=DPS_Graph_Max,IF(A968&gt;=DPS_Graph_Speed_Min,A968,),)</f>
        <v/>
      </c>
      <c r="M968" s="213">
        <f>If(DPS_Weapon_Type="远程",$E968/60+$F968*2,$E968/60+$F968+$G968/2+$H968)</f>
        <v>0.04545454545</v>
      </c>
      <c r="N968" s="104" t="str">
        <f>IF(DPS_Graph_Tooltip_Speed=TRUE,IF($A968&lt;=DPS_Graph_Max,IF($A968&gt;=DPS_Graph_Speed_Min,1/M968,),),)</f>
        <v/>
      </c>
      <c r="R968" s="104" t="str">
        <f>IF(DPS_Graph_Tooltip_Speed=TRUE,IF($E$8=$A968,1/$N$6,),)</f>
        <v/>
      </c>
    </row>
    <row r="969">
      <c r="A969" s="370">
        <v>7.26</v>
      </c>
      <c r="B969" s="213">
        <f>If(DPS_Weapon_Type="远程",($E969+1)/60+(ROUNDDOWN($F969*60+1,0)/60)*2,(ROUNDDOWN(($E969+1)+ROUNDDOWN($F969*60+1,0)+ROUNDDOWN($G969/2*60+1,0)+ROUNDDOWN($H969*60+1,0)+1,0))/60+If(DPS_ATK_TYPE="挥砍",1/60)+If(DPS_ATK_TYPE="挥砍/刺击",1/120))+DPS_Weapon_Randomization/60</f>
        <v>0.105</v>
      </c>
      <c r="C969" s="104" t="str">
        <f>IF(DPS_Graph_True_Speed=TRUE,IF($A969&lt;=DPS_Graph_Max,IF($A969&gt;=DPS_Graph_Speed_Min,1/B969,),),)</f>
        <v/>
      </c>
      <c r="D969" s="115" t="str">
        <f>IF(DPS_Graph_True_Speed=TRUE,IF($E$8=$A969,DPS_Attacks_P_Sec,),)</f>
        <v/>
      </c>
      <c r="E969" s="222">
        <f>ROUNDDOWN(MAX(2,IF(A969&gt;=0, DPS_Base_Wpn_Spd/(1+A969),DPS_Base_Wpn_Spd*(1+ABS(A969)))),0)</f>
        <v>2</v>
      </c>
      <c r="F969" s="232">
        <f>IF(A969&gt;=0, DPS_Base_Recoil/(1+A969),DPS_Base_Recoil)</f>
        <v>0.006053268765</v>
      </c>
      <c r="G969" s="377">
        <f t="shared" si="7"/>
        <v>0.51</v>
      </c>
      <c r="H969" s="377">
        <f t="shared" si="8"/>
        <v>0.008779631255</v>
      </c>
      <c r="I969" s="104"/>
      <c r="J969" s="377">
        <f>MAX(0, Max(25,(DPS_Base_Range + ((DPS_Range_Stat) / 2))) / MIN(MAX(70, (70 * (1 + ($A969 / 3)))), 120))</f>
        <v>3.333333333</v>
      </c>
      <c r="K969" s="115" t="str">
        <f>IF(A969&lt;=DPS_Graph_Max,IF(A969&gt;=DPS_Graph_Speed_Min,A969,),)</f>
        <v/>
      </c>
      <c r="M969" s="213">
        <f>If(DPS_Weapon_Type="远程",$E969/60+$F969*2,$E969/60+$F969+$G969/2+$H969)</f>
        <v>0.04543987086</v>
      </c>
      <c r="N969" s="104" t="str">
        <f>IF(DPS_Graph_Tooltip_Speed=TRUE,IF($A969&lt;=DPS_Graph_Max,IF($A969&gt;=DPS_Graph_Speed_Min,1/M969,),),)</f>
        <v/>
      </c>
      <c r="R969" s="104" t="str">
        <f>IF(DPS_Graph_Tooltip_Speed=TRUE,IF($E$8=$A969,1/$N$6,),)</f>
        <v/>
      </c>
    </row>
    <row r="970">
      <c r="A970" s="370">
        <v>7.27</v>
      </c>
      <c r="B970" s="213">
        <f>If(DPS_Weapon_Type="远程",($E970+1)/60+(ROUNDDOWN($F970*60+1,0)/60)*2,(ROUNDDOWN(($E970+1)+ROUNDDOWN($F970*60+1,0)+ROUNDDOWN($G970/2*60+1,0)+ROUNDDOWN($H970*60+1,0)+1,0))/60+If(DPS_ATK_TYPE="挥砍",1/60)+If(DPS_ATK_TYPE="挥砍/刺击",1/120))+DPS_Weapon_Randomization/60</f>
        <v>0.105</v>
      </c>
      <c r="C970" s="104" t="str">
        <f>IF(DPS_Graph_True_Speed=TRUE,IF($A970&lt;=DPS_Graph_Max,IF($A970&gt;=DPS_Graph_Speed_Min,1/B970,),),)</f>
        <v/>
      </c>
      <c r="D970" s="115" t="str">
        <f>IF(DPS_Graph_True_Speed=TRUE,IF($E$8=$A970,DPS_Attacks_P_Sec,),)</f>
        <v/>
      </c>
      <c r="E970" s="222">
        <f>ROUNDDOWN(MAX(2,IF(A970&gt;=0, DPS_Base_Wpn_Spd/(1+A970),DPS_Base_Wpn_Spd*(1+ABS(A970)))),0)</f>
        <v>2</v>
      </c>
      <c r="F970" s="232">
        <f>IF(A970&gt;=0, DPS_Base_Recoil/(1+A970),DPS_Base_Recoil)</f>
        <v>0.006045949214</v>
      </c>
      <c r="G970" s="377">
        <f t="shared" si="7"/>
        <v>0.51</v>
      </c>
      <c r="H970" s="377">
        <f t="shared" si="8"/>
        <v>0.008768084174</v>
      </c>
      <c r="I970" s="104"/>
      <c r="J970" s="377">
        <f>MAX(0, Max(25,(DPS_Base_Range + ((DPS_Range_Stat) / 2))) / MIN(MAX(70, (70 * (1 + ($A970 / 3)))), 120))</f>
        <v>3.333333333</v>
      </c>
      <c r="K970" s="115" t="str">
        <f>IF(A970&lt;=DPS_Graph_Max,IF(A970&gt;=DPS_Graph_Speed_Min,A970,),)</f>
        <v/>
      </c>
      <c r="M970" s="213">
        <f>If(DPS_Weapon_Type="远程",$E970/60+$F970*2,$E970/60+$F970+$G970/2+$H970)</f>
        <v>0.04542523176</v>
      </c>
      <c r="N970" s="104" t="str">
        <f>IF(DPS_Graph_Tooltip_Speed=TRUE,IF($A970&lt;=DPS_Graph_Max,IF($A970&gt;=DPS_Graph_Speed_Min,1/M970,),),)</f>
        <v/>
      </c>
      <c r="R970" s="104" t="str">
        <f>IF(DPS_Graph_Tooltip_Speed=TRUE,IF($E$8=$A970,1/$N$6,),)</f>
        <v/>
      </c>
    </row>
    <row r="971">
      <c r="A971" s="370">
        <v>7.28</v>
      </c>
      <c r="B971" s="213">
        <f>If(DPS_Weapon_Type="远程",($E971+1)/60+(ROUNDDOWN($F971*60+1,0)/60)*2,(ROUNDDOWN(($E971+1)+ROUNDDOWN($F971*60+1,0)+ROUNDDOWN($G971/2*60+1,0)+ROUNDDOWN($H971*60+1,0)+1,0))/60+If(DPS_ATK_TYPE="挥砍",1/60)+If(DPS_ATK_TYPE="挥砍/刺击",1/120))+DPS_Weapon_Randomization/60</f>
        <v>0.105</v>
      </c>
      <c r="C971" s="104" t="str">
        <f>IF(DPS_Graph_True_Speed=TRUE,IF($A971&lt;=DPS_Graph_Max,IF($A971&gt;=DPS_Graph_Speed_Min,1/B971,),),)</f>
        <v/>
      </c>
      <c r="D971" s="115" t="str">
        <f>IF(DPS_Graph_True_Speed=TRUE,IF($E$8=$A971,DPS_Attacks_P_Sec,),)</f>
        <v/>
      </c>
      <c r="E971" s="222">
        <f>ROUNDDOWN(MAX(2,IF(A971&gt;=0, DPS_Base_Wpn_Spd/(1+A971),DPS_Base_Wpn_Spd*(1+ABS(A971)))),0)</f>
        <v>2</v>
      </c>
      <c r="F971" s="232">
        <f>IF(A971&gt;=0, DPS_Base_Recoil/(1+A971),DPS_Base_Recoil)</f>
        <v>0.006038647343</v>
      </c>
      <c r="G971" s="377">
        <f t="shared" si="7"/>
        <v>0.51</v>
      </c>
      <c r="H971" s="377">
        <f t="shared" si="8"/>
        <v>0.008756567426</v>
      </c>
      <c r="I971" s="104"/>
      <c r="J971" s="377">
        <f>MAX(0, Max(25,(DPS_Base_Range + ((DPS_Range_Stat) / 2))) / MIN(MAX(70, (70 * (1 + ($A971 / 3)))), 120))</f>
        <v>3.333333333</v>
      </c>
      <c r="K971" s="115" t="str">
        <f>IF(A971&lt;=DPS_Graph_Max,IF(A971&gt;=DPS_Graph_Speed_Min,A971,),)</f>
        <v/>
      </c>
      <c r="M971" s="213">
        <f>If(DPS_Weapon_Type="远程",$E971/60+$F971*2,$E971/60+$F971+$G971/2+$H971)</f>
        <v>0.04541062802</v>
      </c>
      <c r="N971" s="104" t="str">
        <f>IF(DPS_Graph_Tooltip_Speed=TRUE,IF($A971&lt;=DPS_Graph_Max,IF($A971&gt;=DPS_Graph_Speed_Min,1/M971,),),)</f>
        <v/>
      </c>
      <c r="R971" s="104" t="str">
        <f>IF(DPS_Graph_Tooltip_Speed=TRUE,IF($E$8=$A971,1/$N$6,),)</f>
        <v/>
      </c>
    </row>
    <row r="972">
      <c r="A972" s="370">
        <v>7.29</v>
      </c>
      <c r="B972" s="213">
        <f>If(DPS_Weapon_Type="远程",($E972+1)/60+(ROUNDDOWN($F972*60+1,0)/60)*2,(ROUNDDOWN(($E972+1)+ROUNDDOWN($F972*60+1,0)+ROUNDDOWN($G972/2*60+1,0)+ROUNDDOWN($H972*60+1,0)+1,0))/60+If(DPS_ATK_TYPE="挥砍",1/60)+If(DPS_ATK_TYPE="挥砍/刺击",1/120))+DPS_Weapon_Randomization/60</f>
        <v>0.105</v>
      </c>
      <c r="C972" s="104" t="str">
        <f>IF(DPS_Graph_True_Speed=TRUE,IF($A972&lt;=DPS_Graph_Max,IF($A972&gt;=DPS_Graph_Speed_Min,1/B972,),),)</f>
        <v/>
      </c>
      <c r="D972" s="115" t="str">
        <f>IF(DPS_Graph_True_Speed=TRUE,IF($E$8=$A972,DPS_Attacks_P_Sec,),)</f>
        <v/>
      </c>
      <c r="E972" s="222">
        <f>ROUNDDOWN(MAX(2,IF(A972&gt;=0, DPS_Base_Wpn_Spd/(1+A972),DPS_Base_Wpn_Spd*(1+ABS(A972)))),0)</f>
        <v>2</v>
      </c>
      <c r="F972" s="232">
        <f>IF(A972&gt;=0, DPS_Base_Recoil/(1+A972),DPS_Base_Recoil)</f>
        <v>0.006031363088</v>
      </c>
      <c r="G972" s="377">
        <f t="shared" si="7"/>
        <v>0.51</v>
      </c>
      <c r="H972" s="377">
        <f t="shared" si="8"/>
        <v>0.008745080892</v>
      </c>
      <c r="I972" s="104"/>
      <c r="J972" s="377">
        <f>MAX(0, Max(25,(DPS_Base_Range + ((DPS_Range_Stat) / 2))) / MIN(MAX(70, (70 * (1 + ($A972 / 3)))), 120))</f>
        <v>3.333333333</v>
      </c>
      <c r="K972" s="115" t="str">
        <f>IF(A972&lt;=DPS_Graph_Max,IF(A972&gt;=DPS_Graph_Speed_Min,A972,),)</f>
        <v/>
      </c>
      <c r="M972" s="213">
        <f>If(DPS_Weapon_Type="远程",$E972/60+$F972*2,$E972/60+$F972+$G972/2+$H972)</f>
        <v>0.04539605951</v>
      </c>
      <c r="N972" s="104" t="str">
        <f>IF(DPS_Graph_Tooltip_Speed=TRUE,IF($A972&lt;=DPS_Graph_Max,IF($A972&gt;=DPS_Graph_Speed_Min,1/M972,),),)</f>
        <v/>
      </c>
      <c r="R972" s="104" t="str">
        <f>IF(DPS_Graph_Tooltip_Speed=TRUE,IF($E$8=$A972,1/$N$6,),)</f>
        <v/>
      </c>
    </row>
    <row r="973">
      <c r="A973" s="370">
        <v>7.3</v>
      </c>
      <c r="B973" s="213">
        <f>If(DPS_Weapon_Type="远程",($E973+1)/60+(ROUNDDOWN($F973*60+1,0)/60)*2,(ROUNDDOWN(($E973+1)+ROUNDDOWN($F973*60+1,0)+ROUNDDOWN($G973/2*60+1,0)+ROUNDDOWN($H973*60+1,0)+1,0))/60+If(DPS_ATK_TYPE="挥砍",1/60)+If(DPS_ATK_TYPE="挥砍/刺击",1/120))+DPS_Weapon_Randomization/60</f>
        <v>0.105</v>
      </c>
      <c r="C973" s="104" t="str">
        <f>IF(DPS_Graph_True_Speed=TRUE,IF($A973&lt;=DPS_Graph_Max,IF($A973&gt;=DPS_Graph_Speed_Min,1/B973,),),)</f>
        <v/>
      </c>
      <c r="D973" s="115" t="str">
        <f>IF(DPS_Graph_True_Speed=TRUE,IF($E$8=$A973,DPS_Attacks_P_Sec,),)</f>
        <v/>
      </c>
      <c r="E973" s="222">
        <f>ROUNDDOWN(MAX(2,IF(A973&gt;=0, DPS_Base_Wpn_Spd/(1+A973),DPS_Base_Wpn_Spd*(1+ABS(A973)))),0)</f>
        <v>2</v>
      </c>
      <c r="F973" s="232">
        <f>IF(A973&gt;=0, DPS_Base_Recoil/(1+A973),DPS_Base_Recoil)</f>
        <v>0.006024096386</v>
      </c>
      <c r="G973" s="377">
        <f t="shared" si="7"/>
        <v>0.51</v>
      </c>
      <c r="H973" s="377">
        <f t="shared" si="8"/>
        <v>0.008733624454</v>
      </c>
      <c r="I973" s="104"/>
      <c r="J973" s="377">
        <f>MAX(0, Max(25,(DPS_Base_Range + ((DPS_Range_Stat) / 2))) / MIN(MAX(70, (70 * (1 + ($A973 / 3)))), 120))</f>
        <v>3.333333333</v>
      </c>
      <c r="K973" s="115" t="str">
        <f>IF(A973&lt;=DPS_Graph_Max,IF(A973&gt;=DPS_Graph_Speed_Min,A973,),)</f>
        <v/>
      </c>
      <c r="M973" s="213">
        <f>If(DPS_Weapon_Type="远程",$E973/60+$F973*2,$E973/60+$F973+$G973/2+$H973)</f>
        <v>0.0453815261</v>
      </c>
      <c r="N973" s="104" t="str">
        <f>IF(DPS_Graph_Tooltip_Speed=TRUE,IF($A973&lt;=DPS_Graph_Max,IF($A973&gt;=DPS_Graph_Speed_Min,1/M973,),),)</f>
        <v/>
      </c>
      <c r="R973" s="104" t="str">
        <f>IF(DPS_Graph_Tooltip_Speed=TRUE,IF($E$8=$A973,1/$N$6,),)</f>
        <v/>
      </c>
    </row>
    <row r="974">
      <c r="A974" s="370">
        <v>7.31</v>
      </c>
      <c r="B974" s="213">
        <f>If(DPS_Weapon_Type="远程",($E974+1)/60+(ROUNDDOWN($F974*60+1,0)/60)*2,(ROUNDDOWN(($E974+1)+ROUNDDOWN($F974*60+1,0)+ROUNDDOWN($G974/2*60+1,0)+ROUNDDOWN($H974*60+1,0)+1,0))/60+If(DPS_ATK_TYPE="挥砍",1/60)+If(DPS_ATK_TYPE="挥砍/刺击",1/120))+DPS_Weapon_Randomization/60</f>
        <v>0.105</v>
      </c>
      <c r="C974" s="104" t="str">
        <f>IF(DPS_Graph_True_Speed=TRUE,IF($A974&lt;=DPS_Graph_Max,IF($A974&gt;=DPS_Graph_Speed_Min,1/B974,),),)</f>
        <v/>
      </c>
      <c r="D974" s="115" t="str">
        <f>IF(DPS_Graph_True_Speed=TRUE,IF($E$8=$A974,DPS_Attacks_P_Sec,),)</f>
        <v/>
      </c>
      <c r="E974" s="222">
        <f>ROUNDDOWN(MAX(2,IF(A974&gt;=0, DPS_Base_Wpn_Spd/(1+A974),DPS_Base_Wpn_Spd*(1+ABS(A974)))),0)</f>
        <v>2</v>
      </c>
      <c r="F974" s="232">
        <f>IF(A974&gt;=0, DPS_Base_Recoil/(1+A974),DPS_Base_Recoil)</f>
        <v>0.006016847172</v>
      </c>
      <c r="G974" s="377">
        <f t="shared" si="7"/>
        <v>0.51</v>
      </c>
      <c r="H974" s="377">
        <f t="shared" si="8"/>
        <v>0.008722197994</v>
      </c>
      <c r="I974" s="104"/>
      <c r="J974" s="377">
        <f>MAX(0, Max(25,(DPS_Base_Range + ((DPS_Range_Stat) / 2))) / MIN(MAX(70, (70 * (1 + ($A974 / 3)))), 120))</f>
        <v>3.333333333</v>
      </c>
      <c r="K974" s="115" t="str">
        <f>IF(A974&lt;=DPS_Graph_Max,IF(A974&gt;=DPS_Graph_Speed_Min,A974,),)</f>
        <v/>
      </c>
      <c r="M974" s="213">
        <f>If(DPS_Weapon_Type="远程",$E974/60+$F974*2,$E974/60+$F974+$G974/2+$H974)</f>
        <v>0.04536702768</v>
      </c>
      <c r="N974" s="104" t="str">
        <f>IF(DPS_Graph_Tooltip_Speed=TRUE,IF($A974&lt;=DPS_Graph_Max,IF($A974&gt;=DPS_Graph_Speed_Min,1/M974,),),)</f>
        <v/>
      </c>
      <c r="R974" s="104" t="str">
        <f>IF(DPS_Graph_Tooltip_Speed=TRUE,IF($E$8=$A974,1/$N$6,),)</f>
        <v/>
      </c>
    </row>
    <row r="975">
      <c r="A975" s="370">
        <v>7.32</v>
      </c>
      <c r="B975" s="213">
        <f>If(DPS_Weapon_Type="远程",($E975+1)/60+(ROUNDDOWN($F975*60+1,0)/60)*2,(ROUNDDOWN(($E975+1)+ROUNDDOWN($F975*60+1,0)+ROUNDDOWN($G975/2*60+1,0)+ROUNDDOWN($H975*60+1,0)+1,0))/60+If(DPS_ATK_TYPE="挥砍",1/60)+If(DPS_ATK_TYPE="挥砍/刺击",1/120))+DPS_Weapon_Randomization/60</f>
        <v>0.105</v>
      </c>
      <c r="C975" s="104" t="str">
        <f>IF(DPS_Graph_True_Speed=TRUE,IF($A975&lt;=DPS_Graph_Max,IF($A975&gt;=DPS_Graph_Speed_Min,1/B975,),),)</f>
        <v/>
      </c>
      <c r="D975" s="115" t="str">
        <f>IF(DPS_Graph_True_Speed=TRUE,IF($E$8=$A975,DPS_Attacks_P_Sec,),)</f>
        <v/>
      </c>
      <c r="E975" s="222">
        <f>ROUNDDOWN(MAX(2,IF(A975&gt;=0, DPS_Base_Wpn_Spd/(1+A975),DPS_Base_Wpn_Spd*(1+ABS(A975)))),0)</f>
        <v>2</v>
      </c>
      <c r="F975" s="232">
        <f>IF(A975&gt;=0, DPS_Base_Recoil/(1+A975),DPS_Base_Recoil)</f>
        <v>0.006009615385</v>
      </c>
      <c r="G975" s="377">
        <f t="shared" si="7"/>
        <v>0.51</v>
      </c>
      <c r="H975" s="377">
        <f t="shared" si="8"/>
        <v>0.008710801394</v>
      </c>
      <c r="I975" s="104"/>
      <c r="J975" s="377">
        <f>MAX(0, Max(25,(DPS_Base_Range + ((DPS_Range_Stat) / 2))) / MIN(MAX(70, (70 * (1 + ($A975 / 3)))), 120))</f>
        <v>3.333333333</v>
      </c>
      <c r="K975" s="115" t="str">
        <f>IF(A975&lt;=DPS_Graph_Max,IF(A975&gt;=DPS_Graph_Speed_Min,A975,),)</f>
        <v/>
      </c>
      <c r="M975" s="213">
        <f>If(DPS_Weapon_Type="远程",$E975/60+$F975*2,$E975/60+$F975+$G975/2+$H975)</f>
        <v>0.0453525641</v>
      </c>
      <c r="N975" s="104" t="str">
        <f>IF(DPS_Graph_Tooltip_Speed=TRUE,IF($A975&lt;=DPS_Graph_Max,IF($A975&gt;=DPS_Graph_Speed_Min,1/M975,),),)</f>
        <v/>
      </c>
      <c r="R975" s="104" t="str">
        <f>IF(DPS_Graph_Tooltip_Speed=TRUE,IF($E$8=$A975,1/$N$6,),)</f>
        <v/>
      </c>
    </row>
    <row r="976">
      <c r="A976" s="370">
        <v>7.33</v>
      </c>
      <c r="B976" s="213">
        <f>If(DPS_Weapon_Type="远程",($E976+1)/60+(ROUNDDOWN($F976*60+1,0)/60)*2,(ROUNDDOWN(($E976+1)+ROUNDDOWN($F976*60+1,0)+ROUNDDOWN($G976/2*60+1,0)+ROUNDDOWN($H976*60+1,0)+1,0))/60+If(DPS_ATK_TYPE="挥砍",1/60)+If(DPS_ATK_TYPE="挥砍/刺击",1/120))+DPS_Weapon_Randomization/60</f>
        <v>0.105</v>
      </c>
      <c r="C976" s="104" t="str">
        <f>IF(DPS_Graph_True_Speed=TRUE,IF($A976&lt;=DPS_Graph_Max,IF($A976&gt;=DPS_Graph_Speed_Min,1/B976,),),)</f>
        <v/>
      </c>
      <c r="D976" s="115" t="str">
        <f>IF(DPS_Graph_True_Speed=TRUE,IF($E$8=$A976,DPS_Attacks_P_Sec,),)</f>
        <v/>
      </c>
      <c r="E976" s="222">
        <f>ROUNDDOWN(MAX(2,IF(A976&gt;=0, DPS_Base_Wpn_Spd/(1+A976),DPS_Base_Wpn_Spd*(1+ABS(A976)))),0)</f>
        <v>2</v>
      </c>
      <c r="F976" s="232">
        <f>IF(A976&gt;=0, DPS_Base_Recoil/(1+A976),DPS_Base_Recoil)</f>
        <v>0.00600240096</v>
      </c>
      <c r="G976" s="377">
        <f t="shared" si="7"/>
        <v>0.51</v>
      </c>
      <c r="H976" s="377">
        <f t="shared" si="8"/>
        <v>0.008699434537</v>
      </c>
      <c r="I976" s="104"/>
      <c r="J976" s="377">
        <f>MAX(0, Max(25,(DPS_Base_Range + ((DPS_Range_Stat) / 2))) / MIN(MAX(70, (70 * (1 + ($A976 / 3)))), 120))</f>
        <v>3.333333333</v>
      </c>
      <c r="K976" s="115" t="str">
        <f>IF(A976&lt;=DPS_Graph_Max,IF(A976&gt;=DPS_Graph_Speed_Min,A976,),)</f>
        <v/>
      </c>
      <c r="M976" s="213">
        <f>If(DPS_Weapon_Type="远程",$E976/60+$F976*2,$E976/60+$F976+$G976/2+$H976)</f>
        <v>0.04533813525</v>
      </c>
      <c r="N976" s="104" t="str">
        <f>IF(DPS_Graph_Tooltip_Speed=TRUE,IF($A976&lt;=DPS_Graph_Max,IF($A976&gt;=DPS_Graph_Speed_Min,1/M976,),),)</f>
        <v/>
      </c>
      <c r="R976" s="104" t="str">
        <f>IF(DPS_Graph_Tooltip_Speed=TRUE,IF($E$8=$A976,1/$N$6,),)</f>
        <v/>
      </c>
    </row>
    <row r="977">
      <c r="A977" s="370">
        <v>7.34</v>
      </c>
      <c r="B977" s="213">
        <f>If(DPS_Weapon_Type="远程",($E977+1)/60+(ROUNDDOWN($F977*60+1,0)/60)*2,(ROUNDDOWN(($E977+1)+ROUNDDOWN($F977*60+1,0)+ROUNDDOWN($G977/2*60+1,0)+ROUNDDOWN($H977*60+1,0)+1,0))/60+If(DPS_ATK_TYPE="挥砍",1/60)+If(DPS_ATK_TYPE="挥砍/刺击",1/120))+DPS_Weapon_Randomization/60</f>
        <v>0.105</v>
      </c>
      <c r="C977" s="104" t="str">
        <f>IF(DPS_Graph_True_Speed=TRUE,IF($A977&lt;=DPS_Graph_Max,IF($A977&gt;=DPS_Graph_Speed_Min,1/B977,),),)</f>
        <v/>
      </c>
      <c r="D977" s="115" t="str">
        <f>IF(DPS_Graph_True_Speed=TRUE,IF($E$8=$A977,DPS_Attacks_P_Sec,),)</f>
        <v/>
      </c>
      <c r="E977" s="222">
        <f>ROUNDDOWN(MAX(2,IF(A977&gt;=0, DPS_Base_Wpn_Spd/(1+A977),DPS_Base_Wpn_Spd*(1+ABS(A977)))),0)</f>
        <v>2</v>
      </c>
      <c r="F977" s="232">
        <f>IF(A977&gt;=0, DPS_Base_Recoil/(1+A977),DPS_Base_Recoil)</f>
        <v>0.005995203837</v>
      </c>
      <c r="G977" s="377">
        <f t="shared" si="7"/>
        <v>0.51</v>
      </c>
      <c r="H977" s="377">
        <f t="shared" si="8"/>
        <v>0.008688097307</v>
      </c>
      <c r="I977" s="104"/>
      <c r="J977" s="377">
        <f>MAX(0, Max(25,(DPS_Base_Range + ((DPS_Range_Stat) / 2))) / MIN(MAX(70, (70 * (1 + ($A977 / 3)))), 120))</f>
        <v>3.333333333</v>
      </c>
      <c r="K977" s="115" t="str">
        <f>IF(A977&lt;=DPS_Graph_Max,IF(A977&gt;=DPS_Graph_Speed_Min,A977,),)</f>
        <v/>
      </c>
      <c r="M977" s="213">
        <f>If(DPS_Weapon_Type="远程",$E977/60+$F977*2,$E977/60+$F977+$G977/2+$H977)</f>
        <v>0.04532374101</v>
      </c>
      <c r="N977" s="104" t="str">
        <f>IF(DPS_Graph_Tooltip_Speed=TRUE,IF($A977&lt;=DPS_Graph_Max,IF($A977&gt;=DPS_Graph_Speed_Min,1/M977,),),)</f>
        <v/>
      </c>
      <c r="R977" s="104" t="str">
        <f>IF(DPS_Graph_Tooltip_Speed=TRUE,IF($E$8=$A977,1/$N$6,),)</f>
        <v/>
      </c>
    </row>
    <row r="978">
      <c r="A978" s="370">
        <v>7.35</v>
      </c>
      <c r="B978" s="213">
        <f>If(DPS_Weapon_Type="远程",($E978+1)/60+(ROUNDDOWN($F978*60+1,0)/60)*2,(ROUNDDOWN(($E978+1)+ROUNDDOWN($F978*60+1,0)+ROUNDDOWN($G978/2*60+1,0)+ROUNDDOWN($H978*60+1,0)+1,0))/60+If(DPS_ATK_TYPE="挥砍",1/60)+If(DPS_ATK_TYPE="挥砍/刺击",1/120))+DPS_Weapon_Randomization/60</f>
        <v>0.105</v>
      </c>
      <c r="C978" s="104" t="str">
        <f>IF(DPS_Graph_True_Speed=TRUE,IF($A978&lt;=DPS_Graph_Max,IF($A978&gt;=DPS_Graph_Speed_Min,1/B978,),),)</f>
        <v/>
      </c>
      <c r="D978" s="115" t="str">
        <f>IF(DPS_Graph_True_Speed=TRUE,IF($E$8=$A978,DPS_Attacks_P_Sec,),)</f>
        <v/>
      </c>
      <c r="E978" s="222">
        <f>ROUNDDOWN(MAX(2,IF(A978&gt;=0, DPS_Base_Wpn_Spd/(1+A978),DPS_Base_Wpn_Spd*(1+ABS(A978)))),0)</f>
        <v>2</v>
      </c>
      <c r="F978" s="232">
        <f>IF(A978&gt;=0, DPS_Base_Recoil/(1+A978),DPS_Base_Recoil)</f>
        <v>0.005988023952</v>
      </c>
      <c r="G978" s="377">
        <f t="shared" si="7"/>
        <v>0.51</v>
      </c>
      <c r="H978" s="377">
        <f t="shared" si="8"/>
        <v>0.008676789588</v>
      </c>
      <c r="I978" s="104"/>
      <c r="J978" s="377">
        <f>MAX(0, Max(25,(DPS_Base_Range + ((DPS_Range_Stat) / 2))) / MIN(MAX(70, (70 * (1 + ($A978 / 3)))), 120))</f>
        <v>3.333333333</v>
      </c>
      <c r="K978" s="115" t="str">
        <f>IF(A978&lt;=DPS_Graph_Max,IF(A978&gt;=DPS_Graph_Speed_Min,A978,),)</f>
        <v/>
      </c>
      <c r="M978" s="213">
        <f>If(DPS_Weapon_Type="远程",$E978/60+$F978*2,$E978/60+$F978+$G978/2+$H978)</f>
        <v>0.04530938124</v>
      </c>
      <c r="N978" s="104" t="str">
        <f>IF(DPS_Graph_Tooltip_Speed=TRUE,IF($A978&lt;=DPS_Graph_Max,IF($A978&gt;=DPS_Graph_Speed_Min,1/M978,),),)</f>
        <v/>
      </c>
      <c r="R978" s="104" t="str">
        <f>IF(DPS_Graph_Tooltip_Speed=TRUE,IF($E$8=$A978,1/$N$6,),)</f>
        <v/>
      </c>
    </row>
    <row r="979">
      <c r="A979" s="370">
        <v>7.36</v>
      </c>
      <c r="B979" s="213">
        <f>If(DPS_Weapon_Type="远程",($E979+1)/60+(ROUNDDOWN($F979*60+1,0)/60)*2,(ROUNDDOWN(($E979+1)+ROUNDDOWN($F979*60+1,0)+ROUNDDOWN($G979/2*60+1,0)+ROUNDDOWN($H979*60+1,0)+1,0))/60+If(DPS_ATK_TYPE="挥砍",1/60)+If(DPS_ATK_TYPE="挥砍/刺击",1/120))+DPS_Weapon_Randomization/60</f>
        <v>0.105</v>
      </c>
      <c r="C979" s="104" t="str">
        <f>IF(DPS_Graph_True_Speed=TRUE,IF($A979&lt;=DPS_Graph_Max,IF($A979&gt;=DPS_Graph_Speed_Min,1/B979,),),)</f>
        <v/>
      </c>
      <c r="D979" s="115" t="str">
        <f>IF(DPS_Graph_True_Speed=TRUE,IF($E$8=$A979,DPS_Attacks_P_Sec,),)</f>
        <v/>
      </c>
      <c r="E979" s="222">
        <f>ROUNDDOWN(MAX(2,IF(A979&gt;=0, DPS_Base_Wpn_Spd/(1+A979),DPS_Base_Wpn_Spd*(1+ABS(A979)))),0)</f>
        <v>2</v>
      </c>
      <c r="F979" s="232">
        <f>IF(A979&gt;=0, DPS_Base_Recoil/(1+A979),DPS_Base_Recoil)</f>
        <v>0.005980861244</v>
      </c>
      <c r="G979" s="377">
        <f t="shared" si="7"/>
        <v>0.51</v>
      </c>
      <c r="H979" s="377">
        <f t="shared" si="8"/>
        <v>0.008665511265</v>
      </c>
      <c r="I979" s="104"/>
      <c r="J979" s="377">
        <f>MAX(0, Max(25,(DPS_Base_Range + ((DPS_Range_Stat) / 2))) / MIN(MAX(70, (70 * (1 + ($A979 / 3)))), 120))</f>
        <v>3.333333333</v>
      </c>
      <c r="K979" s="115" t="str">
        <f>IF(A979&lt;=DPS_Graph_Max,IF(A979&gt;=DPS_Graph_Speed_Min,A979,),)</f>
        <v/>
      </c>
      <c r="M979" s="213">
        <f>If(DPS_Weapon_Type="远程",$E979/60+$F979*2,$E979/60+$F979+$G979/2+$H979)</f>
        <v>0.04529505582</v>
      </c>
      <c r="N979" s="104" t="str">
        <f>IF(DPS_Graph_Tooltip_Speed=TRUE,IF($A979&lt;=DPS_Graph_Max,IF($A979&gt;=DPS_Graph_Speed_Min,1/M979,),),)</f>
        <v/>
      </c>
      <c r="R979" s="104" t="str">
        <f>IF(DPS_Graph_Tooltip_Speed=TRUE,IF($E$8=$A979,1/$N$6,),)</f>
        <v/>
      </c>
    </row>
    <row r="980">
      <c r="A980" s="370">
        <v>7.37</v>
      </c>
      <c r="B980" s="213">
        <f>If(DPS_Weapon_Type="远程",($E980+1)/60+(ROUNDDOWN($F980*60+1,0)/60)*2,(ROUNDDOWN(($E980+1)+ROUNDDOWN($F980*60+1,0)+ROUNDDOWN($G980/2*60+1,0)+ROUNDDOWN($H980*60+1,0)+1,0))/60+If(DPS_ATK_TYPE="挥砍",1/60)+If(DPS_ATK_TYPE="挥砍/刺击",1/120))+DPS_Weapon_Randomization/60</f>
        <v>0.105</v>
      </c>
      <c r="C980" s="104" t="str">
        <f>IF(DPS_Graph_True_Speed=TRUE,IF($A980&lt;=DPS_Graph_Max,IF($A980&gt;=DPS_Graph_Speed_Min,1/B980,),),)</f>
        <v/>
      </c>
      <c r="D980" s="115" t="str">
        <f>IF(DPS_Graph_True_Speed=TRUE,IF($E$8=$A980,DPS_Attacks_P_Sec,),)</f>
        <v/>
      </c>
      <c r="E980" s="222">
        <f>ROUNDDOWN(MAX(2,IF(A980&gt;=0, DPS_Base_Wpn_Spd/(1+A980),DPS_Base_Wpn_Spd*(1+ABS(A980)))),0)</f>
        <v>2</v>
      </c>
      <c r="F980" s="232">
        <f>IF(A980&gt;=0, DPS_Base_Recoil/(1+A980),DPS_Base_Recoil)</f>
        <v>0.005973715651</v>
      </c>
      <c r="G980" s="377">
        <f t="shared" si="7"/>
        <v>0.51</v>
      </c>
      <c r="H980" s="377">
        <f t="shared" si="8"/>
        <v>0.008654262224</v>
      </c>
      <c r="I980" s="104"/>
      <c r="J980" s="377">
        <f>MAX(0, Max(25,(DPS_Base_Range + ((DPS_Range_Stat) / 2))) / MIN(MAX(70, (70 * (1 + ($A980 / 3)))), 120))</f>
        <v>3.333333333</v>
      </c>
      <c r="K980" s="115" t="str">
        <f>IF(A980&lt;=DPS_Graph_Max,IF(A980&gt;=DPS_Graph_Speed_Min,A980,),)</f>
        <v/>
      </c>
      <c r="M980" s="213">
        <f>If(DPS_Weapon_Type="远程",$E980/60+$F980*2,$E980/60+$F980+$G980/2+$H980)</f>
        <v>0.04528076464</v>
      </c>
      <c r="N980" s="104" t="str">
        <f>IF(DPS_Graph_Tooltip_Speed=TRUE,IF($A980&lt;=DPS_Graph_Max,IF($A980&gt;=DPS_Graph_Speed_Min,1/M980,),),)</f>
        <v/>
      </c>
      <c r="R980" s="104" t="str">
        <f>IF(DPS_Graph_Tooltip_Speed=TRUE,IF($E$8=$A980,1/$N$6,),)</f>
        <v/>
      </c>
    </row>
    <row r="981">
      <c r="A981" s="370">
        <v>7.38</v>
      </c>
      <c r="B981" s="213">
        <f>If(DPS_Weapon_Type="远程",($E981+1)/60+(ROUNDDOWN($F981*60+1,0)/60)*2,(ROUNDDOWN(($E981+1)+ROUNDDOWN($F981*60+1,0)+ROUNDDOWN($G981/2*60+1,0)+ROUNDDOWN($H981*60+1,0)+1,0))/60+If(DPS_ATK_TYPE="挥砍",1/60)+If(DPS_ATK_TYPE="挥砍/刺击",1/120))+DPS_Weapon_Randomization/60</f>
        <v>0.105</v>
      </c>
      <c r="C981" s="104" t="str">
        <f>IF(DPS_Graph_True_Speed=TRUE,IF($A981&lt;=DPS_Graph_Max,IF($A981&gt;=DPS_Graph_Speed_Min,1/B981,),),)</f>
        <v/>
      </c>
      <c r="D981" s="115" t="str">
        <f>IF(DPS_Graph_True_Speed=TRUE,IF($E$8=$A981,DPS_Attacks_P_Sec,),)</f>
        <v/>
      </c>
      <c r="E981" s="222">
        <f>ROUNDDOWN(MAX(2,IF(A981&gt;=0, DPS_Base_Wpn_Spd/(1+A981),DPS_Base_Wpn_Spd*(1+ABS(A981)))),0)</f>
        <v>2</v>
      </c>
      <c r="F981" s="232">
        <f>IF(A981&gt;=0, DPS_Base_Recoil/(1+A981),DPS_Base_Recoil)</f>
        <v>0.005966587112</v>
      </c>
      <c r="G981" s="377">
        <f t="shared" si="7"/>
        <v>0.51</v>
      </c>
      <c r="H981" s="377">
        <f t="shared" si="8"/>
        <v>0.008643042351</v>
      </c>
      <c r="I981" s="104"/>
      <c r="J981" s="377">
        <f>MAX(0, Max(25,(DPS_Base_Range + ((DPS_Range_Stat) / 2))) / MIN(MAX(70, (70 * (1 + ($A981 / 3)))), 120))</f>
        <v>3.333333333</v>
      </c>
      <c r="K981" s="115" t="str">
        <f>IF(A981&lt;=DPS_Graph_Max,IF(A981&gt;=DPS_Graph_Speed_Min,A981,),)</f>
        <v/>
      </c>
      <c r="M981" s="213">
        <f>If(DPS_Weapon_Type="远程",$E981/60+$F981*2,$E981/60+$F981+$G981/2+$H981)</f>
        <v>0.04526650756</v>
      </c>
      <c r="N981" s="104" t="str">
        <f>IF(DPS_Graph_Tooltip_Speed=TRUE,IF($A981&lt;=DPS_Graph_Max,IF($A981&gt;=DPS_Graph_Speed_Min,1/M981,),),)</f>
        <v/>
      </c>
      <c r="R981" s="104" t="str">
        <f>IF(DPS_Graph_Tooltip_Speed=TRUE,IF($E$8=$A981,1/$N$6,),)</f>
        <v/>
      </c>
    </row>
    <row r="982">
      <c r="A982" s="370">
        <v>7.39</v>
      </c>
      <c r="B982" s="213">
        <f>If(DPS_Weapon_Type="远程",($E982+1)/60+(ROUNDDOWN($F982*60+1,0)/60)*2,(ROUNDDOWN(($E982+1)+ROUNDDOWN($F982*60+1,0)+ROUNDDOWN($G982/2*60+1,0)+ROUNDDOWN($H982*60+1,0)+1,0))/60+If(DPS_ATK_TYPE="挥砍",1/60)+If(DPS_ATK_TYPE="挥砍/刺击",1/120))+DPS_Weapon_Randomization/60</f>
        <v>0.105</v>
      </c>
      <c r="C982" s="104" t="str">
        <f>IF(DPS_Graph_True_Speed=TRUE,IF($A982&lt;=DPS_Graph_Max,IF($A982&gt;=DPS_Graph_Speed_Min,1/B982,),),)</f>
        <v/>
      </c>
      <c r="D982" s="115" t="str">
        <f>IF(DPS_Graph_True_Speed=TRUE,IF($E$8=$A982,DPS_Attacks_P_Sec,),)</f>
        <v/>
      </c>
      <c r="E982" s="222">
        <f>ROUNDDOWN(MAX(2,IF(A982&gt;=0, DPS_Base_Wpn_Spd/(1+A982),DPS_Base_Wpn_Spd*(1+ABS(A982)))),0)</f>
        <v>2</v>
      </c>
      <c r="F982" s="232">
        <f>IF(A982&gt;=0, DPS_Base_Recoil/(1+A982),DPS_Base_Recoil)</f>
        <v>0.005959475566</v>
      </c>
      <c r="G982" s="377">
        <f t="shared" si="7"/>
        <v>0.51</v>
      </c>
      <c r="H982" s="377">
        <f t="shared" si="8"/>
        <v>0.008631851532</v>
      </c>
      <c r="I982" s="104"/>
      <c r="J982" s="377">
        <f>MAX(0, Max(25,(DPS_Base_Range + ((DPS_Range_Stat) / 2))) / MIN(MAX(70, (70 * (1 + ($A982 / 3)))), 120))</f>
        <v>3.333333333</v>
      </c>
      <c r="K982" s="115" t="str">
        <f>IF(A982&lt;=DPS_Graph_Max,IF(A982&gt;=DPS_Graph_Speed_Min,A982,),)</f>
        <v/>
      </c>
      <c r="M982" s="213">
        <f>If(DPS_Weapon_Type="远程",$E982/60+$F982*2,$E982/60+$F982+$G982/2+$H982)</f>
        <v>0.04525228447</v>
      </c>
      <c r="N982" s="104" t="str">
        <f>IF(DPS_Graph_Tooltip_Speed=TRUE,IF($A982&lt;=DPS_Graph_Max,IF($A982&gt;=DPS_Graph_Speed_Min,1/M982,),),)</f>
        <v/>
      </c>
      <c r="R982" s="104" t="str">
        <f>IF(DPS_Graph_Tooltip_Speed=TRUE,IF($E$8=$A982,1/$N$6,),)</f>
        <v/>
      </c>
    </row>
    <row r="983">
      <c r="A983" s="370">
        <v>7.4</v>
      </c>
      <c r="B983" s="213">
        <f>If(DPS_Weapon_Type="远程",($E983+1)/60+(ROUNDDOWN($F983*60+1,0)/60)*2,(ROUNDDOWN(($E983+1)+ROUNDDOWN($F983*60+1,0)+ROUNDDOWN($G983/2*60+1,0)+ROUNDDOWN($H983*60+1,0)+1,0))/60+If(DPS_ATK_TYPE="挥砍",1/60)+If(DPS_ATK_TYPE="挥砍/刺击",1/120))+DPS_Weapon_Randomization/60</f>
        <v>0.105</v>
      </c>
      <c r="C983" s="104" t="str">
        <f>IF(DPS_Graph_True_Speed=TRUE,IF($A983&lt;=DPS_Graph_Max,IF($A983&gt;=DPS_Graph_Speed_Min,1/B983,),),)</f>
        <v/>
      </c>
      <c r="D983" s="115" t="str">
        <f>IF(DPS_Graph_True_Speed=TRUE,IF($E$8=$A983,DPS_Attacks_P_Sec,),)</f>
        <v/>
      </c>
      <c r="E983" s="222">
        <f>ROUNDDOWN(MAX(2,IF(A983&gt;=0, DPS_Base_Wpn_Spd/(1+A983),DPS_Base_Wpn_Spd*(1+ABS(A983)))),0)</f>
        <v>2</v>
      </c>
      <c r="F983" s="232">
        <f>IF(A983&gt;=0, DPS_Base_Recoil/(1+A983),DPS_Base_Recoil)</f>
        <v>0.005952380952</v>
      </c>
      <c r="G983" s="377">
        <f t="shared" si="7"/>
        <v>0.51</v>
      </c>
      <c r="H983" s="377">
        <f t="shared" si="8"/>
        <v>0.008620689655</v>
      </c>
      <c r="I983" s="104"/>
      <c r="J983" s="377">
        <f>MAX(0, Max(25,(DPS_Base_Range + ((DPS_Range_Stat) / 2))) / MIN(MAX(70, (70 * (1 + ($A983 / 3)))), 120))</f>
        <v>3.333333333</v>
      </c>
      <c r="K983" s="115" t="str">
        <f>IF(A983&lt;=DPS_Graph_Max,IF(A983&gt;=DPS_Graph_Speed_Min,A983,),)</f>
        <v/>
      </c>
      <c r="M983" s="213">
        <f>If(DPS_Weapon_Type="远程",$E983/60+$F983*2,$E983/60+$F983+$G983/2+$H983)</f>
        <v>0.04523809524</v>
      </c>
      <c r="N983" s="104" t="str">
        <f>IF(DPS_Graph_Tooltip_Speed=TRUE,IF($A983&lt;=DPS_Graph_Max,IF($A983&gt;=DPS_Graph_Speed_Min,1/M983,),),)</f>
        <v/>
      </c>
      <c r="R983" s="104" t="str">
        <f>IF(DPS_Graph_Tooltip_Speed=TRUE,IF($E$8=$A983,1/$N$6,),)</f>
        <v/>
      </c>
    </row>
    <row r="984">
      <c r="A984" s="370">
        <v>7.41</v>
      </c>
      <c r="B984" s="213">
        <f>If(DPS_Weapon_Type="远程",($E984+1)/60+(ROUNDDOWN($F984*60+1,0)/60)*2,(ROUNDDOWN(($E984+1)+ROUNDDOWN($F984*60+1,0)+ROUNDDOWN($G984/2*60+1,0)+ROUNDDOWN($H984*60+1,0)+1,0))/60+If(DPS_ATK_TYPE="挥砍",1/60)+If(DPS_ATK_TYPE="挥砍/刺击",1/120))+DPS_Weapon_Randomization/60</f>
        <v>0.105</v>
      </c>
      <c r="C984" s="104" t="str">
        <f>IF(DPS_Graph_True_Speed=TRUE,IF($A984&lt;=DPS_Graph_Max,IF($A984&gt;=DPS_Graph_Speed_Min,1/B984,),),)</f>
        <v/>
      </c>
      <c r="D984" s="115" t="str">
        <f>IF(DPS_Graph_True_Speed=TRUE,IF($E$8=$A984,DPS_Attacks_P_Sec,),)</f>
        <v/>
      </c>
      <c r="E984" s="222">
        <f>ROUNDDOWN(MAX(2,IF(A984&gt;=0, DPS_Base_Wpn_Spd/(1+A984),DPS_Base_Wpn_Spd*(1+ABS(A984)))),0)</f>
        <v>2</v>
      </c>
      <c r="F984" s="232">
        <f>IF(A984&gt;=0, DPS_Base_Recoil/(1+A984),DPS_Base_Recoil)</f>
        <v>0.00594530321</v>
      </c>
      <c r="G984" s="377">
        <f t="shared" si="7"/>
        <v>0.51</v>
      </c>
      <c r="H984" s="377">
        <f t="shared" si="8"/>
        <v>0.008609556608</v>
      </c>
      <c r="I984" s="104"/>
      <c r="J984" s="377">
        <f>MAX(0, Max(25,(DPS_Base_Range + ((DPS_Range_Stat) / 2))) / MIN(MAX(70, (70 * (1 + ($A984 / 3)))), 120))</f>
        <v>3.333333333</v>
      </c>
      <c r="K984" s="115" t="str">
        <f>IF(A984&lt;=DPS_Graph_Max,IF(A984&gt;=DPS_Graph_Speed_Min,A984,),)</f>
        <v/>
      </c>
      <c r="M984" s="213">
        <f>If(DPS_Weapon_Type="远程",$E984/60+$F984*2,$E984/60+$F984+$G984/2+$H984)</f>
        <v>0.04522393975</v>
      </c>
      <c r="N984" s="104" t="str">
        <f>IF(DPS_Graph_Tooltip_Speed=TRUE,IF($A984&lt;=DPS_Graph_Max,IF($A984&gt;=DPS_Graph_Speed_Min,1/M984,),),)</f>
        <v/>
      </c>
      <c r="R984" s="104" t="str">
        <f>IF(DPS_Graph_Tooltip_Speed=TRUE,IF($E$8=$A984,1/$N$6,),)</f>
        <v/>
      </c>
    </row>
    <row r="985">
      <c r="A985" s="370">
        <v>7.42</v>
      </c>
      <c r="B985" s="213">
        <f>If(DPS_Weapon_Type="远程",($E985+1)/60+(ROUNDDOWN($F985*60+1,0)/60)*2,(ROUNDDOWN(($E985+1)+ROUNDDOWN($F985*60+1,0)+ROUNDDOWN($G985/2*60+1,0)+ROUNDDOWN($H985*60+1,0)+1,0))/60+If(DPS_ATK_TYPE="挥砍",1/60)+If(DPS_ATK_TYPE="挥砍/刺击",1/120))+DPS_Weapon_Randomization/60</f>
        <v>0.105</v>
      </c>
      <c r="C985" s="104" t="str">
        <f>IF(DPS_Graph_True_Speed=TRUE,IF($A985&lt;=DPS_Graph_Max,IF($A985&gt;=DPS_Graph_Speed_Min,1/B985,),),)</f>
        <v/>
      </c>
      <c r="D985" s="115" t="str">
        <f>IF(DPS_Graph_True_Speed=TRUE,IF($E$8=$A985,DPS_Attacks_P_Sec,),)</f>
        <v/>
      </c>
      <c r="E985" s="222">
        <f>ROUNDDOWN(MAX(2,IF(A985&gt;=0, DPS_Base_Wpn_Spd/(1+A985),DPS_Base_Wpn_Spd*(1+ABS(A985)))),0)</f>
        <v>2</v>
      </c>
      <c r="F985" s="232">
        <f>IF(A985&gt;=0, DPS_Base_Recoil/(1+A985),DPS_Base_Recoil)</f>
        <v>0.00593824228</v>
      </c>
      <c r="G985" s="377">
        <f t="shared" si="7"/>
        <v>0.51</v>
      </c>
      <c r="H985" s="377">
        <f t="shared" si="8"/>
        <v>0.008598452279</v>
      </c>
      <c r="I985" s="104"/>
      <c r="J985" s="377">
        <f>MAX(0, Max(25,(DPS_Base_Range + ((DPS_Range_Stat) / 2))) / MIN(MAX(70, (70 * (1 + ($A985 / 3)))), 120))</f>
        <v>3.333333333</v>
      </c>
      <c r="K985" s="115" t="str">
        <f>IF(A985&lt;=DPS_Graph_Max,IF(A985&gt;=DPS_Graph_Speed_Min,A985,),)</f>
        <v/>
      </c>
      <c r="M985" s="213">
        <f>If(DPS_Weapon_Type="远程",$E985/60+$F985*2,$E985/60+$F985+$G985/2+$H985)</f>
        <v>0.04520981789</v>
      </c>
      <c r="N985" s="104" t="str">
        <f>IF(DPS_Graph_Tooltip_Speed=TRUE,IF($A985&lt;=DPS_Graph_Max,IF($A985&gt;=DPS_Graph_Speed_Min,1/M985,),),)</f>
        <v/>
      </c>
      <c r="R985" s="104" t="str">
        <f>IF(DPS_Graph_Tooltip_Speed=TRUE,IF($E$8=$A985,1/$N$6,),)</f>
        <v/>
      </c>
    </row>
    <row r="986">
      <c r="A986" s="370">
        <v>7.43</v>
      </c>
      <c r="B986" s="213">
        <f>If(DPS_Weapon_Type="远程",($E986+1)/60+(ROUNDDOWN($F986*60+1,0)/60)*2,(ROUNDDOWN(($E986+1)+ROUNDDOWN($F986*60+1,0)+ROUNDDOWN($G986/2*60+1,0)+ROUNDDOWN($H986*60+1,0)+1,0))/60+If(DPS_ATK_TYPE="挥砍",1/60)+If(DPS_ATK_TYPE="挥砍/刺击",1/120))+DPS_Weapon_Randomization/60</f>
        <v>0.105</v>
      </c>
      <c r="C986" s="104" t="str">
        <f>IF(DPS_Graph_True_Speed=TRUE,IF($A986&lt;=DPS_Graph_Max,IF($A986&gt;=DPS_Graph_Speed_Min,1/B986,),),)</f>
        <v/>
      </c>
      <c r="D986" s="115" t="str">
        <f>IF(DPS_Graph_True_Speed=TRUE,IF($E$8=$A986,DPS_Attacks_P_Sec,),)</f>
        <v/>
      </c>
      <c r="E986" s="222">
        <f>ROUNDDOWN(MAX(2,IF(A986&gt;=0, DPS_Base_Wpn_Spd/(1+A986),DPS_Base_Wpn_Spd*(1+ABS(A986)))),0)</f>
        <v>2</v>
      </c>
      <c r="F986" s="232">
        <f>IF(A986&gt;=0, DPS_Base_Recoil/(1+A986),DPS_Base_Recoil)</f>
        <v>0.005931198102</v>
      </c>
      <c r="G986" s="377">
        <f t="shared" si="7"/>
        <v>0.51</v>
      </c>
      <c r="H986" s="377">
        <f t="shared" si="8"/>
        <v>0.008587376556</v>
      </c>
      <c r="I986" s="104"/>
      <c r="J986" s="377">
        <f>MAX(0, Max(25,(DPS_Base_Range + ((DPS_Range_Stat) / 2))) / MIN(MAX(70, (70 * (1 + ($A986 / 3)))), 120))</f>
        <v>3.333333333</v>
      </c>
      <c r="K986" s="115" t="str">
        <f>IF(A986&lt;=DPS_Graph_Max,IF(A986&gt;=DPS_Graph_Speed_Min,A986,),)</f>
        <v/>
      </c>
      <c r="M986" s="213">
        <f>If(DPS_Weapon_Type="远程",$E986/60+$F986*2,$E986/60+$F986+$G986/2+$H986)</f>
        <v>0.04519572954</v>
      </c>
      <c r="N986" s="104" t="str">
        <f>IF(DPS_Graph_Tooltip_Speed=TRUE,IF($A986&lt;=DPS_Graph_Max,IF($A986&gt;=DPS_Graph_Speed_Min,1/M986,),),)</f>
        <v/>
      </c>
      <c r="R986" s="104" t="str">
        <f>IF(DPS_Graph_Tooltip_Speed=TRUE,IF($E$8=$A986,1/$N$6,),)</f>
        <v/>
      </c>
    </row>
    <row r="987">
      <c r="A987" s="370">
        <v>7.44</v>
      </c>
      <c r="B987" s="213">
        <f>If(DPS_Weapon_Type="远程",($E987+1)/60+(ROUNDDOWN($F987*60+1,0)/60)*2,(ROUNDDOWN(($E987+1)+ROUNDDOWN($F987*60+1,0)+ROUNDDOWN($G987/2*60+1,0)+ROUNDDOWN($H987*60+1,0)+1,0))/60+If(DPS_ATK_TYPE="挥砍",1/60)+If(DPS_ATK_TYPE="挥砍/刺击",1/120))+DPS_Weapon_Randomization/60</f>
        <v>0.105</v>
      </c>
      <c r="C987" s="104" t="str">
        <f>IF(DPS_Graph_True_Speed=TRUE,IF($A987&lt;=DPS_Graph_Max,IF($A987&gt;=DPS_Graph_Speed_Min,1/B987,),),)</f>
        <v/>
      </c>
      <c r="D987" s="115" t="str">
        <f>IF(DPS_Graph_True_Speed=TRUE,IF($E$8=$A987,DPS_Attacks_P_Sec,),)</f>
        <v/>
      </c>
      <c r="E987" s="222">
        <f>ROUNDDOWN(MAX(2,IF(A987&gt;=0, DPS_Base_Wpn_Spd/(1+A987),DPS_Base_Wpn_Spd*(1+ABS(A987)))),0)</f>
        <v>2</v>
      </c>
      <c r="F987" s="232">
        <f>IF(A987&gt;=0, DPS_Base_Recoil/(1+A987),DPS_Base_Recoil)</f>
        <v>0.005924170616</v>
      </c>
      <c r="G987" s="377">
        <f t="shared" si="7"/>
        <v>0.51</v>
      </c>
      <c r="H987" s="377">
        <f t="shared" si="8"/>
        <v>0.008576329331</v>
      </c>
      <c r="I987" s="104"/>
      <c r="J987" s="377">
        <f>MAX(0, Max(25,(DPS_Base_Range + ((DPS_Range_Stat) / 2))) / MIN(MAX(70, (70 * (1 + ($A987 / 3)))), 120))</f>
        <v>3.333333333</v>
      </c>
      <c r="K987" s="115" t="str">
        <f>IF(A987&lt;=DPS_Graph_Max,IF(A987&gt;=DPS_Graph_Speed_Min,A987,),)</f>
        <v/>
      </c>
      <c r="M987" s="213">
        <f>If(DPS_Weapon_Type="远程",$E987/60+$F987*2,$E987/60+$F987+$G987/2+$H987)</f>
        <v>0.04518167457</v>
      </c>
      <c r="N987" s="104" t="str">
        <f>IF(DPS_Graph_Tooltip_Speed=TRUE,IF($A987&lt;=DPS_Graph_Max,IF($A987&gt;=DPS_Graph_Speed_Min,1/M987,),),)</f>
        <v/>
      </c>
      <c r="R987" s="104" t="str">
        <f>IF(DPS_Graph_Tooltip_Speed=TRUE,IF($E$8=$A987,1/$N$6,),)</f>
        <v/>
      </c>
    </row>
    <row r="988">
      <c r="A988" s="370">
        <v>7.45</v>
      </c>
      <c r="B988" s="213">
        <f>If(DPS_Weapon_Type="远程",($E988+1)/60+(ROUNDDOWN($F988*60+1,0)/60)*2,(ROUNDDOWN(($E988+1)+ROUNDDOWN($F988*60+1,0)+ROUNDDOWN($G988/2*60+1,0)+ROUNDDOWN($H988*60+1,0)+1,0))/60+If(DPS_ATK_TYPE="挥砍",1/60)+If(DPS_ATK_TYPE="挥砍/刺击",1/120))+DPS_Weapon_Randomization/60</f>
        <v>0.105</v>
      </c>
      <c r="C988" s="104" t="str">
        <f>IF(DPS_Graph_True_Speed=TRUE,IF($A988&lt;=DPS_Graph_Max,IF($A988&gt;=DPS_Graph_Speed_Min,1/B988,),),)</f>
        <v/>
      </c>
      <c r="D988" s="115" t="str">
        <f>IF(DPS_Graph_True_Speed=TRUE,IF($E$8=$A988,DPS_Attacks_P_Sec,),)</f>
        <v/>
      </c>
      <c r="E988" s="222">
        <f>ROUNDDOWN(MAX(2,IF(A988&gt;=0, DPS_Base_Wpn_Spd/(1+A988),DPS_Base_Wpn_Spd*(1+ABS(A988)))),0)</f>
        <v>2</v>
      </c>
      <c r="F988" s="232">
        <f>IF(A988&gt;=0, DPS_Base_Recoil/(1+A988),DPS_Base_Recoil)</f>
        <v>0.005917159763</v>
      </c>
      <c r="G988" s="377">
        <f t="shared" si="7"/>
        <v>0.51</v>
      </c>
      <c r="H988" s="377">
        <f t="shared" si="8"/>
        <v>0.008565310493</v>
      </c>
      <c r="I988" s="104"/>
      <c r="J988" s="377">
        <f>MAX(0, Max(25,(DPS_Base_Range + ((DPS_Range_Stat) / 2))) / MIN(MAX(70, (70 * (1 + ($A988 / 3)))), 120))</f>
        <v>3.333333333</v>
      </c>
      <c r="K988" s="115" t="str">
        <f>IF(A988&lt;=DPS_Graph_Max,IF(A988&gt;=DPS_Graph_Speed_Min,A988,),)</f>
        <v/>
      </c>
      <c r="M988" s="213">
        <f>If(DPS_Weapon_Type="远程",$E988/60+$F988*2,$E988/60+$F988+$G988/2+$H988)</f>
        <v>0.04516765286</v>
      </c>
      <c r="N988" s="104" t="str">
        <f>IF(DPS_Graph_Tooltip_Speed=TRUE,IF($A988&lt;=DPS_Graph_Max,IF($A988&gt;=DPS_Graph_Speed_Min,1/M988,),),)</f>
        <v/>
      </c>
      <c r="R988" s="104" t="str">
        <f>IF(DPS_Graph_Tooltip_Speed=TRUE,IF($E$8=$A988,1/$N$6,),)</f>
        <v/>
      </c>
    </row>
    <row r="989">
      <c r="A989" s="370">
        <v>7.46</v>
      </c>
      <c r="B989" s="213">
        <f>If(DPS_Weapon_Type="远程",($E989+1)/60+(ROUNDDOWN($F989*60+1,0)/60)*2,(ROUNDDOWN(($E989+1)+ROUNDDOWN($F989*60+1,0)+ROUNDDOWN($G989/2*60+1,0)+ROUNDDOWN($H989*60+1,0)+1,0))/60+If(DPS_ATK_TYPE="挥砍",1/60)+If(DPS_ATK_TYPE="挥砍/刺击",1/120))+DPS_Weapon_Randomization/60</f>
        <v>0.105</v>
      </c>
      <c r="C989" s="104" t="str">
        <f>IF(DPS_Graph_True_Speed=TRUE,IF($A989&lt;=DPS_Graph_Max,IF($A989&gt;=DPS_Graph_Speed_Min,1/B989,),),)</f>
        <v/>
      </c>
      <c r="D989" s="115" t="str">
        <f>IF(DPS_Graph_True_Speed=TRUE,IF($E$8=$A989,DPS_Attacks_P_Sec,),)</f>
        <v/>
      </c>
      <c r="E989" s="222">
        <f>ROUNDDOWN(MAX(2,IF(A989&gt;=0, DPS_Base_Wpn_Spd/(1+A989),DPS_Base_Wpn_Spd*(1+ABS(A989)))),0)</f>
        <v>2</v>
      </c>
      <c r="F989" s="232">
        <f>IF(A989&gt;=0, DPS_Base_Recoil/(1+A989),DPS_Base_Recoil)</f>
        <v>0.005910165485</v>
      </c>
      <c r="G989" s="377">
        <f t="shared" si="7"/>
        <v>0.51</v>
      </c>
      <c r="H989" s="377">
        <f t="shared" si="8"/>
        <v>0.008554319932</v>
      </c>
      <c r="I989" s="104"/>
      <c r="J989" s="377">
        <f>MAX(0, Max(25,(DPS_Base_Range + ((DPS_Range_Stat) / 2))) / MIN(MAX(70, (70 * (1 + ($A989 / 3)))), 120))</f>
        <v>3.333333333</v>
      </c>
      <c r="K989" s="115" t="str">
        <f>IF(A989&lt;=DPS_Graph_Max,IF(A989&gt;=DPS_Graph_Speed_Min,A989,),)</f>
        <v/>
      </c>
      <c r="M989" s="213">
        <f>If(DPS_Weapon_Type="远程",$E989/60+$F989*2,$E989/60+$F989+$G989/2+$H989)</f>
        <v>0.0451536643</v>
      </c>
      <c r="N989" s="104" t="str">
        <f>IF(DPS_Graph_Tooltip_Speed=TRUE,IF($A989&lt;=DPS_Graph_Max,IF($A989&gt;=DPS_Graph_Speed_Min,1/M989,),),)</f>
        <v/>
      </c>
      <c r="R989" s="104" t="str">
        <f>IF(DPS_Graph_Tooltip_Speed=TRUE,IF($E$8=$A989,1/$N$6,),)</f>
        <v/>
      </c>
    </row>
    <row r="990">
      <c r="A990" s="370">
        <v>7.47</v>
      </c>
      <c r="B990" s="213">
        <f>If(DPS_Weapon_Type="远程",($E990+1)/60+(ROUNDDOWN($F990*60+1,0)/60)*2,(ROUNDDOWN(($E990+1)+ROUNDDOWN($F990*60+1,0)+ROUNDDOWN($G990/2*60+1,0)+ROUNDDOWN($H990*60+1,0)+1,0))/60+If(DPS_ATK_TYPE="挥砍",1/60)+If(DPS_ATK_TYPE="挥砍/刺击",1/120))+DPS_Weapon_Randomization/60</f>
        <v>0.105</v>
      </c>
      <c r="C990" s="104" t="str">
        <f>IF(DPS_Graph_True_Speed=TRUE,IF($A990&lt;=DPS_Graph_Max,IF($A990&gt;=DPS_Graph_Speed_Min,1/B990,),),)</f>
        <v/>
      </c>
      <c r="D990" s="115" t="str">
        <f>IF(DPS_Graph_True_Speed=TRUE,IF($E$8=$A990,DPS_Attacks_P_Sec,),)</f>
        <v/>
      </c>
      <c r="E990" s="222">
        <f>ROUNDDOWN(MAX(2,IF(A990&gt;=0, DPS_Base_Wpn_Spd/(1+A990),DPS_Base_Wpn_Spd*(1+ABS(A990)))),0)</f>
        <v>2</v>
      </c>
      <c r="F990" s="232">
        <f>IF(A990&gt;=0, DPS_Base_Recoil/(1+A990),DPS_Base_Recoil)</f>
        <v>0.005903187721</v>
      </c>
      <c r="G990" s="377">
        <f t="shared" si="7"/>
        <v>0.51</v>
      </c>
      <c r="H990" s="377">
        <f t="shared" si="8"/>
        <v>0.00854335754</v>
      </c>
      <c r="I990" s="104"/>
      <c r="J990" s="377">
        <f>MAX(0, Max(25,(DPS_Base_Range + ((DPS_Range_Stat) / 2))) / MIN(MAX(70, (70 * (1 + ($A990 / 3)))), 120))</f>
        <v>3.333333333</v>
      </c>
      <c r="K990" s="115" t="str">
        <f>IF(A990&lt;=DPS_Graph_Max,IF(A990&gt;=DPS_Graph_Speed_Min,A990,),)</f>
        <v/>
      </c>
      <c r="M990" s="213">
        <f>If(DPS_Weapon_Type="远程",$E990/60+$F990*2,$E990/60+$F990+$G990/2+$H990)</f>
        <v>0.04513970878</v>
      </c>
      <c r="N990" s="104" t="str">
        <f>IF(DPS_Graph_Tooltip_Speed=TRUE,IF($A990&lt;=DPS_Graph_Max,IF($A990&gt;=DPS_Graph_Speed_Min,1/M990,),),)</f>
        <v/>
      </c>
      <c r="R990" s="104" t="str">
        <f>IF(DPS_Graph_Tooltip_Speed=TRUE,IF($E$8=$A990,1/$N$6,),)</f>
        <v/>
      </c>
    </row>
    <row r="991">
      <c r="A991" s="370">
        <v>7.48</v>
      </c>
      <c r="B991" s="213">
        <f>If(DPS_Weapon_Type="远程",($E991+1)/60+(ROUNDDOWN($F991*60+1,0)/60)*2,(ROUNDDOWN(($E991+1)+ROUNDDOWN($F991*60+1,0)+ROUNDDOWN($G991/2*60+1,0)+ROUNDDOWN($H991*60+1,0)+1,0))/60+If(DPS_ATK_TYPE="挥砍",1/60)+If(DPS_ATK_TYPE="挥砍/刺击",1/120))+DPS_Weapon_Randomization/60</f>
        <v>0.105</v>
      </c>
      <c r="C991" s="104" t="str">
        <f>IF(DPS_Graph_True_Speed=TRUE,IF($A991&lt;=DPS_Graph_Max,IF($A991&gt;=DPS_Graph_Speed_Min,1/B991,),),)</f>
        <v/>
      </c>
      <c r="D991" s="115" t="str">
        <f>IF(DPS_Graph_True_Speed=TRUE,IF($E$8=$A991,DPS_Attacks_P_Sec,),)</f>
        <v/>
      </c>
      <c r="E991" s="222">
        <f>ROUNDDOWN(MAX(2,IF(A991&gt;=0, DPS_Base_Wpn_Spd/(1+A991),DPS_Base_Wpn_Spd*(1+ABS(A991)))),0)</f>
        <v>2</v>
      </c>
      <c r="F991" s="232">
        <f>IF(A991&gt;=0, DPS_Base_Recoil/(1+A991),DPS_Base_Recoil)</f>
        <v>0.005896226415</v>
      </c>
      <c r="G991" s="377">
        <f t="shared" si="7"/>
        <v>0.51</v>
      </c>
      <c r="H991" s="377">
        <f t="shared" si="8"/>
        <v>0.008532423208</v>
      </c>
      <c r="I991" s="104"/>
      <c r="J991" s="377">
        <f>MAX(0, Max(25,(DPS_Base_Range + ((DPS_Range_Stat) / 2))) / MIN(MAX(70, (70 * (1 + ($A991 / 3)))), 120))</f>
        <v>3.333333333</v>
      </c>
      <c r="K991" s="115" t="str">
        <f>IF(A991&lt;=DPS_Graph_Max,IF(A991&gt;=DPS_Graph_Speed_Min,A991,),)</f>
        <v/>
      </c>
      <c r="M991" s="213">
        <f>If(DPS_Weapon_Type="远程",$E991/60+$F991*2,$E991/60+$F991+$G991/2+$H991)</f>
        <v>0.04512578616</v>
      </c>
      <c r="N991" s="104" t="str">
        <f>IF(DPS_Graph_Tooltip_Speed=TRUE,IF($A991&lt;=DPS_Graph_Max,IF($A991&gt;=DPS_Graph_Speed_Min,1/M991,),),)</f>
        <v/>
      </c>
      <c r="R991" s="104" t="str">
        <f>IF(DPS_Graph_Tooltip_Speed=TRUE,IF($E$8=$A991,1/$N$6,),)</f>
        <v/>
      </c>
    </row>
    <row r="992">
      <c r="A992" s="370">
        <v>7.49</v>
      </c>
      <c r="B992" s="213">
        <f>If(DPS_Weapon_Type="远程",($E992+1)/60+(ROUNDDOWN($F992*60+1,0)/60)*2,(ROUNDDOWN(($E992+1)+ROUNDDOWN($F992*60+1,0)+ROUNDDOWN($G992/2*60+1,0)+ROUNDDOWN($H992*60+1,0)+1,0))/60+If(DPS_ATK_TYPE="挥砍",1/60)+If(DPS_ATK_TYPE="挥砍/刺击",1/120))+DPS_Weapon_Randomization/60</f>
        <v>0.105</v>
      </c>
      <c r="C992" s="104" t="str">
        <f>IF(DPS_Graph_True_Speed=TRUE,IF($A992&lt;=DPS_Graph_Max,IF($A992&gt;=DPS_Graph_Speed_Min,1/B992,),),)</f>
        <v/>
      </c>
      <c r="D992" s="115" t="str">
        <f>IF(DPS_Graph_True_Speed=TRUE,IF($E$8=$A992,DPS_Attacks_P_Sec,),)</f>
        <v/>
      </c>
      <c r="E992" s="222">
        <f>ROUNDDOWN(MAX(2,IF(A992&gt;=0, DPS_Base_Wpn_Spd/(1+A992),DPS_Base_Wpn_Spd*(1+ABS(A992)))),0)</f>
        <v>2</v>
      </c>
      <c r="F992" s="232">
        <f>IF(A992&gt;=0, DPS_Base_Recoil/(1+A992),DPS_Base_Recoil)</f>
        <v>0.005889281508</v>
      </c>
      <c r="G992" s="377">
        <f t="shared" si="7"/>
        <v>0.51</v>
      </c>
      <c r="H992" s="377">
        <f t="shared" si="8"/>
        <v>0.00852151683</v>
      </c>
      <c r="I992" s="104"/>
      <c r="J992" s="377">
        <f>MAX(0, Max(25,(DPS_Base_Range + ((DPS_Range_Stat) / 2))) / MIN(MAX(70, (70 * (1 + ($A992 / 3)))), 120))</f>
        <v>3.333333333</v>
      </c>
      <c r="K992" s="115" t="str">
        <f>IF(A992&lt;=DPS_Graph_Max,IF(A992&gt;=DPS_Graph_Speed_Min,A992,),)</f>
        <v/>
      </c>
      <c r="M992" s="213">
        <f>If(DPS_Weapon_Type="远程",$E992/60+$F992*2,$E992/60+$F992+$G992/2+$H992)</f>
        <v>0.04511189635</v>
      </c>
      <c r="N992" s="104" t="str">
        <f>IF(DPS_Graph_Tooltip_Speed=TRUE,IF($A992&lt;=DPS_Graph_Max,IF($A992&gt;=DPS_Graph_Speed_Min,1/M992,),),)</f>
        <v/>
      </c>
      <c r="R992" s="104" t="str">
        <f>IF(DPS_Graph_Tooltip_Speed=TRUE,IF($E$8=$A992,1/$N$6,),)</f>
        <v/>
      </c>
    </row>
    <row r="993">
      <c r="A993" s="370">
        <v>7.5</v>
      </c>
      <c r="B993" s="213">
        <f>If(DPS_Weapon_Type="远程",($E993+1)/60+(ROUNDDOWN($F993*60+1,0)/60)*2,(ROUNDDOWN(($E993+1)+ROUNDDOWN($F993*60+1,0)+ROUNDDOWN($G993/2*60+1,0)+ROUNDDOWN($H993*60+1,0)+1,0))/60+If(DPS_ATK_TYPE="挥砍",1/60)+If(DPS_ATK_TYPE="挥砍/刺击",1/120))+DPS_Weapon_Randomization/60</f>
        <v>0.105</v>
      </c>
      <c r="C993" s="104" t="str">
        <f>IF(DPS_Graph_True_Speed=TRUE,IF($A993&lt;=DPS_Graph_Max,IF($A993&gt;=DPS_Graph_Speed_Min,1/B993,),),)</f>
        <v/>
      </c>
      <c r="D993" s="115" t="str">
        <f>IF(DPS_Graph_True_Speed=TRUE,IF($E$8=$A993,DPS_Attacks_P_Sec,),)</f>
        <v/>
      </c>
      <c r="E993" s="222">
        <f>ROUNDDOWN(MAX(2,IF(A993&gt;=0, DPS_Base_Wpn_Spd/(1+A993),DPS_Base_Wpn_Spd*(1+ABS(A993)))),0)</f>
        <v>2</v>
      </c>
      <c r="F993" s="232">
        <f>IF(A993&gt;=0, DPS_Base_Recoil/(1+A993),DPS_Base_Recoil)</f>
        <v>0.005882352941</v>
      </c>
      <c r="G993" s="377">
        <f t="shared" si="7"/>
        <v>0.51</v>
      </c>
      <c r="H993" s="377">
        <f t="shared" si="8"/>
        <v>0.008510638298</v>
      </c>
      <c r="I993" s="104"/>
      <c r="J993" s="377">
        <f>MAX(0, Max(25,(DPS_Base_Range + ((DPS_Range_Stat) / 2))) / MIN(MAX(70, (70 * (1 + ($A993 / 3)))), 120))</f>
        <v>3.333333333</v>
      </c>
      <c r="K993" s="115" t="str">
        <f>IF(A993&lt;=DPS_Graph_Max,IF(A993&gt;=DPS_Graph_Speed_Min,A993,),)</f>
        <v/>
      </c>
      <c r="M993" s="213">
        <f>If(DPS_Weapon_Type="远程",$E993/60+$F993*2,$E993/60+$F993+$G993/2+$H993)</f>
        <v>0.04509803922</v>
      </c>
      <c r="N993" s="104" t="str">
        <f>IF(DPS_Graph_Tooltip_Speed=TRUE,IF($A993&lt;=DPS_Graph_Max,IF($A993&gt;=DPS_Graph_Speed_Min,1/M993,),),)</f>
        <v/>
      </c>
      <c r="R993" s="104" t="str">
        <f>IF(DPS_Graph_Tooltip_Speed=TRUE,IF($E$8=$A993,1/$N$6,),)</f>
        <v/>
      </c>
    </row>
    <row r="994">
      <c r="A994" s="370">
        <v>7.51</v>
      </c>
      <c r="B994" s="213">
        <f>If(DPS_Weapon_Type="远程",($E994+1)/60+(ROUNDDOWN($F994*60+1,0)/60)*2,(ROUNDDOWN(($E994+1)+ROUNDDOWN($F994*60+1,0)+ROUNDDOWN($G994/2*60+1,0)+ROUNDDOWN($H994*60+1,0)+1,0))/60+If(DPS_ATK_TYPE="挥砍",1/60)+If(DPS_ATK_TYPE="挥砍/刺击",1/120))+DPS_Weapon_Randomization/60</f>
        <v>0.105</v>
      </c>
      <c r="C994" s="104" t="str">
        <f>IF(DPS_Graph_True_Speed=TRUE,IF($A994&lt;=DPS_Graph_Max,IF($A994&gt;=DPS_Graph_Speed_Min,1/B994,),),)</f>
        <v/>
      </c>
      <c r="D994" s="115" t="str">
        <f>IF(DPS_Graph_True_Speed=TRUE,IF($E$8=$A994,DPS_Attacks_P_Sec,),)</f>
        <v/>
      </c>
      <c r="E994" s="222">
        <f>ROUNDDOWN(MAX(2,IF(A994&gt;=0, DPS_Base_Wpn_Spd/(1+A994),DPS_Base_Wpn_Spd*(1+ABS(A994)))),0)</f>
        <v>2</v>
      </c>
      <c r="F994" s="232">
        <f>IF(A994&gt;=0, DPS_Base_Recoil/(1+A994),DPS_Base_Recoil)</f>
        <v>0.005875440658</v>
      </c>
      <c r="G994" s="377">
        <f t="shared" si="7"/>
        <v>0.51</v>
      </c>
      <c r="H994" s="377">
        <f t="shared" si="8"/>
        <v>0.008499787505</v>
      </c>
      <c r="I994" s="104"/>
      <c r="J994" s="377">
        <f>MAX(0, Max(25,(DPS_Base_Range + ((DPS_Range_Stat) / 2))) / MIN(MAX(70, (70 * (1 + ($A994 / 3)))), 120))</f>
        <v>3.333333333</v>
      </c>
      <c r="K994" s="115" t="str">
        <f>IF(A994&lt;=DPS_Graph_Max,IF(A994&gt;=DPS_Graph_Speed_Min,A994,),)</f>
        <v/>
      </c>
      <c r="M994" s="213">
        <f>If(DPS_Weapon_Type="远程",$E994/60+$F994*2,$E994/60+$F994+$G994/2+$H994)</f>
        <v>0.04508421465</v>
      </c>
      <c r="N994" s="104" t="str">
        <f>IF(DPS_Graph_Tooltip_Speed=TRUE,IF($A994&lt;=DPS_Graph_Max,IF($A994&gt;=DPS_Graph_Speed_Min,1/M994,),),)</f>
        <v/>
      </c>
      <c r="R994" s="104" t="str">
        <f>IF(DPS_Graph_Tooltip_Speed=TRUE,IF($E$8=$A994,1/$N$6,),)</f>
        <v/>
      </c>
    </row>
    <row r="995">
      <c r="A995" s="370">
        <v>7.52</v>
      </c>
      <c r="B995" s="213">
        <f>If(DPS_Weapon_Type="远程",($E995+1)/60+(ROUNDDOWN($F995*60+1,0)/60)*2,(ROUNDDOWN(($E995+1)+ROUNDDOWN($F995*60+1,0)+ROUNDDOWN($G995/2*60+1,0)+ROUNDDOWN($H995*60+1,0)+1,0))/60+If(DPS_ATK_TYPE="挥砍",1/60)+If(DPS_ATK_TYPE="挥砍/刺击",1/120))+DPS_Weapon_Randomization/60</f>
        <v>0.105</v>
      </c>
      <c r="C995" s="104" t="str">
        <f>IF(DPS_Graph_True_Speed=TRUE,IF($A995&lt;=DPS_Graph_Max,IF($A995&gt;=DPS_Graph_Speed_Min,1/B995,),),)</f>
        <v/>
      </c>
      <c r="D995" s="115" t="str">
        <f>IF(DPS_Graph_True_Speed=TRUE,IF($E$8=$A995,DPS_Attacks_P_Sec,),)</f>
        <v/>
      </c>
      <c r="E995" s="222">
        <f>ROUNDDOWN(MAX(2,IF(A995&gt;=0, DPS_Base_Wpn_Spd/(1+A995),DPS_Base_Wpn_Spd*(1+ABS(A995)))),0)</f>
        <v>2</v>
      </c>
      <c r="F995" s="232">
        <f>IF(A995&gt;=0, DPS_Base_Recoil/(1+A995),DPS_Base_Recoil)</f>
        <v>0.005868544601</v>
      </c>
      <c r="G995" s="377">
        <f t="shared" si="7"/>
        <v>0.51</v>
      </c>
      <c r="H995" s="377">
        <f t="shared" si="8"/>
        <v>0.008488964346</v>
      </c>
      <c r="I995" s="104"/>
      <c r="J995" s="377">
        <f>MAX(0, Max(25,(DPS_Base_Range + ((DPS_Range_Stat) / 2))) / MIN(MAX(70, (70 * (1 + ($A995 / 3)))), 120))</f>
        <v>3.333333333</v>
      </c>
      <c r="K995" s="115" t="str">
        <f>IF(A995&lt;=DPS_Graph_Max,IF(A995&gt;=DPS_Graph_Speed_Min,A995,),)</f>
        <v/>
      </c>
      <c r="M995" s="213">
        <f>If(DPS_Weapon_Type="远程",$E995/60+$F995*2,$E995/60+$F995+$G995/2+$H995)</f>
        <v>0.04507042254</v>
      </c>
      <c r="N995" s="104" t="str">
        <f>IF(DPS_Graph_Tooltip_Speed=TRUE,IF($A995&lt;=DPS_Graph_Max,IF($A995&gt;=DPS_Graph_Speed_Min,1/M995,),),)</f>
        <v/>
      </c>
      <c r="R995" s="104" t="str">
        <f>IF(DPS_Graph_Tooltip_Speed=TRUE,IF($E$8=$A995,1/$N$6,),)</f>
        <v/>
      </c>
    </row>
    <row r="996">
      <c r="A996" s="370">
        <v>7.53</v>
      </c>
      <c r="B996" s="213">
        <f>If(DPS_Weapon_Type="远程",($E996+1)/60+(ROUNDDOWN($F996*60+1,0)/60)*2,(ROUNDDOWN(($E996+1)+ROUNDDOWN($F996*60+1,0)+ROUNDDOWN($G996/2*60+1,0)+ROUNDDOWN($H996*60+1,0)+1,0))/60+If(DPS_ATK_TYPE="挥砍",1/60)+If(DPS_ATK_TYPE="挥砍/刺击",1/120))+DPS_Weapon_Randomization/60</f>
        <v>0.105</v>
      </c>
      <c r="C996" s="104" t="str">
        <f>IF(DPS_Graph_True_Speed=TRUE,IF($A996&lt;=DPS_Graph_Max,IF($A996&gt;=DPS_Graph_Speed_Min,1/B996,),),)</f>
        <v/>
      </c>
      <c r="D996" s="115" t="str">
        <f>IF(DPS_Graph_True_Speed=TRUE,IF($E$8=$A996,DPS_Attacks_P_Sec,),)</f>
        <v/>
      </c>
      <c r="E996" s="222">
        <f>ROUNDDOWN(MAX(2,IF(A996&gt;=0, DPS_Base_Wpn_Spd/(1+A996),DPS_Base_Wpn_Spd*(1+ABS(A996)))),0)</f>
        <v>2</v>
      </c>
      <c r="F996" s="232">
        <f>IF(A996&gt;=0, DPS_Base_Recoil/(1+A996),DPS_Base_Recoil)</f>
        <v>0.005861664713</v>
      </c>
      <c r="G996" s="377">
        <f t="shared" si="7"/>
        <v>0.51</v>
      </c>
      <c r="H996" s="377">
        <f t="shared" si="8"/>
        <v>0.008478168716</v>
      </c>
      <c r="I996" s="104"/>
      <c r="J996" s="377">
        <f>MAX(0, Max(25,(DPS_Base_Range + ((DPS_Range_Stat) / 2))) / MIN(MAX(70, (70 * (1 + ($A996 / 3)))), 120))</f>
        <v>3.333333333</v>
      </c>
      <c r="K996" s="115" t="str">
        <f>IF(A996&lt;=DPS_Graph_Max,IF(A996&gt;=DPS_Graph_Speed_Min,A996,),)</f>
        <v/>
      </c>
      <c r="M996" s="213">
        <f>If(DPS_Weapon_Type="远程",$E996/60+$F996*2,$E996/60+$F996+$G996/2+$H996)</f>
        <v>0.04505666276</v>
      </c>
      <c r="N996" s="104" t="str">
        <f>IF(DPS_Graph_Tooltip_Speed=TRUE,IF($A996&lt;=DPS_Graph_Max,IF($A996&gt;=DPS_Graph_Speed_Min,1/M996,),),)</f>
        <v/>
      </c>
      <c r="R996" s="104" t="str">
        <f>IF(DPS_Graph_Tooltip_Speed=TRUE,IF($E$8=$A996,1/$N$6,),)</f>
        <v/>
      </c>
    </row>
    <row r="997">
      <c r="A997" s="370">
        <v>7.54</v>
      </c>
      <c r="B997" s="213">
        <f>If(DPS_Weapon_Type="远程",($E997+1)/60+(ROUNDDOWN($F997*60+1,0)/60)*2,(ROUNDDOWN(($E997+1)+ROUNDDOWN($F997*60+1,0)+ROUNDDOWN($G997/2*60+1,0)+ROUNDDOWN($H997*60+1,0)+1,0))/60+If(DPS_ATK_TYPE="挥砍",1/60)+If(DPS_ATK_TYPE="挥砍/刺击",1/120))+DPS_Weapon_Randomization/60</f>
        <v>0.105</v>
      </c>
      <c r="C997" s="104" t="str">
        <f>IF(DPS_Graph_True_Speed=TRUE,IF($A997&lt;=DPS_Graph_Max,IF($A997&gt;=DPS_Graph_Speed_Min,1/B997,),),)</f>
        <v/>
      </c>
      <c r="D997" s="115" t="str">
        <f>IF(DPS_Graph_True_Speed=TRUE,IF($E$8=$A997,DPS_Attacks_P_Sec,),)</f>
        <v/>
      </c>
      <c r="E997" s="222">
        <f>ROUNDDOWN(MAX(2,IF(A997&gt;=0, DPS_Base_Wpn_Spd/(1+A997),DPS_Base_Wpn_Spd*(1+ABS(A997)))),0)</f>
        <v>2</v>
      </c>
      <c r="F997" s="232">
        <f>IF(A997&gt;=0, DPS_Base_Recoil/(1+A997),DPS_Base_Recoil)</f>
        <v>0.005854800937</v>
      </c>
      <c r="G997" s="377">
        <f t="shared" si="7"/>
        <v>0.51</v>
      </c>
      <c r="H997" s="377">
        <f t="shared" si="8"/>
        <v>0.008467400508</v>
      </c>
      <c r="I997" s="104"/>
      <c r="J997" s="377">
        <f>MAX(0, Max(25,(DPS_Base_Range + ((DPS_Range_Stat) / 2))) / MIN(MAX(70, (70 * (1 + ($A997 / 3)))), 120))</f>
        <v>3.333333333</v>
      </c>
      <c r="K997" s="115" t="str">
        <f>IF(A997&lt;=DPS_Graph_Max,IF(A997&gt;=DPS_Graph_Speed_Min,A997,),)</f>
        <v/>
      </c>
      <c r="M997" s="213">
        <f>If(DPS_Weapon_Type="远程",$E997/60+$F997*2,$E997/60+$F997+$G997/2+$H997)</f>
        <v>0.04504293521</v>
      </c>
      <c r="N997" s="104" t="str">
        <f>IF(DPS_Graph_Tooltip_Speed=TRUE,IF($A997&lt;=DPS_Graph_Max,IF($A997&gt;=DPS_Graph_Speed_Min,1/M997,),),)</f>
        <v/>
      </c>
      <c r="R997" s="104" t="str">
        <f>IF(DPS_Graph_Tooltip_Speed=TRUE,IF($E$8=$A997,1/$N$6,),)</f>
        <v/>
      </c>
    </row>
    <row r="998">
      <c r="A998" s="370">
        <v>7.55</v>
      </c>
      <c r="B998" s="213">
        <f>If(DPS_Weapon_Type="远程",($E998+1)/60+(ROUNDDOWN($F998*60+1,0)/60)*2,(ROUNDDOWN(($E998+1)+ROUNDDOWN($F998*60+1,0)+ROUNDDOWN($G998/2*60+1,0)+ROUNDDOWN($H998*60+1,0)+1,0))/60+If(DPS_ATK_TYPE="挥砍",1/60)+If(DPS_ATK_TYPE="挥砍/刺击",1/120))+DPS_Weapon_Randomization/60</f>
        <v>0.105</v>
      </c>
      <c r="C998" s="104" t="str">
        <f>IF(DPS_Graph_True_Speed=TRUE,IF($A998&lt;=DPS_Graph_Max,IF($A998&gt;=DPS_Graph_Speed_Min,1/B998,),),)</f>
        <v/>
      </c>
      <c r="D998" s="115" t="str">
        <f>IF(DPS_Graph_True_Speed=TRUE,IF($E$8=$A998,DPS_Attacks_P_Sec,),)</f>
        <v/>
      </c>
      <c r="E998" s="222">
        <f>ROUNDDOWN(MAX(2,IF(A998&gt;=0, DPS_Base_Wpn_Spd/(1+A998),DPS_Base_Wpn_Spd*(1+ABS(A998)))),0)</f>
        <v>2</v>
      </c>
      <c r="F998" s="232">
        <f>IF(A998&gt;=0, DPS_Base_Recoil/(1+A998),DPS_Base_Recoil)</f>
        <v>0.005847953216</v>
      </c>
      <c r="G998" s="377">
        <f t="shared" si="7"/>
        <v>0.51</v>
      </c>
      <c r="H998" s="377">
        <f t="shared" si="8"/>
        <v>0.008456659619</v>
      </c>
      <c r="I998" s="104"/>
      <c r="J998" s="377">
        <f>MAX(0, Max(25,(DPS_Base_Range + ((DPS_Range_Stat) / 2))) / MIN(MAX(70, (70 * (1 + ($A998 / 3)))), 120))</f>
        <v>3.333333333</v>
      </c>
      <c r="K998" s="115" t="str">
        <f>IF(A998&lt;=DPS_Graph_Max,IF(A998&gt;=DPS_Graph_Speed_Min,A998,),)</f>
        <v/>
      </c>
      <c r="M998" s="213">
        <f>If(DPS_Weapon_Type="远程",$E998/60+$F998*2,$E998/60+$F998+$G998/2+$H998)</f>
        <v>0.04502923977</v>
      </c>
      <c r="N998" s="104" t="str">
        <f>IF(DPS_Graph_Tooltip_Speed=TRUE,IF($A998&lt;=DPS_Graph_Max,IF($A998&gt;=DPS_Graph_Speed_Min,1/M998,),),)</f>
        <v/>
      </c>
      <c r="R998" s="104" t="str">
        <f>IF(DPS_Graph_Tooltip_Speed=TRUE,IF($E$8=$A998,1/$N$6,),)</f>
        <v/>
      </c>
    </row>
    <row r="999">
      <c r="A999" s="370">
        <v>7.56</v>
      </c>
      <c r="B999" s="213">
        <f>If(DPS_Weapon_Type="远程",($E999+1)/60+(ROUNDDOWN($F999*60+1,0)/60)*2,(ROUNDDOWN(($E999+1)+ROUNDDOWN($F999*60+1,0)+ROUNDDOWN($G999/2*60+1,0)+ROUNDDOWN($H999*60+1,0)+1,0))/60+If(DPS_ATK_TYPE="挥砍",1/60)+If(DPS_ATK_TYPE="挥砍/刺击",1/120))+DPS_Weapon_Randomization/60</f>
        <v>0.105</v>
      </c>
      <c r="C999" s="104" t="str">
        <f>IF(DPS_Graph_True_Speed=TRUE,IF($A999&lt;=DPS_Graph_Max,IF($A999&gt;=DPS_Graph_Speed_Min,1/B999,),),)</f>
        <v/>
      </c>
      <c r="D999" s="115" t="str">
        <f>IF(DPS_Graph_True_Speed=TRUE,IF($E$8=$A999,DPS_Attacks_P_Sec,),)</f>
        <v/>
      </c>
      <c r="E999" s="222">
        <f>ROUNDDOWN(MAX(2,IF(A999&gt;=0, DPS_Base_Wpn_Spd/(1+A999),DPS_Base_Wpn_Spd*(1+ABS(A999)))),0)</f>
        <v>2</v>
      </c>
      <c r="F999" s="232">
        <f>IF(A999&gt;=0, DPS_Base_Recoil/(1+A999),DPS_Base_Recoil)</f>
        <v>0.005841121495</v>
      </c>
      <c r="G999" s="377">
        <f t="shared" si="7"/>
        <v>0.51</v>
      </c>
      <c r="H999" s="377">
        <f t="shared" si="8"/>
        <v>0.008445945946</v>
      </c>
      <c r="I999" s="104"/>
      <c r="J999" s="377">
        <f>MAX(0, Max(25,(DPS_Base_Range + ((DPS_Range_Stat) / 2))) / MIN(MAX(70, (70 * (1 + ($A999 / 3)))), 120))</f>
        <v>3.333333333</v>
      </c>
      <c r="K999" s="115" t="str">
        <f>IF(A999&lt;=DPS_Graph_Max,IF(A999&gt;=DPS_Graph_Speed_Min,A999,),)</f>
        <v/>
      </c>
      <c r="M999" s="213">
        <f>If(DPS_Weapon_Type="远程",$E999/60+$F999*2,$E999/60+$F999+$G999/2+$H999)</f>
        <v>0.04501557632</v>
      </c>
      <c r="N999" s="104" t="str">
        <f>IF(DPS_Graph_Tooltip_Speed=TRUE,IF($A999&lt;=DPS_Graph_Max,IF($A999&gt;=DPS_Graph_Speed_Min,1/M999,),),)</f>
        <v/>
      </c>
      <c r="R999" s="104" t="str">
        <f>IF(DPS_Graph_Tooltip_Speed=TRUE,IF($E$8=$A999,1/$N$6,),)</f>
        <v/>
      </c>
    </row>
    <row r="1000">
      <c r="A1000" s="370">
        <v>7.57</v>
      </c>
      <c r="B1000" s="213">
        <f>If(DPS_Weapon_Type="远程",($E1000+1)/60+(ROUNDDOWN($F1000*60+1,0)/60)*2,(ROUNDDOWN(($E1000+1)+ROUNDDOWN($F1000*60+1,0)+ROUNDDOWN($G1000/2*60+1,0)+ROUNDDOWN($H1000*60+1,0)+1,0))/60+If(DPS_ATK_TYPE="挥砍",1/60)+If(DPS_ATK_TYPE="挥砍/刺击",1/120))+DPS_Weapon_Randomization/60</f>
        <v>0.105</v>
      </c>
      <c r="C1000" s="104" t="str">
        <f>IF(DPS_Graph_True_Speed=TRUE,IF($A1000&lt;=DPS_Graph_Max,IF($A1000&gt;=DPS_Graph_Speed_Min,1/B1000,),),)</f>
        <v/>
      </c>
      <c r="D1000" s="115" t="str">
        <f>IF(DPS_Graph_True_Speed=TRUE,IF($E$8=$A1000,DPS_Attacks_P_Sec,),)</f>
        <v/>
      </c>
      <c r="E1000" s="222">
        <f>ROUNDDOWN(MAX(2,IF(A1000&gt;=0, DPS_Base_Wpn_Spd/(1+A1000),DPS_Base_Wpn_Spd*(1+ABS(A1000)))),0)</f>
        <v>2</v>
      </c>
      <c r="F1000" s="232">
        <f>IF(A1000&gt;=0, DPS_Base_Recoil/(1+A1000),DPS_Base_Recoil)</f>
        <v>0.005834305718</v>
      </c>
      <c r="G1000" s="377">
        <f t="shared" si="7"/>
        <v>0.51</v>
      </c>
      <c r="H1000" s="377">
        <f t="shared" si="8"/>
        <v>0.008435259384</v>
      </c>
      <c r="I1000" s="104"/>
      <c r="J1000" s="377">
        <f>MAX(0, Max(25,(DPS_Base_Range + ((DPS_Range_Stat) / 2))) / MIN(MAX(70, (70 * (1 + ($A1000 / 3)))), 120))</f>
        <v>3.333333333</v>
      </c>
      <c r="K1000" s="115" t="str">
        <f>IF(A1000&lt;=DPS_Graph_Max,IF(A1000&gt;=DPS_Graph_Speed_Min,A1000,),)</f>
        <v/>
      </c>
      <c r="M1000" s="213">
        <f>If(DPS_Weapon_Type="远程",$E1000/60+$F1000*2,$E1000/60+$F1000+$G1000/2+$H1000)</f>
        <v>0.04500194477</v>
      </c>
      <c r="N1000" s="104" t="str">
        <f>IF(DPS_Graph_Tooltip_Speed=TRUE,IF($A1000&lt;=DPS_Graph_Max,IF($A1000&gt;=DPS_Graph_Speed_Min,1/M1000,),),)</f>
        <v/>
      </c>
      <c r="R1000" s="104" t="str">
        <f>IF(DPS_Graph_Tooltip_Speed=TRUE,IF($E$8=$A1000,1/$N$6,),)</f>
        <v/>
      </c>
    </row>
    <row r="1001">
      <c r="A1001" s="370">
        <v>7.58</v>
      </c>
      <c r="B1001" s="213">
        <f>If(DPS_Weapon_Type="远程",($E1001+1)/60+(ROUNDDOWN($F1001*60+1,0)/60)*2,(ROUNDDOWN(($E1001+1)+ROUNDDOWN($F1001*60+1,0)+ROUNDDOWN($G1001/2*60+1,0)+ROUNDDOWN($H1001*60+1,0)+1,0))/60+If(DPS_ATK_TYPE="挥砍",1/60)+If(DPS_ATK_TYPE="挥砍/刺击",1/120))+DPS_Weapon_Randomization/60</f>
        <v>0.105</v>
      </c>
      <c r="C1001" s="104" t="str">
        <f>IF(DPS_Graph_True_Speed=TRUE,IF($A1001&lt;=DPS_Graph_Max,IF($A1001&gt;=DPS_Graph_Speed_Min,1/B1001,),),)</f>
        <v/>
      </c>
      <c r="D1001" s="115" t="str">
        <f>IF(DPS_Graph_True_Speed=TRUE,IF($E$8=$A1001,DPS_Attacks_P_Sec,),)</f>
        <v/>
      </c>
      <c r="E1001" s="222">
        <f>ROUNDDOWN(MAX(2,IF(A1001&gt;=0, DPS_Base_Wpn_Spd/(1+A1001),DPS_Base_Wpn_Spd*(1+ABS(A1001)))),0)</f>
        <v>2</v>
      </c>
      <c r="F1001" s="232">
        <f>IF(A1001&gt;=0, DPS_Base_Recoil/(1+A1001),DPS_Base_Recoil)</f>
        <v>0.005827505828</v>
      </c>
      <c r="G1001" s="377">
        <f t="shared" si="7"/>
        <v>0.51</v>
      </c>
      <c r="H1001" s="377">
        <f t="shared" si="8"/>
        <v>0.008424599832</v>
      </c>
      <c r="I1001" s="104"/>
      <c r="J1001" s="377">
        <f>MAX(0, Max(25,(DPS_Base_Range + ((DPS_Range_Stat) / 2))) / MIN(MAX(70, (70 * (1 + ($A1001 / 3)))), 120))</f>
        <v>3.333333333</v>
      </c>
      <c r="K1001" s="115" t="str">
        <f>IF(A1001&lt;=DPS_Graph_Max,IF(A1001&gt;=DPS_Graph_Speed_Min,A1001,),)</f>
        <v/>
      </c>
      <c r="M1001" s="213">
        <f>If(DPS_Weapon_Type="远程",$E1001/60+$F1001*2,$E1001/60+$F1001+$G1001/2+$H1001)</f>
        <v>0.04498834499</v>
      </c>
      <c r="N1001" s="104" t="str">
        <f>IF(DPS_Graph_Tooltip_Speed=TRUE,IF($A1001&lt;=DPS_Graph_Max,IF($A1001&gt;=DPS_Graph_Speed_Min,1/M1001,),),)</f>
        <v/>
      </c>
      <c r="R1001" s="104" t="str">
        <f>IF(DPS_Graph_Tooltip_Speed=TRUE,IF($E$8=$A1001,1/$N$6,),)</f>
        <v/>
      </c>
    </row>
    <row r="1002">
      <c r="A1002" s="370">
        <v>7.59</v>
      </c>
      <c r="B1002" s="213">
        <f>If(DPS_Weapon_Type="远程",($E1002+1)/60+(ROUNDDOWN($F1002*60+1,0)/60)*2,(ROUNDDOWN(($E1002+1)+ROUNDDOWN($F1002*60+1,0)+ROUNDDOWN($G1002/2*60+1,0)+ROUNDDOWN($H1002*60+1,0)+1,0))/60+If(DPS_ATK_TYPE="挥砍",1/60)+If(DPS_ATK_TYPE="挥砍/刺击",1/120))+DPS_Weapon_Randomization/60</f>
        <v>0.105</v>
      </c>
      <c r="C1002" s="104" t="str">
        <f>IF(DPS_Graph_True_Speed=TRUE,IF($A1002&lt;=DPS_Graph_Max,IF($A1002&gt;=DPS_Graph_Speed_Min,1/B1002,),),)</f>
        <v/>
      </c>
      <c r="D1002" s="115" t="str">
        <f>IF(DPS_Graph_True_Speed=TRUE,IF($E$8=$A1002,DPS_Attacks_P_Sec,),)</f>
        <v/>
      </c>
      <c r="E1002" s="222">
        <f>ROUNDDOWN(MAX(2,IF(A1002&gt;=0, DPS_Base_Wpn_Spd/(1+A1002),DPS_Base_Wpn_Spd*(1+ABS(A1002)))),0)</f>
        <v>2</v>
      </c>
      <c r="F1002" s="232">
        <f>IF(A1002&gt;=0, DPS_Base_Recoil/(1+A1002),DPS_Base_Recoil)</f>
        <v>0.005820721769</v>
      </c>
      <c r="G1002" s="377">
        <f t="shared" si="7"/>
        <v>0.51</v>
      </c>
      <c r="H1002" s="377">
        <f t="shared" si="8"/>
        <v>0.008413967186</v>
      </c>
      <c r="I1002" s="104"/>
      <c r="J1002" s="377">
        <f>MAX(0, Max(25,(DPS_Base_Range + ((DPS_Range_Stat) / 2))) / MIN(MAX(70, (70 * (1 + ($A1002 / 3)))), 120))</f>
        <v>3.333333333</v>
      </c>
      <c r="K1002" s="115" t="str">
        <f>IF(A1002&lt;=DPS_Graph_Max,IF(A1002&gt;=DPS_Graph_Speed_Min,A1002,),)</f>
        <v/>
      </c>
      <c r="M1002" s="213">
        <f>If(DPS_Weapon_Type="远程",$E1002/60+$F1002*2,$E1002/60+$F1002+$G1002/2+$H1002)</f>
        <v>0.04497477687</v>
      </c>
      <c r="N1002" s="104" t="str">
        <f>IF(DPS_Graph_Tooltip_Speed=TRUE,IF($A1002&lt;=DPS_Graph_Max,IF($A1002&gt;=DPS_Graph_Speed_Min,1/M1002,),),)</f>
        <v/>
      </c>
      <c r="R1002" s="104" t="str">
        <f>IF(DPS_Graph_Tooltip_Speed=TRUE,IF($E$8=$A1002,1/$N$6,),)</f>
        <v/>
      </c>
    </row>
    <row r="1003">
      <c r="A1003" s="370">
        <v>7.6</v>
      </c>
      <c r="B1003" s="213">
        <f>If(DPS_Weapon_Type="远程",($E1003+1)/60+(ROUNDDOWN($F1003*60+1,0)/60)*2,(ROUNDDOWN(($E1003+1)+ROUNDDOWN($F1003*60+1,0)+ROUNDDOWN($G1003/2*60+1,0)+ROUNDDOWN($H1003*60+1,0)+1,0))/60+If(DPS_ATK_TYPE="挥砍",1/60)+If(DPS_ATK_TYPE="挥砍/刺击",1/120))+DPS_Weapon_Randomization/60</f>
        <v>0.105</v>
      </c>
      <c r="C1003" s="104" t="str">
        <f>IF(DPS_Graph_True_Speed=TRUE,IF($A1003&lt;=DPS_Graph_Max,IF($A1003&gt;=DPS_Graph_Speed_Min,1/B1003,),),)</f>
        <v/>
      </c>
      <c r="D1003" s="115" t="str">
        <f>IF(DPS_Graph_True_Speed=TRUE,IF($E$8=$A1003,DPS_Attacks_P_Sec,),)</f>
        <v/>
      </c>
      <c r="E1003" s="222">
        <f>ROUNDDOWN(MAX(2,IF(A1003&gt;=0, DPS_Base_Wpn_Spd/(1+A1003),DPS_Base_Wpn_Spd*(1+ABS(A1003)))),0)</f>
        <v>2</v>
      </c>
      <c r="F1003" s="232">
        <f>IF(A1003&gt;=0, DPS_Base_Recoil/(1+A1003),DPS_Base_Recoil)</f>
        <v>0.005813953488</v>
      </c>
      <c r="G1003" s="377">
        <f t="shared" si="7"/>
        <v>0.51</v>
      </c>
      <c r="H1003" s="377">
        <f t="shared" si="8"/>
        <v>0.008403361345</v>
      </c>
      <c r="I1003" s="104"/>
      <c r="J1003" s="377">
        <f>MAX(0, Max(25,(DPS_Base_Range + ((DPS_Range_Stat) / 2))) / MIN(MAX(70, (70 * (1 + ($A1003 / 3)))), 120))</f>
        <v>3.333333333</v>
      </c>
      <c r="K1003" s="115" t="str">
        <f>IF(A1003&lt;=DPS_Graph_Max,IF(A1003&gt;=DPS_Graph_Speed_Min,A1003,),)</f>
        <v/>
      </c>
      <c r="M1003" s="213">
        <f>If(DPS_Weapon_Type="远程",$E1003/60+$F1003*2,$E1003/60+$F1003+$G1003/2+$H1003)</f>
        <v>0.04496124031</v>
      </c>
      <c r="N1003" s="104" t="str">
        <f>IF(DPS_Graph_Tooltip_Speed=TRUE,IF($A1003&lt;=DPS_Graph_Max,IF($A1003&gt;=DPS_Graph_Speed_Min,1/M1003,),),)</f>
        <v/>
      </c>
      <c r="R1003" s="104" t="str">
        <f>IF(DPS_Graph_Tooltip_Speed=TRUE,IF($E$8=$A1003,1/$N$6,),)</f>
        <v/>
      </c>
    </row>
    <row r="1004">
      <c r="A1004" s="370">
        <v>7.61</v>
      </c>
      <c r="B1004" s="213">
        <f>If(DPS_Weapon_Type="远程",($E1004+1)/60+(ROUNDDOWN($F1004*60+1,0)/60)*2,(ROUNDDOWN(($E1004+1)+ROUNDDOWN($F1004*60+1,0)+ROUNDDOWN($G1004/2*60+1,0)+ROUNDDOWN($H1004*60+1,0)+1,0))/60+If(DPS_ATK_TYPE="挥砍",1/60)+If(DPS_ATK_TYPE="挥砍/刺击",1/120))+DPS_Weapon_Randomization/60</f>
        <v>0.105</v>
      </c>
      <c r="C1004" s="104" t="str">
        <f>IF(DPS_Graph_True_Speed=TRUE,IF($A1004&lt;=DPS_Graph_Max,IF($A1004&gt;=DPS_Graph_Speed_Min,1/B1004,),),)</f>
        <v/>
      </c>
      <c r="D1004" s="115" t="str">
        <f>IF(DPS_Graph_True_Speed=TRUE,IF($E$8=$A1004,DPS_Attacks_P_Sec,),)</f>
        <v/>
      </c>
      <c r="E1004" s="222">
        <f>ROUNDDOWN(MAX(2,IF(A1004&gt;=0, DPS_Base_Wpn_Spd/(1+A1004),DPS_Base_Wpn_Spd*(1+ABS(A1004)))),0)</f>
        <v>2</v>
      </c>
      <c r="F1004" s="232">
        <f>IF(A1004&gt;=0, DPS_Base_Recoil/(1+A1004),DPS_Base_Recoil)</f>
        <v>0.005807200929</v>
      </c>
      <c r="G1004" s="377">
        <f t="shared" si="7"/>
        <v>0.51</v>
      </c>
      <c r="H1004" s="377">
        <f t="shared" si="8"/>
        <v>0.008392782207</v>
      </c>
      <c r="I1004" s="104"/>
      <c r="J1004" s="377">
        <f>MAX(0, Max(25,(DPS_Base_Range + ((DPS_Range_Stat) / 2))) / MIN(MAX(70, (70 * (1 + ($A1004 / 3)))), 120))</f>
        <v>3.333333333</v>
      </c>
      <c r="K1004" s="115" t="str">
        <f>IF(A1004&lt;=DPS_Graph_Max,IF(A1004&gt;=DPS_Graph_Speed_Min,A1004,),)</f>
        <v/>
      </c>
      <c r="M1004" s="213">
        <f>If(DPS_Weapon_Type="远程",$E1004/60+$F1004*2,$E1004/60+$F1004+$G1004/2+$H1004)</f>
        <v>0.04494773519</v>
      </c>
      <c r="N1004" s="104" t="str">
        <f>IF(DPS_Graph_Tooltip_Speed=TRUE,IF($A1004&lt;=DPS_Graph_Max,IF($A1004&gt;=DPS_Graph_Speed_Min,1/M1004,),),)</f>
        <v/>
      </c>
      <c r="R1004" s="104" t="str">
        <f>IF(DPS_Graph_Tooltip_Speed=TRUE,IF($E$8=$A1004,1/$N$6,),)</f>
        <v/>
      </c>
    </row>
    <row r="1005">
      <c r="A1005" s="370">
        <v>7.62</v>
      </c>
      <c r="B1005" s="213">
        <f>If(DPS_Weapon_Type="远程",($E1005+1)/60+(ROUNDDOWN($F1005*60+1,0)/60)*2,(ROUNDDOWN(($E1005+1)+ROUNDDOWN($F1005*60+1,0)+ROUNDDOWN($G1005/2*60+1,0)+ROUNDDOWN($H1005*60+1,0)+1,0))/60+If(DPS_ATK_TYPE="挥砍",1/60)+If(DPS_ATK_TYPE="挥砍/刺击",1/120))+DPS_Weapon_Randomization/60</f>
        <v>0.105</v>
      </c>
      <c r="C1005" s="104" t="str">
        <f>IF(DPS_Graph_True_Speed=TRUE,IF($A1005&lt;=DPS_Graph_Max,IF($A1005&gt;=DPS_Graph_Speed_Min,1/B1005,),),)</f>
        <v/>
      </c>
      <c r="D1005" s="115" t="str">
        <f>IF(DPS_Graph_True_Speed=TRUE,IF($E$8=$A1005,DPS_Attacks_P_Sec,),)</f>
        <v/>
      </c>
      <c r="E1005" s="222">
        <f>ROUNDDOWN(MAX(2,IF(A1005&gt;=0, DPS_Base_Wpn_Spd/(1+A1005),DPS_Base_Wpn_Spd*(1+ABS(A1005)))),0)</f>
        <v>2</v>
      </c>
      <c r="F1005" s="232">
        <f>IF(A1005&gt;=0, DPS_Base_Recoil/(1+A1005),DPS_Base_Recoil)</f>
        <v>0.005800464037</v>
      </c>
      <c r="G1005" s="377">
        <f t="shared" si="7"/>
        <v>0.51</v>
      </c>
      <c r="H1005" s="377">
        <f t="shared" si="8"/>
        <v>0.008382229673</v>
      </c>
      <c r="I1005" s="104"/>
      <c r="J1005" s="377">
        <f>MAX(0, Max(25,(DPS_Base_Range + ((DPS_Range_Stat) / 2))) / MIN(MAX(70, (70 * (1 + ($A1005 / 3)))), 120))</f>
        <v>3.333333333</v>
      </c>
      <c r="K1005" s="115" t="str">
        <f>IF(A1005&lt;=DPS_Graph_Max,IF(A1005&gt;=DPS_Graph_Speed_Min,A1005,),)</f>
        <v/>
      </c>
      <c r="M1005" s="213">
        <f>If(DPS_Weapon_Type="远程",$E1005/60+$F1005*2,$E1005/60+$F1005+$G1005/2+$H1005)</f>
        <v>0.04493426141</v>
      </c>
      <c r="N1005" s="104" t="str">
        <f>IF(DPS_Graph_Tooltip_Speed=TRUE,IF($A1005&lt;=DPS_Graph_Max,IF($A1005&gt;=DPS_Graph_Speed_Min,1/M1005,),),)</f>
        <v/>
      </c>
      <c r="R1005" s="104" t="str">
        <f>IF(DPS_Graph_Tooltip_Speed=TRUE,IF($E$8=$A1005,1/$N$6,),)</f>
        <v/>
      </c>
    </row>
    <row r="1006">
      <c r="A1006" s="370">
        <v>7.63</v>
      </c>
      <c r="B1006" s="213">
        <f>If(DPS_Weapon_Type="远程",($E1006+1)/60+(ROUNDDOWN($F1006*60+1,0)/60)*2,(ROUNDDOWN(($E1006+1)+ROUNDDOWN($F1006*60+1,0)+ROUNDDOWN($G1006/2*60+1,0)+ROUNDDOWN($H1006*60+1,0)+1,0))/60+If(DPS_ATK_TYPE="挥砍",1/60)+If(DPS_ATK_TYPE="挥砍/刺击",1/120))+DPS_Weapon_Randomization/60</f>
        <v>0.105</v>
      </c>
      <c r="C1006" s="104" t="str">
        <f>IF(DPS_Graph_True_Speed=TRUE,IF($A1006&lt;=DPS_Graph_Max,IF($A1006&gt;=DPS_Graph_Speed_Min,1/B1006,),),)</f>
        <v/>
      </c>
      <c r="D1006" s="115" t="str">
        <f>IF(DPS_Graph_True_Speed=TRUE,IF($E$8=$A1006,DPS_Attacks_P_Sec,),)</f>
        <v/>
      </c>
      <c r="E1006" s="222">
        <f>ROUNDDOWN(MAX(2,IF(A1006&gt;=0, DPS_Base_Wpn_Spd/(1+A1006),DPS_Base_Wpn_Spd*(1+ABS(A1006)))),0)</f>
        <v>2</v>
      </c>
      <c r="F1006" s="232">
        <f>IF(A1006&gt;=0, DPS_Base_Recoil/(1+A1006),DPS_Base_Recoil)</f>
        <v>0.005793742758</v>
      </c>
      <c r="G1006" s="377">
        <f t="shared" si="7"/>
        <v>0.51</v>
      </c>
      <c r="H1006" s="377">
        <f t="shared" si="8"/>
        <v>0.008371703642</v>
      </c>
      <c r="I1006" s="104"/>
      <c r="J1006" s="377">
        <f>MAX(0, Max(25,(DPS_Base_Range + ((DPS_Range_Stat) / 2))) / MIN(MAX(70, (70 * (1 + ($A1006 / 3)))), 120))</f>
        <v>3.333333333</v>
      </c>
      <c r="K1006" s="115" t="str">
        <f>IF(A1006&lt;=DPS_Graph_Max,IF(A1006&gt;=DPS_Graph_Speed_Min,A1006,),)</f>
        <v/>
      </c>
      <c r="M1006" s="213">
        <f>If(DPS_Weapon_Type="远程",$E1006/60+$F1006*2,$E1006/60+$F1006+$G1006/2+$H1006)</f>
        <v>0.04492081885</v>
      </c>
      <c r="N1006" s="104" t="str">
        <f>IF(DPS_Graph_Tooltip_Speed=TRUE,IF($A1006&lt;=DPS_Graph_Max,IF($A1006&gt;=DPS_Graph_Speed_Min,1/M1006,),),)</f>
        <v/>
      </c>
      <c r="R1006" s="104" t="str">
        <f>IF(DPS_Graph_Tooltip_Speed=TRUE,IF($E$8=$A1006,1/$N$6,),)</f>
        <v/>
      </c>
    </row>
    <row r="1007">
      <c r="A1007" s="370">
        <v>7.64</v>
      </c>
      <c r="B1007" s="213">
        <f>If(DPS_Weapon_Type="远程",($E1007+1)/60+(ROUNDDOWN($F1007*60+1,0)/60)*2,(ROUNDDOWN(($E1007+1)+ROUNDDOWN($F1007*60+1,0)+ROUNDDOWN($G1007/2*60+1,0)+ROUNDDOWN($H1007*60+1,0)+1,0))/60+If(DPS_ATK_TYPE="挥砍",1/60)+If(DPS_ATK_TYPE="挥砍/刺击",1/120))+DPS_Weapon_Randomization/60</f>
        <v>0.105</v>
      </c>
      <c r="C1007" s="104" t="str">
        <f>IF(DPS_Graph_True_Speed=TRUE,IF($A1007&lt;=DPS_Graph_Max,IF($A1007&gt;=DPS_Graph_Speed_Min,1/B1007,),),)</f>
        <v/>
      </c>
      <c r="D1007" s="115" t="str">
        <f>IF(DPS_Graph_True_Speed=TRUE,IF($E$8=$A1007,DPS_Attacks_P_Sec,),)</f>
        <v/>
      </c>
      <c r="E1007" s="222">
        <f>ROUNDDOWN(MAX(2,IF(A1007&gt;=0, DPS_Base_Wpn_Spd/(1+A1007),DPS_Base_Wpn_Spd*(1+ABS(A1007)))),0)</f>
        <v>2</v>
      </c>
      <c r="F1007" s="232">
        <f>IF(A1007&gt;=0, DPS_Base_Recoil/(1+A1007),DPS_Base_Recoil)</f>
        <v>0.005787037037</v>
      </c>
      <c r="G1007" s="377">
        <f t="shared" si="7"/>
        <v>0.51</v>
      </c>
      <c r="H1007" s="377">
        <f t="shared" si="8"/>
        <v>0.008361204013</v>
      </c>
      <c r="I1007" s="104"/>
      <c r="J1007" s="377">
        <f>MAX(0, Max(25,(DPS_Base_Range + ((DPS_Range_Stat) / 2))) / MIN(MAX(70, (70 * (1 + ($A1007 / 3)))), 120))</f>
        <v>3.333333333</v>
      </c>
      <c r="K1007" s="115" t="str">
        <f>IF(A1007&lt;=DPS_Graph_Max,IF(A1007&gt;=DPS_Graph_Speed_Min,A1007,),)</f>
        <v/>
      </c>
      <c r="M1007" s="213">
        <f>If(DPS_Weapon_Type="远程",$E1007/60+$F1007*2,$E1007/60+$F1007+$G1007/2+$H1007)</f>
        <v>0.04490740741</v>
      </c>
      <c r="N1007" s="104" t="str">
        <f>IF(DPS_Graph_Tooltip_Speed=TRUE,IF($A1007&lt;=DPS_Graph_Max,IF($A1007&gt;=DPS_Graph_Speed_Min,1/M1007,),),)</f>
        <v/>
      </c>
      <c r="R1007" s="104" t="str">
        <f>IF(DPS_Graph_Tooltip_Speed=TRUE,IF($E$8=$A1007,1/$N$6,),)</f>
        <v/>
      </c>
    </row>
    <row r="1008">
      <c r="A1008" s="370">
        <v>7.65</v>
      </c>
      <c r="B1008" s="213">
        <f>If(DPS_Weapon_Type="远程",($E1008+1)/60+(ROUNDDOWN($F1008*60+1,0)/60)*2,(ROUNDDOWN(($E1008+1)+ROUNDDOWN($F1008*60+1,0)+ROUNDDOWN($G1008/2*60+1,0)+ROUNDDOWN($H1008*60+1,0)+1,0))/60+If(DPS_ATK_TYPE="挥砍",1/60)+If(DPS_ATK_TYPE="挥砍/刺击",1/120))+DPS_Weapon_Randomization/60</f>
        <v>0.105</v>
      </c>
      <c r="C1008" s="104" t="str">
        <f>IF(DPS_Graph_True_Speed=TRUE,IF($A1008&lt;=DPS_Graph_Max,IF($A1008&gt;=DPS_Graph_Speed_Min,1/B1008,),),)</f>
        <v/>
      </c>
      <c r="D1008" s="115" t="str">
        <f>IF(DPS_Graph_True_Speed=TRUE,IF($E$8=$A1008,DPS_Attacks_P_Sec,),)</f>
        <v/>
      </c>
      <c r="E1008" s="222">
        <f>ROUNDDOWN(MAX(2,IF(A1008&gt;=0, DPS_Base_Wpn_Spd/(1+A1008),DPS_Base_Wpn_Spd*(1+ABS(A1008)))),0)</f>
        <v>2</v>
      </c>
      <c r="F1008" s="232">
        <f>IF(A1008&gt;=0, DPS_Base_Recoil/(1+A1008),DPS_Base_Recoil)</f>
        <v>0.005780346821</v>
      </c>
      <c r="G1008" s="377">
        <f t="shared" si="7"/>
        <v>0.51</v>
      </c>
      <c r="H1008" s="377">
        <f t="shared" si="8"/>
        <v>0.008350730689</v>
      </c>
      <c r="I1008" s="104"/>
      <c r="J1008" s="377">
        <f>MAX(0, Max(25,(DPS_Base_Range + ((DPS_Range_Stat) / 2))) / MIN(MAX(70, (70 * (1 + ($A1008 / 3)))), 120))</f>
        <v>3.333333333</v>
      </c>
      <c r="K1008" s="115" t="str">
        <f>IF(A1008&lt;=DPS_Graph_Max,IF(A1008&gt;=DPS_Graph_Speed_Min,A1008,),)</f>
        <v/>
      </c>
      <c r="M1008" s="213">
        <f>If(DPS_Weapon_Type="远程",$E1008/60+$F1008*2,$E1008/60+$F1008+$G1008/2+$H1008)</f>
        <v>0.04489402697</v>
      </c>
      <c r="N1008" s="104" t="str">
        <f>IF(DPS_Graph_Tooltip_Speed=TRUE,IF($A1008&lt;=DPS_Graph_Max,IF($A1008&gt;=DPS_Graph_Speed_Min,1/M1008,),),)</f>
        <v/>
      </c>
      <c r="R1008" s="104" t="str">
        <f>IF(DPS_Graph_Tooltip_Speed=TRUE,IF($E$8=$A1008,1/$N$6,),)</f>
        <v/>
      </c>
    </row>
    <row r="1009">
      <c r="A1009" s="370">
        <v>7.66</v>
      </c>
      <c r="B1009" s="213">
        <f>If(DPS_Weapon_Type="远程",($E1009+1)/60+(ROUNDDOWN($F1009*60+1,0)/60)*2,(ROUNDDOWN(($E1009+1)+ROUNDDOWN($F1009*60+1,0)+ROUNDDOWN($G1009/2*60+1,0)+ROUNDDOWN($H1009*60+1,0)+1,0))/60+If(DPS_ATK_TYPE="挥砍",1/60)+If(DPS_ATK_TYPE="挥砍/刺击",1/120))+DPS_Weapon_Randomization/60</f>
        <v>0.105</v>
      </c>
      <c r="C1009" s="104" t="str">
        <f>IF(DPS_Graph_True_Speed=TRUE,IF($A1009&lt;=DPS_Graph_Max,IF($A1009&gt;=DPS_Graph_Speed_Min,1/B1009,),),)</f>
        <v/>
      </c>
      <c r="D1009" s="115" t="str">
        <f>IF(DPS_Graph_True_Speed=TRUE,IF($E$8=$A1009,DPS_Attacks_P_Sec,),)</f>
        <v/>
      </c>
      <c r="E1009" s="222">
        <f>ROUNDDOWN(MAX(2,IF(A1009&gt;=0, DPS_Base_Wpn_Spd/(1+A1009),DPS_Base_Wpn_Spd*(1+ABS(A1009)))),0)</f>
        <v>2</v>
      </c>
      <c r="F1009" s="232">
        <f>IF(A1009&gt;=0, DPS_Base_Recoil/(1+A1009),DPS_Base_Recoil)</f>
        <v>0.005773672055</v>
      </c>
      <c r="G1009" s="377">
        <f t="shared" si="7"/>
        <v>0.51</v>
      </c>
      <c r="H1009" s="377">
        <f t="shared" si="8"/>
        <v>0.00834028357</v>
      </c>
      <c r="I1009" s="104"/>
      <c r="J1009" s="377">
        <f>MAX(0, Max(25,(DPS_Base_Range + ((DPS_Range_Stat) / 2))) / MIN(MAX(70, (70 * (1 + ($A1009 / 3)))), 120))</f>
        <v>3.333333333</v>
      </c>
      <c r="K1009" s="115" t="str">
        <f>IF(A1009&lt;=DPS_Graph_Max,IF(A1009&gt;=DPS_Graph_Speed_Min,A1009,),)</f>
        <v/>
      </c>
      <c r="M1009" s="213">
        <f>If(DPS_Weapon_Type="远程",$E1009/60+$F1009*2,$E1009/60+$F1009+$G1009/2+$H1009)</f>
        <v>0.04488067744</v>
      </c>
      <c r="N1009" s="104" t="str">
        <f>IF(DPS_Graph_Tooltip_Speed=TRUE,IF($A1009&lt;=DPS_Graph_Max,IF($A1009&gt;=DPS_Graph_Speed_Min,1/M1009,),),)</f>
        <v/>
      </c>
      <c r="R1009" s="104" t="str">
        <f>IF(DPS_Graph_Tooltip_Speed=TRUE,IF($E$8=$A1009,1/$N$6,),)</f>
        <v/>
      </c>
    </row>
    <row r="1010">
      <c r="A1010" s="370">
        <v>7.67</v>
      </c>
      <c r="B1010" s="213">
        <f>If(DPS_Weapon_Type="远程",($E1010+1)/60+(ROUNDDOWN($F1010*60+1,0)/60)*2,(ROUNDDOWN(($E1010+1)+ROUNDDOWN($F1010*60+1,0)+ROUNDDOWN($G1010/2*60+1,0)+ROUNDDOWN($H1010*60+1,0)+1,0))/60+If(DPS_ATK_TYPE="挥砍",1/60)+If(DPS_ATK_TYPE="挥砍/刺击",1/120))+DPS_Weapon_Randomization/60</f>
        <v>0.105</v>
      </c>
      <c r="C1010" s="104" t="str">
        <f>IF(DPS_Graph_True_Speed=TRUE,IF($A1010&lt;=DPS_Graph_Max,IF($A1010&gt;=DPS_Graph_Speed_Min,1/B1010,),),)</f>
        <v/>
      </c>
      <c r="D1010" s="115" t="str">
        <f>IF(DPS_Graph_True_Speed=TRUE,IF($E$8=$A1010,DPS_Attacks_P_Sec,),)</f>
        <v/>
      </c>
      <c r="E1010" s="222">
        <f>ROUNDDOWN(MAX(2,IF(A1010&gt;=0, DPS_Base_Wpn_Spd/(1+A1010),DPS_Base_Wpn_Spd*(1+ABS(A1010)))),0)</f>
        <v>2</v>
      </c>
      <c r="F1010" s="232">
        <f>IF(A1010&gt;=0, DPS_Base_Recoil/(1+A1010),DPS_Base_Recoil)</f>
        <v>0.005767012687</v>
      </c>
      <c r="G1010" s="377">
        <f t="shared" si="7"/>
        <v>0.51</v>
      </c>
      <c r="H1010" s="377">
        <f t="shared" si="8"/>
        <v>0.008329862557</v>
      </c>
      <c r="I1010" s="104"/>
      <c r="J1010" s="377">
        <f>MAX(0, Max(25,(DPS_Base_Range + ((DPS_Range_Stat) / 2))) / MIN(MAX(70, (70 * (1 + ($A1010 / 3)))), 120))</f>
        <v>3.333333333</v>
      </c>
      <c r="K1010" s="115" t="str">
        <f>IF(A1010&lt;=DPS_Graph_Max,IF(A1010&gt;=DPS_Graph_Speed_Min,A1010,),)</f>
        <v/>
      </c>
      <c r="M1010" s="213">
        <f>If(DPS_Weapon_Type="远程",$E1010/60+$F1010*2,$E1010/60+$F1010+$G1010/2+$H1010)</f>
        <v>0.04486735871</v>
      </c>
      <c r="N1010" s="104" t="str">
        <f>IF(DPS_Graph_Tooltip_Speed=TRUE,IF($A1010&lt;=DPS_Graph_Max,IF($A1010&gt;=DPS_Graph_Speed_Min,1/M1010,),),)</f>
        <v/>
      </c>
      <c r="R1010" s="104" t="str">
        <f>IF(DPS_Graph_Tooltip_Speed=TRUE,IF($E$8=$A1010,1/$N$6,),)</f>
        <v/>
      </c>
    </row>
    <row r="1011">
      <c r="A1011" s="370">
        <v>7.68</v>
      </c>
      <c r="B1011" s="213">
        <f>If(DPS_Weapon_Type="远程",($E1011+1)/60+(ROUNDDOWN($F1011*60+1,0)/60)*2,(ROUNDDOWN(($E1011+1)+ROUNDDOWN($F1011*60+1,0)+ROUNDDOWN($G1011/2*60+1,0)+ROUNDDOWN($H1011*60+1,0)+1,0))/60+If(DPS_ATK_TYPE="挥砍",1/60)+If(DPS_ATK_TYPE="挥砍/刺击",1/120))+DPS_Weapon_Randomization/60</f>
        <v>0.105</v>
      </c>
      <c r="C1011" s="104" t="str">
        <f>IF(DPS_Graph_True_Speed=TRUE,IF($A1011&lt;=DPS_Graph_Max,IF($A1011&gt;=DPS_Graph_Speed_Min,1/B1011,),),)</f>
        <v/>
      </c>
      <c r="D1011" s="115" t="str">
        <f>IF(DPS_Graph_True_Speed=TRUE,IF($E$8=$A1011,DPS_Attacks_P_Sec,),)</f>
        <v/>
      </c>
      <c r="E1011" s="222">
        <f>ROUNDDOWN(MAX(2,IF(A1011&gt;=0, DPS_Base_Wpn_Spd/(1+A1011),DPS_Base_Wpn_Spd*(1+ABS(A1011)))),0)</f>
        <v>2</v>
      </c>
      <c r="F1011" s="232">
        <f>IF(A1011&gt;=0, DPS_Base_Recoil/(1+A1011),DPS_Base_Recoil)</f>
        <v>0.005760368664</v>
      </c>
      <c r="G1011" s="377">
        <f t="shared" si="7"/>
        <v>0.51</v>
      </c>
      <c r="H1011" s="377">
        <f t="shared" si="8"/>
        <v>0.008319467554</v>
      </c>
      <c r="I1011" s="104"/>
      <c r="J1011" s="377">
        <f>MAX(0, Max(25,(DPS_Base_Range + ((DPS_Range_Stat) / 2))) / MIN(MAX(70, (70 * (1 + ($A1011 / 3)))), 120))</f>
        <v>3.333333333</v>
      </c>
      <c r="K1011" s="115" t="str">
        <f>IF(A1011&lt;=DPS_Graph_Max,IF(A1011&gt;=DPS_Graph_Speed_Min,A1011,),)</f>
        <v/>
      </c>
      <c r="M1011" s="213">
        <f>If(DPS_Weapon_Type="远程",$E1011/60+$F1011*2,$E1011/60+$F1011+$G1011/2+$H1011)</f>
        <v>0.04485407066</v>
      </c>
      <c r="N1011" s="104" t="str">
        <f>IF(DPS_Graph_Tooltip_Speed=TRUE,IF($A1011&lt;=DPS_Graph_Max,IF($A1011&gt;=DPS_Graph_Speed_Min,1/M1011,),),)</f>
        <v/>
      </c>
      <c r="R1011" s="104" t="str">
        <f>IF(DPS_Graph_Tooltip_Speed=TRUE,IF($E$8=$A1011,1/$N$6,),)</f>
        <v/>
      </c>
    </row>
    <row r="1012">
      <c r="A1012" s="370">
        <v>7.69</v>
      </c>
      <c r="B1012" s="213">
        <f>If(DPS_Weapon_Type="远程",($E1012+1)/60+(ROUNDDOWN($F1012*60+1,0)/60)*2,(ROUNDDOWN(($E1012+1)+ROUNDDOWN($F1012*60+1,0)+ROUNDDOWN($G1012/2*60+1,0)+ROUNDDOWN($H1012*60+1,0)+1,0))/60+If(DPS_ATK_TYPE="挥砍",1/60)+If(DPS_ATK_TYPE="挥砍/刺击",1/120))+DPS_Weapon_Randomization/60</f>
        <v>0.105</v>
      </c>
      <c r="C1012" s="104" t="str">
        <f>IF(DPS_Graph_True_Speed=TRUE,IF($A1012&lt;=DPS_Graph_Max,IF($A1012&gt;=DPS_Graph_Speed_Min,1/B1012,),),)</f>
        <v/>
      </c>
      <c r="D1012" s="115" t="str">
        <f>IF(DPS_Graph_True_Speed=TRUE,IF($E$8=$A1012,DPS_Attacks_P_Sec,),)</f>
        <v/>
      </c>
      <c r="E1012" s="222">
        <f>ROUNDDOWN(MAX(2,IF(A1012&gt;=0, DPS_Base_Wpn_Spd/(1+A1012),DPS_Base_Wpn_Spd*(1+ABS(A1012)))),0)</f>
        <v>2</v>
      </c>
      <c r="F1012" s="232">
        <f>IF(A1012&gt;=0, DPS_Base_Recoil/(1+A1012),DPS_Base_Recoil)</f>
        <v>0.005753739931</v>
      </c>
      <c r="G1012" s="377">
        <f t="shared" si="7"/>
        <v>0.51</v>
      </c>
      <c r="H1012" s="377">
        <f t="shared" si="8"/>
        <v>0.008309098463</v>
      </c>
      <c r="I1012" s="104"/>
      <c r="J1012" s="377">
        <f>MAX(0, Max(25,(DPS_Base_Range + ((DPS_Range_Stat) / 2))) / MIN(MAX(70, (70 * (1 + ($A1012 / 3)))), 120))</f>
        <v>3.333333333</v>
      </c>
      <c r="K1012" s="115" t="str">
        <f>IF(A1012&lt;=DPS_Graph_Max,IF(A1012&gt;=DPS_Graph_Speed_Min,A1012,),)</f>
        <v/>
      </c>
      <c r="M1012" s="213">
        <f>If(DPS_Weapon_Type="远程",$E1012/60+$F1012*2,$E1012/60+$F1012+$G1012/2+$H1012)</f>
        <v>0.0448408132</v>
      </c>
      <c r="N1012" s="104" t="str">
        <f>IF(DPS_Graph_Tooltip_Speed=TRUE,IF($A1012&lt;=DPS_Graph_Max,IF($A1012&gt;=DPS_Graph_Speed_Min,1/M1012,),),)</f>
        <v/>
      </c>
      <c r="R1012" s="104" t="str">
        <f>IF(DPS_Graph_Tooltip_Speed=TRUE,IF($E$8=$A1012,1/$N$6,),)</f>
        <v/>
      </c>
    </row>
    <row r="1013">
      <c r="A1013" s="370">
        <v>7.7</v>
      </c>
      <c r="B1013" s="213">
        <f>If(DPS_Weapon_Type="远程",($E1013+1)/60+(ROUNDDOWN($F1013*60+1,0)/60)*2,(ROUNDDOWN(($E1013+1)+ROUNDDOWN($F1013*60+1,0)+ROUNDDOWN($G1013/2*60+1,0)+ROUNDDOWN($H1013*60+1,0)+1,0))/60+If(DPS_ATK_TYPE="挥砍",1/60)+If(DPS_ATK_TYPE="挥砍/刺击",1/120))+DPS_Weapon_Randomization/60</f>
        <v>0.105</v>
      </c>
      <c r="C1013" s="104" t="str">
        <f>IF(DPS_Graph_True_Speed=TRUE,IF($A1013&lt;=DPS_Graph_Max,IF($A1013&gt;=DPS_Graph_Speed_Min,1/B1013,),),)</f>
        <v/>
      </c>
      <c r="D1013" s="115" t="str">
        <f>IF(DPS_Graph_True_Speed=TRUE,IF($E$8=$A1013,DPS_Attacks_P_Sec,),)</f>
        <v/>
      </c>
      <c r="E1013" s="222">
        <f>ROUNDDOWN(MAX(2,IF(A1013&gt;=0, DPS_Base_Wpn_Spd/(1+A1013),DPS_Base_Wpn_Spd*(1+ABS(A1013)))),0)</f>
        <v>2</v>
      </c>
      <c r="F1013" s="232">
        <f>IF(A1013&gt;=0, DPS_Base_Recoil/(1+A1013),DPS_Base_Recoil)</f>
        <v>0.005747126437</v>
      </c>
      <c r="G1013" s="377">
        <f t="shared" si="7"/>
        <v>0.51</v>
      </c>
      <c r="H1013" s="377">
        <f t="shared" si="8"/>
        <v>0.008298755187</v>
      </c>
      <c r="I1013" s="104"/>
      <c r="J1013" s="377">
        <f>MAX(0, Max(25,(DPS_Base_Range + ((DPS_Range_Stat) / 2))) / MIN(MAX(70, (70 * (1 + ($A1013 / 3)))), 120))</f>
        <v>3.333333333</v>
      </c>
      <c r="K1013" s="115" t="str">
        <f>IF(A1013&lt;=DPS_Graph_Max,IF(A1013&gt;=DPS_Graph_Speed_Min,A1013,),)</f>
        <v/>
      </c>
      <c r="M1013" s="213">
        <f>If(DPS_Weapon_Type="远程",$E1013/60+$F1013*2,$E1013/60+$F1013+$G1013/2+$H1013)</f>
        <v>0.04482758621</v>
      </c>
      <c r="N1013" s="104" t="str">
        <f>IF(DPS_Graph_Tooltip_Speed=TRUE,IF($A1013&lt;=DPS_Graph_Max,IF($A1013&gt;=DPS_Graph_Speed_Min,1/M1013,),),)</f>
        <v/>
      </c>
      <c r="R1013" s="104" t="str">
        <f>IF(DPS_Graph_Tooltip_Speed=TRUE,IF($E$8=$A1013,1/$N$6,),)</f>
        <v/>
      </c>
    </row>
    <row r="1014">
      <c r="A1014" s="370">
        <v>7.71</v>
      </c>
      <c r="B1014" s="213">
        <f>If(DPS_Weapon_Type="远程",($E1014+1)/60+(ROUNDDOWN($F1014*60+1,0)/60)*2,(ROUNDDOWN(($E1014+1)+ROUNDDOWN($F1014*60+1,0)+ROUNDDOWN($G1014/2*60+1,0)+ROUNDDOWN($H1014*60+1,0)+1,0))/60+If(DPS_ATK_TYPE="挥砍",1/60)+If(DPS_ATK_TYPE="挥砍/刺击",1/120))+DPS_Weapon_Randomization/60</f>
        <v>0.105</v>
      </c>
      <c r="C1014" s="104" t="str">
        <f>IF(DPS_Graph_True_Speed=TRUE,IF($A1014&lt;=DPS_Graph_Max,IF($A1014&gt;=DPS_Graph_Speed_Min,1/B1014,),),)</f>
        <v/>
      </c>
      <c r="D1014" s="115" t="str">
        <f>IF(DPS_Graph_True_Speed=TRUE,IF($E$8=$A1014,DPS_Attacks_P_Sec,),)</f>
        <v/>
      </c>
      <c r="E1014" s="222">
        <f>ROUNDDOWN(MAX(2,IF(A1014&gt;=0, DPS_Base_Wpn_Spd/(1+A1014),DPS_Base_Wpn_Spd*(1+ABS(A1014)))),0)</f>
        <v>2</v>
      </c>
      <c r="F1014" s="232">
        <f>IF(A1014&gt;=0, DPS_Base_Recoil/(1+A1014),DPS_Base_Recoil)</f>
        <v>0.005740528129</v>
      </c>
      <c r="G1014" s="377">
        <f t="shared" si="7"/>
        <v>0.51</v>
      </c>
      <c r="H1014" s="377">
        <f t="shared" si="8"/>
        <v>0.00828843763</v>
      </c>
      <c r="I1014" s="104"/>
      <c r="J1014" s="377">
        <f>MAX(0, Max(25,(DPS_Base_Range + ((DPS_Range_Stat) / 2))) / MIN(MAX(70, (70 * (1 + ($A1014 / 3)))), 120))</f>
        <v>3.333333333</v>
      </c>
      <c r="K1014" s="115" t="str">
        <f>IF(A1014&lt;=DPS_Graph_Max,IF(A1014&gt;=DPS_Graph_Speed_Min,A1014,),)</f>
        <v/>
      </c>
      <c r="M1014" s="213">
        <f>If(DPS_Weapon_Type="远程",$E1014/60+$F1014*2,$E1014/60+$F1014+$G1014/2+$H1014)</f>
        <v>0.04481438959</v>
      </c>
      <c r="N1014" s="104" t="str">
        <f>IF(DPS_Graph_Tooltip_Speed=TRUE,IF($A1014&lt;=DPS_Graph_Max,IF($A1014&gt;=DPS_Graph_Speed_Min,1/M1014,),),)</f>
        <v/>
      </c>
      <c r="R1014" s="104" t="str">
        <f>IF(DPS_Graph_Tooltip_Speed=TRUE,IF($E$8=$A1014,1/$N$6,),)</f>
        <v/>
      </c>
    </row>
    <row r="1015">
      <c r="A1015" s="370">
        <v>7.72</v>
      </c>
      <c r="B1015" s="213">
        <f>If(DPS_Weapon_Type="远程",($E1015+1)/60+(ROUNDDOWN($F1015*60+1,0)/60)*2,(ROUNDDOWN(($E1015+1)+ROUNDDOWN($F1015*60+1,0)+ROUNDDOWN($G1015/2*60+1,0)+ROUNDDOWN($H1015*60+1,0)+1,0))/60+If(DPS_ATK_TYPE="挥砍",1/60)+If(DPS_ATK_TYPE="挥砍/刺击",1/120))+DPS_Weapon_Randomization/60</f>
        <v>0.105</v>
      </c>
      <c r="C1015" s="104" t="str">
        <f>IF(DPS_Graph_True_Speed=TRUE,IF($A1015&lt;=DPS_Graph_Max,IF($A1015&gt;=DPS_Graph_Speed_Min,1/B1015,),),)</f>
        <v/>
      </c>
      <c r="D1015" s="115" t="str">
        <f>IF(DPS_Graph_True_Speed=TRUE,IF($E$8=$A1015,DPS_Attacks_P_Sec,),)</f>
        <v/>
      </c>
      <c r="E1015" s="222">
        <f>ROUNDDOWN(MAX(2,IF(A1015&gt;=0, DPS_Base_Wpn_Spd/(1+A1015),DPS_Base_Wpn_Spd*(1+ABS(A1015)))),0)</f>
        <v>2</v>
      </c>
      <c r="F1015" s="232">
        <f>IF(A1015&gt;=0, DPS_Base_Recoil/(1+A1015),DPS_Base_Recoil)</f>
        <v>0.005733944954</v>
      </c>
      <c r="G1015" s="377">
        <f t="shared" si="7"/>
        <v>0.51</v>
      </c>
      <c r="H1015" s="377">
        <f t="shared" si="8"/>
        <v>0.008278145695</v>
      </c>
      <c r="I1015" s="104"/>
      <c r="J1015" s="377">
        <f>MAX(0, Max(25,(DPS_Base_Range + ((DPS_Range_Stat) / 2))) / MIN(MAX(70, (70 * (1 + ($A1015 / 3)))), 120))</f>
        <v>3.333333333</v>
      </c>
      <c r="K1015" s="115" t="str">
        <f>IF(A1015&lt;=DPS_Graph_Max,IF(A1015&gt;=DPS_Graph_Speed_Min,A1015,),)</f>
        <v/>
      </c>
      <c r="M1015" s="213">
        <f>If(DPS_Weapon_Type="远程",$E1015/60+$F1015*2,$E1015/60+$F1015+$G1015/2+$H1015)</f>
        <v>0.04480122324</v>
      </c>
      <c r="N1015" s="104" t="str">
        <f>IF(DPS_Graph_Tooltip_Speed=TRUE,IF($A1015&lt;=DPS_Graph_Max,IF($A1015&gt;=DPS_Graph_Speed_Min,1/M1015,),),)</f>
        <v/>
      </c>
      <c r="R1015" s="104" t="str">
        <f>IF(DPS_Graph_Tooltip_Speed=TRUE,IF($E$8=$A1015,1/$N$6,),)</f>
        <v/>
      </c>
    </row>
    <row r="1016">
      <c r="A1016" s="370">
        <v>7.73</v>
      </c>
      <c r="B1016" s="213">
        <f>If(DPS_Weapon_Type="远程",($E1016+1)/60+(ROUNDDOWN($F1016*60+1,0)/60)*2,(ROUNDDOWN(($E1016+1)+ROUNDDOWN($F1016*60+1,0)+ROUNDDOWN($G1016/2*60+1,0)+ROUNDDOWN($H1016*60+1,0)+1,0))/60+If(DPS_ATK_TYPE="挥砍",1/60)+If(DPS_ATK_TYPE="挥砍/刺击",1/120))+DPS_Weapon_Randomization/60</f>
        <v>0.105</v>
      </c>
      <c r="C1016" s="104" t="str">
        <f>IF(DPS_Graph_True_Speed=TRUE,IF($A1016&lt;=DPS_Graph_Max,IF($A1016&gt;=DPS_Graph_Speed_Min,1/B1016,),),)</f>
        <v/>
      </c>
      <c r="D1016" s="115" t="str">
        <f>IF(DPS_Graph_True_Speed=TRUE,IF($E$8=$A1016,DPS_Attacks_P_Sec,),)</f>
        <v/>
      </c>
      <c r="E1016" s="222">
        <f>ROUNDDOWN(MAX(2,IF(A1016&gt;=0, DPS_Base_Wpn_Spd/(1+A1016),DPS_Base_Wpn_Spd*(1+ABS(A1016)))),0)</f>
        <v>2</v>
      </c>
      <c r="F1016" s="232">
        <f>IF(A1016&gt;=0, DPS_Base_Recoil/(1+A1016),DPS_Base_Recoil)</f>
        <v>0.005727376861</v>
      </c>
      <c r="G1016" s="377">
        <f t="shared" si="7"/>
        <v>0.51</v>
      </c>
      <c r="H1016" s="377">
        <f t="shared" si="8"/>
        <v>0.008267879289</v>
      </c>
      <c r="I1016" s="104"/>
      <c r="J1016" s="377">
        <f>MAX(0, Max(25,(DPS_Base_Range + ((DPS_Range_Stat) / 2))) / MIN(MAX(70, (70 * (1 + ($A1016 / 3)))), 120))</f>
        <v>3.333333333</v>
      </c>
      <c r="K1016" s="115" t="str">
        <f>IF(A1016&lt;=DPS_Graph_Max,IF(A1016&gt;=DPS_Graph_Speed_Min,A1016,),)</f>
        <v/>
      </c>
      <c r="M1016" s="213">
        <f>If(DPS_Weapon_Type="远程",$E1016/60+$F1016*2,$E1016/60+$F1016+$G1016/2+$H1016)</f>
        <v>0.04478808706</v>
      </c>
      <c r="N1016" s="104" t="str">
        <f>IF(DPS_Graph_Tooltip_Speed=TRUE,IF($A1016&lt;=DPS_Graph_Max,IF($A1016&gt;=DPS_Graph_Speed_Min,1/M1016,),),)</f>
        <v/>
      </c>
      <c r="R1016" s="104" t="str">
        <f>IF(DPS_Graph_Tooltip_Speed=TRUE,IF($E$8=$A1016,1/$N$6,),)</f>
        <v/>
      </c>
    </row>
    <row r="1017">
      <c r="A1017" s="370">
        <v>7.74</v>
      </c>
      <c r="B1017" s="213">
        <f>If(DPS_Weapon_Type="远程",($E1017+1)/60+(ROUNDDOWN($F1017*60+1,0)/60)*2,(ROUNDDOWN(($E1017+1)+ROUNDDOWN($F1017*60+1,0)+ROUNDDOWN($G1017/2*60+1,0)+ROUNDDOWN($H1017*60+1,0)+1,0))/60+If(DPS_ATK_TYPE="挥砍",1/60)+If(DPS_ATK_TYPE="挥砍/刺击",1/120))+DPS_Weapon_Randomization/60</f>
        <v>0.105</v>
      </c>
      <c r="C1017" s="104" t="str">
        <f>IF(DPS_Graph_True_Speed=TRUE,IF($A1017&lt;=DPS_Graph_Max,IF($A1017&gt;=DPS_Graph_Speed_Min,1/B1017,),),)</f>
        <v/>
      </c>
      <c r="D1017" s="115" t="str">
        <f>IF(DPS_Graph_True_Speed=TRUE,IF($E$8=$A1017,DPS_Attacks_P_Sec,),)</f>
        <v/>
      </c>
      <c r="E1017" s="222">
        <f>ROUNDDOWN(MAX(2,IF(A1017&gt;=0, DPS_Base_Wpn_Spd/(1+A1017),DPS_Base_Wpn_Spd*(1+ABS(A1017)))),0)</f>
        <v>2</v>
      </c>
      <c r="F1017" s="232">
        <f>IF(A1017&gt;=0, DPS_Base_Recoil/(1+A1017),DPS_Base_Recoil)</f>
        <v>0.005720823799</v>
      </c>
      <c r="G1017" s="377">
        <f t="shared" si="7"/>
        <v>0.51</v>
      </c>
      <c r="H1017" s="377">
        <f t="shared" si="8"/>
        <v>0.008257638315</v>
      </c>
      <c r="I1017" s="104"/>
      <c r="J1017" s="377">
        <f>MAX(0, Max(25,(DPS_Base_Range + ((DPS_Range_Stat) / 2))) / MIN(MAX(70, (70 * (1 + ($A1017 / 3)))), 120))</f>
        <v>3.333333333</v>
      </c>
      <c r="K1017" s="115" t="str">
        <f>IF(A1017&lt;=DPS_Graph_Max,IF(A1017&gt;=DPS_Graph_Speed_Min,A1017,),)</f>
        <v/>
      </c>
      <c r="M1017" s="213">
        <f>If(DPS_Weapon_Type="远程",$E1017/60+$F1017*2,$E1017/60+$F1017+$G1017/2+$H1017)</f>
        <v>0.04477498093</v>
      </c>
      <c r="N1017" s="104" t="str">
        <f>IF(DPS_Graph_Tooltip_Speed=TRUE,IF($A1017&lt;=DPS_Graph_Max,IF($A1017&gt;=DPS_Graph_Speed_Min,1/M1017,),),)</f>
        <v/>
      </c>
      <c r="R1017" s="104" t="str">
        <f>IF(DPS_Graph_Tooltip_Speed=TRUE,IF($E$8=$A1017,1/$N$6,),)</f>
        <v/>
      </c>
    </row>
    <row r="1018">
      <c r="A1018" s="370">
        <v>7.75</v>
      </c>
      <c r="B1018" s="213">
        <f>If(DPS_Weapon_Type="远程",($E1018+1)/60+(ROUNDDOWN($F1018*60+1,0)/60)*2,(ROUNDDOWN(($E1018+1)+ROUNDDOWN($F1018*60+1,0)+ROUNDDOWN($G1018/2*60+1,0)+ROUNDDOWN($H1018*60+1,0)+1,0))/60+If(DPS_ATK_TYPE="挥砍",1/60)+If(DPS_ATK_TYPE="挥砍/刺击",1/120))+DPS_Weapon_Randomization/60</f>
        <v>0.105</v>
      </c>
      <c r="C1018" s="104" t="str">
        <f>IF(DPS_Graph_True_Speed=TRUE,IF($A1018&lt;=DPS_Graph_Max,IF($A1018&gt;=DPS_Graph_Speed_Min,1/B1018,),),)</f>
        <v/>
      </c>
      <c r="D1018" s="115" t="str">
        <f>IF(DPS_Graph_True_Speed=TRUE,IF($E$8=$A1018,DPS_Attacks_P_Sec,),)</f>
        <v/>
      </c>
      <c r="E1018" s="222">
        <f>ROUNDDOWN(MAX(2,IF(A1018&gt;=0, DPS_Base_Wpn_Spd/(1+A1018),DPS_Base_Wpn_Spd*(1+ABS(A1018)))),0)</f>
        <v>2</v>
      </c>
      <c r="F1018" s="232">
        <f>IF(A1018&gt;=0, DPS_Base_Recoil/(1+A1018),DPS_Base_Recoil)</f>
        <v>0.005714285714</v>
      </c>
      <c r="G1018" s="377">
        <f t="shared" si="7"/>
        <v>0.51</v>
      </c>
      <c r="H1018" s="377">
        <f t="shared" si="8"/>
        <v>0.00824742268</v>
      </c>
      <c r="I1018" s="104"/>
      <c r="J1018" s="377">
        <f>MAX(0, Max(25,(DPS_Base_Range + ((DPS_Range_Stat) / 2))) / MIN(MAX(70, (70 * (1 + ($A1018 / 3)))), 120))</f>
        <v>3.333333333</v>
      </c>
      <c r="K1018" s="115" t="str">
        <f>IF(A1018&lt;=DPS_Graph_Max,IF(A1018&gt;=DPS_Graph_Speed_Min,A1018,),)</f>
        <v/>
      </c>
      <c r="M1018" s="213">
        <f>If(DPS_Weapon_Type="远程",$E1018/60+$F1018*2,$E1018/60+$F1018+$G1018/2+$H1018)</f>
        <v>0.04476190476</v>
      </c>
      <c r="N1018" s="104" t="str">
        <f>IF(DPS_Graph_Tooltip_Speed=TRUE,IF($A1018&lt;=DPS_Graph_Max,IF($A1018&gt;=DPS_Graph_Speed_Min,1/M1018,),),)</f>
        <v/>
      </c>
      <c r="R1018" s="104" t="str">
        <f>IF(DPS_Graph_Tooltip_Speed=TRUE,IF($E$8=$A1018,1/$N$6,),)</f>
        <v/>
      </c>
    </row>
    <row r="1019">
      <c r="A1019" s="370">
        <v>7.76</v>
      </c>
      <c r="B1019" s="213">
        <f>If(DPS_Weapon_Type="远程",($E1019+1)/60+(ROUNDDOWN($F1019*60+1,0)/60)*2,(ROUNDDOWN(($E1019+1)+ROUNDDOWN($F1019*60+1,0)+ROUNDDOWN($G1019/2*60+1,0)+ROUNDDOWN($H1019*60+1,0)+1,0))/60+If(DPS_ATK_TYPE="挥砍",1/60)+If(DPS_ATK_TYPE="挥砍/刺击",1/120))+DPS_Weapon_Randomization/60</f>
        <v>0.105</v>
      </c>
      <c r="C1019" s="104" t="str">
        <f>IF(DPS_Graph_True_Speed=TRUE,IF($A1019&lt;=DPS_Graph_Max,IF($A1019&gt;=DPS_Graph_Speed_Min,1/B1019,),),)</f>
        <v/>
      </c>
      <c r="D1019" s="115" t="str">
        <f>IF(DPS_Graph_True_Speed=TRUE,IF($E$8=$A1019,DPS_Attacks_P_Sec,),)</f>
        <v/>
      </c>
      <c r="E1019" s="222">
        <f>ROUNDDOWN(MAX(2,IF(A1019&gt;=0, DPS_Base_Wpn_Spd/(1+A1019),DPS_Base_Wpn_Spd*(1+ABS(A1019)))),0)</f>
        <v>2</v>
      </c>
      <c r="F1019" s="232">
        <f>IF(A1019&gt;=0, DPS_Base_Recoil/(1+A1019),DPS_Base_Recoil)</f>
        <v>0.005707762557</v>
      </c>
      <c r="G1019" s="377">
        <f t="shared" si="7"/>
        <v>0.51</v>
      </c>
      <c r="H1019" s="377">
        <f t="shared" si="8"/>
        <v>0.00823723229</v>
      </c>
      <c r="I1019" s="104"/>
      <c r="J1019" s="377">
        <f>MAX(0, Max(25,(DPS_Base_Range + ((DPS_Range_Stat) / 2))) / MIN(MAX(70, (70 * (1 + ($A1019 / 3)))), 120))</f>
        <v>3.333333333</v>
      </c>
      <c r="K1019" s="115" t="str">
        <f>IF(A1019&lt;=DPS_Graph_Max,IF(A1019&gt;=DPS_Graph_Speed_Min,A1019,),)</f>
        <v/>
      </c>
      <c r="M1019" s="213">
        <f>If(DPS_Weapon_Type="远程",$E1019/60+$F1019*2,$E1019/60+$F1019+$G1019/2+$H1019)</f>
        <v>0.04474885845</v>
      </c>
      <c r="N1019" s="104" t="str">
        <f>IF(DPS_Graph_Tooltip_Speed=TRUE,IF($A1019&lt;=DPS_Graph_Max,IF($A1019&gt;=DPS_Graph_Speed_Min,1/M1019,),),)</f>
        <v/>
      </c>
      <c r="R1019" s="104" t="str">
        <f>IF(DPS_Graph_Tooltip_Speed=TRUE,IF($E$8=$A1019,1/$N$6,),)</f>
        <v/>
      </c>
    </row>
    <row r="1020">
      <c r="A1020" s="370">
        <v>7.77</v>
      </c>
      <c r="B1020" s="213">
        <f>If(DPS_Weapon_Type="远程",($E1020+1)/60+(ROUNDDOWN($F1020*60+1,0)/60)*2,(ROUNDDOWN(($E1020+1)+ROUNDDOWN($F1020*60+1,0)+ROUNDDOWN($G1020/2*60+1,0)+ROUNDDOWN($H1020*60+1,0)+1,0))/60+If(DPS_ATK_TYPE="挥砍",1/60)+If(DPS_ATK_TYPE="挥砍/刺击",1/120))+DPS_Weapon_Randomization/60</f>
        <v>0.105</v>
      </c>
      <c r="C1020" s="104" t="str">
        <f>IF(DPS_Graph_True_Speed=TRUE,IF($A1020&lt;=DPS_Graph_Max,IF($A1020&gt;=DPS_Graph_Speed_Min,1/B1020,),),)</f>
        <v/>
      </c>
      <c r="D1020" s="115" t="str">
        <f>IF(DPS_Graph_True_Speed=TRUE,IF($E$8=$A1020,DPS_Attacks_P_Sec,),)</f>
        <v/>
      </c>
      <c r="E1020" s="222">
        <f>ROUNDDOWN(MAX(2,IF(A1020&gt;=0, DPS_Base_Wpn_Spd/(1+A1020),DPS_Base_Wpn_Spd*(1+ABS(A1020)))),0)</f>
        <v>2</v>
      </c>
      <c r="F1020" s="232">
        <f>IF(A1020&gt;=0, DPS_Base_Recoil/(1+A1020),DPS_Base_Recoil)</f>
        <v>0.005701254276</v>
      </c>
      <c r="G1020" s="377">
        <f t="shared" si="7"/>
        <v>0.51</v>
      </c>
      <c r="H1020" s="377">
        <f t="shared" si="8"/>
        <v>0.008227067051</v>
      </c>
      <c r="I1020" s="104"/>
      <c r="J1020" s="377">
        <f>MAX(0, Max(25,(DPS_Base_Range + ((DPS_Range_Stat) / 2))) / MIN(MAX(70, (70 * (1 + ($A1020 / 3)))), 120))</f>
        <v>3.333333333</v>
      </c>
      <c r="K1020" s="115" t="str">
        <f>IF(A1020&lt;=DPS_Graph_Max,IF(A1020&gt;=DPS_Graph_Speed_Min,A1020,),)</f>
        <v/>
      </c>
      <c r="M1020" s="213">
        <f>If(DPS_Weapon_Type="远程",$E1020/60+$F1020*2,$E1020/60+$F1020+$G1020/2+$H1020)</f>
        <v>0.04473584189</v>
      </c>
      <c r="N1020" s="104" t="str">
        <f>IF(DPS_Graph_Tooltip_Speed=TRUE,IF($A1020&lt;=DPS_Graph_Max,IF($A1020&gt;=DPS_Graph_Speed_Min,1/M1020,),),)</f>
        <v/>
      </c>
      <c r="R1020" s="104" t="str">
        <f>IF(DPS_Graph_Tooltip_Speed=TRUE,IF($E$8=$A1020,1/$N$6,),)</f>
        <v/>
      </c>
    </row>
    <row r="1021">
      <c r="A1021" s="370">
        <v>7.78</v>
      </c>
      <c r="B1021" s="213">
        <f>If(DPS_Weapon_Type="远程",($E1021+1)/60+(ROUNDDOWN($F1021*60+1,0)/60)*2,(ROUNDDOWN(($E1021+1)+ROUNDDOWN($F1021*60+1,0)+ROUNDDOWN($G1021/2*60+1,0)+ROUNDDOWN($H1021*60+1,0)+1,0))/60+If(DPS_ATK_TYPE="挥砍",1/60)+If(DPS_ATK_TYPE="挥砍/刺击",1/120))+DPS_Weapon_Randomization/60</f>
        <v>0.105</v>
      </c>
      <c r="C1021" s="104" t="str">
        <f>IF(DPS_Graph_True_Speed=TRUE,IF($A1021&lt;=DPS_Graph_Max,IF($A1021&gt;=DPS_Graph_Speed_Min,1/B1021,),),)</f>
        <v/>
      </c>
      <c r="D1021" s="115" t="str">
        <f>IF(DPS_Graph_True_Speed=TRUE,IF($E$8=$A1021,DPS_Attacks_P_Sec,),)</f>
        <v/>
      </c>
      <c r="E1021" s="222">
        <f>ROUNDDOWN(MAX(2,IF(A1021&gt;=0, DPS_Base_Wpn_Spd/(1+A1021),DPS_Base_Wpn_Spd*(1+ABS(A1021)))),0)</f>
        <v>2</v>
      </c>
      <c r="F1021" s="232">
        <f>IF(A1021&gt;=0, DPS_Base_Recoil/(1+A1021),DPS_Base_Recoil)</f>
        <v>0.00569476082</v>
      </c>
      <c r="G1021" s="377">
        <f t="shared" si="7"/>
        <v>0.51</v>
      </c>
      <c r="H1021" s="377">
        <f t="shared" si="8"/>
        <v>0.008216926869</v>
      </c>
      <c r="I1021" s="104"/>
      <c r="J1021" s="377">
        <f>MAX(0, Max(25,(DPS_Base_Range + ((DPS_Range_Stat) / 2))) / MIN(MAX(70, (70 * (1 + ($A1021 / 3)))), 120))</f>
        <v>3.333333333</v>
      </c>
      <c r="K1021" s="115" t="str">
        <f>IF(A1021&lt;=DPS_Graph_Max,IF(A1021&gt;=DPS_Graph_Speed_Min,A1021,),)</f>
        <v/>
      </c>
      <c r="M1021" s="213">
        <f>If(DPS_Weapon_Type="远程",$E1021/60+$F1021*2,$E1021/60+$F1021+$G1021/2+$H1021)</f>
        <v>0.04472285497</v>
      </c>
      <c r="N1021" s="104" t="str">
        <f>IF(DPS_Graph_Tooltip_Speed=TRUE,IF($A1021&lt;=DPS_Graph_Max,IF($A1021&gt;=DPS_Graph_Speed_Min,1/M1021,),),)</f>
        <v/>
      </c>
      <c r="R1021" s="104" t="str">
        <f>IF(DPS_Graph_Tooltip_Speed=TRUE,IF($E$8=$A1021,1/$N$6,),)</f>
        <v/>
      </c>
    </row>
    <row r="1022">
      <c r="A1022" s="370">
        <v>7.79</v>
      </c>
      <c r="B1022" s="213">
        <f>If(DPS_Weapon_Type="远程",($E1022+1)/60+(ROUNDDOWN($F1022*60+1,0)/60)*2,(ROUNDDOWN(($E1022+1)+ROUNDDOWN($F1022*60+1,0)+ROUNDDOWN($G1022/2*60+1,0)+ROUNDDOWN($H1022*60+1,0)+1,0))/60+If(DPS_ATK_TYPE="挥砍",1/60)+If(DPS_ATK_TYPE="挥砍/刺击",1/120))+DPS_Weapon_Randomization/60</f>
        <v>0.105</v>
      </c>
      <c r="C1022" s="104" t="str">
        <f>IF(DPS_Graph_True_Speed=TRUE,IF($A1022&lt;=DPS_Graph_Max,IF($A1022&gt;=DPS_Graph_Speed_Min,1/B1022,),),)</f>
        <v/>
      </c>
      <c r="D1022" s="115" t="str">
        <f>IF(DPS_Graph_True_Speed=TRUE,IF($E$8=$A1022,DPS_Attacks_P_Sec,),)</f>
        <v/>
      </c>
      <c r="E1022" s="222">
        <f>ROUNDDOWN(MAX(2,IF(A1022&gt;=0, DPS_Base_Wpn_Spd/(1+A1022),DPS_Base_Wpn_Spd*(1+ABS(A1022)))),0)</f>
        <v>2</v>
      </c>
      <c r="F1022" s="232">
        <f>IF(A1022&gt;=0, DPS_Base_Recoil/(1+A1022),DPS_Base_Recoil)</f>
        <v>0.005688282139</v>
      </c>
      <c r="G1022" s="377">
        <f t="shared" si="7"/>
        <v>0.51</v>
      </c>
      <c r="H1022" s="377">
        <f t="shared" si="8"/>
        <v>0.008206811654</v>
      </c>
      <c r="I1022" s="104"/>
      <c r="J1022" s="377">
        <f>MAX(0, Max(25,(DPS_Base_Range + ((DPS_Range_Stat) / 2))) / MIN(MAX(70, (70 * (1 + ($A1022 / 3)))), 120))</f>
        <v>3.333333333</v>
      </c>
      <c r="K1022" s="115" t="str">
        <f>IF(A1022&lt;=DPS_Graph_Max,IF(A1022&gt;=DPS_Graph_Speed_Min,A1022,),)</f>
        <v/>
      </c>
      <c r="M1022" s="213">
        <f>If(DPS_Weapon_Type="远程",$E1022/60+$F1022*2,$E1022/60+$F1022+$G1022/2+$H1022)</f>
        <v>0.04470989761</v>
      </c>
      <c r="N1022" s="104" t="str">
        <f>IF(DPS_Graph_Tooltip_Speed=TRUE,IF($A1022&lt;=DPS_Graph_Max,IF($A1022&gt;=DPS_Graph_Speed_Min,1/M1022,),),)</f>
        <v/>
      </c>
      <c r="R1022" s="104" t="str">
        <f>IF(DPS_Graph_Tooltip_Speed=TRUE,IF($E$8=$A1022,1/$N$6,),)</f>
        <v/>
      </c>
    </row>
    <row r="1023">
      <c r="A1023" s="370">
        <v>7.8</v>
      </c>
      <c r="B1023" s="213">
        <f>If(DPS_Weapon_Type="远程",($E1023+1)/60+(ROUNDDOWN($F1023*60+1,0)/60)*2,(ROUNDDOWN(($E1023+1)+ROUNDDOWN($F1023*60+1,0)+ROUNDDOWN($G1023/2*60+1,0)+ROUNDDOWN($H1023*60+1,0)+1,0))/60+If(DPS_ATK_TYPE="挥砍",1/60)+If(DPS_ATK_TYPE="挥砍/刺击",1/120))+DPS_Weapon_Randomization/60</f>
        <v>0.105</v>
      </c>
      <c r="C1023" s="104" t="str">
        <f>IF(DPS_Graph_True_Speed=TRUE,IF($A1023&lt;=DPS_Graph_Max,IF($A1023&gt;=DPS_Graph_Speed_Min,1/B1023,),),)</f>
        <v/>
      </c>
      <c r="D1023" s="115" t="str">
        <f>IF(DPS_Graph_True_Speed=TRUE,IF($E$8=$A1023,DPS_Attacks_P_Sec,),)</f>
        <v/>
      </c>
      <c r="E1023" s="222">
        <f>ROUNDDOWN(MAX(2,IF(A1023&gt;=0, DPS_Base_Wpn_Spd/(1+A1023),DPS_Base_Wpn_Spd*(1+ABS(A1023)))),0)</f>
        <v>2</v>
      </c>
      <c r="F1023" s="232">
        <f>IF(A1023&gt;=0, DPS_Base_Recoil/(1+A1023),DPS_Base_Recoil)</f>
        <v>0.005681818182</v>
      </c>
      <c r="G1023" s="377">
        <f t="shared" si="7"/>
        <v>0.51</v>
      </c>
      <c r="H1023" s="377">
        <f t="shared" si="8"/>
        <v>0.008196721311</v>
      </c>
      <c r="I1023" s="104"/>
      <c r="J1023" s="377">
        <f>MAX(0, Max(25,(DPS_Base_Range + ((DPS_Range_Stat) / 2))) / MIN(MAX(70, (70 * (1 + ($A1023 / 3)))), 120))</f>
        <v>3.333333333</v>
      </c>
      <c r="K1023" s="115" t="str">
        <f>IF(A1023&lt;=DPS_Graph_Max,IF(A1023&gt;=DPS_Graph_Speed_Min,A1023,),)</f>
        <v/>
      </c>
      <c r="M1023" s="213">
        <f>If(DPS_Weapon_Type="远程",$E1023/60+$F1023*2,$E1023/60+$F1023+$G1023/2+$H1023)</f>
        <v>0.0446969697</v>
      </c>
      <c r="N1023" s="104" t="str">
        <f>IF(DPS_Graph_Tooltip_Speed=TRUE,IF($A1023&lt;=DPS_Graph_Max,IF($A1023&gt;=DPS_Graph_Speed_Min,1/M1023,),),)</f>
        <v/>
      </c>
      <c r="R1023" s="104" t="str">
        <f>IF(DPS_Graph_Tooltip_Speed=TRUE,IF($E$8=$A1023,1/$N$6,),)</f>
        <v/>
      </c>
    </row>
    <row r="1024">
      <c r="A1024" s="370">
        <v>7.81</v>
      </c>
      <c r="B1024" s="213">
        <f>If(DPS_Weapon_Type="远程",($E1024+1)/60+(ROUNDDOWN($F1024*60+1,0)/60)*2,(ROUNDDOWN(($E1024+1)+ROUNDDOWN($F1024*60+1,0)+ROUNDDOWN($G1024/2*60+1,0)+ROUNDDOWN($H1024*60+1,0)+1,0))/60+If(DPS_ATK_TYPE="挥砍",1/60)+If(DPS_ATK_TYPE="挥砍/刺击",1/120))+DPS_Weapon_Randomization/60</f>
        <v>0.105</v>
      </c>
      <c r="C1024" s="104" t="str">
        <f>IF(DPS_Graph_True_Speed=TRUE,IF($A1024&lt;=DPS_Graph_Max,IF($A1024&gt;=DPS_Graph_Speed_Min,1/B1024,),),)</f>
        <v/>
      </c>
      <c r="D1024" s="115" t="str">
        <f>IF(DPS_Graph_True_Speed=TRUE,IF($E$8=$A1024,DPS_Attacks_P_Sec,),)</f>
        <v/>
      </c>
      <c r="E1024" s="222">
        <f>ROUNDDOWN(MAX(2,IF(A1024&gt;=0, DPS_Base_Wpn_Spd/(1+A1024),DPS_Base_Wpn_Spd*(1+ABS(A1024)))),0)</f>
        <v>2</v>
      </c>
      <c r="F1024" s="232">
        <f>IF(A1024&gt;=0, DPS_Base_Recoil/(1+A1024),DPS_Base_Recoil)</f>
        <v>0.005675368899</v>
      </c>
      <c r="G1024" s="377">
        <f t="shared" si="7"/>
        <v>0.51</v>
      </c>
      <c r="H1024" s="377">
        <f t="shared" si="8"/>
        <v>0.008186655751</v>
      </c>
      <c r="I1024" s="104"/>
      <c r="J1024" s="377">
        <f>MAX(0, Max(25,(DPS_Base_Range + ((DPS_Range_Stat) / 2))) / MIN(MAX(70, (70 * (1 + ($A1024 / 3)))), 120))</f>
        <v>3.333333333</v>
      </c>
      <c r="K1024" s="115" t="str">
        <f>IF(A1024&lt;=DPS_Graph_Max,IF(A1024&gt;=DPS_Graph_Speed_Min,A1024,),)</f>
        <v/>
      </c>
      <c r="M1024" s="213">
        <f>If(DPS_Weapon_Type="远程",$E1024/60+$F1024*2,$E1024/60+$F1024+$G1024/2+$H1024)</f>
        <v>0.04468407113</v>
      </c>
      <c r="N1024" s="104" t="str">
        <f>IF(DPS_Graph_Tooltip_Speed=TRUE,IF($A1024&lt;=DPS_Graph_Max,IF($A1024&gt;=DPS_Graph_Speed_Min,1/M1024,),),)</f>
        <v/>
      </c>
      <c r="R1024" s="104" t="str">
        <f>IF(DPS_Graph_Tooltip_Speed=TRUE,IF($E$8=$A1024,1/$N$6,),)</f>
        <v/>
      </c>
    </row>
    <row r="1025">
      <c r="A1025" s="370">
        <v>7.82</v>
      </c>
      <c r="B1025" s="213">
        <f>If(DPS_Weapon_Type="远程",($E1025+1)/60+(ROUNDDOWN($F1025*60+1,0)/60)*2,(ROUNDDOWN(($E1025+1)+ROUNDDOWN($F1025*60+1,0)+ROUNDDOWN($G1025/2*60+1,0)+ROUNDDOWN($H1025*60+1,0)+1,0))/60+If(DPS_ATK_TYPE="挥砍",1/60)+If(DPS_ATK_TYPE="挥砍/刺击",1/120))+DPS_Weapon_Randomization/60</f>
        <v>0.105</v>
      </c>
      <c r="C1025" s="104" t="str">
        <f>IF(DPS_Graph_True_Speed=TRUE,IF($A1025&lt;=DPS_Graph_Max,IF($A1025&gt;=DPS_Graph_Speed_Min,1/B1025,),),)</f>
        <v/>
      </c>
      <c r="D1025" s="115" t="str">
        <f>IF(DPS_Graph_True_Speed=TRUE,IF($E$8=$A1025,DPS_Attacks_P_Sec,),)</f>
        <v/>
      </c>
      <c r="E1025" s="222">
        <f>ROUNDDOWN(MAX(2,IF(A1025&gt;=0, DPS_Base_Wpn_Spd/(1+A1025),DPS_Base_Wpn_Spd*(1+ABS(A1025)))),0)</f>
        <v>2</v>
      </c>
      <c r="F1025" s="232">
        <f>IF(A1025&gt;=0, DPS_Base_Recoil/(1+A1025),DPS_Base_Recoil)</f>
        <v>0.00566893424</v>
      </c>
      <c r="G1025" s="377">
        <f t="shared" si="7"/>
        <v>0.51</v>
      </c>
      <c r="H1025" s="377">
        <f t="shared" si="8"/>
        <v>0.008176614881</v>
      </c>
      <c r="I1025" s="104"/>
      <c r="J1025" s="377">
        <f>MAX(0, Max(25,(DPS_Base_Range + ((DPS_Range_Stat) / 2))) / MIN(MAX(70, (70 * (1 + ($A1025 / 3)))), 120))</f>
        <v>3.333333333</v>
      </c>
      <c r="K1025" s="115" t="str">
        <f>IF(A1025&lt;=DPS_Graph_Max,IF(A1025&gt;=DPS_Graph_Speed_Min,A1025,),)</f>
        <v/>
      </c>
      <c r="M1025" s="213">
        <f>If(DPS_Weapon_Type="远程",$E1025/60+$F1025*2,$E1025/60+$F1025+$G1025/2+$H1025)</f>
        <v>0.04467120181</v>
      </c>
      <c r="N1025" s="104" t="str">
        <f>IF(DPS_Graph_Tooltip_Speed=TRUE,IF($A1025&lt;=DPS_Graph_Max,IF($A1025&gt;=DPS_Graph_Speed_Min,1/M1025,),),)</f>
        <v/>
      </c>
      <c r="R1025" s="104" t="str">
        <f>IF(DPS_Graph_Tooltip_Speed=TRUE,IF($E$8=$A1025,1/$N$6,),)</f>
        <v/>
      </c>
    </row>
    <row r="1026">
      <c r="A1026" s="370">
        <v>7.83</v>
      </c>
      <c r="B1026" s="213">
        <f>If(DPS_Weapon_Type="远程",($E1026+1)/60+(ROUNDDOWN($F1026*60+1,0)/60)*2,(ROUNDDOWN(($E1026+1)+ROUNDDOWN($F1026*60+1,0)+ROUNDDOWN($G1026/2*60+1,0)+ROUNDDOWN($H1026*60+1,0)+1,0))/60+If(DPS_ATK_TYPE="挥砍",1/60)+If(DPS_ATK_TYPE="挥砍/刺击",1/120))+DPS_Weapon_Randomization/60</f>
        <v>0.105</v>
      </c>
      <c r="C1026" s="104" t="str">
        <f>IF(DPS_Graph_True_Speed=TRUE,IF($A1026&lt;=DPS_Graph_Max,IF($A1026&gt;=DPS_Graph_Speed_Min,1/B1026,),),)</f>
        <v/>
      </c>
      <c r="D1026" s="115" t="str">
        <f>IF(DPS_Graph_True_Speed=TRUE,IF($E$8=$A1026,DPS_Attacks_P_Sec,),)</f>
        <v/>
      </c>
      <c r="E1026" s="222">
        <f>ROUNDDOWN(MAX(2,IF(A1026&gt;=0, DPS_Base_Wpn_Spd/(1+A1026),DPS_Base_Wpn_Spd*(1+ABS(A1026)))),0)</f>
        <v>2</v>
      </c>
      <c r="F1026" s="232">
        <f>IF(A1026&gt;=0, DPS_Base_Recoil/(1+A1026),DPS_Base_Recoil)</f>
        <v>0.005662514156</v>
      </c>
      <c r="G1026" s="377">
        <f t="shared" si="7"/>
        <v>0.51</v>
      </c>
      <c r="H1026" s="377">
        <f t="shared" si="8"/>
        <v>0.008166598612</v>
      </c>
      <c r="I1026" s="104"/>
      <c r="J1026" s="377">
        <f>MAX(0, Max(25,(DPS_Base_Range + ((DPS_Range_Stat) / 2))) / MIN(MAX(70, (70 * (1 + ($A1026 / 3)))), 120))</f>
        <v>3.333333333</v>
      </c>
      <c r="K1026" s="115" t="str">
        <f>IF(A1026&lt;=DPS_Graph_Max,IF(A1026&gt;=DPS_Graph_Speed_Min,A1026,),)</f>
        <v/>
      </c>
      <c r="M1026" s="213">
        <f>If(DPS_Weapon_Type="远程",$E1026/60+$F1026*2,$E1026/60+$F1026+$G1026/2+$H1026)</f>
        <v>0.04465836165</v>
      </c>
      <c r="N1026" s="104" t="str">
        <f>IF(DPS_Graph_Tooltip_Speed=TRUE,IF($A1026&lt;=DPS_Graph_Max,IF($A1026&gt;=DPS_Graph_Speed_Min,1/M1026,),),)</f>
        <v/>
      </c>
      <c r="R1026" s="104" t="str">
        <f>IF(DPS_Graph_Tooltip_Speed=TRUE,IF($E$8=$A1026,1/$N$6,),)</f>
        <v/>
      </c>
    </row>
    <row r="1027">
      <c r="A1027" s="370">
        <v>7.84</v>
      </c>
      <c r="B1027" s="213">
        <f>If(DPS_Weapon_Type="远程",($E1027+1)/60+(ROUNDDOWN($F1027*60+1,0)/60)*2,(ROUNDDOWN(($E1027+1)+ROUNDDOWN($F1027*60+1,0)+ROUNDDOWN($G1027/2*60+1,0)+ROUNDDOWN($H1027*60+1,0)+1,0))/60+If(DPS_ATK_TYPE="挥砍",1/60)+If(DPS_ATK_TYPE="挥砍/刺击",1/120))+DPS_Weapon_Randomization/60</f>
        <v>0.105</v>
      </c>
      <c r="C1027" s="104" t="str">
        <f>IF(DPS_Graph_True_Speed=TRUE,IF($A1027&lt;=DPS_Graph_Max,IF($A1027&gt;=DPS_Graph_Speed_Min,1/B1027,),),)</f>
        <v/>
      </c>
      <c r="D1027" s="115" t="str">
        <f>IF(DPS_Graph_True_Speed=TRUE,IF($E$8=$A1027,DPS_Attacks_P_Sec,),)</f>
        <v/>
      </c>
      <c r="E1027" s="222">
        <f>ROUNDDOWN(MAX(2,IF(A1027&gt;=0, DPS_Base_Wpn_Spd/(1+A1027),DPS_Base_Wpn_Spd*(1+ABS(A1027)))),0)</f>
        <v>2</v>
      </c>
      <c r="F1027" s="232">
        <f>IF(A1027&gt;=0, DPS_Base_Recoil/(1+A1027),DPS_Base_Recoil)</f>
        <v>0.005656108597</v>
      </c>
      <c r="G1027" s="377">
        <f t="shared" si="7"/>
        <v>0.51</v>
      </c>
      <c r="H1027" s="377">
        <f t="shared" si="8"/>
        <v>0.008156606852</v>
      </c>
      <c r="I1027" s="104"/>
      <c r="J1027" s="377">
        <f>MAX(0, Max(25,(DPS_Base_Range + ((DPS_Range_Stat) / 2))) / MIN(MAX(70, (70 * (1 + ($A1027 / 3)))), 120))</f>
        <v>3.333333333</v>
      </c>
      <c r="K1027" s="115" t="str">
        <f>IF(A1027&lt;=DPS_Graph_Max,IF(A1027&gt;=DPS_Graph_Speed_Min,A1027,),)</f>
        <v/>
      </c>
      <c r="M1027" s="213">
        <f>If(DPS_Weapon_Type="远程",$E1027/60+$F1027*2,$E1027/60+$F1027+$G1027/2+$H1027)</f>
        <v>0.04464555053</v>
      </c>
      <c r="N1027" s="104" t="str">
        <f>IF(DPS_Graph_Tooltip_Speed=TRUE,IF($A1027&lt;=DPS_Graph_Max,IF($A1027&gt;=DPS_Graph_Speed_Min,1/M1027,),),)</f>
        <v/>
      </c>
      <c r="R1027" s="104" t="str">
        <f>IF(DPS_Graph_Tooltip_Speed=TRUE,IF($E$8=$A1027,1/$N$6,),)</f>
        <v/>
      </c>
    </row>
    <row r="1028">
      <c r="A1028" s="370">
        <v>7.85</v>
      </c>
      <c r="B1028" s="213">
        <f>If(DPS_Weapon_Type="远程",($E1028+1)/60+(ROUNDDOWN($F1028*60+1,0)/60)*2,(ROUNDDOWN(($E1028+1)+ROUNDDOWN($F1028*60+1,0)+ROUNDDOWN($G1028/2*60+1,0)+ROUNDDOWN($H1028*60+1,0)+1,0))/60+If(DPS_ATK_TYPE="挥砍",1/60)+If(DPS_ATK_TYPE="挥砍/刺击",1/120))+DPS_Weapon_Randomization/60</f>
        <v>0.105</v>
      </c>
      <c r="C1028" s="104" t="str">
        <f>IF(DPS_Graph_True_Speed=TRUE,IF($A1028&lt;=DPS_Graph_Max,IF($A1028&gt;=DPS_Graph_Speed_Min,1/B1028,),),)</f>
        <v/>
      </c>
      <c r="D1028" s="115" t="str">
        <f>IF(DPS_Graph_True_Speed=TRUE,IF($E$8=$A1028,DPS_Attacks_P_Sec,),)</f>
        <v/>
      </c>
      <c r="E1028" s="222">
        <f>ROUNDDOWN(MAX(2,IF(A1028&gt;=0, DPS_Base_Wpn_Spd/(1+A1028),DPS_Base_Wpn_Spd*(1+ABS(A1028)))),0)</f>
        <v>2</v>
      </c>
      <c r="F1028" s="232">
        <f>IF(A1028&gt;=0, DPS_Base_Recoil/(1+A1028),DPS_Base_Recoil)</f>
        <v>0.005649717514</v>
      </c>
      <c r="G1028" s="377">
        <f t="shared" si="7"/>
        <v>0.51</v>
      </c>
      <c r="H1028" s="377">
        <f t="shared" si="8"/>
        <v>0.008146639511</v>
      </c>
      <c r="I1028" s="104"/>
      <c r="J1028" s="377">
        <f>MAX(0, Max(25,(DPS_Base_Range + ((DPS_Range_Stat) / 2))) / MIN(MAX(70, (70 * (1 + ($A1028 / 3)))), 120))</f>
        <v>3.333333333</v>
      </c>
      <c r="K1028" s="115" t="str">
        <f>IF(A1028&lt;=DPS_Graph_Max,IF(A1028&gt;=DPS_Graph_Speed_Min,A1028,),)</f>
        <v/>
      </c>
      <c r="M1028" s="213">
        <f>If(DPS_Weapon_Type="远程",$E1028/60+$F1028*2,$E1028/60+$F1028+$G1028/2+$H1028)</f>
        <v>0.04463276836</v>
      </c>
      <c r="N1028" s="104" t="str">
        <f>IF(DPS_Graph_Tooltip_Speed=TRUE,IF($A1028&lt;=DPS_Graph_Max,IF($A1028&gt;=DPS_Graph_Speed_Min,1/M1028,),),)</f>
        <v/>
      </c>
      <c r="R1028" s="104" t="str">
        <f>IF(DPS_Graph_Tooltip_Speed=TRUE,IF($E$8=$A1028,1/$N$6,),)</f>
        <v/>
      </c>
    </row>
    <row r="1029">
      <c r="A1029" s="370">
        <v>7.86</v>
      </c>
      <c r="B1029" s="213">
        <f>If(DPS_Weapon_Type="远程",($E1029+1)/60+(ROUNDDOWN($F1029*60+1,0)/60)*2,(ROUNDDOWN(($E1029+1)+ROUNDDOWN($F1029*60+1,0)+ROUNDDOWN($G1029/2*60+1,0)+ROUNDDOWN($H1029*60+1,0)+1,0))/60+If(DPS_ATK_TYPE="挥砍",1/60)+If(DPS_ATK_TYPE="挥砍/刺击",1/120))+DPS_Weapon_Randomization/60</f>
        <v>0.105</v>
      </c>
      <c r="C1029" s="104" t="str">
        <f>IF(DPS_Graph_True_Speed=TRUE,IF($A1029&lt;=DPS_Graph_Max,IF($A1029&gt;=DPS_Graph_Speed_Min,1/B1029,),),)</f>
        <v/>
      </c>
      <c r="D1029" s="115" t="str">
        <f>IF(DPS_Graph_True_Speed=TRUE,IF($E$8=$A1029,DPS_Attacks_P_Sec,),)</f>
        <v/>
      </c>
      <c r="E1029" s="222">
        <f>ROUNDDOWN(MAX(2,IF(A1029&gt;=0, DPS_Base_Wpn_Spd/(1+A1029),DPS_Base_Wpn_Spd*(1+ABS(A1029)))),0)</f>
        <v>2</v>
      </c>
      <c r="F1029" s="232">
        <f>IF(A1029&gt;=0, DPS_Base_Recoil/(1+A1029),DPS_Base_Recoil)</f>
        <v>0.005643340858</v>
      </c>
      <c r="G1029" s="377">
        <f t="shared" si="7"/>
        <v>0.51</v>
      </c>
      <c r="H1029" s="377">
        <f t="shared" si="8"/>
        <v>0.008136696501</v>
      </c>
      <c r="I1029" s="104"/>
      <c r="J1029" s="377">
        <f>MAX(0, Max(25,(DPS_Base_Range + ((DPS_Range_Stat) / 2))) / MIN(MAX(70, (70 * (1 + ($A1029 / 3)))), 120))</f>
        <v>3.333333333</v>
      </c>
      <c r="K1029" s="115" t="str">
        <f>IF(A1029&lt;=DPS_Graph_Max,IF(A1029&gt;=DPS_Graph_Speed_Min,A1029,),)</f>
        <v/>
      </c>
      <c r="M1029" s="213">
        <f>If(DPS_Weapon_Type="远程",$E1029/60+$F1029*2,$E1029/60+$F1029+$G1029/2+$H1029)</f>
        <v>0.04462001505</v>
      </c>
      <c r="N1029" s="104" t="str">
        <f>IF(DPS_Graph_Tooltip_Speed=TRUE,IF($A1029&lt;=DPS_Graph_Max,IF($A1029&gt;=DPS_Graph_Speed_Min,1/M1029,),),)</f>
        <v/>
      </c>
      <c r="R1029" s="104" t="str">
        <f>IF(DPS_Graph_Tooltip_Speed=TRUE,IF($E$8=$A1029,1/$N$6,),)</f>
        <v/>
      </c>
    </row>
    <row r="1030">
      <c r="A1030" s="370">
        <v>7.87</v>
      </c>
      <c r="B1030" s="213">
        <f>If(DPS_Weapon_Type="远程",($E1030+1)/60+(ROUNDDOWN($F1030*60+1,0)/60)*2,(ROUNDDOWN(($E1030+1)+ROUNDDOWN($F1030*60+1,0)+ROUNDDOWN($G1030/2*60+1,0)+ROUNDDOWN($H1030*60+1,0)+1,0))/60+If(DPS_ATK_TYPE="挥砍",1/60)+If(DPS_ATK_TYPE="挥砍/刺击",1/120))+DPS_Weapon_Randomization/60</f>
        <v>0.105</v>
      </c>
      <c r="C1030" s="104" t="str">
        <f>IF(DPS_Graph_True_Speed=TRUE,IF($A1030&lt;=DPS_Graph_Max,IF($A1030&gt;=DPS_Graph_Speed_Min,1/B1030,),),)</f>
        <v/>
      </c>
      <c r="D1030" s="115" t="str">
        <f>IF(DPS_Graph_True_Speed=TRUE,IF($E$8=$A1030,DPS_Attacks_P_Sec,),)</f>
        <v/>
      </c>
      <c r="E1030" s="222">
        <f>ROUNDDOWN(MAX(2,IF(A1030&gt;=0, DPS_Base_Wpn_Spd/(1+A1030),DPS_Base_Wpn_Spd*(1+ABS(A1030)))),0)</f>
        <v>2</v>
      </c>
      <c r="F1030" s="232">
        <f>IF(A1030&gt;=0, DPS_Base_Recoil/(1+A1030),DPS_Base_Recoil)</f>
        <v>0.005636978579</v>
      </c>
      <c r="G1030" s="377">
        <f t="shared" si="7"/>
        <v>0.51</v>
      </c>
      <c r="H1030" s="377">
        <f t="shared" si="8"/>
        <v>0.008126777733</v>
      </c>
      <c r="I1030" s="104"/>
      <c r="J1030" s="377">
        <f>MAX(0, Max(25,(DPS_Base_Range + ((DPS_Range_Stat) / 2))) / MIN(MAX(70, (70 * (1 + ($A1030 / 3)))), 120))</f>
        <v>3.333333333</v>
      </c>
      <c r="K1030" s="115" t="str">
        <f>IF(A1030&lt;=DPS_Graph_Max,IF(A1030&gt;=DPS_Graph_Speed_Min,A1030,),)</f>
        <v/>
      </c>
      <c r="M1030" s="213">
        <f>If(DPS_Weapon_Type="远程",$E1030/60+$F1030*2,$E1030/60+$F1030+$G1030/2+$H1030)</f>
        <v>0.04460729049</v>
      </c>
      <c r="N1030" s="104" t="str">
        <f>IF(DPS_Graph_Tooltip_Speed=TRUE,IF($A1030&lt;=DPS_Graph_Max,IF($A1030&gt;=DPS_Graph_Speed_Min,1/M1030,),),)</f>
        <v/>
      </c>
      <c r="R1030" s="104" t="str">
        <f>IF(DPS_Graph_Tooltip_Speed=TRUE,IF($E$8=$A1030,1/$N$6,),)</f>
        <v/>
      </c>
    </row>
    <row r="1031">
      <c r="A1031" s="370">
        <v>7.88</v>
      </c>
      <c r="B1031" s="213">
        <f>If(DPS_Weapon_Type="远程",($E1031+1)/60+(ROUNDDOWN($F1031*60+1,0)/60)*2,(ROUNDDOWN(($E1031+1)+ROUNDDOWN($F1031*60+1,0)+ROUNDDOWN($G1031/2*60+1,0)+ROUNDDOWN($H1031*60+1,0)+1,0))/60+If(DPS_ATK_TYPE="挥砍",1/60)+If(DPS_ATK_TYPE="挥砍/刺击",1/120))+DPS_Weapon_Randomization/60</f>
        <v>0.105</v>
      </c>
      <c r="C1031" s="104" t="str">
        <f>IF(DPS_Graph_True_Speed=TRUE,IF($A1031&lt;=DPS_Graph_Max,IF($A1031&gt;=DPS_Graph_Speed_Min,1/B1031,),),)</f>
        <v/>
      </c>
      <c r="D1031" s="115" t="str">
        <f>IF(DPS_Graph_True_Speed=TRUE,IF($E$8=$A1031,DPS_Attacks_P_Sec,),)</f>
        <v/>
      </c>
      <c r="E1031" s="222">
        <f>ROUNDDOWN(MAX(2,IF(A1031&gt;=0, DPS_Base_Wpn_Spd/(1+A1031),DPS_Base_Wpn_Spd*(1+ABS(A1031)))),0)</f>
        <v>2</v>
      </c>
      <c r="F1031" s="232">
        <f>IF(A1031&gt;=0, DPS_Base_Recoil/(1+A1031),DPS_Base_Recoil)</f>
        <v>0.005630630631</v>
      </c>
      <c r="G1031" s="377">
        <f t="shared" si="7"/>
        <v>0.51</v>
      </c>
      <c r="H1031" s="377">
        <f t="shared" si="8"/>
        <v>0.008116883117</v>
      </c>
      <c r="I1031" s="104"/>
      <c r="J1031" s="377">
        <f>MAX(0, Max(25,(DPS_Base_Range + ((DPS_Range_Stat) / 2))) / MIN(MAX(70, (70 * (1 + ($A1031 / 3)))), 120))</f>
        <v>3.333333333</v>
      </c>
      <c r="K1031" s="115" t="str">
        <f>IF(A1031&lt;=DPS_Graph_Max,IF(A1031&gt;=DPS_Graph_Speed_Min,A1031,),)</f>
        <v/>
      </c>
      <c r="M1031" s="213">
        <f>If(DPS_Weapon_Type="远程",$E1031/60+$F1031*2,$E1031/60+$F1031+$G1031/2+$H1031)</f>
        <v>0.04459459459</v>
      </c>
      <c r="N1031" s="104" t="str">
        <f>IF(DPS_Graph_Tooltip_Speed=TRUE,IF($A1031&lt;=DPS_Graph_Max,IF($A1031&gt;=DPS_Graph_Speed_Min,1/M1031,),),)</f>
        <v/>
      </c>
      <c r="R1031" s="104" t="str">
        <f>IF(DPS_Graph_Tooltip_Speed=TRUE,IF($E$8=$A1031,1/$N$6,),)</f>
        <v/>
      </c>
    </row>
    <row r="1032">
      <c r="A1032" s="370">
        <v>7.89</v>
      </c>
      <c r="B1032" s="213">
        <f>If(DPS_Weapon_Type="远程",($E1032+1)/60+(ROUNDDOWN($F1032*60+1,0)/60)*2,(ROUNDDOWN(($E1032+1)+ROUNDDOWN($F1032*60+1,0)+ROUNDDOWN($G1032/2*60+1,0)+ROUNDDOWN($H1032*60+1,0)+1,0))/60+If(DPS_ATK_TYPE="挥砍",1/60)+If(DPS_ATK_TYPE="挥砍/刺击",1/120))+DPS_Weapon_Randomization/60</f>
        <v>0.105</v>
      </c>
      <c r="C1032" s="104" t="str">
        <f>IF(DPS_Graph_True_Speed=TRUE,IF($A1032&lt;=DPS_Graph_Max,IF($A1032&gt;=DPS_Graph_Speed_Min,1/B1032,),),)</f>
        <v/>
      </c>
      <c r="D1032" s="115" t="str">
        <f>IF(DPS_Graph_True_Speed=TRUE,IF($E$8=$A1032,DPS_Attacks_P_Sec,),)</f>
        <v/>
      </c>
      <c r="E1032" s="222">
        <f>ROUNDDOWN(MAX(2,IF(A1032&gt;=0, DPS_Base_Wpn_Spd/(1+A1032),DPS_Base_Wpn_Spd*(1+ABS(A1032)))),0)</f>
        <v>2</v>
      </c>
      <c r="F1032" s="232">
        <f>IF(A1032&gt;=0, DPS_Base_Recoil/(1+A1032),DPS_Base_Recoil)</f>
        <v>0.005624296963</v>
      </c>
      <c r="G1032" s="377">
        <f t="shared" si="7"/>
        <v>0.51</v>
      </c>
      <c r="H1032" s="377">
        <f t="shared" si="8"/>
        <v>0.008107012566</v>
      </c>
      <c r="I1032" s="104"/>
      <c r="J1032" s="377">
        <f>MAX(0, Max(25,(DPS_Base_Range + ((DPS_Range_Stat) / 2))) / MIN(MAX(70, (70 * (1 + ($A1032 / 3)))), 120))</f>
        <v>3.333333333</v>
      </c>
      <c r="K1032" s="115" t="str">
        <f>IF(A1032&lt;=DPS_Graph_Max,IF(A1032&gt;=DPS_Graph_Speed_Min,A1032,),)</f>
        <v/>
      </c>
      <c r="M1032" s="213">
        <f>If(DPS_Weapon_Type="远程",$E1032/60+$F1032*2,$E1032/60+$F1032+$G1032/2+$H1032)</f>
        <v>0.04458192726</v>
      </c>
      <c r="N1032" s="104" t="str">
        <f>IF(DPS_Graph_Tooltip_Speed=TRUE,IF($A1032&lt;=DPS_Graph_Max,IF($A1032&gt;=DPS_Graph_Speed_Min,1/M1032,),),)</f>
        <v/>
      </c>
      <c r="R1032" s="104" t="str">
        <f>IF(DPS_Graph_Tooltip_Speed=TRUE,IF($E$8=$A1032,1/$N$6,),)</f>
        <v/>
      </c>
    </row>
    <row r="1033">
      <c r="A1033" s="370">
        <v>7.9</v>
      </c>
      <c r="B1033" s="213">
        <f>If(DPS_Weapon_Type="远程",($E1033+1)/60+(ROUNDDOWN($F1033*60+1,0)/60)*2,(ROUNDDOWN(($E1033+1)+ROUNDDOWN($F1033*60+1,0)+ROUNDDOWN($G1033/2*60+1,0)+ROUNDDOWN($H1033*60+1,0)+1,0))/60+If(DPS_ATK_TYPE="挥砍",1/60)+If(DPS_ATK_TYPE="挥砍/刺击",1/120))+DPS_Weapon_Randomization/60</f>
        <v>0.105</v>
      </c>
      <c r="C1033" s="104" t="str">
        <f>IF(DPS_Graph_True_Speed=TRUE,IF($A1033&lt;=DPS_Graph_Max,IF($A1033&gt;=DPS_Graph_Speed_Min,1/B1033,),),)</f>
        <v/>
      </c>
      <c r="D1033" s="115" t="str">
        <f>IF(DPS_Graph_True_Speed=TRUE,IF($E$8=$A1033,DPS_Attacks_P_Sec,),)</f>
        <v/>
      </c>
      <c r="E1033" s="222">
        <f>ROUNDDOWN(MAX(2,IF(A1033&gt;=0, DPS_Base_Wpn_Spd/(1+A1033),DPS_Base_Wpn_Spd*(1+ABS(A1033)))),0)</f>
        <v>2</v>
      </c>
      <c r="F1033" s="232">
        <f>IF(A1033&gt;=0, DPS_Base_Recoil/(1+A1033),DPS_Base_Recoil)</f>
        <v>0.005617977528</v>
      </c>
      <c r="G1033" s="377">
        <f t="shared" si="7"/>
        <v>0.51</v>
      </c>
      <c r="H1033" s="377">
        <f t="shared" si="8"/>
        <v>0.008097165992</v>
      </c>
      <c r="I1033" s="104"/>
      <c r="J1033" s="377">
        <f>MAX(0, Max(25,(DPS_Base_Range + ((DPS_Range_Stat) / 2))) / MIN(MAX(70, (70 * (1 + ($A1033 / 3)))), 120))</f>
        <v>3.333333333</v>
      </c>
      <c r="K1033" s="115" t="str">
        <f>IF(A1033&lt;=DPS_Graph_Max,IF(A1033&gt;=DPS_Graph_Speed_Min,A1033,),)</f>
        <v/>
      </c>
      <c r="M1033" s="213">
        <f>If(DPS_Weapon_Type="远程",$E1033/60+$F1033*2,$E1033/60+$F1033+$G1033/2+$H1033)</f>
        <v>0.04456928839</v>
      </c>
      <c r="N1033" s="104" t="str">
        <f>IF(DPS_Graph_Tooltip_Speed=TRUE,IF($A1033&lt;=DPS_Graph_Max,IF($A1033&gt;=DPS_Graph_Speed_Min,1/M1033,),),)</f>
        <v/>
      </c>
      <c r="R1033" s="104" t="str">
        <f>IF(DPS_Graph_Tooltip_Speed=TRUE,IF($E$8=$A1033,1/$N$6,),)</f>
        <v/>
      </c>
    </row>
    <row r="1034">
      <c r="A1034" s="370">
        <v>7.91</v>
      </c>
      <c r="B1034" s="213">
        <f>If(DPS_Weapon_Type="远程",($E1034+1)/60+(ROUNDDOWN($F1034*60+1,0)/60)*2,(ROUNDDOWN(($E1034+1)+ROUNDDOWN($F1034*60+1,0)+ROUNDDOWN($G1034/2*60+1,0)+ROUNDDOWN($H1034*60+1,0)+1,0))/60+If(DPS_ATK_TYPE="挥砍",1/60)+If(DPS_ATK_TYPE="挥砍/刺击",1/120))+DPS_Weapon_Randomization/60</f>
        <v>0.105</v>
      </c>
      <c r="C1034" s="104" t="str">
        <f>IF(DPS_Graph_True_Speed=TRUE,IF($A1034&lt;=DPS_Graph_Max,IF($A1034&gt;=DPS_Graph_Speed_Min,1/B1034,),),)</f>
        <v/>
      </c>
      <c r="D1034" s="115" t="str">
        <f>IF(DPS_Graph_True_Speed=TRUE,IF($E$8=$A1034,DPS_Attacks_P_Sec,),)</f>
        <v/>
      </c>
      <c r="E1034" s="222">
        <f>ROUNDDOWN(MAX(2,IF(A1034&gt;=0, DPS_Base_Wpn_Spd/(1+A1034),DPS_Base_Wpn_Spd*(1+ABS(A1034)))),0)</f>
        <v>2</v>
      </c>
      <c r="F1034" s="232">
        <f>IF(A1034&gt;=0, DPS_Base_Recoil/(1+A1034),DPS_Base_Recoil)</f>
        <v>0.005611672278</v>
      </c>
      <c r="G1034" s="377">
        <f t="shared" si="7"/>
        <v>0.51</v>
      </c>
      <c r="H1034" s="377">
        <f t="shared" si="8"/>
        <v>0.008087343308</v>
      </c>
      <c r="I1034" s="104"/>
      <c r="J1034" s="377">
        <f>MAX(0, Max(25,(DPS_Base_Range + ((DPS_Range_Stat) / 2))) / MIN(MAX(70, (70 * (1 + ($A1034 / 3)))), 120))</f>
        <v>3.333333333</v>
      </c>
      <c r="K1034" s="115" t="str">
        <f>IF(A1034&lt;=DPS_Graph_Max,IF(A1034&gt;=DPS_Graph_Speed_Min,A1034,),)</f>
        <v/>
      </c>
      <c r="M1034" s="213">
        <f>If(DPS_Weapon_Type="远程",$E1034/60+$F1034*2,$E1034/60+$F1034+$G1034/2+$H1034)</f>
        <v>0.04455667789</v>
      </c>
      <c r="N1034" s="104" t="str">
        <f>IF(DPS_Graph_Tooltip_Speed=TRUE,IF($A1034&lt;=DPS_Graph_Max,IF($A1034&gt;=DPS_Graph_Speed_Min,1/M1034,),),)</f>
        <v/>
      </c>
      <c r="R1034" s="104" t="str">
        <f>IF(DPS_Graph_Tooltip_Speed=TRUE,IF($E$8=$A1034,1/$N$6,),)</f>
        <v/>
      </c>
    </row>
    <row r="1035">
      <c r="A1035" s="370">
        <v>7.92</v>
      </c>
      <c r="B1035" s="213">
        <f>If(DPS_Weapon_Type="远程",($E1035+1)/60+(ROUNDDOWN($F1035*60+1,0)/60)*2,(ROUNDDOWN(($E1035+1)+ROUNDDOWN($F1035*60+1,0)+ROUNDDOWN($G1035/2*60+1,0)+ROUNDDOWN($H1035*60+1,0)+1,0))/60+If(DPS_ATK_TYPE="挥砍",1/60)+If(DPS_ATK_TYPE="挥砍/刺击",1/120))+DPS_Weapon_Randomization/60</f>
        <v>0.105</v>
      </c>
      <c r="C1035" s="104" t="str">
        <f>IF(DPS_Graph_True_Speed=TRUE,IF($A1035&lt;=DPS_Graph_Max,IF($A1035&gt;=DPS_Graph_Speed_Min,1/B1035,),),)</f>
        <v/>
      </c>
      <c r="D1035" s="115" t="str">
        <f>IF(DPS_Graph_True_Speed=TRUE,IF($E$8=$A1035,DPS_Attacks_P_Sec,),)</f>
        <v/>
      </c>
      <c r="E1035" s="222">
        <f>ROUNDDOWN(MAX(2,IF(A1035&gt;=0, DPS_Base_Wpn_Spd/(1+A1035),DPS_Base_Wpn_Spd*(1+ABS(A1035)))),0)</f>
        <v>2</v>
      </c>
      <c r="F1035" s="232">
        <f>IF(A1035&gt;=0, DPS_Base_Recoil/(1+A1035),DPS_Base_Recoil)</f>
        <v>0.005605381166</v>
      </c>
      <c r="G1035" s="377">
        <f t="shared" si="7"/>
        <v>0.51</v>
      </c>
      <c r="H1035" s="377">
        <f t="shared" si="8"/>
        <v>0.008077544426</v>
      </c>
      <c r="I1035" s="104"/>
      <c r="J1035" s="377">
        <f>MAX(0, Max(25,(DPS_Base_Range + ((DPS_Range_Stat) / 2))) / MIN(MAX(70, (70 * (1 + ($A1035 / 3)))), 120))</f>
        <v>3.333333333</v>
      </c>
      <c r="K1035" s="115" t="str">
        <f>IF(A1035&lt;=DPS_Graph_Max,IF(A1035&gt;=DPS_Graph_Speed_Min,A1035,),)</f>
        <v/>
      </c>
      <c r="M1035" s="213">
        <f>If(DPS_Weapon_Type="远程",$E1035/60+$F1035*2,$E1035/60+$F1035+$G1035/2+$H1035)</f>
        <v>0.04454409567</v>
      </c>
      <c r="N1035" s="104" t="str">
        <f>IF(DPS_Graph_Tooltip_Speed=TRUE,IF($A1035&lt;=DPS_Graph_Max,IF($A1035&gt;=DPS_Graph_Speed_Min,1/M1035,),),)</f>
        <v/>
      </c>
      <c r="R1035" s="104" t="str">
        <f>IF(DPS_Graph_Tooltip_Speed=TRUE,IF($E$8=$A1035,1/$N$6,),)</f>
        <v/>
      </c>
    </row>
    <row r="1036">
      <c r="A1036" s="370">
        <v>7.93</v>
      </c>
      <c r="B1036" s="213">
        <f>If(DPS_Weapon_Type="远程",($E1036+1)/60+(ROUNDDOWN($F1036*60+1,0)/60)*2,(ROUNDDOWN(($E1036+1)+ROUNDDOWN($F1036*60+1,0)+ROUNDDOWN($G1036/2*60+1,0)+ROUNDDOWN($H1036*60+1,0)+1,0))/60+If(DPS_ATK_TYPE="挥砍",1/60)+If(DPS_ATK_TYPE="挥砍/刺击",1/120))+DPS_Weapon_Randomization/60</f>
        <v>0.105</v>
      </c>
      <c r="C1036" s="104" t="str">
        <f>IF(DPS_Graph_True_Speed=TRUE,IF($A1036&lt;=DPS_Graph_Max,IF($A1036&gt;=DPS_Graph_Speed_Min,1/B1036,),),)</f>
        <v/>
      </c>
      <c r="D1036" s="115" t="str">
        <f>IF(DPS_Graph_True_Speed=TRUE,IF($E$8=$A1036,DPS_Attacks_P_Sec,),)</f>
        <v/>
      </c>
      <c r="E1036" s="222">
        <f>ROUNDDOWN(MAX(2,IF(A1036&gt;=0, DPS_Base_Wpn_Spd/(1+A1036),DPS_Base_Wpn_Spd*(1+ABS(A1036)))),0)</f>
        <v>2</v>
      </c>
      <c r="F1036" s="232">
        <f>IF(A1036&gt;=0, DPS_Base_Recoil/(1+A1036),DPS_Base_Recoil)</f>
        <v>0.005599104143</v>
      </c>
      <c r="G1036" s="377">
        <f t="shared" si="7"/>
        <v>0.51</v>
      </c>
      <c r="H1036" s="377">
        <f t="shared" si="8"/>
        <v>0.008067769262</v>
      </c>
      <c r="I1036" s="104"/>
      <c r="J1036" s="377">
        <f>MAX(0, Max(25,(DPS_Base_Range + ((DPS_Range_Stat) / 2))) / MIN(MAX(70, (70 * (1 + ($A1036 / 3)))), 120))</f>
        <v>3.333333333</v>
      </c>
      <c r="K1036" s="115" t="str">
        <f>IF(A1036&lt;=DPS_Graph_Max,IF(A1036&gt;=DPS_Graph_Speed_Min,A1036,),)</f>
        <v/>
      </c>
      <c r="M1036" s="213">
        <f>If(DPS_Weapon_Type="远程",$E1036/60+$F1036*2,$E1036/60+$F1036+$G1036/2+$H1036)</f>
        <v>0.04453154162</v>
      </c>
      <c r="N1036" s="104" t="str">
        <f>IF(DPS_Graph_Tooltip_Speed=TRUE,IF($A1036&lt;=DPS_Graph_Max,IF($A1036&gt;=DPS_Graph_Speed_Min,1/M1036,),),)</f>
        <v/>
      </c>
      <c r="R1036" s="104" t="str">
        <f>IF(DPS_Graph_Tooltip_Speed=TRUE,IF($E$8=$A1036,1/$N$6,),)</f>
        <v/>
      </c>
    </row>
    <row r="1037">
      <c r="A1037" s="370">
        <v>7.94</v>
      </c>
      <c r="B1037" s="213">
        <f>If(DPS_Weapon_Type="远程",($E1037+1)/60+(ROUNDDOWN($F1037*60+1,0)/60)*2,(ROUNDDOWN(($E1037+1)+ROUNDDOWN($F1037*60+1,0)+ROUNDDOWN($G1037/2*60+1,0)+ROUNDDOWN($H1037*60+1,0)+1,0))/60+If(DPS_ATK_TYPE="挥砍",1/60)+If(DPS_ATK_TYPE="挥砍/刺击",1/120))+DPS_Weapon_Randomization/60</f>
        <v>0.105</v>
      </c>
      <c r="C1037" s="104" t="str">
        <f>IF(DPS_Graph_True_Speed=TRUE,IF($A1037&lt;=DPS_Graph_Max,IF($A1037&gt;=DPS_Graph_Speed_Min,1/B1037,),),)</f>
        <v/>
      </c>
      <c r="D1037" s="115" t="str">
        <f>IF(DPS_Graph_True_Speed=TRUE,IF($E$8=$A1037,DPS_Attacks_P_Sec,),)</f>
        <v/>
      </c>
      <c r="E1037" s="222">
        <f>ROUNDDOWN(MAX(2,IF(A1037&gt;=0, DPS_Base_Wpn_Spd/(1+A1037),DPS_Base_Wpn_Spd*(1+ABS(A1037)))),0)</f>
        <v>2</v>
      </c>
      <c r="F1037" s="232">
        <f>IF(A1037&gt;=0, DPS_Base_Recoil/(1+A1037),DPS_Base_Recoil)</f>
        <v>0.005592841163</v>
      </c>
      <c r="G1037" s="377">
        <f t="shared" si="7"/>
        <v>0.51</v>
      </c>
      <c r="H1037" s="377">
        <f t="shared" si="8"/>
        <v>0.008058017728</v>
      </c>
      <c r="I1037" s="104"/>
      <c r="J1037" s="377">
        <f>MAX(0, Max(25,(DPS_Base_Range + ((DPS_Range_Stat) / 2))) / MIN(MAX(70, (70 * (1 + ($A1037 / 3)))), 120))</f>
        <v>3.333333333</v>
      </c>
      <c r="K1037" s="115" t="str">
        <f>IF(A1037&lt;=DPS_Graph_Max,IF(A1037&gt;=DPS_Graph_Speed_Min,A1037,),)</f>
        <v/>
      </c>
      <c r="M1037" s="213">
        <f>If(DPS_Weapon_Type="远程",$E1037/60+$F1037*2,$E1037/60+$F1037+$G1037/2+$H1037)</f>
        <v>0.04451901566</v>
      </c>
      <c r="N1037" s="104" t="str">
        <f>IF(DPS_Graph_Tooltip_Speed=TRUE,IF($A1037&lt;=DPS_Graph_Max,IF($A1037&gt;=DPS_Graph_Speed_Min,1/M1037,),),)</f>
        <v/>
      </c>
      <c r="R1037" s="104" t="str">
        <f>IF(DPS_Graph_Tooltip_Speed=TRUE,IF($E$8=$A1037,1/$N$6,),)</f>
        <v/>
      </c>
    </row>
    <row r="1038">
      <c r="A1038" s="370">
        <v>7.95</v>
      </c>
      <c r="B1038" s="213">
        <f>If(DPS_Weapon_Type="远程",($E1038+1)/60+(ROUNDDOWN($F1038*60+1,0)/60)*2,(ROUNDDOWN(($E1038+1)+ROUNDDOWN($F1038*60+1,0)+ROUNDDOWN($G1038/2*60+1,0)+ROUNDDOWN($H1038*60+1,0)+1,0))/60+If(DPS_ATK_TYPE="挥砍",1/60)+If(DPS_ATK_TYPE="挥砍/刺击",1/120))+DPS_Weapon_Randomization/60</f>
        <v>0.105</v>
      </c>
      <c r="C1038" s="104" t="str">
        <f>IF(DPS_Graph_True_Speed=TRUE,IF($A1038&lt;=DPS_Graph_Max,IF($A1038&gt;=DPS_Graph_Speed_Min,1/B1038,),),)</f>
        <v/>
      </c>
      <c r="D1038" s="115" t="str">
        <f>IF(DPS_Graph_True_Speed=TRUE,IF($E$8=$A1038,DPS_Attacks_P_Sec,),)</f>
        <v/>
      </c>
      <c r="E1038" s="222">
        <f>ROUNDDOWN(MAX(2,IF(A1038&gt;=0, DPS_Base_Wpn_Spd/(1+A1038),DPS_Base_Wpn_Spd*(1+ABS(A1038)))),0)</f>
        <v>2</v>
      </c>
      <c r="F1038" s="232">
        <f>IF(A1038&gt;=0, DPS_Base_Recoil/(1+A1038),DPS_Base_Recoil)</f>
        <v>0.005586592179</v>
      </c>
      <c r="G1038" s="377">
        <f t="shared" si="7"/>
        <v>0.51</v>
      </c>
      <c r="H1038" s="377">
        <f t="shared" si="8"/>
        <v>0.008048289738</v>
      </c>
      <c r="I1038" s="104"/>
      <c r="J1038" s="377">
        <f>MAX(0, Max(25,(DPS_Base_Range + ((DPS_Range_Stat) / 2))) / MIN(MAX(70, (70 * (1 + ($A1038 / 3)))), 120))</f>
        <v>3.333333333</v>
      </c>
      <c r="K1038" s="115" t="str">
        <f>IF(A1038&lt;=DPS_Graph_Max,IF(A1038&gt;=DPS_Graph_Speed_Min,A1038,),)</f>
        <v/>
      </c>
      <c r="M1038" s="213">
        <f>If(DPS_Weapon_Type="远程",$E1038/60+$F1038*2,$E1038/60+$F1038+$G1038/2+$H1038)</f>
        <v>0.04450651769</v>
      </c>
      <c r="N1038" s="104" t="str">
        <f>IF(DPS_Graph_Tooltip_Speed=TRUE,IF($A1038&lt;=DPS_Graph_Max,IF($A1038&gt;=DPS_Graph_Speed_Min,1/M1038,),),)</f>
        <v/>
      </c>
      <c r="R1038" s="104" t="str">
        <f>IF(DPS_Graph_Tooltip_Speed=TRUE,IF($E$8=$A1038,1/$N$6,),)</f>
        <v/>
      </c>
    </row>
    <row r="1039">
      <c r="A1039" s="370">
        <v>7.96</v>
      </c>
      <c r="B1039" s="213">
        <f>If(DPS_Weapon_Type="远程",($E1039+1)/60+(ROUNDDOWN($F1039*60+1,0)/60)*2,(ROUNDDOWN(($E1039+1)+ROUNDDOWN($F1039*60+1,0)+ROUNDDOWN($G1039/2*60+1,0)+ROUNDDOWN($H1039*60+1,0)+1,0))/60+If(DPS_ATK_TYPE="挥砍",1/60)+If(DPS_ATK_TYPE="挥砍/刺击",1/120))+DPS_Weapon_Randomization/60</f>
        <v>0.105</v>
      </c>
      <c r="C1039" s="104" t="str">
        <f>IF(DPS_Graph_True_Speed=TRUE,IF($A1039&lt;=DPS_Graph_Max,IF($A1039&gt;=DPS_Graph_Speed_Min,1/B1039,),),)</f>
        <v/>
      </c>
      <c r="D1039" s="115" t="str">
        <f>IF(DPS_Graph_True_Speed=TRUE,IF($E$8=$A1039,DPS_Attacks_P_Sec,),)</f>
        <v/>
      </c>
      <c r="E1039" s="222">
        <f>ROUNDDOWN(MAX(2,IF(A1039&gt;=0, DPS_Base_Wpn_Spd/(1+A1039),DPS_Base_Wpn_Spd*(1+ABS(A1039)))),0)</f>
        <v>2</v>
      </c>
      <c r="F1039" s="232">
        <f>IF(A1039&gt;=0, DPS_Base_Recoil/(1+A1039),DPS_Base_Recoil)</f>
        <v>0.005580357143</v>
      </c>
      <c r="G1039" s="377">
        <f t="shared" si="7"/>
        <v>0.51</v>
      </c>
      <c r="H1039" s="377">
        <f t="shared" si="8"/>
        <v>0.008038585209</v>
      </c>
      <c r="I1039" s="104"/>
      <c r="J1039" s="377">
        <f>MAX(0, Max(25,(DPS_Base_Range + ((DPS_Range_Stat) / 2))) / MIN(MAX(70, (70 * (1 + ($A1039 / 3)))), 120))</f>
        <v>3.333333333</v>
      </c>
      <c r="K1039" s="115" t="str">
        <f>IF(A1039&lt;=DPS_Graph_Max,IF(A1039&gt;=DPS_Graph_Speed_Min,A1039,),)</f>
        <v/>
      </c>
      <c r="M1039" s="213">
        <f>If(DPS_Weapon_Type="远程",$E1039/60+$F1039*2,$E1039/60+$F1039+$G1039/2+$H1039)</f>
        <v>0.04449404762</v>
      </c>
      <c r="N1039" s="104" t="str">
        <f>IF(DPS_Graph_Tooltip_Speed=TRUE,IF($A1039&lt;=DPS_Graph_Max,IF($A1039&gt;=DPS_Graph_Speed_Min,1/M1039,),),)</f>
        <v/>
      </c>
      <c r="R1039" s="104" t="str">
        <f>IF(DPS_Graph_Tooltip_Speed=TRUE,IF($E$8=$A1039,1/$N$6,),)</f>
        <v/>
      </c>
    </row>
    <row r="1040">
      <c r="A1040" s="370">
        <v>7.97</v>
      </c>
      <c r="B1040" s="213">
        <f>If(DPS_Weapon_Type="远程",($E1040+1)/60+(ROUNDDOWN($F1040*60+1,0)/60)*2,(ROUNDDOWN(($E1040+1)+ROUNDDOWN($F1040*60+1,0)+ROUNDDOWN($G1040/2*60+1,0)+ROUNDDOWN($H1040*60+1,0)+1,0))/60+If(DPS_ATK_TYPE="挥砍",1/60)+If(DPS_ATK_TYPE="挥砍/刺击",1/120))+DPS_Weapon_Randomization/60</f>
        <v>0.105</v>
      </c>
      <c r="C1040" s="104" t="str">
        <f>IF(DPS_Graph_True_Speed=TRUE,IF($A1040&lt;=DPS_Graph_Max,IF($A1040&gt;=DPS_Graph_Speed_Min,1/B1040,),),)</f>
        <v/>
      </c>
      <c r="D1040" s="115" t="str">
        <f>IF(DPS_Graph_True_Speed=TRUE,IF($E$8=$A1040,DPS_Attacks_P_Sec,),)</f>
        <v/>
      </c>
      <c r="E1040" s="222">
        <f>ROUNDDOWN(MAX(2,IF(A1040&gt;=0, DPS_Base_Wpn_Spd/(1+A1040),DPS_Base_Wpn_Spd*(1+ABS(A1040)))),0)</f>
        <v>2</v>
      </c>
      <c r="F1040" s="232">
        <f>IF(A1040&gt;=0, DPS_Base_Recoil/(1+A1040),DPS_Base_Recoil)</f>
        <v>0.005574136009</v>
      </c>
      <c r="G1040" s="377">
        <f t="shared" si="7"/>
        <v>0.51</v>
      </c>
      <c r="H1040" s="377">
        <f t="shared" si="8"/>
        <v>0.008028904055</v>
      </c>
      <c r="I1040" s="104"/>
      <c r="J1040" s="377">
        <f>MAX(0, Max(25,(DPS_Base_Range + ((DPS_Range_Stat) / 2))) / MIN(MAX(70, (70 * (1 + ($A1040 / 3)))), 120))</f>
        <v>3.333333333</v>
      </c>
      <c r="K1040" s="115" t="str">
        <f>IF(A1040&lt;=DPS_Graph_Max,IF(A1040&gt;=DPS_Graph_Speed_Min,A1040,),)</f>
        <v/>
      </c>
      <c r="M1040" s="213">
        <f>If(DPS_Weapon_Type="远程",$E1040/60+$F1040*2,$E1040/60+$F1040+$G1040/2+$H1040)</f>
        <v>0.04448160535</v>
      </c>
      <c r="N1040" s="104" t="str">
        <f>IF(DPS_Graph_Tooltip_Speed=TRUE,IF($A1040&lt;=DPS_Graph_Max,IF($A1040&gt;=DPS_Graph_Speed_Min,1/M1040,),),)</f>
        <v/>
      </c>
      <c r="R1040" s="104" t="str">
        <f>IF(DPS_Graph_Tooltip_Speed=TRUE,IF($E$8=$A1040,1/$N$6,),)</f>
        <v/>
      </c>
    </row>
    <row r="1041">
      <c r="A1041" s="370">
        <v>7.98</v>
      </c>
      <c r="B1041" s="213">
        <f>If(DPS_Weapon_Type="远程",($E1041+1)/60+(ROUNDDOWN($F1041*60+1,0)/60)*2,(ROUNDDOWN(($E1041+1)+ROUNDDOWN($F1041*60+1,0)+ROUNDDOWN($G1041/2*60+1,0)+ROUNDDOWN($H1041*60+1,0)+1,0))/60+If(DPS_ATK_TYPE="挥砍",1/60)+If(DPS_ATK_TYPE="挥砍/刺击",1/120))+DPS_Weapon_Randomization/60</f>
        <v>0.105</v>
      </c>
      <c r="C1041" s="104" t="str">
        <f>IF(DPS_Graph_True_Speed=TRUE,IF($A1041&lt;=DPS_Graph_Max,IF($A1041&gt;=DPS_Graph_Speed_Min,1/B1041,),),)</f>
        <v/>
      </c>
      <c r="D1041" s="115" t="str">
        <f>IF(DPS_Graph_True_Speed=TRUE,IF($E$8=$A1041,DPS_Attacks_P_Sec,),)</f>
        <v/>
      </c>
      <c r="E1041" s="222">
        <f>ROUNDDOWN(MAX(2,IF(A1041&gt;=0, DPS_Base_Wpn_Spd/(1+A1041),DPS_Base_Wpn_Spd*(1+ABS(A1041)))),0)</f>
        <v>2</v>
      </c>
      <c r="F1041" s="232">
        <f>IF(A1041&gt;=0, DPS_Base_Recoil/(1+A1041),DPS_Base_Recoil)</f>
        <v>0.005567928731</v>
      </c>
      <c r="G1041" s="377">
        <f t="shared" si="7"/>
        <v>0.51</v>
      </c>
      <c r="H1041" s="377">
        <f t="shared" si="8"/>
        <v>0.008019246191</v>
      </c>
      <c r="I1041" s="104"/>
      <c r="J1041" s="377">
        <f>MAX(0, Max(25,(DPS_Base_Range + ((DPS_Range_Stat) / 2))) / MIN(MAX(70, (70 * (1 + ($A1041 / 3)))), 120))</f>
        <v>3.333333333</v>
      </c>
      <c r="K1041" s="115" t="str">
        <f>IF(A1041&lt;=DPS_Graph_Max,IF(A1041&gt;=DPS_Graph_Speed_Min,A1041,),)</f>
        <v/>
      </c>
      <c r="M1041" s="213">
        <f>If(DPS_Weapon_Type="远程",$E1041/60+$F1041*2,$E1041/60+$F1041+$G1041/2+$H1041)</f>
        <v>0.04446919079</v>
      </c>
      <c r="N1041" s="104" t="str">
        <f>IF(DPS_Graph_Tooltip_Speed=TRUE,IF($A1041&lt;=DPS_Graph_Max,IF($A1041&gt;=DPS_Graph_Speed_Min,1/M1041,),),)</f>
        <v/>
      </c>
      <c r="R1041" s="104" t="str">
        <f>IF(DPS_Graph_Tooltip_Speed=TRUE,IF($E$8=$A1041,1/$N$6,),)</f>
        <v/>
      </c>
    </row>
    <row r="1042">
      <c r="A1042" s="370">
        <v>7.99</v>
      </c>
      <c r="B1042" s="213">
        <f>If(DPS_Weapon_Type="远程",($E1042+1)/60+(ROUNDDOWN($F1042*60+1,0)/60)*2,(ROUNDDOWN(($E1042+1)+ROUNDDOWN($F1042*60+1,0)+ROUNDDOWN($G1042/2*60+1,0)+ROUNDDOWN($H1042*60+1,0)+1,0))/60+If(DPS_ATK_TYPE="挥砍",1/60)+If(DPS_ATK_TYPE="挥砍/刺击",1/120))+DPS_Weapon_Randomization/60</f>
        <v>0.105</v>
      </c>
      <c r="C1042" s="104" t="str">
        <f>IF(DPS_Graph_True_Speed=TRUE,IF($A1042&lt;=DPS_Graph_Max,IF($A1042&gt;=DPS_Graph_Speed_Min,1/B1042,),),)</f>
        <v/>
      </c>
      <c r="D1042" s="115" t="str">
        <f>IF(DPS_Graph_True_Speed=TRUE,IF($E$8=$A1042,DPS_Attacks_P_Sec,),)</f>
        <v/>
      </c>
      <c r="E1042" s="222">
        <f>ROUNDDOWN(MAX(2,IF(A1042&gt;=0, DPS_Base_Wpn_Spd/(1+A1042),DPS_Base_Wpn_Spd*(1+ABS(A1042)))),0)</f>
        <v>2</v>
      </c>
      <c r="F1042" s="232">
        <f>IF(A1042&gt;=0, DPS_Base_Recoil/(1+A1042),DPS_Base_Recoil)</f>
        <v>0.005561735261</v>
      </c>
      <c r="G1042" s="377">
        <f t="shared" si="7"/>
        <v>0.51</v>
      </c>
      <c r="H1042" s="377">
        <f t="shared" si="8"/>
        <v>0.008009611534</v>
      </c>
      <c r="I1042" s="104"/>
      <c r="J1042" s="377">
        <f>MAX(0, Max(25,(DPS_Base_Range + ((DPS_Range_Stat) / 2))) / MIN(MAX(70, (70 * (1 + ($A1042 / 3)))), 120))</f>
        <v>3.333333333</v>
      </c>
      <c r="K1042" s="115" t="str">
        <f>IF(A1042&lt;=DPS_Graph_Max,IF(A1042&gt;=DPS_Graph_Speed_Min,A1042,),)</f>
        <v/>
      </c>
      <c r="M1042" s="213">
        <f>If(DPS_Weapon_Type="远程",$E1042/60+$F1042*2,$E1042/60+$F1042+$G1042/2+$H1042)</f>
        <v>0.04445680386</v>
      </c>
      <c r="N1042" s="104" t="str">
        <f>IF(DPS_Graph_Tooltip_Speed=TRUE,IF($A1042&lt;=DPS_Graph_Max,IF($A1042&gt;=DPS_Graph_Speed_Min,1/M1042,),),)</f>
        <v/>
      </c>
      <c r="R1042" s="104" t="str">
        <f>IF(DPS_Graph_Tooltip_Speed=TRUE,IF($E$8=$A1042,1/$N$6,),)</f>
        <v/>
      </c>
    </row>
    <row r="1043">
      <c r="A1043" s="370">
        <v>8.0</v>
      </c>
      <c r="B1043" s="213">
        <f>If(DPS_Weapon_Type="远程",($E1043+1)/60+(ROUNDDOWN($F1043*60+1,0)/60)*2,(ROUNDDOWN(($E1043+1)+ROUNDDOWN($F1043*60+1,0)+ROUNDDOWN($G1043/2*60+1,0)+ROUNDDOWN($H1043*60+1,0)+1,0))/60+If(DPS_ATK_TYPE="挥砍",1/60)+If(DPS_ATK_TYPE="挥砍/刺击",1/120))+DPS_Weapon_Randomization/60</f>
        <v>0.105</v>
      </c>
      <c r="C1043" s="104" t="str">
        <f>IF(DPS_Graph_True_Speed=TRUE,IF($A1043&lt;=DPS_Graph_Max,IF($A1043&gt;=DPS_Graph_Speed_Min,1/B1043,),),)</f>
        <v/>
      </c>
      <c r="D1043" s="115" t="str">
        <f>IF(DPS_Graph_True_Speed=TRUE,IF($E$8=$A1043,DPS_Attacks_P_Sec,),)</f>
        <v/>
      </c>
      <c r="E1043" s="222">
        <f>ROUNDDOWN(MAX(2,IF(A1043&gt;=0, DPS_Base_Wpn_Spd/(1+A1043),DPS_Base_Wpn_Spd*(1+ABS(A1043)))),0)</f>
        <v>2</v>
      </c>
      <c r="F1043" s="232">
        <f>IF(A1043&gt;=0, DPS_Base_Recoil/(1+A1043),DPS_Base_Recoil)</f>
        <v>0.005555555556</v>
      </c>
      <c r="G1043" s="377">
        <f t="shared" si="7"/>
        <v>0.51</v>
      </c>
      <c r="H1043" s="377">
        <f t="shared" si="8"/>
        <v>0.008</v>
      </c>
      <c r="I1043" s="104"/>
      <c r="J1043" s="377">
        <f>MAX(0, Max(25,(DPS_Base_Range + ((DPS_Range_Stat) / 2))) / MIN(MAX(70, (70 * (1 + ($A1043 / 3)))), 120))</f>
        <v>3.333333333</v>
      </c>
      <c r="K1043" s="115" t="str">
        <f>IF(A1043&lt;=DPS_Graph_Max,IF(A1043&gt;=DPS_Graph_Speed_Min,A1043,),)</f>
        <v/>
      </c>
      <c r="M1043" s="213">
        <f>If(DPS_Weapon_Type="远程",$E1043/60+$F1043*2,$E1043/60+$F1043+$G1043/2+$H1043)</f>
        <v>0.04444444444</v>
      </c>
      <c r="N1043" s="104" t="str">
        <f>IF(DPS_Graph_Tooltip_Speed=TRUE,IF($A1043&lt;=DPS_Graph_Max,IF($A1043&gt;=DPS_Graph_Speed_Min,1/M1043,),),)</f>
        <v/>
      </c>
      <c r="R1043" s="104" t="str">
        <f>IF(DPS_Graph_Tooltip_Speed=TRUE,IF($E$8=$A1043,1/$N$6,),)</f>
        <v/>
      </c>
    </row>
    <row r="1044">
      <c r="A1044" s="370">
        <v>8.01</v>
      </c>
      <c r="B1044" s="213">
        <f>If(DPS_Weapon_Type="远程",($E1044+1)/60+(ROUNDDOWN($F1044*60+1,0)/60)*2,(ROUNDDOWN(($E1044+1)+ROUNDDOWN($F1044*60+1,0)+ROUNDDOWN($G1044/2*60+1,0)+ROUNDDOWN($H1044*60+1,0)+1,0))/60+If(DPS_ATK_TYPE="挥砍",1/60)+If(DPS_ATK_TYPE="挥砍/刺击",1/120))+DPS_Weapon_Randomization/60</f>
        <v>0.105</v>
      </c>
      <c r="C1044" s="104" t="str">
        <f>IF(DPS_Graph_True_Speed=TRUE,IF($A1044&lt;=DPS_Graph_Max,IF($A1044&gt;=DPS_Graph_Speed_Min,1/B1044,),),)</f>
        <v/>
      </c>
      <c r="D1044" s="115" t="str">
        <f>IF(DPS_Graph_True_Speed=TRUE,IF($E$8=$A1044,DPS_Attacks_P_Sec,),)</f>
        <v/>
      </c>
      <c r="E1044" s="222">
        <f>ROUNDDOWN(MAX(2,IF(A1044&gt;=0, DPS_Base_Wpn_Spd/(1+A1044),DPS_Base_Wpn_Spd*(1+ABS(A1044)))),0)</f>
        <v>2</v>
      </c>
      <c r="F1044" s="232">
        <f>IF(A1044&gt;=0, DPS_Base_Recoil/(1+A1044),DPS_Base_Recoil)</f>
        <v>0.005549389567</v>
      </c>
      <c r="G1044" s="377">
        <f t="shared" si="7"/>
        <v>0.51</v>
      </c>
      <c r="H1044" s="377">
        <f t="shared" si="8"/>
        <v>0.007990411506</v>
      </c>
      <c r="I1044" s="104"/>
      <c r="J1044" s="377">
        <f>MAX(0, Max(25,(DPS_Base_Range + ((DPS_Range_Stat) / 2))) / MIN(MAX(70, (70 * (1 + ($A1044 / 3)))), 120))</f>
        <v>3.333333333</v>
      </c>
      <c r="K1044" s="115" t="str">
        <f>IF(A1044&lt;=DPS_Graph_Max,IF(A1044&gt;=DPS_Graph_Speed_Min,A1044,),)</f>
        <v/>
      </c>
      <c r="M1044" s="213">
        <f>If(DPS_Weapon_Type="远程",$E1044/60+$F1044*2,$E1044/60+$F1044+$G1044/2+$H1044)</f>
        <v>0.04443211247</v>
      </c>
      <c r="N1044" s="104" t="str">
        <f>IF(DPS_Graph_Tooltip_Speed=TRUE,IF($A1044&lt;=DPS_Graph_Max,IF($A1044&gt;=DPS_Graph_Speed_Min,1/M1044,),),)</f>
        <v/>
      </c>
      <c r="R1044" s="104" t="str">
        <f>IF(DPS_Graph_Tooltip_Speed=TRUE,IF($E$8=$A1044,1/$N$6,),)</f>
        <v/>
      </c>
    </row>
    <row r="1045">
      <c r="A1045" s="370">
        <v>8.02</v>
      </c>
      <c r="B1045" s="213">
        <f>If(DPS_Weapon_Type="远程",($E1045+1)/60+(ROUNDDOWN($F1045*60+1,0)/60)*2,(ROUNDDOWN(($E1045+1)+ROUNDDOWN($F1045*60+1,0)+ROUNDDOWN($G1045/2*60+1,0)+ROUNDDOWN($H1045*60+1,0)+1,0))/60+If(DPS_ATK_TYPE="挥砍",1/60)+If(DPS_ATK_TYPE="挥砍/刺击",1/120))+DPS_Weapon_Randomization/60</f>
        <v>0.105</v>
      </c>
      <c r="C1045" s="104" t="str">
        <f>IF(DPS_Graph_True_Speed=TRUE,IF($A1045&lt;=DPS_Graph_Max,IF($A1045&gt;=DPS_Graph_Speed_Min,1/B1045,),),)</f>
        <v/>
      </c>
      <c r="D1045" s="115" t="str">
        <f>IF(DPS_Graph_True_Speed=TRUE,IF($E$8=$A1045,DPS_Attacks_P_Sec,),)</f>
        <v/>
      </c>
      <c r="E1045" s="222">
        <f>ROUNDDOWN(MAX(2,IF(A1045&gt;=0, DPS_Base_Wpn_Spd/(1+A1045),DPS_Base_Wpn_Spd*(1+ABS(A1045)))),0)</f>
        <v>2</v>
      </c>
      <c r="F1045" s="232">
        <f>IF(A1045&gt;=0, DPS_Base_Recoil/(1+A1045),DPS_Base_Recoil)</f>
        <v>0.005543237251</v>
      </c>
      <c r="G1045" s="377">
        <f t="shared" si="7"/>
        <v>0.51</v>
      </c>
      <c r="H1045" s="377">
        <f t="shared" si="8"/>
        <v>0.00798084597</v>
      </c>
      <c r="I1045" s="104"/>
      <c r="J1045" s="377">
        <f>MAX(0, Max(25,(DPS_Base_Range + ((DPS_Range_Stat) / 2))) / MIN(MAX(70, (70 * (1 + ($A1045 / 3)))), 120))</f>
        <v>3.333333333</v>
      </c>
      <c r="K1045" s="115" t="str">
        <f>IF(A1045&lt;=DPS_Graph_Max,IF(A1045&gt;=DPS_Graph_Speed_Min,A1045,),)</f>
        <v/>
      </c>
      <c r="M1045" s="213">
        <f>If(DPS_Weapon_Type="远程",$E1045/60+$F1045*2,$E1045/60+$F1045+$G1045/2+$H1045)</f>
        <v>0.04441980783</v>
      </c>
      <c r="N1045" s="104" t="str">
        <f>IF(DPS_Graph_Tooltip_Speed=TRUE,IF($A1045&lt;=DPS_Graph_Max,IF($A1045&gt;=DPS_Graph_Speed_Min,1/M1045,),),)</f>
        <v/>
      </c>
      <c r="R1045" s="104" t="str">
        <f>IF(DPS_Graph_Tooltip_Speed=TRUE,IF($E$8=$A1045,1/$N$6,),)</f>
        <v/>
      </c>
    </row>
    <row r="1046">
      <c r="A1046" s="370">
        <v>8.03</v>
      </c>
      <c r="B1046" s="213">
        <f>If(DPS_Weapon_Type="远程",($E1046+1)/60+(ROUNDDOWN($F1046*60+1,0)/60)*2,(ROUNDDOWN(($E1046+1)+ROUNDDOWN($F1046*60+1,0)+ROUNDDOWN($G1046/2*60+1,0)+ROUNDDOWN($H1046*60+1,0)+1,0))/60+If(DPS_ATK_TYPE="挥砍",1/60)+If(DPS_ATK_TYPE="挥砍/刺击",1/120))+DPS_Weapon_Randomization/60</f>
        <v>0.105</v>
      </c>
      <c r="C1046" s="104" t="str">
        <f>IF(DPS_Graph_True_Speed=TRUE,IF($A1046&lt;=DPS_Graph_Max,IF($A1046&gt;=DPS_Graph_Speed_Min,1/B1046,),),)</f>
        <v/>
      </c>
      <c r="D1046" s="115" t="str">
        <f>IF(DPS_Graph_True_Speed=TRUE,IF($E$8=$A1046,DPS_Attacks_P_Sec,),)</f>
        <v/>
      </c>
      <c r="E1046" s="222">
        <f>ROUNDDOWN(MAX(2,IF(A1046&gt;=0, DPS_Base_Wpn_Spd/(1+A1046),DPS_Base_Wpn_Spd*(1+ABS(A1046)))),0)</f>
        <v>2</v>
      </c>
      <c r="F1046" s="232">
        <f>IF(A1046&gt;=0, DPS_Base_Recoil/(1+A1046),DPS_Base_Recoil)</f>
        <v>0.00553709856</v>
      </c>
      <c r="G1046" s="377">
        <f t="shared" si="7"/>
        <v>0.51</v>
      </c>
      <c r="H1046" s="377">
        <f t="shared" si="8"/>
        <v>0.007971303308</v>
      </c>
      <c r="I1046" s="104"/>
      <c r="J1046" s="377">
        <f>MAX(0, Max(25,(DPS_Base_Range + ((DPS_Range_Stat) / 2))) / MIN(MAX(70, (70 * (1 + ($A1046 / 3)))), 120))</f>
        <v>3.333333333</v>
      </c>
      <c r="K1046" s="115" t="str">
        <f>IF(A1046&lt;=DPS_Graph_Max,IF(A1046&gt;=DPS_Graph_Speed_Min,A1046,),)</f>
        <v/>
      </c>
      <c r="M1046" s="213">
        <f>If(DPS_Weapon_Type="远程",$E1046/60+$F1046*2,$E1046/60+$F1046+$G1046/2+$H1046)</f>
        <v>0.04440753045</v>
      </c>
      <c r="N1046" s="104" t="str">
        <f>IF(DPS_Graph_Tooltip_Speed=TRUE,IF($A1046&lt;=DPS_Graph_Max,IF($A1046&gt;=DPS_Graph_Speed_Min,1/M1046,),),)</f>
        <v/>
      </c>
      <c r="R1046" s="104" t="str">
        <f>IF(DPS_Graph_Tooltip_Speed=TRUE,IF($E$8=$A1046,1/$N$6,),)</f>
        <v/>
      </c>
    </row>
    <row r="1047">
      <c r="A1047" s="370">
        <v>8.04</v>
      </c>
      <c r="B1047" s="213">
        <f>If(DPS_Weapon_Type="远程",($E1047+1)/60+(ROUNDDOWN($F1047*60+1,0)/60)*2,(ROUNDDOWN(($E1047+1)+ROUNDDOWN($F1047*60+1,0)+ROUNDDOWN($G1047/2*60+1,0)+ROUNDDOWN($H1047*60+1,0)+1,0))/60+If(DPS_ATK_TYPE="挥砍",1/60)+If(DPS_ATK_TYPE="挥砍/刺击",1/120))+DPS_Weapon_Randomization/60</f>
        <v>0.105</v>
      </c>
      <c r="C1047" s="104" t="str">
        <f>IF(DPS_Graph_True_Speed=TRUE,IF($A1047&lt;=DPS_Graph_Max,IF($A1047&gt;=DPS_Graph_Speed_Min,1/B1047,),),)</f>
        <v/>
      </c>
      <c r="D1047" s="115" t="str">
        <f>IF(DPS_Graph_True_Speed=TRUE,IF($E$8=$A1047,DPS_Attacks_P_Sec,),)</f>
        <v/>
      </c>
      <c r="E1047" s="222">
        <f>ROUNDDOWN(MAX(2,IF(A1047&gt;=0, DPS_Base_Wpn_Spd/(1+A1047),DPS_Base_Wpn_Spd*(1+ABS(A1047)))),0)</f>
        <v>2</v>
      </c>
      <c r="F1047" s="232">
        <f>IF(A1047&gt;=0, DPS_Base_Recoil/(1+A1047),DPS_Base_Recoil)</f>
        <v>0.005530973451</v>
      </c>
      <c r="G1047" s="377">
        <f t="shared" si="7"/>
        <v>0.51</v>
      </c>
      <c r="H1047" s="377">
        <f t="shared" si="8"/>
        <v>0.007961783439</v>
      </c>
      <c r="I1047" s="104"/>
      <c r="J1047" s="377">
        <f>MAX(0, Max(25,(DPS_Base_Range + ((DPS_Range_Stat) / 2))) / MIN(MAX(70, (70 * (1 + ($A1047 / 3)))), 120))</f>
        <v>3.333333333</v>
      </c>
      <c r="K1047" s="115" t="str">
        <f>IF(A1047&lt;=DPS_Graph_Max,IF(A1047&gt;=DPS_Graph_Speed_Min,A1047,),)</f>
        <v/>
      </c>
      <c r="M1047" s="213">
        <f>If(DPS_Weapon_Type="远程",$E1047/60+$F1047*2,$E1047/60+$F1047+$G1047/2+$H1047)</f>
        <v>0.04439528024</v>
      </c>
      <c r="N1047" s="104" t="str">
        <f>IF(DPS_Graph_Tooltip_Speed=TRUE,IF($A1047&lt;=DPS_Graph_Max,IF($A1047&gt;=DPS_Graph_Speed_Min,1/M1047,),),)</f>
        <v/>
      </c>
      <c r="R1047" s="104" t="str">
        <f>IF(DPS_Graph_Tooltip_Speed=TRUE,IF($E$8=$A1047,1/$N$6,),)</f>
        <v/>
      </c>
    </row>
    <row r="1048">
      <c r="A1048" s="370">
        <v>8.05</v>
      </c>
      <c r="B1048" s="213">
        <f>If(DPS_Weapon_Type="远程",($E1048+1)/60+(ROUNDDOWN($F1048*60+1,0)/60)*2,(ROUNDDOWN(($E1048+1)+ROUNDDOWN($F1048*60+1,0)+ROUNDDOWN($G1048/2*60+1,0)+ROUNDDOWN($H1048*60+1,0)+1,0))/60+If(DPS_ATK_TYPE="挥砍",1/60)+If(DPS_ATK_TYPE="挥砍/刺击",1/120))+DPS_Weapon_Randomization/60</f>
        <v>0.105</v>
      </c>
      <c r="C1048" s="104" t="str">
        <f>IF(DPS_Graph_True_Speed=TRUE,IF($A1048&lt;=DPS_Graph_Max,IF($A1048&gt;=DPS_Graph_Speed_Min,1/B1048,),),)</f>
        <v/>
      </c>
      <c r="D1048" s="115" t="str">
        <f>IF(DPS_Graph_True_Speed=TRUE,IF($E$8=$A1048,DPS_Attacks_P_Sec,),)</f>
        <v/>
      </c>
      <c r="E1048" s="222">
        <f>ROUNDDOWN(MAX(2,IF(A1048&gt;=0, DPS_Base_Wpn_Spd/(1+A1048),DPS_Base_Wpn_Spd*(1+ABS(A1048)))),0)</f>
        <v>2</v>
      </c>
      <c r="F1048" s="232">
        <f>IF(A1048&gt;=0, DPS_Base_Recoil/(1+A1048),DPS_Base_Recoil)</f>
        <v>0.005524861878</v>
      </c>
      <c r="G1048" s="377">
        <f t="shared" si="7"/>
        <v>0.51</v>
      </c>
      <c r="H1048" s="377">
        <f t="shared" si="8"/>
        <v>0.007952286282</v>
      </c>
      <c r="I1048" s="104"/>
      <c r="J1048" s="377">
        <f>MAX(0, Max(25,(DPS_Base_Range + ((DPS_Range_Stat) / 2))) / MIN(MAX(70, (70 * (1 + ($A1048 / 3)))), 120))</f>
        <v>3.333333333</v>
      </c>
      <c r="K1048" s="115" t="str">
        <f>IF(A1048&lt;=DPS_Graph_Max,IF(A1048&gt;=DPS_Graph_Speed_Min,A1048,),)</f>
        <v/>
      </c>
      <c r="M1048" s="213">
        <f>If(DPS_Weapon_Type="远程",$E1048/60+$F1048*2,$E1048/60+$F1048+$G1048/2+$H1048)</f>
        <v>0.04438305709</v>
      </c>
      <c r="N1048" s="104" t="str">
        <f>IF(DPS_Graph_Tooltip_Speed=TRUE,IF($A1048&lt;=DPS_Graph_Max,IF($A1048&gt;=DPS_Graph_Speed_Min,1/M1048,),),)</f>
        <v/>
      </c>
      <c r="R1048" s="104" t="str">
        <f>IF(DPS_Graph_Tooltip_Speed=TRUE,IF($E$8=$A1048,1/$N$6,),)</f>
        <v/>
      </c>
    </row>
    <row r="1049">
      <c r="A1049" s="370">
        <v>8.06</v>
      </c>
      <c r="B1049" s="213">
        <f>If(DPS_Weapon_Type="远程",($E1049+1)/60+(ROUNDDOWN($F1049*60+1,0)/60)*2,(ROUNDDOWN(($E1049+1)+ROUNDDOWN($F1049*60+1,0)+ROUNDDOWN($G1049/2*60+1,0)+ROUNDDOWN($H1049*60+1,0)+1,0))/60+If(DPS_ATK_TYPE="挥砍",1/60)+If(DPS_ATK_TYPE="挥砍/刺击",1/120))+DPS_Weapon_Randomization/60</f>
        <v>0.105</v>
      </c>
      <c r="C1049" s="104" t="str">
        <f>IF(DPS_Graph_True_Speed=TRUE,IF($A1049&lt;=DPS_Graph_Max,IF($A1049&gt;=DPS_Graph_Speed_Min,1/B1049,),),)</f>
        <v/>
      </c>
      <c r="D1049" s="115" t="str">
        <f>IF(DPS_Graph_True_Speed=TRUE,IF($E$8=$A1049,DPS_Attacks_P_Sec,),)</f>
        <v/>
      </c>
      <c r="E1049" s="222">
        <f>ROUNDDOWN(MAX(2,IF(A1049&gt;=0, DPS_Base_Wpn_Spd/(1+A1049),DPS_Base_Wpn_Spd*(1+ABS(A1049)))),0)</f>
        <v>2</v>
      </c>
      <c r="F1049" s="232">
        <f>IF(A1049&gt;=0, DPS_Base_Recoil/(1+A1049),DPS_Base_Recoil)</f>
        <v>0.005518763797</v>
      </c>
      <c r="G1049" s="377">
        <f t="shared" si="7"/>
        <v>0.51</v>
      </c>
      <c r="H1049" s="377">
        <f t="shared" si="8"/>
        <v>0.007942811755</v>
      </c>
      <c r="I1049" s="104"/>
      <c r="J1049" s="377">
        <f>MAX(0, Max(25,(DPS_Base_Range + ((DPS_Range_Stat) / 2))) / MIN(MAX(70, (70 * (1 + ($A1049 / 3)))), 120))</f>
        <v>3.333333333</v>
      </c>
      <c r="K1049" s="115" t="str">
        <f>IF(A1049&lt;=DPS_Graph_Max,IF(A1049&gt;=DPS_Graph_Speed_Min,A1049,),)</f>
        <v/>
      </c>
      <c r="M1049" s="213">
        <f>If(DPS_Weapon_Type="远程",$E1049/60+$F1049*2,$E1049/60+$F1049+$G1049/2+$H1049)</f>
        <v>0.04437086093</v>
      </c>
      <c r="N1049" s="104" t="str">
        <f>IF(DPS_Graph_Tooltip_Speed=TRUE,IF($A1049&lt;=DPS_Graph_Max,IF($A1049&gt;=DPS_Graph_Speed_Min,1/M1049,),),)</f>
        <v/>
      </c>
      <c r="R1049" s="104" t="str">
        <f>IF(DPS_Graph_Tooltip_Speed=TRUE,IF($E$8=$A1049,1/$N$6,),)</f>
        <v/>
      </c>
    </row>
    <row r="1050">
      <c r="A1050" s="370">
        <v>8.07</v>
      </c>
      <c r="B1050" s="213">
        <f>If(DPS_Weapon_Type="远程",($E1050+1)/60+(ROUNDDOWN($F1050*60+1,0)/60)*2,(ROUNDDOWN(($E1050+1)+ROUNDDOWN($F1050*60+1,0)+ROUNDDOWN($G1050/2*60+1,0)+ROUNDDOWN($H1050*60+1,0)+1,0))/60+If(DPS_ATK_TYPE="挥砍",1/60)+If(DPS_ATK_TYPE="挥砍/刺击",1/120))+DPS_Weapon_Randomization/60</f>
        <v>0.105</v>
      </c>
      <c r="C1050" s="104" t="str">
        <f>IF(DPS_Graph_True_Speed=TRUE,IF($A1050&lt;=DPS_Graph_Max,IF($A1050&gt;=DPS_Graph_Speed_Min,1/B1050,),),)</f>
        <v/>
      </c>
      <c r="D1050" s="115" t="str">
        <f>IF(DPS_Graph_True_Speed=TRUE,IF($E$8=$A1050,DPS_Attacks_P_Sec,),)</f>
        <v/>
      </c>
      <c r="E1050" s="222">
        <f>ROUNDDOWN(MAX(2,IF(A1050&gt;=0, DPS_Base_Wpn_Spd/(1+A1050),DPS_Base_Wpn_Spd*(1+ABS(A1050)))),0)</f>
        <v>2</v>
      </c>
      <c r="F1050" s="232">
        <f>IF(A1050&gt;=0, DPS_Base_Recoil/(1+A1050),DPS_Base_Recoil)</f>
        <v>0.005512679162</v>
      </c>
      <c r="G1050" s="377">
        <f t="shared" si="7"/>
        <v>0.51</v>
      </c>
      <c r="H1050" s="377">
        <f t="shared" si="8"/>
        <v>0.007933359778</v>
      </c>
      <c r="I1050" s="104"/>
      <c r="J1050" s="377">
        <f>MAX(0, Max(25,(DPS_Base_Range + ((DPS_Range_Stat) / 2))) / MIN(MAX(70, (70 * (1 + ($A1050 / 3)))), 120))</f>
        <v>3.333333333</v>
      </c>
      <c r="K1050" s="115" t="str">
        <f>IF(A1050&lt;=DPS_Graph_Max,IF(A1050&gt;=DPS_Graph_Speed_Min,A1050,),)</f>
        <v/>
      </c>
      <c r="M1050" s="213">
        <f>If(DPS_Weapon_Type="远程",$E1050/60+$F1050*2,$E1050/60+$F1050+$G1050/2+$H1050)</f>
        <v>0.04435869166</v>
      </c>
      <c r="N1050" s="104" t="str">
        <f>IF(DPS_Graph_Tooltip_Speed=TRUE,IF($A1050&lt;=DPS_Graph_Max,IF($A1050&gt;=DPS_Graph_Speed_Min,1/M1050,),),)</f>
        <v/>
      </c>
      <c r="R1050" s="104" t="str">
        <f>IF(DPS_Graph_Tooltip_Speed=TRUE,IF($E$8=$A1050,1/$N$6,),)</f>
        <v/>
      </c>
    </row>
    <row r="1051">
      <c r="A1051" s="370">
        <v>8.08</v>
      </c>
      <c r="B1051" s="213">
        <f>If(DPS_Weapon_Type="远程",($E1051+1)/60+(ROUNDDOWN($F1051*60+1,0)/60)*2,(ROUNDDOWN(($E1051+1)+ROUNDDOWN($F1051*60+1,0)+ROUNDDOWN($G1051/2*60+1,0)+ROUNDDOWN($H1051*60+1,0)+1,0))/60+If(DPS_ATK_TYPE="挥砍",1/60)+If(DPS_ATK_TYPE="挥砍/刺击",1/120))+DPS_Weapon_Randomization/60</f>
        <v>0.105</v>
      </c>
      <c r="C1051" s="104" t="str">
        <f>IF(DPS_Graph_True_Speed=TRUE,IF($A1051&lt;=DPS_Graph_Max,IF($A1051&gt;=DPS_Graph_Speed_Min,1/B1051,),),)</f>
        <v/>
      </c>
      <c r="D1051" s="115" t="str">
        <f>IF(DPS_Graph_True_Speed=TRUE,IF($E$8=$A1051,DPS_Attacks_P_Sec,),)</f>
        <v/>
      </c>
      <c r="E1051" s="222">
        <f>ROUNDDOWN(MAX(2,IF(A1051&gt;=0, DPS_Base_Wpn_Spd/(1+A1051),DPS_Base_Wpn_Spd*(1+ABS(A1051)))),0)</f>
        <v>2</v>
      </c>
      <c r="F1051" s="232">
        <f>IF(A1051&gt;=0, DPS_Base_Recoil/(1+A1051),DPS_Base_Recoil)</f>
        <v>0.00550660793</v>
      </c>
      <c r="G1051" s="377">
        <f t="shared" si="7"/>
        <v>0.51</v>
      </c>
      <c r="H1051" s="377">
        <f t="shared" si="8"/>
        <v>0.007923930269</v>
      </c>
      <c r="I1051" s="104"/>
      <c r="J1051" s="377">
        <f>MAX(0, Max(25,(DPS_Base_Range + ((DPS_Range_Stat) / 2))) / MIN(MAX(70, (70 * (1 + ($A1051 / 3)))), 120))</f>
        <v>3.333333333</v>
      </c>
      <c r="K1051" s="115" t="str">
        <f>IF(A1051&lt;=DPS_Graph_Max,IF(A1051&gt;=DPS_Graph_Speed_Min,A1051,),)</f>
        <v/>
      </c>
      <c r="M1051" s="213">
        <f>If(DPS_Weapon_Type="远程",$E1051/60+$F1051*2,$E1051/60+$F1051+$G1051/2+$H1051)</f>
        <v>0.04434654919</v>
      </c>
      <c r="N1051" s="104" t="str">
        <f>IF(DPS_Graph_Tooltip_Speed=TRUE,IF($A1051&lt;=DPS_Graph_Max,IF($A1051&gt;=DPS_Graph_Speed_Min,1/M1051,),),)</f>
        <v/>
      </c>
      <c r="R1051" s="104" t="str">
        <f>IF(DPS_Graph_Tooltip_Speed=TRUE,IF($E$8=$A1051,1/$N$6,),)</f>
        <v/>
      </c>
    </row>
    <row r="1052">
      <c r="A1052" s="370">
        <v>8.09</v>
      </c>
      <c r="B1052" s="213">
        <f>If(DPS_Weapon_Type="远程",($E1052+1)/60+(ROUNDDOWN($F1052*60+1,0)/60)*2,(ROUNDDOWN(($E1052+1)+ROUNDDOWN($F1052*60+1,0)+ROUNDDOWN($G1052/2*60+1,0)+ROUNDDOWN($H1052*60+1,0)+1,0))/60+If(DPS_ATK_TYPE="挥砍",1/60)+If(DPS_ATK_TYPE="挥砍/刺击",1/120))+DPS_Weapon_Randomization/60</f>
        <v>0.105</v>
      </c>
      <c r="C1052" s="104" t="str">
        <f>IF(DPS_Graph_True_Speed=TRUE,IF($A1052&lt;=DPS_Graph_Max,IF($A1052&gt;=DPS_Graph_Speed_Min,1/B1052,),),)</f>
        <v/>
      </c>
      <c r="D1052" s="115" t="str">
        <f>IF(DPS_Graph_True_Speed=TRUE,IF($E$8=$A1052,DPS_Attacks_P_Sec,),)</f>
        <v/>
      </c>
      <c r="E1052" s="222">
        <f>ROUNDDOWN(MAX(2,IF(A1052&gt;=0, DPS_Base_Wpn_Spd/(1+A1052),DPS_Base_Wpn_Spd*(1+ABS(A1052)))),0)</f>
        <v>2</v>
      </c>
      <c r="F1052" s="232">
        <f>IF(A1052&gt;=0, DPS_Base_Recoil/(1+A1052),DPS_Base_Recoil)</f>
        <v>0.005500550055</v>
      </c>
      <c r="G1052" s="377">
        <f t="shared" si="7"/>
        <v>0.51</v>
      </c>
      <c r="H1052" s="377">
        <f t="shared" si="8"/>
        <v>0.00791452315</v>
      </c>
      <c r="I1052" s="104"/>
      <c r="J1052" s="377">
        <f>MAX(0, Max(25,(DPS_Base_Range + ((DPS_Range_Stat) / 2))) / MIN(MAX(70, (70 * (1 + ($A1052 / 3)))), 120))</f>
        <v>3.333333333</v>
      </c>
      <c r="K1052" s="115" t="str">
        <f>IF(A1052&lt;=DPS_Graph_Max,IF(A1052&gt;=DPS_Graph_Speed_Min,A1052,),)</f>
        <v/>
      </c>
      <c r="M1052" s="213">
        <f>If(DPS_Weapon_Type="远程",$E1052/60+$F1052*2,$E1052/60+$F1052+$G1052/2+$H1052)</f>
        <v>0.04433443344</v>
      </c>
      <c r="N1052" s="104" t="str">
        <f>IF(DPS_Graph_Tooltip_Speed=TRUE,IF($A1052&lt;=DPS_Graph_Max,IF($A1052&gt;=DPS_Graph_Speed_Min,1/M1052,),),)</f>
        <v/>
      </c>
      <c r="R1052" s="104" t="str">
        <f>IF(DPS_Graph_Tooltip_Speed=TRUE,IF($E$8=$A1052,1/$N$6,),)</f>
        <v/>
      </c>
    </row>
    <row r="1053">
      <c r="A1053" s="370">
        <v>8.1</v>
      </c>
      <c r="B1053" s="213">
        <f>If(DPS_Weapon_Type="远程",($E1053+1)/60+(ROUNDDOWN($F1053*60+1,0)/60)*2,(ROUNDDOWN(($E1053+1)+ROUNDDOWN($F1053*60+1,0)+ROUNDDOWN($G1053/2*60+1,0)+ROUNDDOWN($H1053*60+1,0)+1,0))/60+If(DPS_ATK_TYPE="挥砍",1/60)+If(DPS_ATK_TYPE="挥砍/刺击",1/120))+DPS_Weapon_Randomization/60</f>
        <v>0.105</v>
      </c>
      <c r="C1053" s="104" t="str">
        <f>IF(DPS_Graph_True_Speed=TRUE,IF($A1053&lt;=DPS_Graph_Max,IF($A1053&gt;=DPS_Graph_Speed_Min,1/B1053,),),)</f>
        <v/>
      </c>
      <c r="D1053" s="115" t="str">
        <f>IF(DPS_Graph_True_Speed=TRUE,IF($E$8=$A1053,DPS_Attacks_P_Sec,),)</f>
        <v/>
      </c>
      <c r="E1053" s="222">
        <f>ROUNDDOWN(MAX(2,IF(A1053&gt;=0, DPS_Base_Wpn_Spd/(1+A1053),DPS_Base_Wpn_Spd*(1+ABS(A1053)))),0)</f>
        <v>2</v>
      </c>
      <c r="F1053" s="232">
        <f>IF(A1053&gt;=0, DPS_Base_Recoil/(1+A1053),DPS_Base_Recoil)</f>
        <v>0.005494505495</v>
      </c>
      <c r="G1053" s="377">
        <f t="shared" si="7"/>
        <v>0.51</v>
      </c>
      <c r="H1053" s="377">
        <f t="shared" si="8"/>
        <v>0.00790513834</v>
      </c>
      <c r="I1053" s="104"/>
      <c r="J1053" s="377">
        <f>MAX(0, Max(25,(DPS_Base_Range + ((DPS_Range_Stat) / 2))) / MIN(MAX(70, (70 * (1 + ($A1053 / 3)))), 120))</f>
        <v>3.333333333</v>
      </c>
      <c r="K1053" s="115" t="str">
        <f>IF(A1053&lt;=DPS_Graph_Max,IF(A1053&gt;=DPS_Graph_Speed_Min,A1053,),)</f>
        <v/>
      </c>
      <c r="M1053" s="213">
        <f>If(DPS_Weapon_Type="远程",$E1053/60+$F1053*2,$E1053/60+$F1053+$G1053/2+$H1053)</f>
        <v>0.04432234432</v>
      </c>
      <c r="N1053" s="104" t="str">
        <f>IF(DPS_Graph_Tooltip_Speed=TRUE,IF($A1053&lt;=DPS_Graph_Max,IF($A1053&gt;=DPS_Graph_Speed_Min,1/M1053,),),)</f>
        <v/>
      </c>
      <c r="R1053" s="104" t="str">
        <f>IF(DPS_Graph_Tooltip_Speed=TRUE,IF($E$8=$A1053,1/$N$6,),)</f>
        <v/>
      </c>
    </row>
    <row r="1054">
      <c r="A1054" s="370">
        <v>8.11</v>
      </c>
      <c r="B1054" s="213">
        <f>If(DPS_Weapon_Type="远程",($E1054+1)/60+(ROUNDDOWN($F1054*60+1,0)/60)*2,(ROUNDDOWN(($E1054+1)+ROUNDDOWN($F1054*60+1,0)+ROUNDDOWN($G1054/2*60+1,0)+ROUNDDOWN($H1054*60+1,0)+1,0))/60+If(DPS_ATK_TYPE="挥砍",1/60)+If(DPS_ATK_TYPE="挥砍/刺击",1/120))+DPS_Weapon_Randomization/60</f>
        <v>0.105</v>
      </c>
      <c r="C1054" s="104" t="str">
        <f>IF(DPS_Graph_True_Speed=TRUE,IF($A1054&lt;=DPS_Graph_Max,IF($A1054&gt;=DPS_Graph_Speed_Min,1/B1054,),),)</f>
        <v/>
      </c>
      <c r="D1054" s="115" t="str">
        <f>IF(DPS_Graph_True_Speed=TRUE,IF($E$8=$A1054,DPS_Attacks_P_Sec,),)</f>
        <v/>
      </c>
      <c r="E1054" s="222">
        <f>ROUNDDOWN(MAX(2,IF(A1054&gt;=0, DPS_Base_Wpn_Spd/(1+A1054),DPS_Base_Wpn_Spd*(1+ABS(A1054)))),0)</f>
        <v>2</v>
      </c>
      <c r="F1054" s="232">
        <f>IF(A1054&gt;=0, DPS_Base_Recoil/(1+A1054),DPS_Base_Recoil)</f>
        <v>0.005488474204</v>
      </c>
      <c r="G1054" s="377">
        <f t="shared" si="7"/>
        <v>0.51</v>
      </c>
      <c r="H1054" s="377">
        <f t="shared" si="8"/>
        <v>0.00789577576</v>
      </c>
      <c r="I1054" s="104"/>
      <c r="J1054" s="377">
        <f>MAX(0, Max(25,(DPS_Base_Range + ((DPS_Range_Stat) / 2))) / MIN(MAX(70, (70 * (1 + ($A1054 / 3)))), 120))</f>
        <v>3.333333333</v>
      </c>
      <c r="K1054" s="115" t="str">
        <f>IF(A1054&lt;=DPS_Graph_Max,IF(A1054&gt;=DPS_Graph_Speed_Min,A1054,),)</f>
        <v/>
      </c>
      <c r="M1054" s="213">
        <f>If(DPS_Weapon_Type="远程",$E1054/60+$F1054*2,$E1054/60+$F1054+$G1054/2+$H1054)</f>
        <v>0.04431028174</v>
      </c>
      <c r="N1054" s="104" t="str">
        <f>IF(DPS_Graph_Tooltip_Speed=TRUE,IF($A1054&lt;=DPS_Graph_Max,IF($A1054&gt;=DPS_Graph_Speed_Min,1/M1054,),),)</f>
        <v/>
      </c>
      <c r="R1054" s="104" t="str">
        <f>IF(DPS_Graph_Tooltip_Speed=TRUE,IF($E$8=$A1054,1/$N$6,),)</f>
        <v/>
      </c>
    </row>
    <row r="1055">
      <c r="A1055" s="370">
        <v>8.12</v>
      </c>
      <c r="B1055" s="213">
        <f>If(DPS_Weapon_Type="远程",($E1055+1)/60+(ROUNDDOWN($F1055*60+1,0)/60)*2,(ROUNDDOWN(($E1055+1)+ROUNDDOWN($F1055*60+1,0)+ROUNDDOWN($G1055/2*60+1,0)+ROUNDDOWN($H1055*60+1,0)+1,0))/60+If(DPS_ATK_TYPE="挥砍",1/60)+If(DPS_ATK_TYPE="挥砍/刺击",1/120))+DPS_Weapon_Randomization/60</f>
        <v>0.105</v>
      </c>
      <c r="C1055" s="104" t="str">
        <f>IF(DPS_Graph_True_Speed=TRUE,IF($A1055&lt;=DPS_Graph_Max,IF($A1055&gt;=DPS_Graph_Speed_Min,1/B1055,),),)</f>
        <v/>
      </c>
      <c r="D1055" s="115" t="str">
        <f>IF(DPS_Graph_True_Speed=TRUE,IF($E$8=$A1055,DPS_Attacks_P_Sec,),)</f>
        <v/>
      </c>
      <c r="E1055" s="222">
        <f>ROUNDDOWN(MAX(2,IF(A1055&gt;=0, DPS_Base_Wpn_Spd/(1+A1055),DPS_Base_Wpn_Spd*(1+ABS(A1055)))),0)</f>
        <v>2</v>
      </c>
      <c r="F1055" s="232">
        <f>IF(A1055&gt;=0, DPS_Base_Recoil/(1+A1055),DPS_Base_Recoil)</f>
        <v>0.00548245614</v>
      </c>
      <c r="G1055" s="377">
        <f t="shared" si="7"/>
        <v>0.51</v>
      </c>
      <c r="H1055" s="377">
        <f t="shared" si="8"/>
        <v>0.007886435331</v>
      </c>
      <c r="I1055" s="104"/>
      <c r="J1055" s="377">
        <f>MAX(0, Max(25,(DPS_Base_Range + ((DPS_Range_Stat) / 2))) / MIN(MAX(70, (70 * (1 + ($A1055 / 3)))), 120))</f>
        <v>3.333333333</v>
      </c>
      <c r="K1055" s="115" t="str">
        <f>IF(A1055&lt;=DPS_Graph_Max,IF(A1055&gt;=DPS_Graph_Speed_Min,A1055,),)</f>
        <v/>
      </c>
      <c r="M1055" s="213">
        <f>If(DPS_Weapon_Type="远程",$E1055/60+$F1055*2,$E1055/60+$F1055+$G1055/2+$H1055)</f>
        <v>0.04429824561</v>
      </c>
      <c r="N1055" s="104" t="str">
        <f>IF(DPS_Graph_Tooltip_Speed=TRUE,IF($A1055&lt;=DPS_Graph_Max,IF($A1055&gt;=DPS_Graph_Speed_Min,1/M1055,),),)</f>
        <v/>
      </c>
      <c r="R1055" s="104" t="str">
        <f>IF(DPS_Graph_Tooltip_Speed=TRUE,IF($E$8=$A1055,1/$N$6,),)</f>
        <v/>
      </c>
    </row>
    <row r="1056">
      <c r="A1056" s="370">
        <v>8.13</v>
      </c>
      <c r="B1056" s="213">
        <f>If(DPS_Weapon_Type="远程",($E1056+1)/60+(ROUNDDOWN($F1056*60+1,0)/60)*2,(ROUNDDOWN(($E1056+1)+ROUNDDOWN($F1056*60+1,0)+ROUNDDOWN($G1056/2*60+1,0)+ROUNDDOWN($H1056*60+1,0)+1,0))/60+If(DPS_ATK_TYPE="挥砍",1/60)+If(DPS_ATK_TYPE="挥砍/刺击",1/120))+DPS_Weapon_Randomization/60</f>
        <v>0.105</v>
      </c>
      <c r="C1056" s="104" t="str">
        <f>IF(DPS_Graph_True_Speed=TRUE,IF($A1056&lt;=DPS_Graph_Max,IF($A1056&gt;=DPS_Graph_Speed_Min,1/B1056,),),)</f>
        <v/>
      </c>
      <c r="D1056" s="115" t="str">
        <f>IF(DPS_Graph_True_Speed=TRUE,IF($E$8=$A1056,DPS_Attacks_P_Sec,),)</f>
        <v/>
      </c>
      <c r="E1056" s="222">
        <f>ROUNDDOWN(MAX(2,IF(A1056&gt;=0, DPS_Base_Wpn_Spd/(1+A1056),DPS_Base_Wpn_Spd*(1+ABS(A1056)))),0)</f>
        <v>2</v>
      </c>
      <c r="F1056" s="232">
        <f>IF(A1056&gt;=0, DPS_Base_Recoil/(1+A1056),DPS_Base_Recoil)</f>
        <v>0.00547645126</v>
      </c>
      <c r="G1056" s="377">
        <f t="shared" si="7"/>
        <v>0.51</v>
      </c>
      <c r="H1056" s="377">
        <f t="shared" si="8"/>
        <v>0.007877116975</v>
      </c>
      <c r="I1056" s="104"/>
      <c r="J1056" s="377">
        <f>MAX(0, Max(25,(DPS_Base_Range + ((DPS_Range_Stat) / 2))) / MIN(MAX(70, (70 * (1 + ($A1056 / 3)))), 120))</f>
        <v>3.333333333</v>
      </c>
      <c r="K1056" s="115" t="str">
        <f>IF(A1056&lt;=DPS_Graph_Max,IF(A1056&gt;=DPS_Graph_Speed_Min,A1056,),)</f>
        <v/>
      </c>
      <c r="M1056" s="213">
        <f>If(DPS_Weapon_Type="远程",$E1056/60+$F1056*2,$E1056/60+$F1056+$G1056/2+$H1056)</f>
        <v>0.04428623585</v>
      </c>
      <c r="N1056" s="104" t="str">
        <f>IF(DPS_Graph_Tooltip_Speed=TRUE,IF($A1056&lt;=DPS_Graph_Max,IF($A1056&gt;=DPS_Graph_Speed_Min,1/M1056,),),)</f>
        <v/>
      </c>
      <c r="R1056" s="104" t="str">
        <f>IF(DPS_Graph_Tooltip_Speed=TRUE,IF($E$8=$A1056,1/$N$6,),)</f>
        <v/>
      </c>
    </row>
    <row r="1057">
      <c r="A1057" s="370">
        <v>8.14</v>
      </c>
      <c r="B1057" s="213">
        <f>If(DPS_Weapon_Type="远程",($E1057+1)/60+(ROUNDDOWN($F1057*60+1,0)/60)*2,(ROUNDDOWN(($E1057+1)+ROUNDDOWN($F1057*60+1,0)+ROUNDDOWN($G1057/2*60+1,0)+ROUNDDOWN($H1057*60+1,0)+1,0))/60+If(DPS_ATK_TYPE="挥砍",1/60)+If(DPS_ATK_TYPE="挥砍/刺击",1/120))+DPS_Weapon_Randomization/60</f>
        <v>0.105</v>
      </c>
      <c r="C1057" s="104" t="str">
        <f>IF(DPS_Graph_True_Speed=TRUE,IF($A1057&lt;=DPS_Graph_Max,IF($A1057&gt;=DPS_Graph_Speed_Min,1/B1057,),),)</f>
        <v/>
      </c>
      <c r="D1057" s="115" t="str">
        <f>IF(DPS_Graph_True_Speed=TRUE,IF($E$8=$A1057,DPS_Attacks_P_Sec,),)</f>
        <v/>
      </c>
      <c r="E1057" s="222">
        <f>ROUNDDOWN(MAX(2,IF(A1057&gt;=0, DPS_Base_Wpn_Spd/(1+A1057),DPS_Base_Wpn_Spd*(1+ABS(A1057)))),0)</f>
        <v>2</v>
      </c>
      <c r="F1057" s="232">
        <f>IF(A1057&gt;=0, DPS_Base_Recoil/(1+A1057),DPS_Base_Recoil)</f>
        <v>0.005470459519</v>
      </c>
      <c r="G1057" s="377">
        <f t="shared" si="7"/>
        <v>0.51</v>
      </c>
      <c r="H1057" s="377">
        <f t="shared" si="8"/>
        <v>0.007867820614</v>
      </c>
      <c r="I1057" s="104"/>
      <c r="J1057" s="377">
        <f>MAX(0, Max(25,(DPS_Base_Range + ((DPS_Range_Stat) / 2))) / MIN(MAX(70, (70 * (1 + ($A1057 / 3)))), 120))</f>
        <v>3.333333333</v>
      </c>
      <c r="K1057" s="115" t="str">
        <f>IF(A1057&lt;=DPS_Graph_Max,IF(A1057&gt;=DPS_Graph_Speed_Min,A1057,),)</f>
        <v/>
      </c>
      <c r="M1057" s="213">
        <f>If(DPS_Weapon_Type="远程",$E1057/60+$F1057*2,$E1057/60+$F1057+$G1057/2+$H1057)</f>
        <v>0.04427425237</v>
      </c>
      <c r="N1057" s="104" t="str">
        <f>IF(DPS_Graph_Tooltip_Speed=TRUE,IF($A1057&lt;=DPS_Graph_Max,IF($A1057&gt;=DPS_Graph_Speed_Min,1/M1057,),),)</f>
        <v/>
      </c>
      <c r="R1057" s="104" t="str">
        <f>IF(DPS_Graph_Tooltip_Speed=TRUE,IF($E$8=$A1057,1/$N$6,),)</f>
        <v/>
      </c>
    </row>
    <row r="1058">
      <c r="A1058" s="370">
        <v>8.15</v>
      </c>
      <c r="B1058" s="213">
        <f>If(DPS_Weapon_Type="远程",($E1058+1)/60+(ROUNDDOWN($F1058*60+1,0)/60)*2,(ROUNDDOWN(($E1058+1)+ROUNDDOWN($F1058*60+1,0)+ROUNDDOWN($G1058/2*60+1,0)+ROUNDDOWN($H1058*60+1,0)+1,0))/60+If(DPS_ATK_TYPE="挥砍",1/60)+If(DPS_ATK_TYPE="挥砍/刺击",1/120))+DPS_Weapon_Randomization/60</f>
        <v>0.105</v>
      </c>
      <c r="C1058" s="104" t="str">
        <f>IF(DPS_Graph_True_Speed=TRUE,IF($A1058&lt;=DPS_Graph_Max,IF($A1058&gt;=DPS_Graph_Speed_Min,1/B1058,),),)</f>
        <v/>
      </c>
      <c r="D1058" s="115" t="str">
        <f>IF(DPS_Graph_True_Speed=TRUE,IF($E$8=$A1058,DPS_Attacks_P_Sec,),)</f>
        <v/>
      </c>
      <c r="E1058" s="222">
        <f>ROUNDDOWN(MAX(2,IF(A1058&gt;=0, DPS_Base_Wpn_Spd/(1+A1058),DPS_Base_Wpn_Spd*(1+ABS(A1058)))),0)</f>
        <v>2</v>
      </c>
      <c r="F1058" s="232">
        <f>IF(A1058&gt;=0, DPS_Base_Recoil/(1+A1058),DPS_Base_Recoil)</f>
        <v>0.005464480874</v>
      </c>
      <c r="G1058" s="377">
        <f t="shared" si="7"/>
        <v>0.51</v>
      </c>
      <c r="H1058" s="377">
        <f t="shared" si="8"/>
        <v>0.007858546169</v>
      </c>
      <c r="I1058" s="104"/>
      <c r="J1058" s="377">
        <f>MAX(0, Max(25,(DPS_Base_Range + ((DPS_Range_Stat) / 2))) / MIN(MAX(70, (70 * (1 + ($A1058 / 3)))), 120))</f>
        <v>3.333333333</v>
      </c>
      <c r="K1058" s="115" t="str">
        <f>IF(A1058&lt;=DPS_Graph_Max,IF(A1058&gt;=DPS_Graph_Speed_Min,A1058,),)</f>
        <v/>
      </c>
      <c r="M1058" s="213">
        <f>If(DPS_Weapon_Type="远程",$E1058/60+$F1058*2,$E1058/60+$F1058+$G1058/2+$H1058)</f>
        <v>0.04426229508</v>
      </c>
      <c r="N1058" s="104" t="str">
        <f>IF(DPS_Graph_Tooltip_Speed=TRUE,IF($A1058&lt;=DPS_Graph_Max,IF($A1058&gt;=DPS_Graph_Speed_Min,1/M1058,),),)</f>
        <v/>
      </c>
      <c r="R1058" s="104" t="str">
        <f>IF(DPS_Graph_Tooltip_Speed=TRUE,IF($E$8=$A1058,1/$N$6,),)</f>
        <v/>
      </c>
    </row>
    <row r="1059">
      <c r="A1059" s="370">
        <v>8.16</v>
      </c>
      <c r="B1059" s="213">
        <f>If(DPS_Weapon_Type="远程",($E1059+1)/60+(ROUNDDOWN($F1059*60+1,0)/60)*2,(ROUNDDOWN(($E1059+1)+ROUNDDOWN($F1059*60+1,0)+ROUNDDOWN($G1059/2*60+1,0)+ROUNDDOWN($H1059*60+1,0)+1,0))/60+If(DPS_ATK_TYPE="挥砍",1/60)+If(DPS_ATK_TYPE="挥砍/刺击",1/120))+DPS_Weapon_Randomization/60</f>
        <v>0.105</v>
      </c>
      <c r="C1059" s="104" t="str">
        <f>IF(DPS_Graph_True_Speed=TRUE,IF($A1059&lt;=DPS_Graph_Max,IF($A1059&gt;=DPS_Graph_Speed_Min,1/B1059,),),)</f>
        <v/>
      </c>
      <c r="D1059" s="115" t="str">
        <f>IF(DPS_Graph_True_Speed=TRUE,IF($E$8=$A1059,DPS_Attacks_P_Sec,),)</f>
        <v/>
      </c>
      <c r="E1059" s="222">
        <f>ROUNDDOWN(MAX(2,IF(A1059&gt;=0, DPS_Base_Wpn_Spd/(1+A1059),DPS_Base_Wpn_Spd*(1+ABS(A1059)))),0)</f>
        <v>2</v>
      </c>
      <c r="F1059" s="232">
        <f>IF(A1059&gt;=0, DPS_Base_Recoil/(1+A1059),DPS_Base_Recoil)</f>
        <v>0.005458515284</v>
      </c>
      <c r="G1059" s="377">
        <f t="shared" si="7"/>
        <v>0.51</v>
      </c>
      <c r="H1059" s="377">
        <f t="shared" si="8"/>
        <v>0.007849293564</v>
      </c>
      <c r="I1059" s="104"/>
      <c r="J1059" s="377">
        <f>MAX(0, Max(25,(DPS_Base_Range + ((DPS_Range_Stat) / 2))) / MIN(MAX(70, (70 * (1 + ($A1059 / 3)))), 120))</f>
        <v>3.333333333</v>
      </c>
      <c r="K1059" s="115" t="str">
        <f>IF(A1059&lt;=DPS_Graph_Max,IF(A1059&gt;=DPS_Graph_Speed_Min,A1059,),)</f>
        <v/>
      </c>
      <c r="M1059" s="213">
        <f>If(DPS_Weapon_Type="远程",$E1059/60+$F1059*2,$E1059/60+$F1059+$G1059/2+$H1059)</f>
        <v>0.0442503639</v>
      </c>
      <c r="N1059" s="104" t="str">
        <f>IF(DPS_Graph_Tooltip_Speed=TRUE,IF($A1059&lt;=DPS_Graph_Max,IF($A1059&gt;=DPS_Graph_Speed_Min,1/M1059,),),)</f>
        <v/>
      </c>
      <c r="R1059" s="104" t="str">
        <f>IF(DPS_Graph_Tooltip_Speed=TRUE,IF($E$8=$A1059,1/$N$6,),)</f>
        <v/>
      </c>
    </row>
    <row r="1060">
      <c r="A1060" s="370">
        <v>8.17</v>
      </c>
      <c r="B1060" s="213">
        <f>If(DPS_Weapon_Type="远程",($E1060+1)/60+(ROUNDDOWN($F1060*60+1,0)/60)*2,(ROUNDDOWN(($E1060+1)+ROUNDDOWN($F1060*60+1,0)+ROUNDDOWN($G1060/2*60+1,0)+ROUNDDOWN($H1060*60+1,0)+1,0))/60+If(DPS_ATK_TYPE="挥砍",1/60)+If(DPS_ATK_TYPE="挥砍/刺击",1/120))+DPS_Weapon_Randomization/60</f>
        <v>0.105</v>
      </c>
      <c r="C1060" s="104" t="str">
        <f>IF(DPS_Graph_True_Speed=TRUE,IF($A1060&lt;=DPS_Graph_Max,IF($A1060&gt;=DPS_Graph_Speed_Min,1/B1060,),),)</f>
        <v/>
      </c>
      <c r="D1060" s="115" t="str">
        <f>IF(DPS_Graph_True_Speed=TRUE,IF($E$8=$A1060,DPS_Attacks_P_Sec,),)</f>
        <v/>
      </c>
      <c r="E1060" s="222">
        <f>ROUNDDOWN(MAX(2,IF(A1060&gt;=0, DPS_Base_Wpn_Spd/(1+A1060),DPS_Base_Wpn_Spd*(1+ABS(A1060)))),0)</f>
        <v>2</v>
      </c>
      <c r="F1060" s="232">
        <f>IF(A1060&gt;=0, DPS_Base_Recoil/(1+A1060),DPS_Base_Recoil)</f>
        <v>0.005452562704</v>
      </c>
      <c r="G1060" s="377">
        <f t="shared" si="7"/>
        <v>0.51</v>
      </c>
      <c r="H1060" s="377">
        <f t="shared" si="8"/>
        <v>0.007840062721</v>
      </c>
      <c r="I1060" s="104"/>
      <c r="J1060" s="377">
        <f>MAX(0, Max(25,(DPS_Base_Range + ((DPS_Range_Stat) / 2))) / MIN(MAX(70, (70 * (1 + ($A1060 / 3)))), 120))</f>
        <v>3.333333333</v>
      </c>
      <c r="K1060" s="115" t="str">
        <f>IF(A1060&lt;=DPS_Graph_Max,IF(A1060&gt;=DPS_Graph_Speed_Min,A1060,),)</f>
        <v/>
      </c>
      <c r="M1060" s="213">
        <f>If(DPS_Weapon_Type="远程",$E1060/60+$F1060*2,$E1060/60+$F1060+$G1060/2+$H1060)</f>
        <v>0.04423845874</v>
      </c>
      <c r="N1060" s="104" t="str">
        <f>IF(DPS_Graph_Tooltip_Speed=TRUE,IF($A1060&lt;=DPS_Graph_Max,IF($A1060&gt;=DPS_Graph_Speed_Min,1/M1060,),),)</f>
        <v/>
      </c>
      <c r="R1060" s="104" t="str">
        <f>IF(DPS_Graph_Tooltip_Speed=TRUE,IF($E$8=$A1060,1/$N$6,),)</f>
        <v/>
      </c>
    </row>
    <row r="1061">
      <c r="A1061" s="370">
        <v>8.18</v>
      </c>
      <c r="B1061" s="213">
        <f>If(DPS_Weapon_Type="远程",($E1061+1)/60+(ROUNDDOWN($F1061*60+1,0)/60)*2,(ROUNDDOWN(($E1061+1)+ROUNDDOWN($F1061*60+1,0)+ROUNDDOWN($G1061/2*60+1,0)+ROUNDDOWN($H1061*60+1,0)+1,0))/60+If(DPS_ATK_TYPE="挥砍",1/60)+If(DPS_ATK_TYPE="挥砍/刺击",1/120))+DPS_Weapon_Randomization/60</f>
        <v>0.105</v>
      </c>
      <c r="C1061" s="104" t="str">
        <f>IF(DPS_Graph_True_Speed=TRUE,IF($A1061&lt;=DPS_Graph_Max,IF($A1061&gt;=DPS_Graph_Speed_Min,1/B1061,),),)</f>
        <v/>
      </c>
      <c r="D1061" s="115" t="str">
        <f>IF(DPS_Graph_True_Speed=TRUE,IF($E$8=$A1061,DPS_Attacks_P_Sec,),)</f>
        <v/>
      </c>
      <c r="E1061" s="222">
        <f>ROUNDDOWN(MAX(2,IF(A1061&gt;=0, DPS_Base_Wpn_Spd/(1+A1061),DPS_Base_Wpn_Spd*(1+ABS(A1061)))),0)</f>
        <v>2</v>
      </c>
      <c r="F1061" s="232">
        <f>IF(A1061&gt;=0, DPS_Base_Recoil/(1+A1061),DPS_Base_Recoil)</f>
        <v>0.005446623094</v>
      </c>
      <c r="G1061" s="377">
        <f t="shared" si="7"/>
        <v>0.51</v>
      </c>
      <c r="H1061" s="377">
        <f t="shared" si="8"/>
        <v>0.007830853563</v>
      </c>
      <c r="I1061" s="104"/>
      <c r="J1061" s="377">
        <f>MAX(0, Max(25,(DPS_Base_Range + ((DPS_Range_Stat) / 2))) / MIN(MAX(70, (70 * (1 + ($A1061 / 3)))), 120))</f>
        <v>3.333333333</v>
      </c>
      <c r="K1061" s="115" t="str">
        <f>IF(A1061&lt;=DPS_Graph_Max,IF(A1061&gt;=DPS_Graph_Speed_Min,A1061,),)</f>
        <v/>
      </c>
      <c r="M1061" s="213">
        <f>If(DPS_Weapon_Type="远程",$E1061/60+$F1061*2,$E1061/60+$F1061+$G1061/2+$H1061)</f>
        <v>0.04422657952</v>
      </c>
      <c r="N1061" s="104" t="str">
        <f>IF(DPS_Graph_Tooltip_Speed=TRUE,IF($A1061&lt;=DPS_Graph_Max,IF($A1061&gt;=DPS_Graph_Speed_Min,1/M1061,),),)</f>
        <v/>
      </c>
      <c r="R1061" s="104" t="str">
        <f>IF(DPS_Graph_Tooltip_Speed=TRUE,IF($E$8=$A1061,1/$N$6,),)</f>
        <v/>
      </c>
    </row>
    <row r="1062">
      <c r="A1062" s="370">
        <v>8.19</v>
      </c>
      <c r="B1062" s="213">
        <f>If(DPS_Weapon_Type="远程",($E1062+1)/60+(ROUNDDOWN($F1062*60+1,0)/60)*2,(ROUNDDOWN(($E1062+1)+ROUNDDOWN($F1062*60+1,0)+ROUNDDOWN($G1062/2*60+1,0)+ROUNDDOWN($H1062*60+1,0)+1,0))/60+If(DPS_ATK_TYPE="挥砍",1/60)+If(DPS_ATK_TYPE="挥砍/刺击",1/120))+DPS_Weapon_Randomization/60</f>
        <v>0.105</v>
      </c>
      <c r="C1062" s="104" t="str">
        <f>IF(DPS_Graph_True_Speed=TRUE,IF($A1062&lt;=DPS_Graph_Max,IF($A1062&gt;=DPS_Graph_Speed_Min,1/B1062,),),)</f>
        <v/>
      </c>
      <c r="D1062" s="115" t="str">
        <f>IF(DPS_Graph_True_Speed=TRUE,IF($E$8=$A1062,DPS_Attacks_P_Sec,),)</f>
        <v/>
      </c>
      <c r="E1062" s="222">
        <f>ROUNDDOWN(MAX(2,IF(A1062&gt;=0, DPS_Base_Wpn_Spd/(1+A1062),DPS_Base_Wpn_Spd*(1+ABS(A1062)))),0)</f>
        <v>2</v>
      </c>
      <c r="F1062" s="232">
        <f>IF(A1062&gt;=0, DPS_Base_Recoil/(1+A1062),DPS_Base_Recoil)</f>
        <v>0.005440696409</v>
      </c>
      <c r="G1062" s="377">
        <f t="shared" si="7"/>
        <v>0.51</v>
      </c>
      <c r="H1062" s="377">
        <f t="shared" si="8"/>
        <v>0.007821666015</v>
      </c>
      <c r="I1062" s="104"/>
      <c r="J1062" s="377">
        <f>MAX(0, Max(25,(DPS_Base_Range + ((DPS_Range_Stat) / 2))) / MIN(MAX(70, (70 * (1 + ($A1062 / 3)))), 120))</f>
        <v>3.333333333</v>
      </c>
      <c r="K1062" s="115" t="str">
        <f>IF(A1062&lt;=DPS_Graph_Max,IF(A1062&gt;=DPS_Graph_Speed_Min,A1062,),)</f>
        <v/>
      </c>
      <c r="M1062" s="213">
        <f>If(DPS_Weapon_Type="远程",$E1062/60+$F1062*2,$E1062/60+$F1062+$G1062/2+$H1062)</f>
        <v>0.04421472615</v>
      </c>
      <c r="N1062" s="104" t="str">
        <f>IF(DPS_Graph_Tooltip_Speed=TRUE,IF($A1062&lt;=DPS_Graph_Max,IF($A1062&gt;=DPS_Graph_Speed_Min,1/M1062,),),)</f>
        <v/>
      </c>
      <c r="R1062" s="104" t="str">
        <f>IF(DPS_Graph_Tooltip_Speed=TRUE,IF($E$8=$A1062,1/$N$6,),)</f>
        <v/>
      </c>
    </row>
    <row r="1063">
      <c r="A1063" s="370">
        <v>8.2</v>
      </c>
      <c r="B1063" s="213">
        <f>If(DPS_Weapon_Type="远程",($E1063+1)/60+(ROUNDDOWN($F1063*60+1,0)/60)*2,(ROUNDDOWN(($E1063+1)+ROUNDDOWN($F1063*60+1,0)+ROUNDDOWN($G1063/2*60+1,0)+ROUNDDOWN($H1063*60+1,0)+1,0))/60+If(DPS_ATK_TYPE="挥砍",1/60)+If(DPS_ATK_TYPE="挥砍/刺击",1/120))+DPS_Weapon_Randomization/60</f>
        <v>0.105</v>
      </c>
      <c r="C1063" s="104" t="str">
        <f>IF(DPS_Graph_True_Speed=TRUE,IF($A1063&lt;=DPS_Graph_Max,IF($A1063&gt;=DPS_Graph_Speed_Min,1/B1063,),),)</f>
        <v/>
      </c>
      <c r="D1063" s="115" t="str">
        <f>IF(DPS_Graph_True_Speed=TRUE,IF($E$8=$A1063,DPS_Attacks_P_Sec,),)</f>
        <v/>
      </c>
      <c r="E1063" s="222">
        <f>ROUNDDOWN(MAX(2,IF(A1063&gt;=0, DPS_Base_Wpn_Spd/(1+A1063),DPS_Base_Wpn_Spd*(1+ABS(A1063)))),0)</f>
        <v>2</v>
      </c>
      <c r="F1063" s="232">
        <f>IF(A1063&gt;=0, DPS_Base_Recoil/(1+A1063),DPS_Base_Recoil)</f>
        <v>0.005434782609</v>
      </c>
      <c r="G1063" s="377">
        <f t="shared" si="7"/>
        <v>0.51</v>
      </c>
      <c r="H1063" s="377">
        <f t="shared" si="8"/>
        <v>0.0078125</v>
      </c>
      <c r="I1063" s="104"/>
      <c r="J1063" s="377">
        <f>MAX(0, Max(25,(DPS_Base_Range + ((DPS_Range_Stat) / 2))) / MIN(MAX(70, (70 * (1 + ($A1063 / 3)))), 120))</f>
        <v>3.333333333</v>
      </c>
      <c r="K1063" s="115" t="str">
        <f>IF(A1063&lt;=DPS_Graph_Max,IF(A1063&gt;=DPS_Graph_Speed_Min,A1063,),)</f>
        <v/>
      </c>
      <c r="M1063" s="213">
        <f>If(DPS_Weapon_Type="远程",$E1063/60+$F1063*2,$E1063/60+$F1063+$G1063/2+$H1063)</f>
        <v>0.04420289855</v>
      </c>
      <c r="N1063" s="104" t="str">
        <f>IF(DPS_Graph_Tooltip_Speed=TRUE,IF($A1063&lt;=DPS_Graph_Max,IF($A1063&gt;=DPS_Graph_Speed_Min,1/M1063,),),)</f>
        <v/>
      </c>
      <c r="R1063" s="104" t="str">
        <f>IF(DPS_Graph_Tooltip_Speed=TRUE,IF($E$8=$A1063,1/$N$6,),)</f>
        <v/>
      </c>
    </row>
    <row r="1064">
      <c r="A1064" s="370">
        <v>8.21</v>
      </c>
      <c r="B1064" s="213">
        <f>If(DPS_Weapon_Type="远程",($E1064+1)/60+(ROUNDDOWN($F1064*60+1,0)/60)*2,(ROUNDDOWN(($E1064+1)+ROUNDDOWN($F1064*60+1,0)+ROUNDDOWN($G1064/2*60+1,0)+ROUNDDOWN($H1064*60+1,0)+1,0))/60+If(DPS_ATK_TYPE="挥砍",1/60)+If(DPS_ATK_TYPE="挥砍/刺击",1/120))+DPS_Weapon_Randomization/60</f>
        <v>0.105</v>
      </c>
      <c r="C1064" s="104" t="str">
        <f>IF(DPS_Graph_True_Speed=TRUE,IF($A1064&lt;=DPS_Graph_Max,IF($A1064&gt;=DPS_Graph_Speed_Min,1/B1064,),),)</f>
        <v/>
      </c>
      <c r="D1064" s="115" t="str">
        <f>IF(DPS_Graph_True_Speed=TRUE,IF($E$8=$A1064,DPS_Attacks_P_Sec,),)</f>
        <v/>
      </c>
      <c r="E1064" s="222">
        <f>ROUNDDOWN(MAX(2,IF(A1064&gt;=0, DPS_Base_Wpn_Spd/(1+A1064),DPS_Base_Wpn_Spd*(1+ABS(A1064)))),0)</f>
        <v>2</v>
      </c>
      <c r="F1064" s="232">
        <f>IF(A1064&gt;=0, DPS_Base_Recoil/(1+A1064),DPS_Base_Recoil)</f>
        <v>0.00542888165</v>
      </c>
      <c r="G1064" s="377">
        <f t="shared" si="7"/>
        <v>0.51</v>
      </c>
      <c r="H1064" s="377">
        <f t="shared" si="8"/>
        <v>0.007803355443</v>
      </c>
      <c r="I1064" s="104"/>
      <c r="J1064" s="377">
        <f>MAX(0, Max(25,(DPS_Base_Range + ((DPS_Range_Stat) / 2))) / MIN(MAX(70, (70 * (1 + ($A1064 / 3)))), 120))</f>
        <v>3.333333333</v>
      </c>
      <c r="K1064" s="115" t="str">
        <f>IF(A1064&lt;=DPS_Graph_Max,IF(A1064&gt;=DPS_Graph_Speed_Min,A1064,),)</f>
        <v/>
      </c>
      <c r="M1064" s="213">
        <f>If(DPS_Weapon_Type="远程",$E1064/60+$F1064*2,$E1064/60+$F1064+$G1064/2+$H1064)</f>
        <v>0.04419109663</v>
      </c>
      <c r="N1064" s="104" t="str">
        <f>IF(DPS_Graph_Tooltip_Speed=TRUE,IF($A1064&lt;=DPS_Graph_Max,IF($A1064&gt;=DPS_Graph_Speed_Min,1/M1064,),),)</f>
        <v/>
      </c>
      <c r="R1064" s="104" t="str">
        <f>IF(DPS_Graph_Tooltip_Speed=TRUE,IF($E$8=$A1064,1/$N$6,),)</f>
        <v/>
      </c>
    </row>
    <row r="1065">
      <c r="A1065" s="370">
        <v>8.22</v>
      </c>
      <c r="B1065" s="213">
        <f>If(DPS_Weapon_Type="远程",($E1065+1)/60+(ROUNDDOWN($F1065*60+1,0)/60)*2,(ROUNDDOWN(($E1065+1)+ROUNDDOWN($F1065*60+1,0)+ROUNDDOWN($G1065/2*60+1,0)+ROUNDDOWN($H1065*60+1,0)+1,0))/60+If(DPS_ATK_TYPE="挥砍",1/60)+If(DPS_ATK_TYPE="挥砍/刺击",1/120))+DPS_Weapon_Randomization/60</f>
        <v>0.105</v>
      </c>
      <c r="C1065" s="104" t="str">
        <f>IF(DPS_Graph_True_Speed=TRUE,IF($A1065&lt;=DPS_Graph_Max,IF($A1065&gt;=DPS_Graph_Speed_Min,1/B1065,),),)</f>
        <v/>
      </c>
      <c r="D1065" s="115" t="str">
        <f>IF(DPS_Graph_True_Speed=TRUE,IF($E$8=$A1065,DPS_Attacks_P_Sec,),)</f>
        <v/>
      </c>
      <c r="E1065" s="222">
        <f>ROUNDDOWN(MAX(2,IF(A1065&gt;=0, DPS_Base_Wpn_Spd/(1+A1065),DPS_Base_Wpn_Spd*(1+ABS(A1065)))),0)</f>
        <v>2</v>
      </c>
      <c r="F1065" s="232">
        <f>IF(A1065&gt;=0, DPS_Base_Recoil/(1+A1065),DPS_Base_Recoil)</f>
        <v>0.005422993492</v>
      </c>
      <c r="G1065" s="377">
        <f t="shared" si="7"/>
        <v>0.51</v>
      </c>
      <c r="H1065" s="377">
        <f t="shared" si="8"/>
        <v>0.007794232268</v>
      </c>
      <c r="I1065" s="104"/>
      <c r="J1065" s="377">
        <f>MAX(0, Max(25,(DPS_Base_Range + ((DPS_Range_Stat) / 2))) / MIN(MAX(70, (70 * (1 + ($A1065 / 3)))), 120))</f>
        <v>3.333333333</v>
      </c>
      <c r="K1065" s="115" t="str">
        <f>IF(A1065&lt;=DPS_Graph_Max,IF(A1065&gt;=DPS_Graph_Speed_Min,A1065,),)</f>
        <v/>
      </c>
      <c r="M1065" s="213">
        <f>If(DPS_Weapon_Type="远程",$E1065/60+$F1065*2,$E1065/60+$F1065+$G1065/2+$H1065)</f>
        <v>0.04417932032</v>
      </c>
      <c r="N1065" s="104" t="str">
        <f>IF(DPS_Graph_Tooltip_Speed=TRUE,IF($A1065&lt;=DPS_Graph_Max,IF($A1065&gt;=DPS_Graph_Speed_Min,1/M1065,),),)</f>
        <v/>
      </c>
      <c r="R1065" s="104" t="str">
        <f>IF(DPS_Graph_Tooltip_Speed=TRUE,IF($E$8=$A1065,1/$N$6,),)</f>
        <v/>
      </c>
    </row>
    <row r="1066">
      <c r="A1066" s="370">
        <v>8.23</v>
      </c>
      <c r="B1066" s="213">
        <f>If(DPS_Weapon_Type="远程",($E1066+1)/60+(ROUNDDOWN($F1066*60+1,0)/60)*2,(ROUNDDOWN(($E1066+1)+ROUNDDOWN($F1066*60+1,0)+ROUNDDOWN($G1066/2*60+1,0)+ROUNDDOWN($H1066*60+1,0)+1,0))/60+If(DPS_ATK_TYPE="挥砍",1/60)+If(DPS_ATK_TYPE="挥砍/刺击",1/120))+DPS_Weapon_Randomization/60</f>
        <v>0.105</v>
      </c>
      <c r="C1066" s="104" t="str">
        <f>IF(DPS_Graph_True_Speed=TRUE,IF($A1066&lt;=DPS_Graph_Max,IF($A1066&gt;=DPS_Graph_Speed_Min,1/B1066,),),)</f>
        <v/>
      </c>
      <c r="D1066" s="115" t="str">
        <f>IF(DPS_Graph_True_Speed=TRUE,IF($E$8=$A1066,DPS_Attacks_P_Sec,),)</f>
        <v/>
      </c>
      <c r="E1066" s="222">
        <f>ROUNDDOWN(MAX(2,IF(A1066&gt;=0, DPS_Base_Wpn_Spd/(1+A1066),DPS_Base_Wpn_Spd*(1+ABS(A1066)))),0)</f>
        <v>2</v>
      </c>
      <c r="F1066" s="232">
        <f>IF(A1066&gt;=0, DPS_Base_Recoil/(1+A1066),DPS_Base_Recoil)</f>
        <v>0.005417118093</v>
      </c>
      <c r="G1066" s="377">
        <f t="shared" si="7"/>
        <v>0.51</v>
      </c>
      <c r="H1066" s="377">
        <f t="shared" si="8"/>
        <v>0.007785130401</v>
      </c>
      <c r="I1066" s="104"/>
      <c r="J1066" s="377">
        <f>MAX(0, Max(25,(DPS_Base_Range + ((DPS_Range_Stat) / 2))) / MIN(MAX(70, (70 * (1 + ($A1066 / 3)))), 120))</f>
        <v>3.333333333</v>
      </c>
      <c r="K1066" s="115" t="str">
        <f>IF(A1066&lt;=DPS_Graph_Max,IF(A1066&gt;=DPS_Graph_Speed_Min,A1066,),)</f>
        <v/>
      </c>
      <c r="M1066" s="213">
        <f>If(DPS_Weapon_Type="远程",$E1066/60+$F1066*2,$E1066/60+$F1066+$G1066/2+$H1066)</f>
        <v>0.04416756952</v>
      </c>
      <c r="N1066" s="104" t="str">
        <f>IF(DPS_Graph_Tooltip_Speed=TRUE,IF($A1066&lt;=DPS_Graph_Max,IF($A1066&gt;=DPS_Graph_Speed_Min,1/M1066,),),)</f>
        <v/>
      </c>
      <c r="R1066" s="104" t="str">
        <f>IF(DPS_Graph_Tooltip_Speed=TRUE,IF($E$8=$A1066,1/$N$6,),)</f>
        <v/>
      </c>
    </row>
    <row r="1067">
      <c r="A1067" s="370">
        <v>8.24</v>
      </c>
      <c r="B1067" s="213">
        <f>If(DPS_Weapon_Type="远程",($E1067+1)/60+(ROUNDDOWN($F1067*60+1,0)/60)*2,(ROUNDDOWN(($E1067+1)+ROUNDDOWN($F1067*60+1,0)+ROUNDDOWN($G1067/2*60+1,0)+ROUNDDOWN($H1067*60+1,0)+1,0))/60+If(DPS_ATK_TYPE="挥砍",1/60)+If(DPS_ATK_TYPE="挥砍/刺击",1/120))+DPS_Weapon_Randomization/60</f>
        <v>0.105</v>
      </c>
      <c r="C1067" s="104" t="str">
        <f>IF(DPS_Graph_True_Speed=TRUE,IF($A1067&lt;=DPS_Graph_Max,IF($A1067&gt;=DPS_Graph_Speed_Min,1/B1067,),),)</f>
        <v/>
      </c>
      <c r="D1067" s="115" t="str">
        <f>IF(DPS_Graph_True_Speed=TRUE,IF($E$8=$A1067,DPS_Attacks_P_Sec,),)</f>
        <v/>
      </c>
      <c r="E1067" s="222">
        <f>ROUNDDOWN(MAX(2,IF(A1067&gt;=0, DPS_Base_Wpn_Spd/(1+A1067),DPS_Base_Wpn_Spd*(1+ABS(A1067)))),0)</f>
        <v>2</v>
      </c>
      <c r="F1067" s="232">
        <f>IF(A1067&gt;=0, DPS_Base_Recoil/(1+A1067),DPS_Base_Recoil)</f>
        <v>0.005411255411</v>
      </c>
      <c r="G1067" s="377">
        <f t="shared" si="7"/>
        <v>0.51</v>
      </c>
      <c r="H1067" s="377">
        <f t="shared" si="8"/>
        <v>0.007776049767</v>
      </c>
      <c r="I1067" s="104"/>
      <c r="J1067" s="377">
        <f>MAX(0, Max(25,(DPS_Base_Range + ((DPS_Range_Stat) / 2))) / MIN(MAX(70, (70 * (1 + ($A1067 / 3)))), 120))</f>
        <v>3.333333333</v>
      </c>
      <c r="K1067" s="115" t="str">
        <f>IF(A1067&lt;=DPS_Graph_Max,IF(A1067&gt;=DPS_Graph_Speed_Min,A1067,),)</f>
        <v/>
      </c>
      <c r="M1067" s="213">
        <f>If(DPS_Weapon_Type="远程",$E1067/60+$F1067*2,$E1067/60+$F1067+$G1067/2+$H1067)</f>
        <v>0.04415584416</v>
      </c>
      <c r="N1067" s="104" t="str">
        <f>IF(DPS_Graph_Tooltip_Speed=TRUE,IF($A1067&lt;=DPS_Graph_Max,IF($A1067&gt;=DPS_Graph_Speed_Min,1/M1067,),),)</f>
        <v/>
      </c>
      <c r="R1067" s="104" t="str">
        <f>IF(DPS_Graph_Tooltip_Speed=TRUE,IF($E$8=$A1067,1/$N$6,),)</f>
        <v/>
      </c>
    </row>
    <row r="1068">
      <c r="A1068" s="370">
        <v>8.25</v>
      </c>
      <c r="B1068" s="213">
        <f>If(DPS_Weapon_Type="远程",($E1068+1)/60+(ROUNDDOWN($F1068*60+1,0)/60)*2,(ROUNDDOWN(($E1068+1)+ROUNDDOWN($F1068*60+1,0)+ROUNDDOWN($G1068/2*60+1,0)+ROUNDDOWN($H1068*60+1,0)+1,0))/60+If(DPS_ATK_TYPE="挥砍",1/60)+If(DPS_ATK_TYPE="挥砍/刺击",1/120))+DPS_Weapon_Randomization/60</f>
        <v>0.105</v>
      </c>
      <c r="C1068" s="104" t="str">
        <f>IF(DPS_Graph_True_Speed=TRUE,IF($A1068&lt;=DPS_Graph_Max,IF($A1068&gt;=DPS_Graph_Speed_Min,1/B1068,),),)</f>
        <v/>
      </c>
      <c r="D1068" s="115" t="str">
        <f>IF(DPS_Graph_True_Speed=TRUE,IF($E$8=$A1068,DPS_Attacks_P_Sec,),)</f>
        <v/>
      </c>
      <c r="E1068" s="222">
        <f>ROUNDDOWN(MAX(2,IF(A1068&gt;=0, DPS_Base_Wpn_Spd/(1+A1068),DPS_Base_Wpn_Spd*(1+ABS(A1068)))),0)</f>
        <v>2</v>
      </c>
      <c r="F1068" s="232">
        <f>IF(A1068&gt;=0, DPS_Base_Recoil/(1+A1068),DPS_Base_Recoil)</f>
        <v>0.005405405405</v>
      </c>
      <c r="G1068" s="377">
        <f t="shared" si="7"/>
        <v>0.51</v>
      </c>
      <c r="H1068" s="377">
        <f t="shared" si="8"/>
        <v>0.007766990291</v>
      </c>
      <c r="I1068" s="104"/>
      <c r="J1068" s="377">
        <f>MAX(0, Max(25,(DPS_Base_Range + ((DPS_Range_Stat) / 2))) / MIN(MAX(70, (70 * (1 + ($A1068 / 3)))), 120))</f>
        <v>3.333333333</v>
      </c>
      <c r="K1068" s="115" t="str">
        <f>IF(A1068&lt;=DPS_Graph_Max,IF(A1068&gt;=DPS_Graph_Speed_Min,A1068,),)</f>
        <v/>
      </c>
      <c r="M1068" s="213">
        <f>If(DPS_Weapon_Type="远程",$E1068/60+$F1068*2,$E1068/60+$F1068+$G1068/2+$H1068)</f>
        <v>0.04414414414</v>
      </c>
      <c r="N1068" s="104" t="str">
        <f>IF(DPS_Graph_Tooltip_Speed=TRUE,IF($A1068&lt;=DPS_Graph_Max,IF($A1068&gt;=DPS_Graph_Speed_Min,1/M1068,),),)</f>
        <v/>
      </c>
      <c r="R1068" s="104" t="str">
        <f>IF(DPS_Graph_Tooltip_Speed=TRUE,IF($E$8=$A1068,1/$N$6,),)</f>
        <v/>
      </c>
    </row>
    <row r="1069">
      <c r="A1069" s="370">
        <v>8.26</v>
      </c>
      <c r="B1069" s="213">
        <f>If(DPS_Weapon_Type="远程",($E1069+1)/60+(ROUNDDOWN($F1069*60+1,0)/60)*2,(ROUNDDOWN(($E1069+1)+ROUNDDOWN($F1069*60+1,0)+ROUNDDOWN($G1069/2*60+1,0)+ROUNDDOWN($H1069*60+1,0)+1,0))/60+If(DPS_ATK_TYPE="挥砍",1/60)+If(DPS_ATK_TYPE="挥砍/刺击",1/120))+DPS_Weapon_Randomization/60</f>
        <v>0.105</v>
      </c>
      <c r="C1069" s="104" t="str">
        <f>IF(DPS_Graph_True_Speed=TRUE,IF($A1069&lt;=DPS_Graph_Max,IF($A1069&gt;=DPS_Graph_Speed_Min,1/B1069,),),)</f>
        <v/>
      </c>
      <c r="D1069" s="115" t="str">
        <f>IF(DPS_Graph_True_Speed=TRUE,IF($E$8=$A1069,DPS_Attacks_P_Sec,),)</f>
        <v/>
      </c>
      <c r="E1069" s="222">
        <f>ROUNDDOWN(MAX(2,IF(A1069&gt;=0, DPS_Base_Wpn_Spd/(1+A1069),DPS_Base_Wpn_Spd*(1+ABS(A1069)))),0)</f>
        <v>2</v>
      </c>
      <c r="F1069" s="232">
        <f>IF(A1069&gt;=0, DPS_Base_Recoil/(1+A1069),DPS_Base_Recoil)</f>
        <v>0.005399568035</v>
      </c>
      <c r="G1069" s="377">
        <f t="shared" si="7"/>
        <v>0.51</v>
      </c>
      <c r="H1069" s="377">
        <f t="shared" si="8"/>
        <v>0.007757951901</v>
      </c>
      <c r="I1069" s="104"/>
      <c r="J1069" s="377">
        <f>MAX(0, Max(25,(DPS_Base_Range + ((DPS_Range_Stat) / 2))) / MIN(MAX(70, (70 * (1 + ($A1069 / 3)))), 120))</f>
        <v>3.333333333</v>
      </c>
      <c r="K1069" s="115" t="str">
        <f>IF(A1069&lt;=DPS_Graph_Max,IF(A1069&gt;=DPS_Graph_Speed_Min,A1069,),)</f>
        <v/>
      </c>
      <c r="M1069" s="213">
        <f>If(DPS_Weapon_Type="远程",$E1069/60+$F1069*2,$E1069/60+$F1069+$G1069/2+$H1069)</f>
        <v>0.0441324694</v>
      </c>
      <c r="N1069" s="104" t="str">
        <f>IF(DPS_Graph_Tooltip_Speed=TRUE,IF($A1069&lt;=DPS_Graph_Max,IF($A1069&gt;=DPS_Graph_Speed_Min,1/M1069,),),)</f>
        <v/>
      </c>
      <c r="R1069" s="104" t="str">
        <f>IF(DPS_Graph_Tooltip_Speed=TRUE,IF($E$8=$A1069,1/$N$6,),)</f>
        <v/>
      </c>
    </row>
    <row r="1070">
      <c r="A1070" s="370">
        <v>8.27</v>
      </c>
      <c r="B1070" s="213">
        <f>If(DPS_Weapon_Type="远程",($E1070+1)/60+(ROUNDDOWN($F1070*60+1,0)/60)*2,(ROUNDDOWN(($E1070+1)+ROUNDDOWN($F1070*60+1,0)+ROUNDDOWN($G1070/2*60+1,0)+ROUNDDOWN($H1070*60+1,0)+1,0))/60+If(DPS_ATK_TYPE="挥砍",1/60)+If(DPS_ATK_TYPE="挥砍/刺击",1/120))+DPS_Weapon_Randomization/60</f>
        <v>0.105</v>
      </c>
      <c r="C1070" s="104" t="str">
        <f>IF(DPS_Graph_True_Speed=TRUE,IF($A1070&lt;=DPS_Graph_Max,IF($A1070&gt;=DPS_Graph_Speed_Min,1/B1070,),),)</f>
        <v/>
      </c>
      <c r="D1070" s="115" t="str">
        <f>IF(DPS_Graph_True_Speed=TRUE,IF($E$8=$A1070,DPS_Attacks_P_Sec,),)</f>
        <v/>
      </c>
      <c r="E1070" s="222">
        <f>ROUNDDOWN(MAX(2,IF(A1070&gt;=0, DPS_Base_Wpn_Spd/(1+A1070),DPS_Base_Wpn_Spd*(1+ABS(A1070)))),0)</f>
        <v>2</v>
      </c>
      <c r="F1070" s="232">
        <f>IF(A1070&gt;=0, DPS_Base_Recoil/(1+A1070),DPS_Base_Recoil)</f>
        <v>0.005393743258</v>
      </c>
      <c r="G1070" s="377">
        <f t="shared" si="7"/>
        <v>0.51</v>
      </c>
      <c r="H1070" s="377">
        <f t="shared" si="8"/>
        <v>0.007748934522</v>
      </c>
      <c r="I1070" s="104"/>
      <c r="J1070" s="377">
        <f>MAX(0, Max(25,(DPS_Base_Range + ((DPS_Range_Stat) / 2))) / MIN(MAX(70, (70 * (1 + ($A1070 / 3)))), 120))</f>
        <v>3.333333333</v>
      </c>
      <c r="K1070" s="115" t="str">
        <f>IF(A1070&lt;=DPS_Graph_Max,IF(A1070&gt;=DPS_Graph_Speed_Min,A1070,),)</f>
        <v/>
      </c>
      <c r="M1070" s="213">
        <f>If(DPS_Weapon_Type="远程",$E1070/60+$F1070*2,$E1070/60+$F1070+$G1070/2+$H1070)</f>
        <v>0.04412081985</v>
      </c>
      <c r="N1070" s="104" t="str">
        <f>IF(DPS_Graph_Tooltip_Speed=TRUE,IF($A1070&lt;=DPS_Graph_Max,IF($A1070&gt;=DPS_Graph_Speed_Min,1/M1070,),),)</f>
        <v/>
      </c>
      <c r="R1070" s="104" t="str">
        <f>IF(DPS_Graph_Tooltip_Speed=TRUE,IF($E$8=$A1070,1/$N$6,),)</f>
        <v/>
      </c>
    </row>
    <row r="1071">
      <c r="A1071" s="370">
        <v>8.28</v>
      </c>
      <c r="B1071" s="213">
        <f>If(DPS_Weapon_Type="远程",($E1071+1)/60+(ROUNDDOWN($F1071*60+1,0)/60)*2,(ROUNDDOWN(($E1071+1)+ROUNDDOWN($F1071*60+1,0)+ROUNDDOWN($G1071/2*60+1,0)+ROUNDDOWN($H1071*60+1,0)+1,0))/60+If(DPS_ATK_TYPE="挥砍",1/60)+If(DPS_ATK_TYPE="挥砍/刺击",1/120))+DPS_Weapon_Randomization/60</f>
        <v>0.105</v>
      </c>
      <c r="C1071" s="104" t="str">
        <f>IF(DPS_Graph_True_Speed=TRUE,IF($A1071&lt;=DPS_Graph_Max,IF($A1071&gt;=DPS_Graph_Speed_Min,1/B1071,),),)</f>
        <v/>
      </c>
      <c r="D1071" s="115" t="str">
        <f>IF(DPS_Graph_True_Speed=TRUE,IF($E$8=$A1071,DPS_Attacks_P_Sec,),)</f>
        <v/>
      </c>
      <c r="E1071" s="222">
        <f>ROUNDDOWN(MAX(2,IF(A1071&gt;=0, DPS_Base_Wpn_Spd/(1+A1071),DPS_Base_Wpn_Spd*(1+ABS(A1071)))),0)</f>
        <v>2</v>
      </c>
      <c r="F1071" s="232">
        <f>IF(A1071&gt;=0, DPS_Base_Recoil/(1+A1071),DPS_Base_Recoil)</f>
        <v>0.005387931034</v>
      </c>
      <c r="G1071" s="377">
        <f t="shared" si="7"/>
        <v>0.51</v>
      </c>
      <c r="H1071" s="377">
        <f t="shared" si="8"/>
        <v>0.00773993808</v>
      </c>
      <c r="I1071" s="104"/>
      <c r="J1071" s="377">
        <f>MAX(0, Max(25,(DPS_Base_Range + ((DPS_Range_Stat) / 2))) / MIN(MAX(70, (70 * (1 + ($A1071 / 3)))), 120))</f>
        <v>3.333333333</v>
      </c>
      <c r="K1071" s="115" t="str">
        <f>IF(A1071&lt;=DPS_Graph_Max,IF(A1071&gt;=DPS_Graph_Speed_Min,A1071,),)</f>
        <v/>
      </c>
      <c r="M1071" s="213">
        <f>If(DPS_Weapon_Type="远程",$E1071/60+$F1071*2,$E1071/60+$F1071+$G1071/2+$H1071)</f>
        <v>0.0441091954</v>
      </c>
      <c r="N1071" s="104" t="str">
        <f>IF(DPS_Graph_Tooltip_Speed=TRUE,IF($A1071&lt;=DPS_Graph_Max,IF($A1071&gt;=DPS_Graph_Speed_Min,1/M1071,),),)</f>
        <v/>
      </c>
      <c r="R1071" s="104" t="str">
        <f>IF(DPS_Graph_Tooltip_Speed=TRUE,IF($E$8=$A1071,1/$N$6,),)</f>
        <v/>
      </c>
    </row>
    <row r="1072">
      <c r="A1072" s="370">
        <v>8.29</v>
      </c>
      <c r="B1072" s="213">
        <f>If(DPS_Weapon_Type="远程",($E1072+1)/60+(ROUNDDOWN($F1072*60+1,0)/60)*2,(ROUNDDOWN(($E1072+1)+ROUNDDOWN($F1072*60+1,0)+ROUNDDOWN($G1072/2*60+1,0)+ROUNDDOWN($H1072*60+1,0)+1,0))/60+If(DPS_ATK_TYPE="挥砍",1/60)+If(DPS_ATK_TYPE="挥砍/刺击",1/120))+DPS_Weapon_Randomization/60</f>
        <v>0.105</v>
      </c>
      <c r="C1072" s="104" t="str">
        <f>IF(DPS_Graph_True_Speed=TRUE,IF($A1072&lt;=DPS_Graph_Max,IF($A1072&gt;=DPS_Graph_Speed_Min,1/B1072,),),)</f>
        <v/>
      </c>
      <c r="D1072" s="115" t="str">
        <f>IF(DPS_Graph_True_Speed=TRUE,IF($E$8=$A1072,DPS_Attacks_P_Sec,),)</f>
        <v/>
      </c>
      <c r="E1072" s="222">
        <f>ROUNDDOWN(MAX(2,IF(A1072&gt;=0, DPS_Base_Wpn_Spd/(1+A1072),DPS_Base_Wpn_Spd*(1+ABS(A1072)))),0)</f>
        <v>2</v>
      </c>
      <c r="F1072" s="232">
        <f>IF(A1072&gt;=0, DPS_Base_Recoil/(1+A1072),DPS_Base_Recoil)</f>
        <v>0.005382131324</v>
      </c>
      <c r="G1072" s="377">
        <f t="shared" si="7"/>
        <v>0.51</v>
      </c>
      <c r="H1072" s="377">
        <f t="shared" si="8"/>
        <v>0.007730962505</v>
      </c>
      <c r="I1072" s="104"/>
      <c r="J1072" s="377">
        <f>MAX(0, Max(25,(DPS_Base_Range + ((DPS_Range_Stat) / 2))) / MIN(MAX(70, (70 * (1 + ($A1072 / 3)))), 120))</f>
        <v>3.333333333</v>
      </c>
      <c r="K1072" s="115" t="str">
        <f>IF(A1072&lt;=DPS_Graph_Max,IF(A1072&gt;=DPS_Graph_Speed_Min,A1072,),)</f>
        <v/>
      </c>
      <c r="M1072" s="213">
        <f>If(DPS_Weapon_Type="远程",$E1072/60+$F1072*2,$E1072/60+$F1072+$G1072/2+$H1072)</f>
        <v>0.04409759598</v>
      </c>
      <c r="N1072" s="104" t="str">
        <f>IF(DPS_Graph_Tooltip_Speed=TRUE,IF($A1072&lt;=DPS_Graph_Max,IF($A1072&gt;=DPS_Graph_Speed_Min,1/M1072,),),)</f>
        <v/>
      </c>
      <c r="R1072" s="104" t="str">
        <f>IF(DPS_Graph_Tooltip_Speed=TRUE,IF($E$8=$A1072,1/$N$6,),)</f>
        <v/>
      </c>
    </row>
    <row r="1073">
      <c r="A1073" s="370">
        <v>8.3</v>
      </c>
      <c r="B1073" s="213">
        <f>If(DPS_Weapon_Type="远程",($E1073+1)/60+(ROUNDDOWN($F1073*60+1,0)/60)*2,(ROUNDDOWN(($E1073+1)+ROUNDDOWN($F1073*60+1,0)+ROUNDDOWN($G1073/2*60+1,0)+ROUNDDOWN($H1073*60+1,0)+1,0))/60+If(DPS_ATK_TYPE="挥砍",1/60)+If(DPS_ATK_TYPE="挥砍/刺击",1/120))+DPS_Weapon_Randomization/60</f>
        <v>0.105</v>
      </c>
      <c r="C1073" s="104" t="str">
        <f>IF(DPS_Graph_True_Speed=TRUE,IF($A1073&lt;=DPS_Graph_Max,IF($A1073&gt;=DPS_Graph_Speed_Min,1/B1073,),),)</f>
        <v/>
      </c>
      <c r="D1073" s="115" t="str">
        <f>IF(DPS_Graph_True_Speed=TRUE,IF($E$8=$A1073,DPS_Attacks_P_Sec,),)</f>
        <v/>
      </c>
      <c r="E1073" s="222">
        <f>ROUNDDOWN(MAX(2,IF(A1073&gt;=0, DPS_Base_Wpn_Spd/(1+A1073),DPS_Base_Wpn_Spd*(1+ABS(A1073)))),0)</f>
        <v>2</v>
      </c>
      <c r="F1073" s="232">
        <f>IF(A1073&gt;=0, DPS_Base_Recoil/(1+A1073),DPS_Base_Recoil)</f>
        <v>0.005376344086</v>
      </c>
      <c r="G1073" s="377">
        <f t="shared" si="7"/>
        <v>0.51</v>
      </c>
      <c r="H1073" s="377">
        <f t="shared" si="8"/>
        <v>0.007722007722</v>
      </c>
      <c r="I1073" s="104"/>
      <c r="J1073" s="377">
        <f>MAX(0, Max(25,(DPS_Base_Range + ((DPS_Range_Stat) / 2))) / MIN(MAX(70, (70 * (1 + ($A1073 / 3)))), 120))</f>
        <v>3.333333333</v>
      </c>
      <c r="K1073" s="115" t="str">
        <f>IF(A1073&lt;=DPS_Graph_Max,IF(A1073&gt;=DPS_Graph_Speed_Min,A1073,),)</f>
        <v/>
      </c>
      <c r="M1073" s="213">
        <f>If(DPS_Weapon_Type="远程",$E1073/60+$F1073*2,$E1073/60+$F1073+$G1073/2+$H1073)</f>
        <v>0.04408602151</v>
      </c>
      <c r="N1073" s="104" t="str">
        <f>IF(DPS_Graph_Tooltip_Speed=TRUE,IF($A1073&lt;=DPS_Graph_Max,IF($A1073&gt;=DPS_Graph_Speed_Min,1/M1073,),),)</f>
        <v/>
      </c>
      <c r="R1073" s="104" t="str">
        <f>IF(DPS_Graph_Tooltip_Speed=TRUE,IF($E$8=$A1073,1/$N$6,),)</f>
        <v/>
      </c>
    </row>
    <row r="1074">
      <c r="A1074" s="370">
        <v>8.31</v>
      </c>
      <c r="B1074" s="213">
        <f>If(DPS_Weapon_Type="远程",($E1074+1)/60+(ROUNDDOWN($F1074*60+1,0)/60)*2,(ROUNDDOWN(($E1074+1)+ROUNDDOWN($F1074*60+1,0)+ROUNDDOWN($G1074/2*60+1,0)+ROUNDDOWN($H1074*60+1,0)+1,0))/60+If(DPS_ATK_TYPE="挥砍",1/60)+If(DPS_ATK_TYPE="挥砍/刺击",1/120))+DPS_Weapon_Randomization/60</f>
        <v>0.105</v>
      </c>
      <c r="C1074" s="104" t="str">
        <f>IF(DPS_Graph_True_Speed=TRUE,IF($A1074&lt;=DPS_Graph_Max,IF($A1074&gt;=DPS_Graph_Speed_Min,1/B1074,),),)</f>
        <v/>
      </c>
      <c r="D1074" s="115" t="str">
        <f>IF(DPS_Graph_True_Speed=TRUE,IF($E$8=$A1074,DPS_Attacks_P_Sec,),)</f>
        <v/>
      </c>
      <c r="E1074" s="222">
        <f>ROUNDDOWN(MAX(2,IF(A1074&gt;=0, DPS_Base_Wpn_Spd/(1+A1074),DPS_Base_Wpn_Spd*(1+ABS(A1074)))),0)</f>
        <v>2</v>
      </c>
      <c r="F1074" s="232">
        <f>IF(A1074&gt;=0, DPS_Base_Recoil/(1+A1074),DPS_Base_Recoil)</f>
        <v>0.00537056928</v>
      </c>
      <c r="G1074" s="377">
        <f t="shared" si="7"/>
        <v>0.51</v>
      </c>
      <c r="H1074" s="377">
        <f t="shared" si="8"/>
        <v>0.00771307366</v>
      </c>
      <c r="I1074" s="104"/>
      <c r="J1074" s="377">
        <f>MAX(0, Max(25,(DPS_Base_Range + ((DPS_Range_Stat) / 2))) / MIN(MAX(70, (70 * (1 + ($A1074 / 3)))), 120))</f>
        <v>3.333333333</v>
      </c>
      <c r="K1074" s="115" t="str">
        <f>IF(A1074&lt;=DPS_Graph_Max,IF(A1074&gt;=DPS_Graph_Speed_Min,A1074,),)</f>
        <v/>
      </c>
      <c r="M1074" s="213">
        <f>If(DPS_Weapon_Type="远程",$E1074/60+$F1074*2,$E1074/60+$F1074+$G1074/2+$H1074)</f>
        <v>0.04407447189</v>
      </c>
      <c r="N1074" s="104" t="str">
        <f>IF(DPS_Graph_Tooltip_Speed=TRUE,IF($A1074&lt;=DPS_Graph_Max,IF($A1074&gt;=DPS_Graph_Speed_Min,1/M1074,),),)</f>
        <v/>
      </c>
      <c r="R1074" s="104" t="str">
        <f>IF(DPS_Graph_Tooltip_Speed=TRUE,IF($E$8=$A1074,1/$N$6,),)</f>
        <v/>
      </c>
    </row>
    <row r="1075">
      <c r="A1075" s="370">
        <v>8.32</v>
      </c>
      <c r="B1075" s="213">
        <f>If(DPS_Weapon_Type="远程",($E1075+1)/60+(ROUNDDOWN($F1075*60+1,0)/60)*2,(ROUNDDOWN(($E1075+1)+ROUNDDOWN($F1075*60+1,0)+ROUNDDOWN($G1075/2*60+1,0)+ROUNDDOWN($H1075*60+1,0)+1,0))/60+If(DPS_ATK_TYPE="挥砍",1/60)+If(DPS_ATK_TYPE="挥砍/刺击",1/120))+DPS_Weapon_Randomization/60</f>
        <v>0.105</v>
      </c>
      <c r="C1075" s="104" t="str">
        <f>IF(DPS_Graph_True_Speed=TRUE,IF($A1075&lt;=DPS_Graph_Max,IF($A1075&gt;=DPS_Graph_Speed_Min,1/B1075,),),)</f>
        <v/>
      </c>
      <c r="D1075" s="115" t="str">
        <f>IF(DPS_Graph_True_Speed=TRUE,IF($E$8=$A1075,DPS_Attacks_P_Sec,),)</f>
        <v/>
      </c>
      <c r="E1075" s="222">
        <f>ROUNDDOWN(MAX(2,IF(A1075&gt;=0, DPS_Base_Wpn_Spd/(1+A1075),DPS_Base_Wpn_Spd*(1+ABS(A1075)))),0)</f>
        <v>2</v>
      </c>
      <c r="F1075" s="232">
        <f>IF(A1075&gt;=0, DPS_Base_Recoil/(1+A1075),DPS_Base_Recoil)</f>
        <v>0.005364806867</v>
      </c>
      <c r="G1075" s="377">
        <f t="shared" si="7"/>
        <v>0.51</v>
      </c>
      <c r="H1075" s="377">
        <f t="shared" si="8"/>
        <v>0.007704160247</v>
      </c>
      <c r="I1075" s="104"/>
      <c r="J1075" s="377">
        <f>MAX(0, Max(25,(DPS_Base_Range + ((DPS_Range_Stat) / 2))) / MIN(MAX(70, (70 * (1 + ($A1075 / 3)))), 120))</f>
        <v>3.333333333</v>
      </c>
      <c r="K1075" s="115" t="str">
        <f>IF(A1075&lt;=DPS_Graph_Max,IF(A1075&gt;=DPS_Graph_Speed_Min,A1075,),)</f>
        <v/>
      </c>
      <c r="M1075" s="213">
        <f>If(DPS_Weapon_Type="远程",$E1075/60+$F1075*2,$E1075/60+$F1075+$G1075/2+$H1075)</f>
        <v>0.04406294707</v>
      </c>
      <c r="N1075" s="104" t="str">
        <f>IF(DPS_Graph_Tooltip_Speed=TRUE,IF($A1075&lt;=DPS_Graph_Max,IF($A1075&gt;=DPS_Graph_Speed_Min,1/M1075,),),)</f>
        <v/>
      </c>
      <c r="R1075" s="104" t="str">
        <f>IF(DPS_Graph_Tooltip_Speed=TRUE,IF($E$8=$A1075,1/$N$6,),)</f>
        <v/>
      </c>
    </row>
    <row r="1076">
      <c r="A1076" s="370">
        <v>8.33</v>
      </c>
      <c r="B1076" s="213">
        <f>If(DPS_Weapon_Type="远程",($E1076+1)/60+(ROUNDDOWN($F1076*60+1,0)/60)*2,(ROUNDDOWN(($E1076+1)+ROUNDDOWN($F1076*60+1,0)+ROUNDDOWN($G1076/2*60+1,0)+ROUNDDOWN($H1076*60+1,0)+1,0))/60+If(DPS_ATK_TYPE="挥砍",1/60)+If(DPS_ATK_TYPE="挥砍/刺击",1/120))+DPS_Weapon_Randomization/60</f>
        <v>0.105</v>
      </c>
      <c r="C1076" s="104" t="str">
        <f>IF(DPS_Graph_True_Speed=TRUE,IF($A1076&lt;=DPS_Graph_Max,IF($A1076&gt;=DPS_Graph_Speed_Min,1/B1076,),),)</f>
        <v/>
      </c>
      <c r="D1076" s="115" t="str">
        <f>IF(DPS_Graph_True_Speed=TRUE,IF($E$8=$A1076,DPS_Attacks_P_Sec,),)</f>
        <v/>
      </c>
      <c r="E1076" s="222">
        <f>ROUNDDOWN(MAX(2,IF(A1076&gt;=0, DPS_Base_Wpn_Spd/(1+A1076),DPS_Base_Wpn_Spd*(1+ABS(A1076)))),0)</f>
        <v>2</v>
      </c>
      <c r="F1076" s="232">
        <f>IF(A1076&gt;=0, DPS_Base_Recoil/(1+A1076),DPS_Base_Recoil)</f>
        <v>0.005359056806</v>
      </c>
      <c r="G1076" s="377">
        <f t="shared" si="7"/>
        <v>0.51</v>
      </c>
      <c r="H1076" s="377">
        <f t="shared" si="8"/>
        <v>0.007695267411</v>
      </c>
      <c r="I1076" s="104"/>
      <c r="J1076" s="377">
        <f>MAX(0, Max(25,(DPS_Base_Range + ((DPS_Range_Stat) / 2))) / MIN(MAX(70, (70 * (1 + ($A1076 / 3)))), 120))</f>
        <v>3.333333333</v>
      </c>
      <c r="K1076" s="115" t="str">
        <f>IF(A1076&lt;=DPS_Graph_Max,IF(A1076&gt;=DPS_Graph_Speed_Min,A1076,),)</f>
        <v/>
      </c>
      <c r="M1076" s="213">
        <f>If(DPS_Weapon_Type="远程",$E1076/60+$F1076*2,$E1076/60+$F1076+$G1076/2+$H1076)</f>
        <v>0.04405144695</v>
      </c>
      <c r="N1076" s="104" t="str">
        <f>IF(DPS_Graph_Tooltip_Speed=TRUE,IF($A1076&lt;=DPS_Graph_Max,IF($A1076&gt;=DPS_Graph_Speed_Min,1/M1076,),),)</f>
        <v/>
      </c>
      <c r="R1076" s="104" t="str">
        <f>IF(DPS_Graph_Tooltip_Speed=TRUE,IF($E$8=$A1076,1/$N$6,),)</f>
        <v/>
      </c>
    </row>
    <row r="1077">
      <c r="A1077" s="370">
        <v>8.34</v>
      </c>
      <c r="B1077" s="213">
        <f>If(DPS_Weapon_Type="远程",($E1077+1)/60+(ROUNDDOWN($F1077*60+1,0)/60)*2,(ROUNDDOWN(($E1077+1)+ROUNDDOWN($F1077*60+1,0)+ROUNDDOWN($G1077/2*60+1,0)+ROUNDDOWN($H1077*60+1,0)+1,0))/60+If(DPS_ATK_TYPE="挥砍",1/60)+If(DPS_ATK_TYPE="挥砍/刺击",1/120))+DPS_Weapon_Randomization/60</f>
        <v>0.105</v>
      </c>
      <c r="C1077" s="104" t="str">
        <f>IF(DPS_Graph_True_Speed=TRUE,IF($A1077&lt;=DPS_Graph_Max,IF($A1077&gt;=DPS_Graph_Speed_Min,1/B1077,),),)</f>
        <v/>
      </c>
      <c r="D1077" s="115" t="str">
        <f>IF(DPS_Graph_True_Speed=TRUE,IF($E$8=$A1077,DPS_Attacks_P_Sec,),)</f>
        <v/>
      </c>
      <c r="E1077" s="222">
        <f>ROUNDDOWN(MAX(2,IF(A1077&gt;=0, DPS_Base_Wpn_Spd/(1+A1077),DPS_Base_Wpn_Spd*(1+ABS(A1077)))),0)</f>
        <v>2</v>
      </c>
      <c r="F1077" s="232">
        <f>IF(A1077&gt;=0, DPS_Base_Recoil/(1+A1077),DPS_Base_Recoil)</f>
        <v>0.005353319058</v>
      </c>
      <c r="G1077" s="377">
        <f t="shared" si="7"/>
        <v>0.51</v>
      </c>
      <c r="H1077" s="377">
        <f t="shared" si="8"/>
        <v>0.007686395081</v>
      </c>
      <c r="I1077" s="104"/>
      <c r="J1077" s="377">
        <f>MAX(0, Max(25,(DPS_Base_Range + ((DPS_Range_Stat) / 2))) / MIN(MAX(70, (70 * (1 + ($A1077 / 3)))), 120))</f>
        <v>3.333333333</v>
      </c>
      <c r="K1077" s="115" t="str">
        <f>IF(A1077&lt;=DPS_Graph_Max,IF(A1077&gt;=DPS_Graph_Speed_Min,A1077,),)</f>
        <v/>
      </c>
      <c r="M1077" s="213">
        <f>If(DPS_Weapon_Type="远程",$E1077/60+$F1077*2,$E1077/60+$F1077+$G1077/2+$H1077)</f>
        <v>0.04403997145</v>
      </c>
      <c r="N1077" s="104" t="str">
        <f>IF(DPS_Graph_Tooltip_Speed=TRUE,IF($A1077&lt;=DPS_Graph_Max,IF($A1077&gt;=DPS_Graph_Speed_Min,1/M1077,),),)</f>
        <v/>
      </c>
      <c r="R1077" s="104" t="str">
        <f>IF(DPS_Graph_Tooltip_Speed=TRUE,IF($E$8=$A1077,1/$N$6,),)</f>
        <v/>
      </c>
    </row>
    <row r="1078">
      <c r="A1078" s="370">
        <v>8.35</v>
      </c>
      <c r="B1078" s="213">
        <f>If(DPS_Weapon_Type="远程",($E1078+1)/60+(ROUNDDOWN($F1078*60+1,0)/60)*2,(ROUNDDOWN(($E1078+1)+ROUNDDOWN($F1078*60+1,0)+ROUNDDOWN($G1078/2*60+1,0)+ROUNDDOWN($H1078*60+1,0)+1,0))/60+If(DPS_ATK_TYPE="挥砍",1/60)+If(DPS_ATK_TYPE="挥砍/刺击",1/120))+DPS_Weapon_Randomization/60</f>
        <v>0.105</v>
      </c>
      <c r="C1078" s="104" t="str">
        <f>IF(DPS_Graph_True_Speed=TRUE,IF($A1078&lt;=DPS_Graph_Max,IF($A1078&gt;=DPS_Graph_Speed_Min,1/B1078,),),)</f>
        <v/>
      </c>
      <c r="D1078" s="115" t="str">
        <f>IF(DPS_Graph_True_Speed=TRUE,IF($E$8=$A1078,DPS_Attacks_P_Sec,),)</f>
        <v/>
      </c>
      <c r="E1078" s="222">
        <f>ROUNDDOWN(MAX(2,IF(A1078&gt;=0, DPS_Base_Wpn_Spd/(1+A1078),DPS_Base_Wpn_Spd*(1+ABS(A1078)))),0)</f>
        <v>2</v>
      </c>
      <c r="F1078" s="232">
        <f>IF(A1078&gt;=0, DPS_Base_Recoil/(1+A1078),DPS_Base_Recoil)</f>
        <v>0.005347593583</v>
      </c>
      <c r="G1078" s="377">
        <f t="shared" si="7"/>
        <v>0.51</v>
      </c>
      <c r="H1078" s="377">
        <f t="shared" si="8"/>
        <v>0.007677543186</v>
      </c>
      <c r="I1078" s="104"/>
      <c r="J1078" s="377">
        <f>MAX(0, Max(25,(DPS_Base_Range + ((DPS_Range_Stat) / 2))) / MIN(MAX(70, (70 * (1 + ($A1078 / 3)))), 120))</f>
        <v>3.333333333</v>
      </c>
      <c r="K1078" s="115" t="str">
        <f>IF(A1078&lt;=DPS_Graph_Max,IF(A1078&gt;=DPS_Graph_Speed_Min,A1078,),)</f>
        <v/>
      </c>
      <c r="M1078" s="213">
        <f>If(DPS_Weapon_Type="远程",$E1078/60+$F1078*2,$E1078/60+$F1078+$G1078/2+$H1078)</f>
        <v>0.0440285205</v>
      </c>
      <c r="N1078" s="104" t="str">
        <f>IF(DPS_Graph_Tooltip_Speed=TRUE,IF($A1078&lt;=DPS_Graph_Max,IF($A1078&gt;=DPS_Graph_Speed_Min,1/M1078,),),)</f>
        <v/>
      </c>
      <c r="R1078" s="104" t="str">
        <f>IF(DPS_Graph_Tooltip_Speed=TRUE,IF($E$8=$A1078,1/$N$6,),)</f>
        <v/>
      </c>
    </row>
    <row r="1079">
      <c r="A1079" s="370">
        <v>8.36</v>
      </c>
      <c r="B1079" s="213">
        <f>If(DPS_Weapon_Type="远程",($E1079+1)/60+(ROUNDDOWN($F1079*60+1,0)/60)*2,(ROUNDDOWN(($E1079+1)+ROUNDDOWN($F1079*60+1,0)+ROUNDDOWN($G1079/2*60+1,0)+ROUNDDOWN($H1079*60+1,0)+1,0))/60+If(DPS_ATK_TYPE="挥砍",1/60)+If(DPS_ATK_TYPE="挥砍/刺击",1/120))+DPS_Weapon_Randomization/60</f>
        <v>0.105</v>
      </c>
      <c r="C1079" s="104" t="str">
        <f>IF(DPS_Graph_True_Speed=TRUE,IF($A1079&lt;=DPS_Graph_Max,IF($A1079&gt;=DPS_Graph_Speed_Min,1/B1079,),),)</f>
        <v/>
      </c>
      <c r="D1079" s="115" t="str">
        <f>IF(DPS_Graph_True_Speed=TRUE,IF($E$8=$A1079,DPS_Attacks_P_Sec,),)</f>
        <v/>
      </c>
      <c r="E1079" s="222">
        <f>ROUNDDOWN(MAX(2,IF(A1079&gt;=0, DPS_Base_Wpn_Spd/(1+A1079),DPS_Base_Wpn_Spd*(1+ABS(A1079)))),0)</f>
        <v>2</v>
      </c>
      <c r="F1079" s="232">
        <f>IF(A1079&gt;=0, DPS_Base_Recoil/(1+A1079),DPS_Base_Recoil)</f>
        <v>0.005341880342</v>
      </c>
      <c r="G1079" s="377">
        <f t="shared" si="7"/>
        <v>0.51</v>
      </c>
      <c r="H1079" s="377">
        <f t="shared" si="8"/>
        <v>0.007668711656</v>
      </c>
      <c r="I1079" s="104"/>
      <c r="J1079" s="377">
        <f>MAX(0, Max(25,(DPS_Base_Range + ((DPS_Range_Stat) / 2))) / MIN(MAX(70, (70 * (1 + ($A1079 / 3)))), 120))</f>
        <v>3.333333333</v>
      </c>
      <c r="K1079" s="115" t="str">
        <f>IF(A1079&lt;=DPS_Graph_Max,IF(A1079&gt;=DPS_Graph_Speed_Min,A1079,),)</f>
        <v/>
      </c>
      <c r="M1079" s="213">
        <f>If(DPS_Weapon_Type="远程",$E1079/60+$F1079*2,$E1079/60+$F1079+$G1079/2+$H1079)</f>
        <v>0.04401709402</v>
      </c>
      <c r="N1079" s="104" t="str">
        <f>IF(DPS_Graph_Tooltip_Speed=TRUE,IF($A1079&lt;=DPS_Graph_Max,IF($A1079&gt;=DPS_Graph_Speed_Min,1/M1079,),),)</f>
        <v/>
      </c>
      <c r="R1079" s="104" t="str">
        <f>IF(DPS_Graph_Tooltip_Speed=TRUE,IF($E$8=$A1079,1/$N$6,),)</f>
        <v/>
      </c>
    </row>
    <row r="1080">
      <c r="A1080" s="370">
        <v>8.37</v>
      </c>
      <c r="B1080" s="213">
        <f>If(DPS_Weapon_Type="远程",($E1080+1)/60+(ROUNDDOWN($F1080*60+1,0)/60)*2,(ROUNDDOWN(($E1080+1)+ROUNDDOWN($F1080*60+1,0)+ROUNDDOWN($G1080/2*60+1,0)+ROUNDDOWN($H1080*60+1,0)+1,0))/60+If(DPS_ATK_TYPE="挥砍",1/60)+If(DPS_ATK_TYPE="挥砍/刺击",1/120))+DPS_Weapon_Randomization/60</f>
        <v>0.105</v>
      </c>
      <c r="C1080" s="104" t="str">
        <f>IF(DPS_Graph_True_Speed=TRUE,IF($A1080&lt;=DPS_Graph_Max,IF($A1080&gt;=DPS_Graph_Speed_Min,1/B1080,),),)</f>
        <v/>
      </c>
      <c r="D1080" s="115" t="str">
        <f>IF(DPS_Graph_True_Speed=TRUE,IF($E$8=$A1080,DPS_Attacks_P_Sec,),)</f>
        <v/>
      </c>
      <c r="E1080" s="222">
        <f>ROUNDDOWN(MAX(2,IF(A1080&gt;=0, DPS_Base_Wpn_Spd/(1+A1080),DPS_Base_Wpn_Spd*(1+ABS(A1080)))),0)</f>
        <v>2</v>
      </c>
      <c r="F1080" s="232">
        <f>IF(A1080&gt;=0, DPS_Base_Recoil/(1+A1080),DPS_Base_Recoil)</f>
        <v>0.005336179296</v>
      </c>
      <c r="G1080" s="377">
        <f t="shared" si="7"/>
        <v>0.51</v>
      </c>
      <c r="H1080" s="377">
        <f t="shared" si="8"/>
        <v>0.007659900421</v>
      </c>
      <c r="I1080" s="104"/>
      <c r="J1080" s="377">
        <f>MAX(0, Max(25,(DPS_Base_Range + ((DPS_Range_Stat) / 2))) / MIN(MAX(70, (70 * (1 + ($A1080 / 3)))), 120))</f>
        <v>3.333333333</v>
      </c>
      <c r="K1080" s="115" t="str">
        <f>IF(A1080&lt;=DPS_Graph_Max,IF(A1080&gt;=DPS_Graph_Speed_Min,A1080,),)</f>
        <v/>
      </c>
      <c r="M1080" s="213">
        <f>If(DPS_Weapon_Type="远程",$E1080/60+$F1080*2,$E1080/60+$F1080+$G1080/2+$H1080)</f>
        <v>0.04400569192</v>
      </c>
      <c r="N1080" s="104" t="str">
        <f>IF(DPS_Graph_Tooltip_Speed=TRUE,IF($A1080&lt;=DPS_Graph_Max,IF($A1080&gt;=DPS_Graph_Speed_Min,1/M1080,),),)</f>
        <v/>
      </c>
      <c r="R1080" s="104" t="str">
        <f>IF(DPS_Graph_Tooltip_Speed=TRUE,IF($E$8=$A1080,1/$N$6,),)</f>
        <v/>
      </c>
    </row>
    <row r="1081">
      <c r="A1081" s="370">
        <v>8.38</v>
      </c>
      <c r="B1081" s="213">
        <f>If(DPS_Weapon_Type="远程",($E1081+1)/60+(ROUNDDOWN($F1081*60+1,0)/60)*2,(ROUNDDOWN(($E1081+1)+ROUNDDOWN($F1081*60+1,0)+ROUNDDOWN($G1081/2*60+1,0)+ROUNDDOWN($H1081*60+1,0)+1,0))/60+If(DPS_ATK_TYPE="挥砍",1/60)+If(DPS_ATK_TYPE="挥砍/刺击",1/120))+DPS_Weapon_Randomization/60</f>
        <v>0.105</v>
      </c>
      <c r="C1081" s="104" t="str">
        <f>IF(DPS_Graph_True_Speed=TRUE,IF($A1081&lt;=DPS_Graph_Max,IF($A1081&gt;=DPS_Graph_Speed_Min,1/B1081,),),)</f>
        <v/>
      </c>
      <c r="D1081" s="115" t="str">
        <f>IF(DPS_Graph_True_Speed=TRUE,IF($E$8=$A1081,DPS_Attacks_P_Sec,),)</f>
        <v/>
      </c>
      <c r="E1081" s="222">
        <f>ROUNDDOWN(MAX(2,IF(A1081&gt;=0, DPS_Base_Wpn_Spd/(1+A1081),DPS_Base_Wpn_Spd*(1+ABS(A1081)))),0)</f>
        <v>2</v>
      </c>
      <c r="F1081" s="232">
        <f>IF(A1081&gt;=0, DPS_Base_Recoil/(1+A1081),DPS_Base_Recoil)</f>
        <v>0.005330490405</v>
      </c>
      <c r="G1081" s="377">
        <f t="shared" si="7"/>
        <v>0.51</v>
      </c>
      <c r="H1081" s="377">
        <f t="shared" si="8"/>
        <v>0.007651109411</v>
      </c>
      <c r="I1081" s="104"/>
      <c r="J1081" s="377">
        <f>MAX(0, Max(25,(DPS_Base_Range + ((DPS_Range_Stat) / 2))) / MIN(MAX(70, (70 * (1 + ($A1081 / 3)))), 120))</f>
        <v>3.333333333</v>
      </c>
      <c r="K1081" s="115" t="str">
        <f>IF(A1081&lt;=DPS_Graph_Max,IF(A1081&gt;=DPS_Graph_Speed_Min,A1081,),)</f>
        <v/>
      </c>
      <c r="M1081" s="213">
        <f>If(DPS_Weapon_Type="远程",$E1081/60+$F1081*2,$E1081/60+$F1081+$G1081/2+$H1081)</f>
        <v>0.04399431414</v>
      </c>
      <c r="N1081" s="104" t="str">
        <f>IF(DPS_Graph_Tooltip_Speed=TRUE,IF($A1081&lt;=DPS_Graph_Max,IF($A1081&gt;=DPS_Graph_Speed_Min,1/M1081,),),)</f>
        <v/>
      </c>
      <c r="R1081" s="104" t="str">
        <f>IF(DPS_Graph_Tooltip_Speed=TRUE,IF($E$8=$A1081,1/$N$6,),)</f>
        <v/>
      </c>
    </row>
    <row r="1082">
      <c r="A1082" s="370">
        <v>8.39</v>
      </c>
      <c r="B1082" s="213">
        <f>If(DPS_Weapon_Type="远程",($E1082+1)/60+(ROUNDDOWN($F1082*60+1,0)/60)*2,(ROUNDDOWN(($E1082+1)+ROUNDDOWN($F1082*60+1,0)+ROUNDDOWN($G1082/2*60+1,0)+ROUNDDOWN($H1082*60+1,0)+1,0))/60+If(DPS_ATK_TYPE="挥砍",1/60)+If(DPS_ATK_TYPE="挥砍/刺击",1/120))+DPS_Weapon_Randomization/60</f>
        <v>0.105</v>
      </c>
      <c r="C1082" s="104" t="str">
        <f>IF(DPS_Graph_True_Speed=TRUE,IF($A1082&lt;=DPS_Graph_Max,IF($A1082&gt;=DPS_Graph_Speed_Min,1/B1082,),),)</f>
        <v/>
      </c>
      <c r="D1082" s="115" t="str">
        <f>IF(DPS_Graph_True_Speed=TRUE,IF($E$8=$A1082,DPS_Attacks_P_Sec,),)</f>
        <v/>
      </c>
      <c r="E1082" s="222">
        <f>ROUNDDOWN(MAX(2,IF(A1082&gt;=0, DPS_Base_Wpn_Spd/(1+A1082),DPS_Base_Wpn_Spd*(1+ABS(A1082)))),0)</f>
        <v>2</v>
      </c>
      <c r="F1082" s="232">
        <f>IF(A1082&gt;=0, DPS_Base_Recoil/(1+A1082),DPS_Base_Recoil)</f>
        <v>0.005324813632</v>
      </c>
      <c r="G1082" s="377">
        <f t="shared" si="7"/>
        <v>0.51</v>
      </c>
      <c r="H1082" s="377">
        <f t="shared" si="8"/>
        <v>0.007642338556</v>
      </c>
      <c r="I1082" s="104"/>
      <c r="J1082" s="377">
        <f>MAX(0, Max(25,(DPS_Base_Range + ((DPS_Range_Stat) / 2))) / MIN(MAX(70, (70 * (1 + ($A1082 / 3)))), 120))</f>
        <v>3.333333333</v>
      </c>
      <c r="K1082" s="115" t="str">
        <f>IF(A1082&lt;=DPS_Graph_Max,IF(A1082&gt;=DPS_Graph_Speed_Min,A1082,),)</f>
        <v/>
      </c>
      <c r="M1082" s="213">
        <f>If(DPS_Weapon_Type="远程",$E1082/60+$F1082*2,$E1082/60+$F1082+$G1082/2+$H1082)</f>
        <v>0.0439829606</v>
      </c>
      <c r="N1082" s="104" t="str">
        <f>IF(DPS_Graph_Tooltip_Speed=TRUE,IF($A1082&lt;=DPS_Graph_Max,IF($A1082&gt;=DPS_Graph_Speed_Min,1/M1082,),),)</f>
        <v/>
      </c>
      <c r="R1082" s="104" t="str">
        <f>IF(DPS_Graph_Tooltip_Speed=TRUE,IF($E$8=$A1082,1/$N$6,),)</f>
        <v/>
      </c>
    </row>
    <row r="1083">
      <c r="A1083" s="370">
        <v>8.4</v>
      </c>
      <c r="B1083" s="213">
        <f>If(DPS_Weapon_Type="远程",($E1083+1)/60+(ROUNDDOWN($F1083*60+1,0)/60)*2,(ROUNDDOWN(($E1083+1)+ROUNDDOWN($F1083*60+1,0)+ROUNDDOWN($G1083/2*60+1,0)+ROUNDDOWN($H1083*60+1,0)+1,0))/60+If(DPS_ATK_TYPE="挥砍",1/60)+If(DPS_ATK_TYPE="挥砍/刺击",1/120))+DPS_Weapon_Randomization/60</f>
        <v>0.105</v>
      </c>
      <c r="C1083" s="104" t="str">
        <f>IF(DPS_Graph_True_Speed=TRUE,IF($A1083&lt;=DPS_Graph_Max,IF($A1083&gt;=DPS_Graph_Speed_Min,1/B1083,),),)</f>
        <v/>
      </c>
      <c r="D1083" s="115" t="str">
        <f>IF(DPS_Graph_True_Speed=TRUE,IF($E$8=$A1083,DPS_Attacks_P_Sec,),)</f>
        <v/>
      </c>
      <c r="E1083" s="222">
        <f>ROUNDDOWN(MAX(2,IF(A1083&gt;=0, DPS_Base_Wpn_Spd/(1+A1083),DPS_Base_Wpn_Spd*(1+ABS(A1083)))),0)</f>
        <v>2</v>
      </c>
      <c r="F1083" s="232">
        <f>IF(A1083&gt;=0, DPS_Base_Recoil/(1+A1083),DPS_Base_Recoil)</f>
        <v>0.005319148936</v>
      </c>
      <c r="G1083" s="377">
        <f t="shared" si="7"/>
        <v>0.51</v>
      </c>
      <c r="H1083" s="377">
        <f t="shared" si="8"/>
        <v>0.007633587786</v>
      </c>
      <c r="I1083" s="104"/>
      <c r="J1083" s="377">
        <f>MAX(0, Max(25,(DPS_Base_Range + ((DPS_Range_Stat) / 2))) / MIN(MAX(70, (70 * (1 + ($A1083 / 3)))), 120))</f>
        <v>3.333333333</v>
      </c>
      <c r="K1083" s="115" t="str">
        <f>IF(A1083&lt;=DPS_Graph_Max,IF(A1083&gt;=DPS_Graph_Speed_Min,A1083,),)</f>
        <v/>
      </c>
      <c r="M1083" s="213">
        <f>If(DPS_Weapon_Type="远程",$E1083/60+$F1083*2,$E1083/60+$F1083+$G1083/2+$H1083)</f>
        <v>0.04397163121</v>
      </c>
      <c r="N1083" s="104" t="str">
        <f>IF(DPS_Graph_Tooltip_Speed=TRUE,IF($A1083&lt;=DPS_Graph_Max,IF($A1083&gt;=DPS_Graph_Speed_Min,1/M1083,),),)</f>
        <v/>
      </c>
      <c r="R1083" s="104" t="str">
        <f>IF(DPS_Graph_Tooltip_Speed=TRUE,IF($E$8=$A1083,1/$N$6,),)</f>
        <v/>
      </c>
    </row>
    <row r="1084">
      <c r="A1084" s="370">
        <v>8.41</v>
      </c>
      <c r="B1084" s="213">
        <f>If(DPS_Weapon_Type="远程",($E1084+1)/60+(ROUNDDOWN($F1084*60+1,0)/60)*2,(ROUNDDOWN(($E1084+1)+ROUNDDOWN($F1084*60+1,0)+ROUNDDOWN($G1084/2*60+1,0)+ROUNDDOWN($H1084*60+1,0)+1,0))/60+If(DPS_ATK_TYPE="挥砍",1/60)+If(DPS_ATK_TYPE="挥砍/刺击",1/120))+DPS_Weapon_Randomization/60</f>
        <v>0.105</v>
      </c>
      <c r="C1084" s="104" t="str">
        <f>IF(DPS_Graph_True_Speed=TRUE,IF($A1084&lt;=DPS_Graph_Max,IF($A1084&gt;=DPS_Graph_Speed_Min,1/B1084,),),)</f>
        <v/>
      </c>
      <c r="D1084" s="115" t="str">
        <f>IF(DPS_Graph_True_Speed=TRUE,IF($E$8=$A1084,DPS_Attacks_P_Sec,),)</f>
        <v/>
      </c>
      <c r="E1084" s="222">
        <f>ROUNDDOWN(MAX(2,IF(A1084&gt;=0, DPS_Base_Wpn_Spd/(1+A1084),DPS_Base_Wpn_Spd*(1+ABS(A1084)))),0)</f>
        <v>2</v>
      </c>
      <c r="F1084" s="232">
        <f>IF(A1084&gt;=0, DPS_Base_Recoil/(1+A1084),DPS_Base_Recoil)</f>
        <v>0.005313496281</v>
      </c>
      <c r="G1084" s="377">
        <f t="shared" si="7"/>
        <v>0.51</v>
      </c>
      <c r="H1084" s="377">
        <f t="shared" si="8"/>
        <v>0.007624857034</v>
      </c>
      <c r="I1084" s="104"/>
      <c r="J1084" s="377">
        <f>MAX(0, Max(25,(DPS_Base_Range + ((DPS_Range_Stat) / 2))) / MIN(MAX(70, (70 * (1 + ($A1084 / 3)))), 120))</f>
        <v>3.333333333</v>
      </c>
      <c r="K1084" s="115" t="str">
        <f>IF(A1084&lt;=DPS_Graph_Max,IF(A1084&gt;=DPS_Graph_Speed_Min,A1084,),)</f>
        <v/>
      </c>
      <c r="M1084" s="213">
        <f>If(DPS_Weapon_Type="远程",$E1084/60+$F1084*2,$E1084/60+$F1084+$G1084/2+$H1084)</f>
        <v>0.04396032589</v>
      </c>
      <c r="N1084" s="104" t="str">
        <f>IF(DPS_Graph_Tooltip_Speed=TRUE,IF($A1084&lt;=DPS_Graph_Max,IF($A1084&gt;=DPS_Graph_Speed_Min,1/M1084,),),)</f>
        <v/>
      </c>
      <c r="R1084" s="104" t="str">
        <f>IF(DPS_Graph_Tooltip_Speed=TRUE,IF($E$8=$A1084,1/$N$6,),)</f>
        <v/>
      </c>
    </row>
    <row r="1085">
      <c r="A1085" s="370">
        <v>8.42</v>
      </c>
      <c r="B1085" s="213">
        <f>If(DPS_Weapon_Type="远程",($E1085+1)/60+(ROUNDDOWN($F1085*60+1,0)/60)*2,(ROUNDDOWN(($E1085+1)+ROUNDDOWN($F1085*60+1,0)+ROUNDDOWN($G1085/2*60+1,0)+ROUNDDOWN($H1085*60+1,0)+1,0))/60+If(DPS_ATK_TYPE="挥砍",1/60)+If(DPS_ATK_TYPE="挥砍/刺击",1/120))+DPS_Weapon_Randomization/60</f>
        <v>0.105</v>
      </c>
      <c r="C1085" s="104" t="str">
        <f>IF(DPS_Graph_True_Speed=TRUE,IF($A1085&lt;=DPS_Graph_Max,IF($A1085&gt;=DPS_Graph_Speed_Min,1/B1085,),),)</f>
        <v/>
      </c>
      <c r="D1085" s="115" t="str">
        <f>IF(DPS_Graph_True_Speed=TRUE,IF($E$8=$A1085,DPS_Attacks_P_Sec,),)</f>
        <v/>
      </c>
      <c r="E1085" s="222">
        <f>ROUNDDOWN(MAX(2,IF(A1085&gt;=0, DPS_Base_Wpn_Spd/(1+A1085),DPS_Base_Wpn_Spd*(1+ABS(A1085)))),0)</f>
        <v>2</v>
      </c>
      <c r="F1085" s="232">
        <f>IF(A1085&gt;=0, DPS_Base_Recoil/(1+A1085),DPS_Base_Recoil)</f>
        <v>0.005307855626</v>
      </c>
      <c r="G1085" s="377">
        <f t="shared" si="7"/>
        <v>0.51</v>
      </c>
      <c r="H1085" s="377">
        <f t="shared" si="8"/>
        <v>0.00761614623</v>
      </c>
      <c r="I1085" s="104"/>
      <c r="J1085" s="377">
        <f>MAX(0, Max(25,(DPS_Base_Range + ((DPS_Range_Stat) / 2))) / MIN(MAX(70, (70 * (1 + ($A1085 / 3)))), 120))</f>
        <v>3.333333333</v>
      </c>
      <c r="K1085" s="115" t="str">
        <f>IF(A1085&lt;=DPS_Graph_Max,IF(A1085&gt;=DPS_Graph_Speed_Min,A1085,),)</f>
        <v/>
      </c>
      <c r="M1085" s="213">
        <f>If(DPS_Weapon_Type="远程",$E1085/60+$F1085*2,$E1085/60+$F1085+$G1085/2+$H1085)</f>
        <v>0.04394904459</v>
      </c>
      <c r="N1085" s="104" t="str">
        <f>IF(DPS_Graph_Tooltip_Speed=TRUE,IF($A1085&lt;=DPS_Graph_Max,IF($A1085&gt;=DPS_Graph_Speed_Min,1/M1085,),),)</f>
        <v/>
      </c>
      <c r="R1085" s="104" t="str">
        <f>IF(DPS_Graph_Tooltip_Speed=TRUE,IF($E$8=$A1085,1/$N$6,),)</f>
        <v/>
      </c>
    </row>
    <row r="1086">
      <c r="A1086" s="370">
        <v>8.43</v>
      </c>
      <c r="B1086" s="213">
        <f>If(DPS_Weapon_Type="远程",($E1086+1)/60+(ROUNDDOWN($F1086*60+1,0)/60)*2,(ROUNDDOWN(($E1086+1)+ROUNDDOWN($F1086*60+1,0)+ROUNDDOWN($G1086/2*60+1,0)+ROUNDDOWN($H1086*60+1,0)+1,0))/60+If(DPS_ATK_TYPE="挥砍",1/60)+If(DPS_ATK_TYPE="挥砍/刺击",1/120))+DPS_Weapon_Randomization/60</f>
        <v>0.105</v>
      </c>
      <c r="C1086" s="104" t="str">
        <f>IF(DPS_Graph_True_Speed=TRUE,IF($A1086&lt;=DPS_Graph_Max,IF($A1086&gt;=DPS_Graph_Speed_Min,1/B1086,),),)</f>
        <v/>
      </c>
      <c r="D1086" s="115" t="str">
        <f>IF(DPS_Graph_True_Speed=TRUE,IF($E$8=$A1086,DPS_Attacks_P_Sec,),)</f>
        <v/>
      </c>
      <c r="E1086" s="222">
        <f>ROUNDDOWN(MAX(2,IF(A1086&gt;=0, DPS_Base_Wpn_Spd/(1+A1086),DPS_Base_Wpn_Spd*(1+ABS(A1086)))),0)</f>
        <v>2</v>
      </c>
      <c r="F1086" s="232">
        <f>IF(A1086&gt;=0, DPS_Base_Recoil/(1+A1086),DPS_Base_Recoil)</f>
        <v>0.005302226935</v>
      </c>
      <c r="G1086" s="377">
        <f t="shared" si="7"/>
        <v>0.51</v>
      </c>
      <c r="H1086" s="377">
        <f t="shared" si="8"/>
        <v>0.007607455306</v>
      </c>
      <c r="I1086" s="104"/>
      <c r="J1086" s="377">
        <f>MAX(0, Max(25,(DPS_Base_Range + ((DPS_Range_Stat) / 2))) / MIN(MAX(70, (70 * (1 + ($A1086 / 3)))), 120))</f>
        <v>3.333333333</v>
      </c>
      <c r="K1086" s="115" t="str">
        <f>IF(A1086&lt;=DPS_Graph_Max,IF(A1086&gt;=DPS_Graph_Speed_Min,A1086,),)</f>
        <v/>
      </c>
      <c r="M1086" s="213">
        <f>If(DPS_Weapon_Type="远程",$E1086/60+$F1086*2,$E1086/60+$F1086+$G1086/2+$H1086)</f>
        <v>0.0439377872</v>
      </c>
      <c r="N1086" s="104" t="str">
        <f>IF(DPS_Graph_Tooltip_Speed=TRUE,IF($A1086&lt;=DPS_Graph_Max,IF($A1086&gt;=DPS_Graph_Speed_Min,1/M1086,),),)</f>
        <v/>
      </c>
      <c r="R1086" s="104" t="str">
        <f>IF(DPS_Graph_Tooltip_Speed=TRUE,IF($E$8=$A1086,1/$N$6,),)</f>
        <v/>
      </c>
    </row>
    <row r="1087">
      <c r="A1087" s="370">
        <v>8.44</v>
      </c>
      <c r="B1087" s="213">
        <f>If(DPS_Weapon_Type="远程",($E1087+1)/60+(ROUNDDOWN($F1087*60+1,0)/60)*2,(ROUNDDOWN(($E1087+1)+ROUNDDOWN($F1087*60+1,0)+ROUNDDOWN($G1087/2*60+1,0)+ROUNDDOWN($H1087*60+1,0)+1,0))/60+If(DPS_ATK_TYPE="挥砍",1/60)+If(DPS_ATK_TYPE="挥砍/刺击",1/120))+DPS_Weapon_Randomization/60</f>
        <v>0.105</v>
      </c>
      <c r="C1087" s="104" t="str">
        <f>IF(DPS_Graph_True_Speed=TRUE,IF($A1087&lt;=DPS_Graph_Max,IF($A1087&gt;=DPS_Graph_Speed_Min,1/B1087,),),)</f>
        <v/>
      </c>
      <c r="D1087" s="115" t="str">
        <f>IF(DPS_Graph_True_Speed=TRUE,IF($E$8=$A1087,DPS_Attacks_P_Sec,),)</f>
        <v/>
      </c>
      <c r="E1087" s="222">
        <f>ROUNDDOWN(MAX(2,IF(A1087&gt;=0, DPS_Base_Wpn_Spd/(1+A1087),DPS_Base_Wpn_Spd*(1+ABS(A1087)))),0)</f>
        <v>2</v>
      </c>
      <c r="F1087" s="232">
        <f>IF(A1087&gt;=0, DPS_Base_Recoil/(1+A1087),DPS_Base_Recoil)</f>
        <v>0.005296610169</v>
      </c>
      <c r="G1087" s="377">
        <f t="shared" si="7"/>
        <v>0.51</v>
      </c>
      <c r="H1087" s="377">
        <f t="shared" si="8"/>
        <v>0.007598784195</v>
      </c>
      <c r="I1087" s="104"/>
      <c r="J1087" s="377">
        <f>MAX(0, Max(25,(DPS_Base_Range + ((DPS_Range_Stat) / 2))) / MIN(MAX(70, (70 * (1 + ($A1087 / 3)))), 120))</f>
        <v>3.333333333</v>
      </c>
      <c r="K1087" s="115" t="str">
        <f>IF(A1087&lt;=DPS_Graph_Max,IF(A1087&gt;=DPS_Graph_Speed_Min,A1087,),)</f>
        <v/>
      </c>
      <c r="M1087" s="213">
        <f>If(DPS_Weapon_Type="远程",$E1087/60+$F1087*2,$E1087/60+$F1087+$G1087/2+$H1087)</f>
        <v>0.04392655367</v>
      </c>
      <c r="N1087" s="104" t="str">
        <f>IF(DPS_Graph_Tooltip_Speed=TRUE,IF($A1087&lt;=DPS_Graph_Max,IF($A1087&gt;=DPS_Graph_Speed_Min,1/M1087,),),)</f>
        <v/>
      </c>
      <c r="R1087" s="104" t="str">
        <f>IF(DPS_Graph_Tooltip_Speed=TRUE,IF($E$8=$A1087,1/$N$6,),)</f>
        <v/>
      </c>
    </row>
    <row r="1088">
      <c r="A1088" s="370">
        <v>8.45</v>
      </c>
      <c r="B1088" s="213">
        <f>If(DPS_Weapon_Type="远程",($E1088+1)/60+(ROUNDDOWN($F1088*60+1,0)/60)*2,(ROUNDDOWN(($E1088+1)+ROUNDDOWN($F1088*60+1,0)+ROUNDDOWN($G1088/2*60+1,0)+ROUNDDOWN($H1088*60+1,0)+1,0))/60+If(DPS_ATK_TYPE="挥砍",1/60)+If(DPS_ATK_TYPE="挥砍/刺击",1/120))+DPS_Weapon_Randomization/60</f>
        <v>0.105</v>
      </c>
      <c r="C1088" s="104" t="str">
        <f>IF(DPS_Graph_True_Speed=TRUE,IF($A1088&lt;=DPS_Graph_Max,IF($A1088&gt;=DPS_Graph_Speed_Min,1/B1088,),),)</f>
        <v/>
      </c>
      <c r="D1088" s="115" t="str">
        <f>IF(DPS_Graph_True_Speed=TRUE,IF($E$8=$A1088,DPS_Attacks_P_Sec,),)</f>
        <v/>
      </c>
      <c r="E1088" s="222">
        <f>ROUNDDOWN(MAX(2,IF(A1088&gt;=0, DPS_Base_Wpn_Spd/(1+A1088),DPS_Base_Wpn_Spd*(1+ABS(A1088)))),0)</f>
        <v>2</v>
      </c>
      <c r="F1088" s="232">
        <f>IF(A1088&gt;=0, DPS_Base_Recoil/(1+A1088),DPS_Base_Recoil)</f>
        <v>0.005291005291</v>
      </c>
      <c r="G1088" s="377">
        <f t="shared" si="7"/>
        <v>0.51</v>
      </c>
      <c r="H1088" s="377">
        <f t="shared" si="8"/>
        <v>0.007590132827</v>
      </c>
      <c r="I1088" s="104"/>
      <c r="J1088" s="377">
        <f>MAX(0, Max(25,(DPS_Base_Range + ((DPS_Range_Stat) / 2))) / MIN(MAX(70, (70 * (1 + ($A1088 / 3)))), 120))</f>
        <v>3.333333333</v>
      </c>
      <c r="K1088" s="115" t="str">
        <f>IF(A1088&lt;=DPS_Graph_Max,IF(A1088&gt;=DPS_Graph_Speed_Min,A1088,),)</f>
        <v/>
      </c>
      <c r="M1088" s="213">
        <f>If(DPS_Weapon_Type="远程",$E1088/60+$F1088*2,$E1088/60+$F1088+$G1088/2+$H1088)</f>
        <v>0.04391534392</v>
      </c>
      <c r="N1088" s="104" t="str">
        <f>IF(DPS_Graph_Tooltip_Speed=TRUE,IF($A1088&lt;=DPS_Graph_Max,IF($A1088&gt;=DPS_Graph_Speed_Min,1/M1088,),),)</f>
        <v/>
      </c>
      <c r="R1088" s="104" t="str">
        <f>IF(DPS_Graph_Tooltip_Speed=TRUE,IF($E$8=$A1088,1/$N$6,),)</f>
        <v/>
      </c>
    </row>
    <row r="1089">
      <c r="A1089" s="370">
        <v>8.46</v>
      </c>
      <c r="B1089" s="213">
        <f>If(DPS_Weapon_Type="远程",($E1089+1)/60+(ROUNDDOWN($F1089*60+1,0)/60)*2,(ROUNDDOWN(($E1089+1)+ROUNDDOWN($F1089*60+1,0)+ROUNDDOWN($G1089/2*60+1,0)+ROUNDDOWN($H1089*60+1,0)+1,0))/60+If(DPS_ATK_TYPE="挥砍",1/60)+If(DPS_ATK_TYPE="挥砍/刺击",1/120))+DPS_Weapon_Randomization/60</f>
        <v>0.105</v>
      </c>
      <c r="C1089" s="104" t="str">
        <f>IF(DPS_Graph_True_Speed=TRUE,IF($A1089&lt;=DPS_Graph_Max,IF($A1089&gt;=DPS_Graph_Speed_Min,1/B1089,),),)</f>
        <v/>
      </c>
      <c r="D1089" s="115" t="str">
        <f>IF(DPS_Graph_True_Speed=TRUE,IF($E$8=$A1089,DPS_Attacks_P_Sec,),)</f>
        <v/>
      </c>
      <c r="E1089" s="222">
        <f>ROUNDDOWN(MAX(2,IF(A1089&gt;=0, DPS_Base_Wpn_Spd/(1+A1089),DPS_Base_Wpn_Spd*(1+ABS(A1089)))),0)</f>
        <v>2</v>
      </c>
      <c r="F1089" s="232">
        <f>IF(A1089&gt;=0, DPS_Base_Recoil/(1+A1089),DPS_Base_Recoil)</f>
        <v>0.005285412262</v>
      </c>
      <c r="G1089" s="377">
        <f t="shared" si="7"/>
        <v>0.51</v>
      </c>
      <c r="H1089" s="377">
        <f t="shared" si="8"/>
        <v>0.007581501137</v>
      </c>
      <c r="I1089" s="104"/>
      <c r="J1089" s="377">
        <f>MAX(0, Max(25,(DPS_Base_Range + ((DPS_Range_Stat) / 2))) / MIN(MAX(70, (70 * (1 + ($A1089 / 3)))), 120))</f>
        <v>3.333333333</v>
      </c>
      <c r="K1089" s="115" t="str">
        <f>IF(A1089&lt;=DPS_Graph_Max,IF(A1089&gt;=DPS_Graph_Speed_Min,A1089,),)</f>
        <v/>
      </c>
      <c r="M1089" s="213">
        <f>If(DPS_Weapon_Type="远程",$E1089/60+$F1089*2,$E1089/60+$F1089+$G1089/2+$H1089)</f>
        <v>0.04390415786</v>
      </c>
      <c r="N1089" s="104" t="str">
        <f>IF(DPS_Graph_Tooltip_Speed=TRUE,IF($A1089&lt;=DPS_Graph_Max,IF($A1089&gt;=DPS_Graph_Speed_Min,1/M1089,),),)</f>
        <v/>
      </c>
      <c r="R1089" s="104" t="str">
        <f>IF(DPS_Graph_Tooltip_Speed=TRUE,IF($E$8=$A1089,1/$N$6,),)</f>
        <v/>
      </c>
    </row>
    <row r="1090">
      <c r="A1090" s="370">
        <v>8.47</v>
      </c>
      <c r="B1090" s="213">
        <f>If(DPS_Weapon_Type="远程",($E1090+1)/60+(ROUNDDOWN($F1090*60+1,0)/60)*2,(ROUNDDOWN(($E1090+1)+ROUNDDOWN($F1090*60+1,0)+ROUNDDOWN($G1090/2*60+1,0)+ROUNDDOWN($H1090*60+1,0)+1,0))/60+If(DPS_ATK_TYPE="挥砍",1/60)+If(DPS_ATK_TYPE="挥砍/刺击",1/120))+DPS_Weapon_Randomization/60</f>
        <v>0.105</v>
      </c>
      <c r="C1090" s="104" t="str">
        <f>IF(DPS_Graph_True_Speed=TRUE,IF($A1090&lt;=DPS_Graph_Max,IF($A1090&gt;=DPS_Graph_Speed_Min,1/B1090,),),)</f>
        <v/>
      </c>
      <c r="D1090" s="115" t="str">
        <f>IF(DPS_Graph_True_Speed=TRUE,IF($E$8=$A1090,DPS_Attacks_P_Sec,),)</f>
        <v/>
      </c>
      <c r="E1090" s="222">
        <f>ROUNDDOWN(MAX(2,IF(A1090&gt;=0, DPS_Base_Wpn_Spd/(1+A1090),DPS_Base_Wpn_Spd*(1+ABS(A1090)))),0)</f>
        <v>2</v>
      </c>
      <c r="F1090" s="232">
        <f>IF(A1090&gt;=0, DPS_Base_Recoil/(1+A1090),DPS_Base_Recoil)</f>
        <v>0.005279831045</v>
      </c>
      <c r="G1090" s="377">
        <f t="shared" si="7"/>
        <v>0.51</v>
      </c>
      <c r="H1090" s="377">
        <f t="shared" si="8"/>
        <v>0.007572889057</v>
      </c>
      <c r="I1090" s="104"/>
      <c r="J1090" s="377">
        <f>MAX(0, Max(25,(DPS_Base_Range + ((DPS_Range_Stat) / 2))) / MIN(MAX(70, (70 * (1 + ($A1090 / 3)))), 120))</f>
        <v>3.333333333</v>
      </c>
      <c r="K1090" s="115" t="str">
        <f>IF(A1090&lt;=DPS_Graph_Max,IF(A1090&gt;=DPS_Graph_Speed_Min,A1090,),)</f>
        <v/>
      </c>
      <c r="M1090" s="213">
        <f>If(DPS_Weapon_Type="远程",$E1090/60+$F1090*2,$E1090/60+$F1090+$G1090/2+$H1090)</f>
        <v>0.04389299542</v>
      </c>
      <c r="N1090" s="104" t="str">
        <f>IF(DPS_Graph_Tooltip_Speed=TRUE,IF($A1090&lt;=DPS_Graph_Max,IF($A1090&gt;=DPS_Graph_Speed_Min,1/M1090,),),)</f>
        <v/>
      </c>
      <c r="R1090" s="104" t="str">
        <f>IF(DPS_Graph_Tooltip_Speed=TRUE,IF($E$8=$A1090,1/$N$6,),)</f>
        <v/>
      </c>
    </row>
    <row r="1091">
      <c r="A1091" s="370">
        <v>8.48</v>
      </c>
      <c r="B1091" s="213">
        <f>If(DPS_Weapon_Type="远程",($E1091+1)/60+(ROUNDDOWN($F1091*60+1,0)/60)*2,(ROUNDDOWN(($E1091+1)+ROUNDDOWN($F1091*60+1,0)+ROUNDDOWN($G1091/2*60+1,0)+ROUNDDOWN($H1091*60+1,0)+1,0))/60+If(DPS_ATK_TYPE="挥砍",1/60)+If(DPS_ATK_TYPE="挥砍/刺击",1/120))+DPS_Weapon_Randomization/60</f>
        <v>0.105</v>
      </c>
      <c r="C1091" s="104" t="str">
        <f>IF(DPS_Graph_True_Speed=TRUE,IF($A1091&lt;=DPS_Graph_Max,IF($A1091&gt;=DPS_Graph_Speed_Min,1/B1091,),),)</f>
        <v/>
      </c>
      <c r="D1091" s="115" t="str">
        <f>IF(DPS_Graph_True_Speed=TRUE,IF($E$8=$A1091,DPS_Attacks_P_Sec,),)</f>
        <v/>
      </c>
      <c r="E1091" s="222">
        <f>ROUNDDOWN(MAX(2,IF(A1091&gt;=0, DPS_Base_Wpn_Spd/(1+A1091),DPS_Base_Wpn_Spd*(1+ABS(A1091)))),0)</f>
        <v>2</v>
      </c>
      <c r="F1091" s="232">
        <f>IF(A1091&gt;=0, DPS_Base_Recoil/(1+A1091),DPS_Base_Recoil)</f>
        <v>0.005274261603</v>
      </c>
      <c r="G1091" s="377">
        <f t="shared" si="7"/>
        <v>0.51</v>
      </c>
      <c r="H1091" s="377">
        <f t="shared" si="8"/>
        <v>0.00756429652</v>
      </c>
      <c r="I1091" s="104"/>
      <c r="J1091" s="377">
        <f>MAX(0, Max(25,(DPS_Base_Range + ((DPS_Range_Stat) / 2))) / MIN(MAX(70, (70 * (1 + ($A1091 / 3)))), 120))</f>
        <v>3.333333333</v>
      </c>
      <c r="K1091" s="115" t="str">
        <f>IF(A1091&lt;=DPS_Graph_Max,IF(A1091&gt;=DPS_Graph_Speed_Min,A1091,),)</f>
        <v/>
      </c>
      <c r="M1091" s="213">
        <f>If(DPS_Weapon_Type="远程",$E1091/60+$F1091*2,$E1091/60+$F1091+$G1091/2+$H1091)</f>
        <v>0.04388185654</v>
      </c>
      <c r="N1091" s="104" t="str">
        <f>IF(DPS_Graph_Tooltip_Speed=TRUE,IF($A1091&lt;=DPS_Graph_Max,IF($A1091&gt;=DPS_Graph_Speed_Min,1/M1091,),),)</f>
        <v/>
      </c>
      <c r="R1091" s="104" t="str">
        <f>IF(DPS_Graph_Tooltip_Speed=TRUE,IF($E$8=$A1091,1/$N$6,),)</f>
        <v/>
      </c>
    </row>
    <row r="1092">
      <c r="A1092" s="370">
        <v>8.49</v>
      </c>
      <c r="B1092" s="213">
        <f>If(DPS_Weapon_Type="远程",($E1092+1)/60+(ROUNDDOWN($F1092*60+1,0)/60)*2,(ROUNDDOWN(($E1092+1)+ROUNDDOWN($F1092*60+1,0)+ROUNDDOWN($G1092/2*60+1,0)+ROUNDDOWN($H1092*60+1,0)+1,0))/60+If(DPS_ATK_TYPE="挥砍",1/60)+If(DPS_ATK_TYPE="挥砍/刺击",1/120))+DPS_Weapon_Randomization/60</f>
        <v>0.105</v>
      </c>
      <c r="C1092" s="104" t="str">
        <f>IF(DPS_Graph_True_Speed=TRUE,IF($A1092&lt;=DPS_Graph_Max,IF($A1092&gt;=DPS_Graph_Speed_Min,1/B1092,),),)</f>
        <v/>
      </c>
      <c r="D1092" s="115" t="str">
        <f>IF(DPS_Graph_True_Speed=TRUE,IF($E$8=$A1092,DPS_Attacks_P_Sec,),)</f>
        <v/>
      </c>
      <c r="E1092" s="222">
        <f>ROUNDDOWN(MAX(2,IF(A1092&gt;=0, DPS_Base_Wpn_Spd/(1+A1092),DPS_Base_Wpn_Spd*(1+ABS(A1092)))),0)</f>
        <v>2</v>
      </c>
      <c r="F1092" s="232">
        <f>IF(A1092&gt;=0, DPS_Base_Recoil/(1+A1092),DPS_Base_Recoil)</f>
        <v>0.005268703899</v>
      </c>
      <c r="G1092" s="377">
        <f t="shared" si="7"/>
        <v>0.51</v>
      </c>
      <c r="H1092" s="377">
        <f t="shared" si="8"/>
        <v>0.007555723461</v>
      </c>
      <c r="I1092" s="104"/>
      <c r="J1092" s="377">
        <f>MAX(0, Max(25,(DPS_Base_Range + ((DPS_Range_Stat) / 2))) / MIN(MAX(70, (70 * (1 + ($A1092 / 3)))), 120))</f>
        <v>3.333333333</v>
      </c>
      <c r="K1092" s="115" t="str">
        <f>IF(A1092&lt;=DPS_Graph_Max,IF(A1092&gt;=DPS_Graph_Speed_Min,A1092,),)</f>
        <v/>
      </c>
      <c r="M1092" s="213">
        <f>If(DPS_Weapon_Type="远程",$E1092/60+$F1092*2,$E1092/60+$F1092+$G1092/2+$H1092)</f>
        <v>0.04387074113</v>
      </c>
      <c r="N1092" s="104" t="str">
        <f>IF(DPS_Graph_Tooltip_Speed=TRUE,IF($A1092&lt;=DPS_Graph_Max,IF($A1092&gt;=DPS_Graph_Speed_Min,1/M1092,),),)</f>
        <v/>
      </c>
      <c r="R1092" s="104" t="str">
        <f>IF(DPS_Graph_Tooltip_Speed=TRUE,IF($E$8=$A1092,1/$N$6,),)</f>
        <v/>
      </c>
    </row>
    <row r="1093">
      <c r="A1093" s="370">
        <v>8.5</v>
      </c>
      <c r="B1093" s="213">
        <f>If(DPS_Weapon_Type="远程",($E1093+1)/60+(ROUNDDOWN($F1093*60+1,0)/60)*2,(ROUNDDOWN(($E1093+1)+ROUNDDOWN($F1093*60+1,0)+ROUNDDOWN($G1093/2*60+1,0)+ROUNDDOWN($H1093*60+1,0)+1,0))/60+If(DPS_ATK_TYPE="挥砍",1/60)+If(DPS_ATK_TYPE="挥砍/刺击",1/120))+DPS_Weapon_Randomization/60</f>
        <v>0.105</v>
      </c>
      <c r="C1093" s="104" t="str">
        <f>IF(DPS_Graph_True_Speed=TRUE,IF($A1093&lt;=DPS_Graph_Max,IF($A1093&gt;=DPS_Graph_Speed_Min,1/B1093,),),)</f>
        <v/>
      </c>
      <c r="D1093" s="115" t="str">
        <f>IF(DPS_Graph_True_Speed=TRUE,IF($E$8=$A1093,DPS_Attacks_P_Sec,),)</f>
        <v/>
      </c>
      <c r="E1093" s="222">
        <f>ROUNDDOWN(MAX(2,IF(A1093&gt;=0, DPS_Base_Wpn_Spd/(1+A1093),DPS_Base_Wpn_Spd*(1+ABS(A1093)))),0)</f>
        <v>2</v>
      </c>
      <c r="F1093" s="232">
        <f>IF(A1093&gt;=0, DPS_Base_Recoil/(1+A1093),DPS_Base_Recoil)</f>
        <v>0.005263157895</v>
      </c>
      <c r="G1093" s="377">
        <f t="shared" si="7"/>
        <v>0.51</v>
      </c>
      <c r="H1093" s="377">
        <f t="shared" si="8"/>
        <v>0.007547169811</v>
      </c>
      <c r="I1093" s="104"/>
      <c r="J1093" s="377">
        <f>MAX(0, Max(25,(DPS_Base_Range + ((DPS_Range_Stat) / 2))) / MIN(MAX(70, (70 * (1 + ($A1093 / 3)))), 120))</f>
        <v>3.333333333</v>
      </c>
      <c r="K1093" s="115" t="str">
        <f>IF(A1093&lt;=DPS_Graph_Max,IF(A1093&gt;=DPS_Graph_Speed_Min,A1093,),)</f>
        <v/>
      </c>
      <c r="M1093" s="213">
        <f>If(DPS_Weapon_Type="远程",$E1093/60+$F1093*2,$E1093/60+$F1093+$G1093/2+$H1093)</f>
        <v>0.04385964912</v>
      </c>
      <c r="N1093" s="104" t="str">
        <f>IF(DPS_Graph_Tooltip_Speed=TRUE,IF($A1093&lt;=DPS_Graph_Max,IF($A1093&gt;=DPS_Graph_Speed_Min,1/M1093,),),)</f>
        <v/>
      </c>
      <c r="R1093" s="104" t="str">
        <f>IF(DPS_Graph_Tooltip_Speed=TRUE,IF($E$8=$A1093,1/$N$6,),)</f>
        <v/>
      </c>
    </row>
    <row r="1094">
      <c r="A1094" s="370">
        <v>8.51</v>
      </c>
      <c r="B1094" s="213">
        <f>If(DPS_Weapon_Type="远程",($E1094+1)/60+(ROUNDDOWN($F1094*60+1,0)/60)*2,(ROUNDDOWN(($E1094+1)+ROUNDDOWN($F1094*60+1,0)+ROUNDDOWN($G1094/2*60+1,0)+ROUNDDOWN($H1094*60+1,0)+1,0))/60+If(DPS_ATK_TYPE="挥砍",1/60)+If(DPS_ATK_TYPE="挥砍/刺击",1/120))+DPS_Weapon_Randomization/60</f>
        <v>0.105</v>
      </c>
      <c r="C1094" s="104" t="str">
        <f>IF(DPS_Graph_True_Speed=TRUE,IF($A1094&lt;=DPS_Graph_Max,IF($A1094&gt;=DPS_Graph_Speed_Min,1/B1094,),),)</f>
        <v/>
      </c>
      <c r="D1094" s="115" t="str">
        <f>IF(DPS_Graph_True_Speed=TRUE,IF($E$8=$A1094,DPS_Attacks_P_Sec,),)</f>
        <v/>
      </c>
      <c r="E1094" s="222">
        <f>ROUNDDOWN(MAX(2,IF(A1094&gt;=0, DPS_Base_Wpn_Spd/(1+A1094),DPS_Base_Wpn_Spd*(1+ABS(A1094)))),0)</f>
        <v>2</v>
      </c>
      <c r="F1094" s="232">
        <f>IF(A1094&gt;=0, DPS_Base_Recoil/(1+A1094),DPS_Base_Recoil)</f>
        <v>0.005257623554</v>
      </c>
      <c r="G1094" s="377">
        <f t="shared" si="7"/>
        <v>0.51</v>
      </c>
      <c r="H1094" s="377">
        <f t="shared" si="8"/>
        <v>0.007538635507</v>
      </c>
      <c r="I1094" s="104"/>
      <c r="J1094" s="377">
        <f>MAX(0, Max(25,(DPS_Base_Range + ((DPS_Range_Stat) / 2))) / MIN(MAX(70, (70 * (1 + ($A1094 / 3)))), 120))</f>
        <v>3.333333333</v>
      </c>
      <c r="K1094" s="115" t="str">
        <f>IF(A1094&lt;=DPS_Graph_Max,IF(A1094&gt;=DPS_Graph_Speed_Min,A1094,),)</f>
        <v/>
      </c>
      <c r="M1094" s="213">
        <f>If(DPS_Weapon_Type="远程",$E1094/60+$F1094*2,$E1094/60+$F1094+$G1094/2+$H1094)</f>
        <v>0.04384858044</v>
      </c>
      <c r="N1094" s="104" t="str">
        <f>IF(DPS_Graph_Tooltip_Speed=TRUE,IF($A1094&lt;=DPS_Graph_Max,IF($A1094&gt;=DPS_Graph_Speed_Min,1/M1094,),),)</f>
        <v/>
      </c>
      <c r="R1094" s="104" t="str">
        <f>IF(DPS_Graph_Tooltip_Speed=TRUE,IF($E$8=$A1094,1/$N$6,),)</f>
        <v/>
      </c>
    </row>
    <row r="1095">
      <c r="A1095" s="370">
        <v>8.52</v>
      </c>
      <c r="B1095" s="213">
        <f>If(DPS_Weapon_Type="远程",($E1095+1)/60+(ROUNDDOWN($F1095*60+1,0)/60)*2,(ROUNDDOWN(($E1095+1)+ROUNDDOWN($F1095*60+1,0)+ROUNDDOWN($G1095/2*60+1,0)+ROUNDDOWN($H1095*60+1,0)+1,0))/60+If(DPS_ATK_TYPE="挥砍",1/60)+If(DPS_ATK_TYPE="挥砍/刺击",1/120))+DPS_Weapon_Randomization/60</f>
        <v>0.105</v>
      </c>
      <c r="C1095" s="104" t="str">
        <f>IF(DPS_Graph_True_Speed=TRUE,IF($A1095&lt;=DPS_Graph_Max,IF($A1095&gt;=DPS_Graph_Speed_Min,1/B1095,),),)</f>
        <v/>
      </c>
      <c r="D1095" s="115" t="str">
        <f>IF(DPS_Graph_True_Speed=TRUE,IF($E$8=$A1095,DPS_Attacks_P_Sec,),)</f>
        <v/>
      </c>
      <c r="E1095" s="222">
        <f>ROUNDDOWN(MAX(2,IF(A1095&gt;=0, DPS_Base_Wpn_Spd/(1+A1095),DPS_Base_Wpn_Spd*(1+ABS(A1095)))),0)</f>
        <v>2</v>
      </c>
      <c r="F1095" s="232">
        <f>IF(A1095&gt;=0, DPS_Base_Recoil/(1+A1095),DPS_Base_Recoil)</f>
        <v>0.00525210084</v>
      </c>
      <c r="G1095" s="377">
        <f t="shared" si="7"/>
        <v>0.51</v>
      </c>
      <c r="H1095" s="377">
        <f t="shared" si="8"/>
        <v>0.007530120482</v>
      </c>
      <c r="I1095" s="104"/>
      <c r="J1095" s="377">
        <f>MAX(0, Max(25,(DPS_Base_Range + ((DPS_Range_Stat) / 2))) / MIN(MAX(70, (70 * (1 + ($A1095 / 3)))), 120))</f>
        <v>3.333333333</v>
      </c>
      <c r="K1095" s="115" t="str">
        <f>IF(A1095&lt;=DPS_Graph_Max,IF(A1095&gt;=DPS_Graph_Speed_Min,A1095,),)</f>
        <v/>
      </c>
      <c r="M1095" s="213">
        <f>If(DPS_Weapon_Type="远程",$E1095/60+$F1095*2,$E1095/60+$F1095+$G1095/2+$H1095)</f>
        <v>0.04383753501</v>
      </c>
      <c r="N1095" s="104" t="str">
        <f>IF(DPS_Graph_Tooltip_Speed=TRUE,IF($A1095&lt;=DPS_Graph_Max,IF($A1095&gt;=DPS_Graph_Speed_Min,1/M1095,),),)</f>
        <v/>
      </c>
      <c r="R1095" s="104" t="str">
        <f>IF(DPS_Graph_Tooltip_Speed=TRUE,IF($E$8=$A1095,1/$N$6,),)</f>
        <v/>
      </c>
    </row>
    <row r="1096">
      <c r="A1096" s="370">
        <v>8.53</v>
      </c>
      <c r="B1096" s="213">
        <f>If(DPS_Weapon_Type="远程",($E1096+1)/60+(ROUNDDOWN($F1096*60+1,0)/60)*2,(ROUNDDOWN(($E1096+1)+ROUNDDOWN($F1096*60+1,0)+ROUNDDOWN($G1096/2*60+1,0)+ROUNDDOWN($H1096*60+1,0)+1,0))/60+If(DPS_ATK_TYPE="挥砍",1/60)+If(DPS_ATK_TYPE="挥砍/刺击",1/120))+DPS_Weapon_Randomization/60</f>
        <v>0.105</v>
      </c>
      <c r="C1096" s="104" t="str">
        <f>IF(DPS_Graph_True_Speed=TRUE,IF($A1096&lt;=DPS_Graph_Max,IF($A1096&gt;=DPS_Graph_Speed_Min,1/B1096,),),)</f>
        <v/>
      </c>
      <c r="D1096" s="115" t="str">
        <f>IF(DPS_Graph_True_Speed=TRUE,IF($E$8=$A1096,DPS_Attacks_P_Sec,),)</f>
        <v/>
      </c>
      <c r="E1096" s="222">
        <f>ROUNDDOWN(MAX(2,IF(A1096&gt;=0, DPS_Base_Wpn_Spd/(1+A1096),DPS_Base_Wpn_Spd*(1+ABS(A1096)))),0)</f>
        <v>2</v>
      </c>
      <c r="F1096" s="232">
        <f>IF(A1096&gt;=0, DPS_Base_Recoil/(1+A1096),DPS_Base_Recoil)</f>
        <v>0.005246589717</v>
      </c>
      <c r="G1096" s="377">
        <f t="shared" si="7"/>
        <v>0.51</v>
      </c>
      <c r="H1096" s="377">
        <f t="shared" si="8"/>
        <v>0.007521624671</v>
      </c>
      <c r="I1096" s="104"/>
      <c r="J1096" s="377">
        <f>MAX(0, Max(25,(DPS_Base_Range + ((DPS_Range_Stat) / 2))) / MIN(MAX(70, (70 * (1 + ($A1096 / 3)))), 120))</f>
        <v>3.333333333</v>
      </c>
      <c r="K1096" s="115" t="str">
        <f>IF(A1096&lt;=DPS_Graph_Max,IF(A1096&gt;=DPS_Graph_Speed_Min,A1096,),)</f>
        <v/>
      </c>
      <c r="M1096" s="213">
        <f>If(DPS_Weapon_Type="远程",$E1096/60+$F1096*2,$E1096/60+$F1096+$G1096/2+$H1096)</f>
        <v>0.04382651277</v>
      </c>
      <c r="N1096" s="104" t="str">
        <f>IF(DPS_Graph_Tooltip_Speed=TRUE,IF($A1096&lt;=DPS_Graph_Max,IF($A1096&gt;=DPS_Graph_Speed_Min,1/M1096,),),)</f>
        <v/>
      </c>
      <c r="R1096" s="104" t="str">
        <f>IF(DPS_Graph_Tooltip_Speed=TRUE,IF($E$8=$A1096,1/$N$6,),)</f>
        <v/>
      </c>
    </row>
    <row r="1097">
      <c r="A1097" s="370">
        <v>8.54</v>
      </c>
      <c r="B1097" s="213">
        <f>If(DPS_Weapon_Type="远程",($E1097+1)/60+(ROUNDDOWN($F1097*60+1,0)/60)*2,(ROUNDDOWN(($E1097+1)+ROUNDDOWN($F1097*60+1,0)+ROUNDDOWN($G1097/2*60+1,0)+ROUNDDOWN($H1097*60+1,0)+1,0))/60+If(DPS_ATK_TYPE="挥砍",1/60)+If(DPS_ATK_TYPE="挥砍/刺击",1/120))+DPS_Weapon_Randomization/60</f>
        <v>0.105</v>
      </c>
      <c r="C1097" s="104" t="str">
        <f>IF(DPS_Graph_True_Speed=TRUE,IF($A1097&lt;=DPS_Graph_Max,IF($A1097&gt;=DPS_Graph_Speed_Min,1/B1097,),),)</f>
        <v/>
      </c>
      <c r="D1097" s="115" t="str">
        <f>IF(DPS_Graph_True_Speed=TRUE,IF($E$8=$A1097,DPS_Attacks_P_Sec,),)</f>
        <v/>
      </c>
      <c r="E1097" s="222">
        <f>ROUNDDOWN(MAX(2,IF(A1097&gt;=0, DPS_Base_Wpn_Spd/(1+A1097),DPS_Base_Wpn_Spd*(1+ABS(A1097)))),0)</f>
        <v>2</v>
      </c>
      <c r="F1097" s="232">
        <f>IF(A1097&gt;=0, DPS_Base_Recoil/(1+A1097),DPS_Base_Recoil)</f>
        <v>0.005241090147</v>
      </c>
      <c r="G1097" s="377">
        <f t="shared" si="7"/>
        <v>0.51</v>
      </c>
      <c r="H1097" s="377">
        <f t="shared" si="8"/>
        <v>0.007513148009</v>
      </c>
      <c r="I1097" s="104"/>
      <c r="J1097" s="377">
        <f>MAX(0, Max(25,(DPS_Base_Range + ((DPS_Range_Stat) / 2))) / MIN(MAX(70, (70 * (1 + ($A1097 / 3)))), 120))</f>
        <v>3.333333333</v>
      </c>
      <c r="K1097" s="115" t="str">
        <f>IF(A1097&lt;=DPS_Graph_Max,IF(A1097&gt;=DPS_Graph_Speed_Min,A1097,),)</f>
        <v/>
      </c>
      <c r="M1097" s="213">
        <f>If(DPS_Weapon_Type="远程",$E1097/60+$F1097*2,$E1097/60+$F1097+$G1097/2+$H1097)</f>
        <v>0.04381551363</v>
      </c>
      <c r="N1097" s="104" t="str">
        <f>IF(DPS_Graph_Tooltip_Speed=TRUE,IF($A1097&lt;=DPS_Graph_Max,IF($A1097&gt;=DPS_Graph_Speed_Min,1/M1097,),),)</f>
        <v/>
      </c>
      <c r="R1097" s="104" t="str">
        <f>IF(DPS_Graph_Tooltip_Speed=TRUE,IF($E$8=$A1097,1/$N$6,),)</f>
        <v/>
      </c>
    </row>
    <row r="1098">
      <c r="A1098" s="370">
        <v>8.55</v>
      </c>
      <c r="B1098" s="213">
        <f>If(DPS_Weapon_Type="远程",($E1098+1)/60+(ROUNDDOWN($F1098*60+1,0)/60)*2,(ROUNDDOWN(($E1098+1)+ROUNDDOWN($F1098*60+1,0)+ROUNDDOWN($G1098/2*60+1,0)+ROUNDDOWN($H1098*60+1,0)+1,0))/60+If(DPS_ATK_TYPE="挥砍",1/60)+If(DPS_ATK_TYPE="挥砍/刺击",1/120))+DPS_Weapon_Randomization/60</f>
        <v>0.105</v>
      </c>
      <c r="C1098" s="104" t="str">
        <f>IF(DPS_Graph_True_Speed=TRUE,IF($A1098&lt;=DPS_Graph_Max,IF($A1098&gt;=DPS_Graph_Speed_Min,1/B1098,),),)</f>
        <v/>
      </c>
      <c r="D1098" s="115" t="str">
        <f>IF(DPS_Graph_True_Speed=TRUE,IF($E$8=$A1098,DPS_Attacks_P_Sec,),)</f>
        <v/>
      </c>
      <c r="E1098" s="222">
        <f>ROUNDDOWN(MAX(2,IF(A1098&gt;=0, DPS_Base_Wpn_Spd/(1+A1098),DPS_Base_Wpn_Spd*(1+ABS(A1098)))),0)</f>
        <v>2</v>
      </c>
      <c r="F1098" s="232">
        <f>IF(A1098&gt;=0, DPS_Base_Recoil/(1+A1098),DPS_Base_Recoil)</f>
        <v>0.005235602094</v>
      </c>
      <c r="G1098" s="377">
        <f t="shared" si="7"/>
        <v>0.51</v>
      </c>
      <c r="H1098" s="377">
        <f t="shared" si="8"/>
        <v>0.007504690432</v>
      </c>
      <c r="I1098" s="104"/>
      <c r="J1098" s="377">
        <f>MAX(0, Max(25,(DPS_Base_Range + ((DPS_Range_Stat) / 2))) / MIN(MAX(70, (70 * (1 + ($A1098 / 3)))), 120))</f>
        <v>3.333333333</v>
      </c>
      <c r="K1098" s="115" t="str">
        <f>IF(A1098&lt;=DPS_Graph_Max,IF(A1098&gt;=DPS_Graph_Speed_Min,A1098,),)</f>
        <v/>
      </c>
      <c r="M1098" s="213">
        <f>If(DPS_Weapon_Type="远程",$E1098/60+$F1098*2,$E1098/60+$F1098+$G1098/2+$H1098)</f>
        <v>0.04380453752</v>
      </c>
      <c r="N1098" s="104" t="str">
        <f>IF(DPS_Graph_Tooltip_Speed=TRUE,IF($A1098&lt;=DPS_Graph_Max,IF($A1098&gt;=DPS_Graph_Speed_Min,1/M1098,),),)</f>
        <v/>
      </c>
      <c r="R1098" s="104" t="str">
        <f>IF(DPS_Graph_Tooltip_Speed=TRUE,IF($E$8=$A1098,1/$N$6,),)</f>
        <v/>
      </c>
    </row>
    <row r="1099">
      <c r="A1099" s="370">
        <v>8.56</v>
      </c>
      <c r="B1099" s="213">
        <f>If(DPS_Weapon_Type="远程",($E1099+1)/60+(ROUNDDOWN($F1099*60+1,0)/60)*2,(ROUNDDOWN(($E1099+1)+ROUNDDOWN($F1099*60+1,0)+ROUNDDOWN($G1099/2*60+1,0)+ROUNDDOWN($H1099*60+1,0)+1,0))/60+If(DPS_ATK_TYPE="挥砍",1/60)+If(DPS_ATK_TYPE="挥砍/刺击",1/120))+DPS_Weapon_Randomization/60</f>
        <v>0.105</v>
      </c>
      <c r="C1099" s="104" t="str">
        <f>IF(DPS_Graph_True_Speed=TRUE,IF($A1099&lt;=DPS_Graph_Max,IF($A1099&gt;=DPS_Graph_Speed_Min,1/B1099,),),)</f>
        <v/>
      </c>
      <c r="D1099" s="115" t="str">
        <f>IF(DPS_Graph_True_Speed=TRUE,IF($E$8=$A1099,DPS_Attacks_P_Sec,),)</f>
        <v/>
      </c>
      <c r="E1099" s="222">
        <f>ROUNDDOWN(MAX(2,IF(A1099&gt;=0, DPS_Base_Wpn_Spd/(1+A1099),DPS_Base_Wpn_Spd*(1+ABS(A1099)))),0)</f>
        <v>2</v>
      </c>
      <c r="F1099" s="232">
        <f>IF(A1099&gt;=0, DPS_Base_Recoil/(1+A1099),DPS_Base_Recoil)</f>
        <v>0.005230125523</v>
      </c>
      <c r="G1099" s="377">
        <f t="shared" si="7"/>
        <v>0.51</v>
      </c>
      <c r="H1099" s="377">
        <f t="shared" si="8"/>
        <v>0.007496251874</v>
      </c>
      <c r="I1099" s="104"/>
      <c r="J1099" s="377">
        <f>MAX(0, Max(25,(DPS_Base_Range + ((DPS_Range_Stat) / 2))) / MIN(MAX(70, (70 * (1 + ($A1099 / 3)))), 120))</f>
        <v>3.333333333</v>
      </c>
      <c r="K1099" s="115" t="str">
        <f>IF(A1099&lt;=DPS_Graph_Max,IF(A1099&gt;=DPS_Graph_Speed_Min,A1099,),)</f>
        <v/>
      </c>
      <c r="M1099" s="213">
        <f>If(DPS_Weapon_Type="远程",$E1099/60+$F1099*2,$E1099/60+$F1099+$G1099/2+$H1099)</f>
        <v>0.04379358438</v>
      </c>
      <c r="N1099" s="104" t="str">
        <f>IF(DPS_Graph_Tooltip_Speed=TRUE,IF($A1099&lt;=DPS_Graph_Max,IF($A1099&gt;=DPS_Graph_Speed_Min,1/M1099,),),)</f>
        <v/>
      </c>
      <c r="R1099" s="104" t="str">
        <f>IF(DPS_Graph_Tooltip_Speed=TRUE,IF($E$8=$A1099,1/$N$6,),)</f>
        <v/>
      </c>
    </row>
    <row r="1100">
      <c r="A1100" s="370">
        <v>8.57</v>
      </c>
      <c r="B1100" s="213">
        <f>If(DPS_Weapon_Type="远程",($E1100+1)/60+(ROUNDDOWN($F1100*60+1,0)/60)*2,(ROUNDDOWN(($E1100+1)+ROUNDDOWN($F1100*60+1,0)+ROUNDDOWN($G1100/2*60+1,0)+ROUNDDOWN($H1100*60+1,0)+1,0))/60+If(DPS_ATK_TYPE="挥砍",1/60)+If(DPS_ATK_TYPE="挥砍/刺击",1/120))+DPS_Weapon_Randomization/60</f>
        <v>0.105</v>
      </c>
      <c r="C1100" s="104" t="str">
        <f>IF(DPS_Graph_True_Speed=TRUE,IF($A1100&lt;=DPS_Graph_Max,IF($A1100&gt;=DPS_Graph_Speed_Min,1/B1100,),),)</f>
        <v/>
      </c>
      <c r="D1100" s="115" t="str">
        <f>IF(DPS_Graph_True_Speed=TRUE,IF($E$8=$A1100,DPS_Attacks_P_Sec,),)</f>
        <v/>
      </c>
      <c r="E1100" s="222">
        <f>ROUNDDOWN(MAX(2,IF(A1100&gt;=0, DPS_Base_Wpn_Spd/(1+A1100),DPS_Base_Wpn_Spd*(1+ABS(A1100)))),0)</f>
        <v>2</v>
      </c>
      <c r="F1100" s="232">
        <f>IF(A1100&gt;=0, DPS_Base_Recoil/(1+A1100),DPS_Base_Recoil)</f>
        <v>0.005224660397</v>
      </c>
      <c r="G1100" s="377">
        <f t="shared" si="7"/>
        <v>0.51</v>
      </c>
      <c r="H1100" s="377">
        <f t="shared" si="8"/>
        <v>0.007487832273</v>
      </c>
      <c r="I1100" s="104"/>
      <c r="J1100" s="377">
        <f>MAX(0, Max(25,(DPS_Base_Range + ((DPS_Range_Stat) / 2))) / MIN(MAX(70, (70 * (1 + ($A1100 / 3)))), 120))</f>
        <v>3.333333333</v>
      </c>
      <c r="K1100" s="115" t="str">
        <f>IF(A1100&lt;=DPS_Graph_Max,IF(A1100&gt;=DPS_Graph_Speed_Min,A1100,),)</f>
        <v/>
      </c>
      <c r="M1100" s="213">
        <f>If(DPS_Weapon_Type="远程",$E1100/60+$F1100*2,$E1100/60+$F1100+$G1100/2+$H1100)</f>
        <v>0.04378265413</v>
      </c>
      <c r="N1100" s="104" t="str">
        <f>IF(DPS_Graph_Tooltip_Speed=TRUE,IF($A1100&lt;=DPS_Graph_Max,IF($A1100&gt;=DPS_Graph_Speed_Min,1/M1100,),),)</f>
        <v/>
      </c>
      <c r="R1100" s="104" t="str">
        <f>IF(DPS_Graph_Tooltip_Speed=TRUE,IF($E$8=$A1100,1/$N$6,),)</f>
        <v/>
      </c>
    </row>
    <row r="1101">
      <c r="A1101" s="370">
        <v>8.58</v>
      </c>
      <c r="B1101" s="213">
        <f>If(DPS_Weapon_Type="远程",($E1101+1)/60+(ROUNDDOWN($F1101*60+1,0)/60)*2,(ROUNDDOWN(($E1101+1)+ROUNDDOWN($F1101*60+1,0)+ROUNDDOWN($G1101/2*60+1,0)+ROUNDDOWN($H1101*60+1,0)+1,0))/60+If(DPS_ATK_TYPE="挥砍",1/60)+If(DPS_ATK_TYPE="挥砍/刺击",1/120))+DPS_Weapon_Randomization/60</f>
        <v>0.105</v>
      </c>
      <c r="C1101" s="104" t="str">
        <f>IF(DPS_Graph_True_Speed=TRUE,IF($A1101&lt;=DPS_Graph_Max,IF($A1101&gt;=DPS_Graph_Speed_Min,1/B1101,),),)</f>
        <v/>
      </c>
      <c r="D1101" s="115" t="str">
        <f>IF(DPS_Graph_True_Speed=TRUE,IF($E$8=$A1101,DPS_Attacks_P_Sec,),)</f>
        <v/>
      </c>
      <c r="E1101" s="222">
        <f>ROUNDDOWN(MAX(2,IF(A1101&gt;=0, DPS_Base_Wpn_Spd/(1+A1101),DPS_Base_Wpn_Spd*(1+ABS(A1101)))),0)</f>
        <v>2</v>
      </c>
      <c r="F1101" s="232">
        <f>IF(A1101&gt;=0, DPS_Base_Recoil/(1+A1101),DPS_Base_Recoil)</f>
        <v>0.005219206681</v>
      </c>
      <c r="G1101" s="377">
        <f t="shared" si="7"/>
        <v>0.51</v>
      </c>
      <c r="H1101" s="377">
        <f t="shared" si="8"/>
        <v>0.007479431563</v>
      </c>
      <c r="I1101" s="104"/>
      <c r="J1101" s="377">
        <f>MAX(0, Max(25,(DPS_Base_Range + ((DPS_Range_Stat) / 2))) / MIN(MAX(70, (70 * (1 + ($A1101 / 3)))), 120))</f>
        <v>3.333333333</v>
      </c>
      <c r="K1101" s="115" t="str">
        <f>IF(A1101&lt;=DPS_Graph_Max,IF(A1101&gt;=DPS_Graph_Speed_Min,A1101,),)</f>
        <v/>
      </c>
      <c r="M1101" s="213">
        <f>If(DPS_Weapon_Type="远程",$E1101/60+$F1101*2,$E1101/60+$F1101+$G1101/2+$H1101)</f>
        <v>0.04377174669</v>
      </c>
      <c r="N1101" s="104" t="str">
        <f>IF(DPS_Graph_Tooltip_Speed=TRUE,IF($A1101&lt;=DPS_Graph_Max,IF($A1101&gt;=DPS_Graph_Speed_Min,1/M1101,),),)</f>
        <v/>
      </c>
      <c r="R1101" s="104" t="str">
        <f>IF(DPS_Graph_Tooltip_Speed=TRUE,IF($E$8=$A1101,1/$N$6,),)</f>
        <v/>
      </c>
    </row>
    <row r="1102">
      <c r="A1102" s="370">
        <v>8.59</v>
      </c>
      <c r="B1102" s="213">
        <f>If(DPS_Weapon_Type="远程",($E1102+1)/60+(ROUNDDOWN($F1102*60+1,0)/60)*2,(ROUNDDOWN(($E1102+1)+ROUNDDOWN($F1102*60+1,0)+ROUNDDOWN($G1102/2*60+1,0)+ROUNDDOWN($H1102*60+1,0)+1,0))/60+If(DPS_ATK_TYPE="挥砍",1/60)+If(DPS_ATK_TYPE="挥砍/刺击",1/120))+DPS_Weapon_Randomization/60</f>
        <v>0.105</v>
      </c>
      <c r="C1102" s="104" t="str">
        <f>IF(DPS_Graph_True_Speed=TRUE,IF($A1102&lt;=DPS_Graph_Max,IF($A1102&gt;=DPS_Graph_Speed_Min,1/B1102,),),)</f>
        <v/>
      </c>
      <c r="D1102" s="115" t="str">
        <f>IF(DPS_Graph_True_Speed=TRUE,IF($E$8=$A1102,DPS_Attacks_P_Sec,),)</f>
        <v/>
      </c>
      <c r="E1102" s="222">
        <f>ROUNDDOWN(MAX(2,IF(A1102&gt;=0, DPS_Base_Wpn_Spd/(1+A1102),DPS_Base_Wpn_Spd*(1+ABS(A1102)))),0)</f>
        <v>2</v>
      </c>
      <c r="F1102" s="232">
        <f>IF(A1102&gt;=0, DPS_Base_Recoil/(1+A1102),DPS_Base_Recoil)</f>
        <v>0.005213764338</v>
      </c>
      <c r="G1102" s="377">
        <f t="shared" si="7"/>
        <v>0.51</v>
      </c>
      <c r="H1102" s="377">
        <f t="shared" si="8"/>
        <v>0.007471049682</v>
      </c>
      <c r="I1102" s="104"/>
      <c r="J1102" s="377">
        <f>MAX(0, Max(25,(DPS_Base_Range + ((DPS_Range_Stat) / 2))) / MIN(MAX(70, (70 * (1 + ($A1102 / 3)))), 120))</f>
        <v>3.333333333</v>
      </c>
      <c r="K1102" s="115" t="str">
        <f>IF(A1102&lt;=DPS_Graph_Max,IF(A1102&gt;=DPS_Graph_Speed_Min,A1102,),)</f>
        <v/>
      </c>
      <c r="M1102" s="213">
        <f>If(DPS_Weapon_Type="远程",$E1102/60+$F1102*2,$E1102/60+$F1102+$G1102/2+$H1102)</f>
        <v>0.04376086201</v>
      </c>
      <c r="N1102" s="104" t="str">
        <f>IF(DPS_Graph_Tooltip_Speed=TRUE,IF($A1102&lt;=DPS_Graph_Max,IF($A1102&gt;=DPS_Graph_Speed_Min,1/M1102,),),)</f>
        <v/>
      </c>
      <c r="R1102" s="104" t="str">
        <f>IF(DPS_Graph_Tooltip_Speed=TRUE,IF($E$8=$A1102,1/$N$6,),)</f>
        <v/>
      </c>
    </row>
    <row r="1103">
      <c r="A1103" s="370">
        <v>8.6</v>
      </c>
      <c r="B1103" s="213">
        <f>If(DPS_Weapon_Type="远程",($E1103+1)/60+(ROUNDDOWN($F1103*60+1,0)/60)*2,(ROUNDDOWN(($E1103+1)+ROUNDDOWN($F1103*60+1,0)+ROUNDDOWN($G1103/2*60+1,0)+ROUNDDOWN($H1103*60+1,0)+1,0))/60+If(DPS_ATK_TYPE="挥砍",1/60)+If(DPS_ATK_TYPE="挥砍/刺击",1/120))+DPS_Weapon_Randomization/60</f>
        <v>0.105</v>
      </c>
      <c r="C1103" s="104" t="str">
        <f>IF(DPS_Graph_True_Speed=TRUE,IF($A1103&lt;=DPS_Graph_Max,IF($A1103&gt;=DPS_Graph_Speed_Min,1/B1103,),),)</f>
        <v/>
      </c>
      <c r="D1103" s="115" t="str">
        <f>IF(DPS_Graph_True_Speed=TRUE,IF($E$8=$A1103,DPS_Attacks_P_Sec,),)</f>
        <v/>
      </c>
      <c r="E1103" s="222">
        <f>ROUNDDOWN(MAX(2,IF(A1103&gt;=0, DPS_Base_Wpn_Spd/(1+A1103),DPS_Base_Wpn_Spd*(1+ABS(A1103)))),0)</f>
        <v>2</v>
      </c>
      <c r="F1103" s="232">
        <f>IF(A1103&gt;=0, DPS_Base_Recoil/(1+A1103),DPS_Base_Recoil)</f>
        <v>0.005208333333</v>
      </c>
      <c r="G1103" s="377">
        <f t="shared" si="7"/>
        <v>0.51</v>
      </c>
      <c r="H1103" s="377">
        <f t="shared" si="8"/>
        <v>0.007462686567</v>
      </c>
      <c r="I1103" s="104"/>
      <c r="J1103" s="377">
        <f>MAX(0, Max(25,(DPS_Base_Range + ((DPS_Range_Stat) / 2))) / MIN(MAX(70, (70 * (1 + ($A1103 / 3)))), 120))</f>
        <v>3.333333333</v>
      </c>
      <c r="K1103" s="115" t="str">
        <f>IF(A1103&lt;=DPS_Graph_Max,IF(A1103&gt;=DPS_Graph_Speed_Min,A1103,),)</f>
        <v/>
      </c>
      <c r="M1103" s="213">
        <f>If(DPS_Weapon_Type="远程",$E1103/60+$F1103*2,$E1103/60+$F1103+$G1103/2+$H1103)</f>
        <v>0.04375</v>
      </c>
      <c r="N1103" s="104" t="str">
        <f>IF(DPS_Graph_Tooltip_Speed=TRUE,IF($A1103&lt;=DPS_Graph_Max,IF($A1103&gt;=DPS_Graph_Speed_Min,1/M1103,),),)</f>
        <v/>
      </c>
      <c r="R1103" s="104" t="str">
        <f>IF(DPS_Graph_Tooltip_Speed=TRUE,IF($E$8=$A1103,1/$N$6,),)</f>
        <v/>
      </c>
    </row>
    <row r="1104">
      <c r="A1104" s="370">
        <v>8.61</v>
      </c>
      <c r="B1104" s="213">
        <f>If(DPS_Weapon_Type="远程",($E1104+1)/60+(ROUNDDOWN($F1104*60+1,0)/60)*2,(ROUNDDOWN(($E1104+1)+ROUNDDOWN($F1104*60+1,0)+ROUNDDOWN($G1104/2*60+1,0)+ROUNDDOWN($H1104*60+1,0)+1,0))/60+If(DPS_ATK_TYPE="挥砍",1/60)+If(DPS_ATK_TYPE="挥砍/刺击",1/120))+DPS_Weapon_Randomization/60</f>
        <v>0.105</v>
      </c>
      <c r="C1104" s="104" t="str">
        <f>IF(DPS_Graph_True_Speed=TRUE,IF($A1104&lt;=DPS_Graph_Max,IF($A1104&gt;=DPS_Graph_Speed_Min,1/B1104,),),)</f>
        <v/>
      </c>
      <c r="D1104" s="115" t="str">
        <f>IF(DPS_Graph_True_Speed=TRUE,IF($E$8=$A1104,DPS_Attacks_P_Sec,),)</f>
        <v/>
      </c>
      <c r="E1104" s="222">
        <f>ROUNDDOWN(MAX(2,IF(A1104&gt;=0, DPS_Base_Wpn_Spd/(1+A1104),DPS_Base_Wpn_Spd*(1+ABS(A1104)))),0)</f>
        <v>2</v>
      </c>
      <c r="F1104" s="232">
        <f>IF(A1104&gt;=0, DPS_Base_Recoil/(1+A1104),DPS_Base_Recoil)</f>
        <v>0.005202913632</v>
      </c>
      <c r="G1104" s="377">
        <f t="shared" si="7"/>
        <v>0.51</v>
      </c>
      <c r="H1104" s="377">
        <f t="shared" si="8"/>
        <v>0.007454342154</v>
      </c>
      <c r="I1104" s="104"/>
      <c r="J1104" s="377">
        <f>MAX(0, Max(25,(DPS_Base_Range + ((DPS_Range_Stat) / 2))) / MIN(MAX(70, (70 * (1 + ($A1104 / 3)))), 120))</f>
        <v>3.333333333</v>
      </c>
      <c r="K1104" s="115" t="str">
        <f>IF(A1104&lt;=DPS_Graph_Max,IF(A1104&gt;=DPS_Graph_Speed_Min,A1104,),)</f>
        <v/>
      </c>
      <c r="M1104" s="213">
        <f>If(DPS_Weapon_Type="远程",$E1104/60+$F1104*2,$E1104/60+$F1104+$G1104/2+$H1104)</f>
        <v>0.0437391606</v>
      </c>
      <c r="N1104" s="104" t="str">
        <f>IF(DPS_Graph_Tooltip_Speed=TRUE,IF($A1104&lt;=DPS_Graph_Max,IF($A1104&gt;=DPS_Graph_Speed_Min,1/M1104,),),)</f>
        <v/>
      </c>
      <c r="R1104" s="104" t="str">
        <f>IF(DPS_Graph_Tooltip_Speed=TRUE,IF($E$8=$A1104,1/$N$6,),)</f>
        <v/>
      </c>
    </row>
    <row r="1105">
      <c r="A1105" s="370">
        <v>8.62</v>
      </c>
      <c r="B1105" s="213">
        <f>If(DPS_Weapon_Type="远程",($E1105+1)/60+(ROUNDDOWN($F1105*60+1,0)/60)*2,(ROUNDDOWN(($E1105+1)+ROUNDDOWN($F1105*60+1,0)+ROUNDDOWN($G1105/2*60+1,0)+ROUNDDOWN($H1105*60+1,0)+1,0))/60+If(DPS_ATK_TYPE="挥砍",1/60)+If(DPS_ATK_TYPE="挥砍/刺击",1/120))+DPS_Weapon_Randomization/60</f>
        <v>0.105</v>
      </c>
      <c r="C1105" s="104" t="str">
        <f>IF(DPS_Graph_True_Speed=TRUE,IF($A1105&lt;=DPS_Graph_Max,IF($A1105&gt;=DPS_Graph_Speed_Min,1/B1105,),),)</f>
        <v/>
      </c>
      <c r="D1105" s="115" t="str">
        <f>IF(DPS_Graph_True_Speed=TRUE,IF($E$8=$A1105,DPS_Attacks_P_Sec,),)</f>
        <v/>
      </c>
      <c r="E1105" s="222">
        <f>ROUNDDOWN(MAX(2,IF(A1105&gt;=0, DPS_Base_Wpn_Spd/(1+A1105),DPS_Base_Wpn_Spd*(1+ABS(A1105)))),0)</f>
        <v>2</v>
      </c>
      <c r="F1105" s="232">
        <f>IF(A1105&gt;=0, DPS_Base_Recoil/(1+A1105),DPS_Base_Recoil)</f>
        <v>0.005197505198</v>
      </c>
      <c r="G1105" s="377">
        <f t="shared" si="7"/>
        <v>0.51</v>
      </c>
      <c r="H1105" s="377">
        <f t="shared" si="8"/>
        <v>0.007446016381</v>
      </c>
      <c r="I1105" s="104"/>
      <c r="J1105" s="377">
        <f>MAX(0, Max(25,(DPS_Base_Range + ((DPS_Range_Stat) / 2))) / MIN(MAX(70, (70 * (1 + ($A1105 / 3)))), 120))</f>
        <v>3.333333333</v>
      </c>
      <c r="K1105" s="115" t="str">
        <f>IF(A1105&lt;=DPS_Graph_Max,IF(A1105&gt;=DPS_Graph_Speed_Min,A1105,),)</f>
        <v/>
      </c>
      <c r="M1105" s="213">
        <f>If(DPS_Weapon_Type="远程",$E1105/60+$F1105*2,$E1105/60+$F1105+$G1105/2+$H1105)</f>
        <v>0.04372834373</v>
      </c>
      <c r="N1105" s="104" t="str">
        <f>IF(DPS_Graph_Tooltip_Speed=TRUE,IF($A1105&lt;=DPS_Graph_Max,IF($A1105&gt;=DPS_Graph_Speed_Min,1/M1105,),),)</f>
        <v/>
      </c>
      <c r="R1105" s="104" t="str">
        <f>IF(DPS_Graph_Tooltip_Speed=TRUE,IF($E$8=$A1105,1/$N$6,),)</f>
        <v/>
      </c>
    </row>
    <row r="1106">
      <c r="A1106" s="370">
        <v>8.63</v>
      </c>
      <c r="B1106" s="213">
        <f>If(DPS_Weapon_Type="远程",($E1106+1)/60+(ROUNDDOWN($F1106*60+1,0)/60)*2,(ROUNDDOWN(($E1106+1)+ROUNDDOWN($F1106*60+1,0)+ROUNDDOWN($G1106/2*60+1,0)+ROUNDDOWN($H1106*60+1,0)+1,0))/60+If(DPS_ATK_TYPE="挥砍",1/60)+If(DPS_ATK_TYPE="挥砍/刺击",1/120))+DPS_Weapon_Randomization/60</f>
        <v>0.105</v>
      </c>
      <c r="C1106" s="104" t="str">
        <f>IF(DPS_Graph_True_Speed=TRUE,IF($A1106&lt;=DPS_Graph_Max,IF($A1106&gt;=DPS_Graph_Speed_Min,1/B1106,),),)</f>
        <v/>
      </c>
      <c r="D1106" s="115" t="str">
        <f>IF(DPS_Graph_True_Speed=TRUE,IF($E$8=$A1106,DPS_Attacks_P_Sec,),)</f>
        <v/>
      </c>
      <c r="E1106" s="222">
        <f>ROUNDDOWN(MAX(2,IF(A1106&gt;=0, DPS_Base_Wpn_Spd/(1+A1106),DPS_Base_Wpn_Spd*(1+ABS(A1106)))),0)</f>
        <v>2</v>
      </c>
      <c r="F1106" s="232">
        <f>IF(A1106&gt;=0, DPS_Base_Recoil/(1+A1106),DPS_Base_Recoil)</f>
        <v>0.005192107996</v>
      </c>
      <c r="G1106" s="377">
        <f t="shared" si="7"/>
        <v>0.51</v>
      </c>
      <c r="H1106" s="377">
        <f t="shared" si="8"/>
        <v>0.007437709186</v>
      </c>
      <c r="I1106" s="104"/>
      <c r="J1106" s="377">
        <f>MAX(0, Max(25,(DPS_Base_Range + ((DPS_Range_Stat) / 2))) / MIN(MAX(70, (70 * (1 + ($A1106 / 3)))), 120))</f>
        <v>3.333333333</v>
      </c>
      <c r="K1106" s="115" t="str">
        <f>IF(A1106&lt;=DPS_Graph_Max,IF(A1106&gt;=DPS_Graph_Speed_Min,A1106,),)</f>
        <v/>
      </c>
      <c r="M1106" s="213">
        <f>If(DPS_Weapon_Type="远程",$E1106/60+$F1106*2,$E1106/60+$F1106+$G1106/2+$H1106)</f>
        <v>0.04371754933</v>
      </c>
      <c r="N1106" s="104" t="str">
        <f>IF(DPS_Graph_Tooltip_Speed=TRUE,IF($A1106&lt;=DPS_Graph_Max,IF($A1106&gt;=DPS_Graph_Speed_Min,1/M1106,),),)</f>
        <v/>
      </c>
      <c r="R1106" s="104" t="str">
        <f>IF(DPS_Graph_Tooltip_Speed=TRUE,IF($E$8=$A1106,1/$N$6,),)</f>
        <v/>
      </c>
    </row>
    <row r="1107">
      <c r="A1107" s="370">
        <v>8.64</v>
      </c>
      <c r="B1107" s="213">
        <f>If(DPS_Weapon_Type="远程",($E1107+1)/60+(ROUNDDOWN($F1107*60+1,0)/60)*2,(ROUNDDOWN(($E1107+1)+ROUNDDOWN($F1107*60+1,0)+ROUNDDOWN($G1107/2*60+1,0)+ROUNDDOWN($H1107*60+1,0)+1,0))/60+If(DPS_ATK_TYPE="挥砍",1/60)+If(DPS_ATK_TYPE="挥砍/刺击",1/120))+DPS_Weapon_Randomization/60</f>
        <v>0.105</v>
      </c>
      <c r="C1107" s="104" t="str">
        <f>IF(DPS_Graph_True_Speed=TRUE,IF($A1107&lt;=DPS_Graph_Max,IF($A1107&gt;=DPS_Graph_Speed_Min,1/B1107,),),)</f>
        <v/>
      </c>
      <c r="D1107" s="115" t="str">
        <f>IF(DPS_Graph_True_Speed=TRUE,IF($E$8=$A1107,DPS_Attacks_P_Sec,),)</f>
        <v/>
      </c>
      <c r="E1107" s="222">
        <f>ROUNDDOWN(MAX(2,IF(A1107&gt;=0, DPS_Base_Wpn_Spd/(1+A1107),DPS_Base_Wpn_Spd*(1+ABS(A1107)))),0)</f>
        <v>2</v>
      </c>
      <c r="F1107" s="232">
        <f>IF(A1107&gt;=0, DPS_Base_Recoil/(1+A1107),DPS_Base_Recoil)</f>
        <v>0.005186721992</v>
      </c>
      <c r="G1107" s="377">
        <f t="shared" si="7"/>
        <v>0.51</v>
      </c>
      <c r="H1107" s="377">
        <f t="shared" si="8"/>
        <v>0.007429420505</v>
      </c>
      <c r="I1107" s="104"/>
      <c r="J1107" s="377">
        <f>MAX(0, Max(25,(DPS_Base_Range + ((DPS_Range_Stat) / 2))) / MIN(MAX(70, (70 * (1 + ($A1107 / 3)))), 120))</f>
        <v>3.333333333</v>
      </c>
      <c r="K1107" s="115" t="str">
        <f>IF(A1107&lt;=DPS_Graph_Max,IF(A1107&gt;=DPS_Graph_Speed_Min,A1107,),)</f>
        <v/>
      </c>
      <c r="M1107" s="213">
        <f>If(DPS_Weapon_Type="远程",$E1107/60+$F1107*2,$E1107/60+$F1107+$G1107/2+$H1107)</f>
        <v>0.04370677732</v>
      </c>
      <c r="N1107" s="104" t="str">
        <f>IF(DPS_Graph_Tooltip_Speed=TRUE,IF($A1107&lt;=DPS_Graph_Max,IF($A1107&gt;=DPS_Graph_Speed_Min,1/M1107,),),)</f>
        <v/>
      </c>
      <c r="R1107" s="104" t="str">
        <f>IF(DPS_Graph_Tooltip_Speed=TRUE,IF($E$8=$A1107,1/$N$6,),)</f>
        <v/>
      </c>
    </row>
    <row r="1108">
      <c r="A1108" s="370">
        <v>8.65</v>
      </c>
      <c r="B1108" s="213">
        <f>If(DPS_Weapon_Type="远程",($E1108+1)/60+(ROUNDDOWN($F1108*60+1,0)/60)*2,(ROUNDDOWN(($E1108+1)+ROUNDDOWN($F1108*60+1,0)+ROUNDDOWN($G1108/2*60+1,0)+ROUNDDOWN($H1108*60+1,0)+1,0))/60+If(DPS_ATK_TYPE="挥砍",1/60)+If(DPS_ATK_TYPE="挥砍/刺击",1/120))+DPS_Weapon_Randomization/60</f>
        <v>0.105</v>
      </c>
      <c r="C1108" s="104" t="str">
        <f>IF(DPS_Graph_True_Speed=TRUE,IF($A1108&lt;=DPS_Graph_Max,IF($A1108&gt;=DPS_Graph_Speed_Min,1/B1108,),),)</f>
        <v/>
      </c>
      <c r="D1108" s="115" t="str">
        <f>IF(DPS_Graph_True_Speed=TRUE,IF($E$8=$A1108,DPS_Attacks_P_Sec,),)</f>
        <v/>
      </c>
      <c r="E1108" s="222">
        <f>ROUNDDOWN(MAX(2,IF(A1108&gt;=0, DPS_Base_Wpn_Spd/(1+A1108),DPS_Base_Wpn_Spd*(1+ABS(A1108)))),0)</f>
        <v>2</v>
      </c>
      <c r="F1108" s="232">
        <f>IF(A1108&gt;=0, DPS_Base_Recoil/(1+A1108),DPS_Base_Recoil)</f>
        <v>0.00518134715</v>
      </c>
      <c r="G1108" s="377">
        <f t="shared" si="7"/>
        <v>0.51</v>
      </c>
      <c r="H1108" s="377">
        <f t="shared" si="8"/>
        <v>0.007421150278</v>
      </c>
      <c r="I1108" s="104"/>
      <c r="J1108" s="377">
        <f>MAX(0, Max(25,(DPS_Base_Range + ((DPS_Range_Stat) / 2))) / MIN(MAX(70, (70 * (1 + ($A1108 / 3)))), 120))</f>
        <v>3.333333333</v>
      </c>
      <c r="K1108" s="115" t="str">
        <f>IF(A1108&lt;=DPS_Graph_Max,IF(A1108&gt;=DPS_Graph_Speed_Min,A1108,),)</f>
        <v/>
      </c>
      <c r="M1108" s="213">
        <f>If(DPS_Weapon_Type="远程",$E1108/60+$F1108*2,$E1108/60+$F1108+$G1108/2+$H1108)</f>
        <v>0.04369602763</v>
      </c>
      <c r="N1108" s="104" t="str">
        <f>IF(DPS_Graph_Tooltip_Speed=TRUE,IF($A1108&lt;=DPS_Graph_Max,IF($A1108&gt;=DPS_Graph_Speed_Min,1/M1108,),),)</f>
        <v/>
      </c>
      <c r="R1108" s="104" t="str">
        <f>IF(DPS_Graph_Tooltip_Speed=TRUE,IF($E$8=$A1108,1/$N$6,),)</f>
        <v/>
      </c>
    </row>
    <row r="1109">
      <c r="A1109" s="370">
        <v>8.66</v>
      </c>
      <c r="B1109" s="213">
        <f>If(DPS_Weapon_Type="远程",($E1109+1)/60+(ROUNDDOWN($F1109*60+1,0)/60)*2,(ROUNDDOWN(($E1109+1)+ROUNDDOWN($F1109*60+1,0)+ROUNDDOWN($G1109/2*60+1,0)+ROUNDDOWN($H1109*60+1,0)+1,0))/60+If(DPS_ATK_TYPE="挥砍",1/60)+If(DPS_ATK_TYPE="挥砍/刺击",1/120))+DPS_Weapon_Randomization/60</f>
        <v>0.105</v>
      </c>
      <c r="C1109" s="104" t="str">
        <f>IF(DPS_Graph_True_Speed=TRUE,IF($A1109&lt;=DPS_Graph_Max,IF($A1109&gt;=DPS_Graph_Speed_Min,1/B1109,),),)</f>
        <v/>
      </c>
      <c r="D1109" s="115" t="str">
        <f>IF(DPS_Graph_True_Speed=TRUE,IF($E$8=$A1109,DPS_Attacks_P_Sec,),)</f>
        <v/>
      </c>
      <c r="E1109" s="222">
        <f>ROUNDDOWN(MAX(2,IF(A1109&gt;=0, DPS_Base_Wpn_Spd/(1+A1109),DPS_Base_Wpn_Spd*(1+ABS(A1109)))),0)</f>
        <v>2</v>
      </c>
      <c r="F1109" s="232">
        <f>IF(A1109&gt;=0, DPS_Base_Recoil/(1+A1109),DPS_Base_Recoil)</f>
        <v>0.005175983437</v>
      </c>
      <c r="G1109" s="377">
        <f t="shared" si="7"/>
        <v>0.51</v>
      </c>
      <c r="H1109" s="377">
        <f t="shared" si="8"/>
        <v>0.007412898443</v>
      </c>
      <c r="I1109" s="104"/>
      <c r="J1109" s="377">
        <f>MAX(0, Max(25,(DPS_Base_Range + ((DPS_Range_Stat) / 2))) / MIN(MAX(70, (70 * (1 + ($A1109 / 3)))), 120))</f>
        <v>3.333333333</v>
      </c>
      <c r="K1109" s="115" t="str">
        <f>IF(A1109&lt;=DPS_Graph_Max,IF(A1109&gt;=DPS_Graph_Speed_Min,A1109,),)</f>
        <v/>
      </c>
      <c r="M1109" s="213">
        <f>If(DPS_Weapon_Type="远程",$E1109/60+$F1109*2,$E1109/60+$F1109+$G1109/2+$H1109)</f>
        <v>0.04368530021</v>
      </c>
      <c r="N1109" s="104" t="str">
        <f>IF(DPS_Graph_Tooltip_Speed=TRUE,IF($A1109&lt;=DPS_Graph_Max,IF($A1109&gt;=DPS_Graph_Speed_Min,1/M1109,),),)</f>
        <v/>
      </c>
      <c r="R1109" s="104" t="str">
        <f>IF(DPS_Graph_Tooltip_Speed=TRUE,IF($E$8=$A1109,1/$N$6,),)</f>
        <v/>
      </c>
    </row>
    <row r="1110">
      <c r="A1110" s="370">
        <v>8.67</v>
      </c>
      <c r="B1110" s="213">
        <f>If(DPS_Weapon_Type="远程",($E1110+1)/60+(ROUNDDOWN($F1110*60+1,0)/60)*2,(ROUNDDOWN(($E1110+1)+ROUNDDOWN($F1110*60+1,0)+ROUNDDOWN($G1110/2*60+1,0)+ROUNDDOWN($H1110*60+1,0)+1,0))/60+If(DPS_ATK_TYPE="挥砍",1/60)+If(DPS_ATK_TYPE="挥砍/刺击",1/120))+DPS_Weapon_Randomization/60</f>
        <v>0.105</v>
      </c>
      <c r="C1110" s="104" t="str">
        <f>IF(DPS_Graph_True_Speed=TRUE,IF($A1110&lt;=DPS_Graph_Max,IF($A1110&gt;=DPS_Graph_Speed_Min,1/B1110,),),)</f>
        <v/>
      </c>
      <c r="D1110" s="115" t="str">
        <f>IF(DPS_Graph_True_Speed=TRUE,IF($E$8=$A1110,DPS_Attacks_P_Sec,),)</f>
        <v/>
      </c>
      <c r="E1110" s="222">
        <f>ROUNDDOWN(MAX(2,IF(A1110&gt;=0, DPS_Base_Wpn_Spd/(1+A1110),DPS_Base_Wpn_Spd*(1+ABS(A1110)))),0)</f>
        <v>2</v>
      </c>
      <c r="F1110" s="232">
        <f>IF(A1110&gt;=0, DPS_Base_Recoil/(1+A1110),DPS_Base_Recoil)</f>
        <v>0.005170630817</v>
      </c>
      <c r="G1110" s="377">
        <f t="shared" si="7"/>
        <v>0.51</v>
      </c>
      <c r="H1110" s="377">
        <f t="shared" si="8"/>
        <v>0.007404664939</v>
      </c>
      <c r="I1110" s="104"/>
      <c r="J1110" s="377">
        <f>MAX(0, Max(25,(DPS_Base_Range + ((DPS_Range_Stat) / 2))) / MIN(MAX(70, (70 * (1 + ($A1110 / 3)))), 120))</f>
        <v>3.333333333</v>
      </c>
      <c r="K1110" s="115" t="str">
        <f>IF(A1110&lt;=DPS_Graph_Max,IF(A1110&gt;=DPS_Graph_Speed_Min,A1110,),)</f>
        <v/>
      </c>
      <c r="M1110" s="213">
        <f>If(DPS_Weapon_Type="远程",$E1110/60+$F1110*2,$E1110/60+$F1110+$G1110/2+$H1110)</f>
        <v>0.04367459497</v>
      </c>
      <c r="N1110" s="104" t="str">
        <f>IF(DPS_Graph_Tooltip_Speed=TRUE,IF($A1110&lt;=DPS_Graph_Max,IF($A1110&gt;=DPS_Graph_Speed_Min,1/M1110,),),)</f>
        <v/>
      </c>
      <c r="R1110" s="104" t="str">
        <f>IF(DPS_Graph_Tooltip_Speed=TRUE,IF($E$8=$A1110,1/$N$6,),)</f>
        <v/>
      </c>
    </row>
    <row r="1111">
      <c r="A1111" s="370">
        <v>8.68</v>
      </c>
      <c r="B1111" s="213">
        <f>If(DPS_Weapon_Type="远程",($E1111+1)/60+(ROUNDDOWN($F1111*60+1,0)/60)*2,(ROUNDDOWN(($E1111+1)+ROUNDDOWN($F1111*60+1,0)+ROUNDDOWN($G1111/2*60+1,0)+ROUNDDOWN($H1111*60+1,0)+1,0))/60+If(DPS_ATK_TYPE="挥砍",1/60)+If(DPS_ATK_TYPE="挥砍/刺击",1/120))+DPS_Weapon_Randomization/60</f>
        <v>0.105</v>
      </c>
      <c r="C1111" s="104" t="str">
        <f>IF(DPS_Graph_True_Speed=TRUE,IF($A1111&lt;=DPS_Graph_Max,IF($A1111&gt;=DPS_Graph_Speed_Min,1/B1111,),),)</f>
        <v/>
      </c>
      <c r="D1111" s="115" t="str">
        <f>IF(DPS_Graph_True_Speed=TRUE,IF($E$8=$A1111,DPS_Attacks_P_Sec,),)</f>
        <v/>
      </c>
      <c r="E1111" s="222">
        <f>ROUNDDOWN(MAX(2,IF(A1111&gt;=0, DPS_Base_Wpn_Spd/(1+A1111),DPS_Base_Wpn_Spd*(1+ABS(A1111)))),0)</f>
        <v>2</v>
      </c>
      <c r="F1111" s="232">
        <f>IF(A1111&gt;=0, DPS_Base_Recoil/(1+A1111),DPS_Base_Recoil)</f>
        <v>0.005165289256</v>
      </c>
      <c r="G1111" s="377">
        <f t="shared" si="7"/>
        <v>0.51</v>
      </c>
      <c r="H1111" s="377">
        <f t="shared" si="8"/>
        <v>0.007396449704</v>
      </c>
      <c r="I1111" s="104"/>
      <c r="J1111" s="377">
        <f>MAX(0, Max(25,(DPS_Base_Range + ((DPS_Range_Stat) / 2))) / MIN(MAX(70, (70 * (1 + ($A1111 / 3)))), 120))</f>
        <v>3.333333333</v>
      </c>
      <c r="K1111" s="115" t="str">
        <f>IF(A1111&lt;=DPS_Graph_Max,IF(A1111&gt;=DPS_Graph_Speed_Min,A1111,),)</f>
        <v/>
      </c>
      <c r="M1111" s="213">
        <f>If(DPS_Weapon_Type="远程",$E1111/60+$F1111*2,$E1111/60+$F1111+$G1111/2+$H1111)</f>
        <v>0.04366391185</v>
      </c>
      <c r="N1111" s="104" t="str">
        <f>IF(DPS_Graph_Tooltip_Speed=TRUE,IF($A1111&lt;=DPS_Graph_Max,IF($A1111&gt;=DPS_Graph_Speed_Min,1/M1111,),),)</f>
        <v/>
      </c>
      <c r="R1111" s="104" t="str">
        <f>IF(DPS_Graph_Tooltip_Speed=TRUE,IF($E$8=$A1111,1/$N$6,),)</f>
        <v/>
      </c>
    </row>
    <row r="1112">
      <c r="A1112" s="370">
        <v>8.69</v>
      </c>
      <c r="B1112" s="213">
        <f>If(DPS_Weapon_Type="远程",($E1112+1)/60+(ROUNDDOWN($F1112*60+1,0)/60)*2,(ROUNDDOWN(($E1112+1)+ROUNDDOWN($F1112*60+1,0)+ROUNDDOWN($G1112/2*60+1,0)+ROUNDDOWN($H1112*60+1,0)+1,0))/60+If(DPS_ATK_TYPE="挥砍",1/60)+If(DPS_ATK_TYPE="挥砍/刺击",1/120))+DPS_Weapon_Randomization/60</f>
        <v>0.105</v>
      </c>
      <c r="C1112" s="104" t="str">
        <f>IF(DPS_Graph_True_Speed=TRUE,IF($A1112&lt;=DPS_Graph_Max,IF($A1112&gt;=DPS_Graph_Speed_Min,1/B1112,),),)</f>
        <v/>
      </c>
      <c r="D1112" s="115" t="str">
        <f>IF(DPS_Graph_True_Speed=TRUE,IF($E$8=$A1112,DPS_Attacks_P_Sec,),)</f>
        <v/>
      </c>
      <c r="E1112" s="222">
        <f>ROUNDDOWN(MAX(2,IF(A1112&gt;=0, DPS_Base_Wpn_Spd/(1+A1112),DPS_Base_Wpn_Spd*(1+ABS(A1112)))),0)</f>
        <v>2</v>
      </c>
      <c r="F1112" s="232">
        <f>IF(A1112&gt;=0, DPS_Base_Recoil/(1+A1112),DPS_Base_Recoil)</f>
        <v>0.00515995872</v>
      </c>
      <c r="G1112" s="377">
        <f t="shared" si="7"/>
        <v>0.51</v>
      </c>
      <c r="H1112" s="377">
        <f t="shared" si="8"/>
        <v>0.007388252678</v>
      </c>
      <c r="I1112" s="104"/>
      <c r="J1112" s="377">
        <f>MAX(0, Max(25,(DPS_Base_Range + ((DPS_Range_Stat) / 2))) / MIN(MAX(70, (70 * (1 + ($A1112 / 3)))), 120))</f>
        <v>3.333333333</v>
      </c>
      <c r="K1112" s="115" t="str">
        <f>IF(A1112&lt;=DPS_Graph_Max,IF(A1112&gt;=DPS_Graph_Speed_Min,A1112,),)</f>
        <v/>
      </c>
      <c r="M1112" s="213">
        <f>If(DPS_Weapon_Type="远程",$E1112/60+$F1112*2,$E1112/60+$F1112+$G1112/2+$H1112)</f>
        <v>0.04365325077</v>
      </c>
      <c r="N1112" s="104" t="str">
        <f>IF(DPS_Graph_Tooltip_Speed=TRUE,IF($A1112&lt;=DPS_Graph_Max,IF($A1112&gt;=DPS_Graph_Speed_Min,1/M1112,),),)</f>
        <v/>
      </c>
      <c r="R1112" s="104" t="str">
        <f>IF(DPS_Graph_Tooltip_Speed=TRUE,IF($E$8=$A1112,1/$N$6,),)</f>
        <v/>
      </c>
    </row>
    <row r="1113">
      <c r="A1113" s="370">
        <v>8.7</v>
      </c>
      <c r="B1113" s="213">
        <f>If(DPS_Weapon_Type="远程",($E1113+1)/60+(ROUNDDOWN($F1113*60+1,0)/60)*2,(ROUNDDOWN(($E1113+1)+ROUNDDOWN($F1113*60+1,0)+ROUNDDOWN($G1113/2*60+1,0)+ROUNDDOWN($H1113*60+1,0)+1,0))/60+If(DPS_ATK_TYPE="挥砍",1/60)+If(DPS_ATK_TYPE="挥砍/刺击",1/120))+DPS_Weapon_Randomization/60</f>
        <v>0.105</v>
      </c>
      <c r="C1113" s="104" t="str">
        <f>IF(DPS_Graph_True_Speed=TRUE,IF($A1113&lt;=DPS_Graph_Max,IF($A1113&gt;=DPS_Graph_Speed_Min,1/B1113,),),)</f>
        <v/>
      </c>
      <c r="D1113" s="115" t="str">
        <f>IF(DPS_Graph_True_Speed=TRUE,IF($E$8=$A1113,DPS_Attacks_P_Sec,),)</f>
        <v/>
      </c>
      <c r="E1113" s="222">
        <f>ROUNDDOWN(MAX(2,IF(A1113&gt;=0, DPS_Base_Wpn_Spd/(1+A1113),DPS_Base_Wpn_Spd*(1+ABS(A1113)))),0)</f>
        <v>2</v>
      </c>
      <c r="F1113" s="232">
        <f>IF(A1113&gt;=0, DPS_Base_Recoil/(1+A1113),DPS_Base_Recoil)</f>
        <v>0.005154639175</v>
      </c>
      <c r="G1113" s="377">
        <f t="shared" si="7"/>
        <v>0.51</v>
      </c>
      <c r="H1113" s="377">
        <f t="shared" si="8"/>
        <v>0.007380073801</v>
      </c>
      <c r="I1113" s="104"/>
      <c r="J1113" s="377">
        <f>MAX(0, Max(25,(DPS_Base_Range + ((DPS_Range_Stat) / 2))) / MIN(MAX(70, (70 * (1 + ($A1113 / 3)))), 120))</f>
        <v>3.333333333</v>
      </c>
      <c r="K1113" s="115" t="str">
        <f>IF(A1113&lt;=DPS_Graph_Max,IF(A1113&gt;=DPS_Graph_Speed_Min,A1113,),)</f>
        <v/>
      </c>
      <c r="M1113" s="213">
        <f>If(DPS_Weapon_Type="远程",$E1113/60+$F1113*2,$E1113/60+$F1113+$G1113/2+$H1113)</f>
        <v>0.04364261168</v>
      </c>
      <c r="N1113" s="104" t="str">
        <f>IF(DPS_Graph_Tooltip_Speed=TRUE,IF($A1113&lt;=DPS_Graph_Max,IF($A1113&gt;=DPS_Graph_Speed_Min,1/M1113,),),)</f>
        <v/>
      </c>
      <c r="R1113" s="104" t="str">
        <f>IF(DPS_Graph_Tooltip_Speed=TRUE,IF($E$8=$A1113,1/$N$6,),)</f>
        <v/>
      </c>
    </row>
    <row r="1114">
      <c r="A1114" s="370">
        <v>8.71</v>
      </c>
      <c r="B1114" s="213">
        <f>If(DPS_Weapon_Type="远程",($E1114+1)/60+(ROUNDDOWN($F1114*60+1,0)/60)*2,(ROUNDDOWN(($E1114+1)+ROUNDDOWN($F1114*60+1,0)+ROUNDDOWN($G1114/2*60+1,0)+ROUNDDOWN($H1114*60+1,0)+1,0))/60+If(DPS_ATK_TYPE="挥砍",1/60)+If(DPS_ATK_TYPE="挥砍/刺击",1/120))+DPS_Weapon_Randomization/60</f>
        <v>0.105</v>
      </c>
      <c r="C1114" s="104" t="str">
        <f>IF(DPS_Graph_True_Speed=TRUE,IF($A1114&lt;=DPS_Graph_Max,IF($A1114&gt;=DPS_Graph_Speed_Min,1/B1114,),),)</f>
        <v/>
      </c>
      <c r="D1114" s="115" t="str">
        <f>IF(DPS_Graph_True_Speed=TRUE,IF($E$8=$A1114,DPS_Attacks_P_Sec,),)</f>
        <v/>
      </c>
      <c r="E1114" s="222">
        <f>ROUNDDOWN(MAX(2,IF(A1114&gt;=0, DPS_Base_Wpn_Spd/(1+A1114),DPS_Base_Wpn_Spd*(1+ABS(A1114)))),0)</f>
        <v>2</v>
      </c>
      <c r="F1114" s="232">
        <f>IF(A1114&gt;=0, DPS_Base_Recoil/(1+A1114),DPS_Base_Recoil)</f>
        <v>0.005149330587</v>
      </c>
      <c r="G1114" s="377">
        <f t="shared" si="7"/>
        <v>0.51</v>
      </c>
      <c r="H1114" s="377">
        <f t="shared" si="8"/>
        <v>0.007371913011</v>
      </c>
      <c r="I1114" s="104"/>
      <c r="J1114" s="377">
        <f>MAX(0, Max(25,(DPS_Base_Range + ((DPS_Range_Stat) / 2))) / MIN(MAX(70, (70 * (1 + ($A1114 / 3)))), 120))</f>
        <v>3.333333333</v>
      </c>
      <c r="K1114" s="115" t="str">
        <f>IF(A1114&lt;=DPS_Graph_Max,IF(A1114&gt;=DPS_Graph_Speed_Min,A1114,),)</f>
        <v/>
      </c>
      <c r="M1114" s="213">
        <f>If(DPS_Weapon_Type="远程",$E1114/60+$F1114*2,$E1114/60+$F1114+$G1114/2+$H1114)</f>
        <v>0.04363199451</v>
      </c>
      <c r="N1114" s="104" t="str">
        <f>IF(DPS_Graph_Tooltip_Speed=TRUE,IF($A1114&lt;=DPS_Graph_Max,IF($A1114&gt;=DPS_Graph_Speed_Min,1/M1114,),),)</f>
        <v/>
      </c>
      <c r="R1114" s="104" t="str">
        <f>IF(DPS_Graph_Tooltip_Speed=TRUE,IF($E$8=$A1114,1/$N$6,),)</f>
        <v/>
      </c>
    </row>
    <row r="1115">
      <c r="A1115" s="370">
        <v>8.72</v>
      </c>
      <c r="B1115" s="213">
        <f>If(DPS_Weapon_Type="远程",($E1115+1)/60+(ROUNDDOWN($F1115*60+1,0)/60)*2,(ROUNDDOWN(($E1115+1)+ROUNDDOWN($F1115*60+1,0)+ROUNDDOWN($G1115/2*60+1,0)+ROUNDDOWN($H1115*60+1,0)+1,0))/60+If(DPS_ATK_TYPE="挥砍",1/60)+If(DPS_ATK_TYPE="挥砍/刺击",1/120))+DPS_Weapon_Randomization/60</f>
        <v>0.105</v>
      </c>
      <c r="C1115" s="104" t="str">
        <f>IF(DPS_Graph_True_Speed=TRUE,IF($A1115&lt;=DPS_Graph_Max,IF($A1115&gt;=DPS_Graph_Speed_Min,1/B1115,),),)</f>
        <v/>
      </c>
      <c r="D1115" s="115" t="str">
        <f>IF(DPS_Graph_True_Speed=TRUE,IF($E$8=$A1115,DPS_Attacks_P_Sec,),)</f>
        <v/>
      </c>
      <c r="E1115" s="222">
        <f>ROUNDDOWN(MAX(2,IF(A1115&gt;=0, DPS_Base_Wpn_Spd/(1+A1115),DPS_Base_Wpn_Spd*(1+ABS(A1115)))),0)</f>
        <v>2</v>
      </c>
      <c r="F1115" s="232">
        <f>IF(A1115&gt;=0, DPS_Base_Recoil/(1+A1115),DPS_Base_Recoil)</f>
        <v>0.005144032922</v>
      </c>
      <c r="G1115" s="377">
        <f t="shared" si="7"/>
        <v>0.51</v>
      </c>
      <c r="H1115" s="377">
        <f t="shared" si="8"/>
        <v>0.00736377025</v>
      </c>
      <c r="I1115" s="104"/>
      <c r="J1115" s="377">
        <f>MAX(0, Max(25,(DPS_Base_Range + ((DPS_Range_Stat) / 2))) / MIN(MAX(70, (70 * (1 + ($A1115 / 3)))), 120))</f>
        <v>3.333333333</v>
      </c>
      <c r="K1115" s="115" t="str">
        <f>IF(A1115&lt;=DPS_Graph_Max,IF(A1115&gt;=DPS_Graph_Speed_Min,A1115,),)</f>
        <v/>
      </c>
      <c r="M1115" s="213">
        <f>If(DPS_Weapon_Type="远程",$E1115/60+$F1115*2,$E1115/60+$F1115+$G1115/2+$H1115)</f>
        <v>0.04362139918</v>
      </c>
      <c r="N1115" s="104" t="str">
        <f>IF(DPS_Graph_Tooltip_Speed=TRUE,IF($A1115&lt;=DPS_Graph_Max,IF($A1115&gt;=DPS_Graph_Speed_Min,1/M1115,),),)</f>
        <v/>
      </c>
      <c r="R1115" s="104" t="str">
        <f>IF(DPS_Graph_Tooltip_Speed=TRUE,IF($E$8=$A1115,1/$N$6,),)</f>
        <v/>
      </c>
    </row>
    <row r="1116">
      <c r="A1116" s="370">
        <v>8.73</v>
      </c>
      <c r="B1116" s="213">
        <f>If(DPS_Weapon_Type="远程",($E1116+1)/60+(ROUNDDOWN($F1116*60+1,0)/60)*2,(ROUNDDOWN(($E1116+1)+ROUNDDOWN($F1116*60+1,0)+ROUNDDOWN($G1116/2*60+1,0)+ROUNDDOWN($H1116*60+1,0)+1,0))/60+If(DPS_ATK_TYPE="挥砍",1/60)+If(DPS_ATK_TYPE="挥砍/刺击",1/120))+DPS_Weapon_Randomization/60</f>
        <v>0.105</v>
      </c>
      <c r="C1116" s="104" t="str">
        <f>IF(DPS_Graph_True_Speed=TRUE,IF($A1116&lt;=DPS_Graph_Max,IF($A1116&gt;=DPS_Graph_Speed_Min,1/B1116,),),)</f>
        <v/>
      </c>
      <c r="D1116" s="115" t="str">
        <f>IF(DPS_Graph_True_Speed=TRUE,IF($E$8=$A1116,DPS_Attacks_P_Sec,),)</f>
        <v/>
      </c>
      <c r="E1116" s="222">
        <f>ROUNDDOWN(MAX(2,IF(A1116&gt;=0, DPS_Base_Wpn_Spd/(1+A1116),DPS_Base_Wpn_Spd*(1+ABS(A1116)))),0)</f>
        <v>2</v>
      </c>
      <c r="F1116" s="232">
        <f>IF(A1116&gt;=0, DPS_Base_Recoil/(1+A1116),DPS_Base_Recoil)</f>
        <v>0.005138746146</v>
      </c>
      <c r="G1116" s="377">
        <f t="shared" si="7"/>
        <v>0.51</v>
      </c>
      <c r="H1116" s="377">
        <f t="shared" si="8"/>
        <v>0.007355645458</v>
      </c>
      <c r="I1116" s="104"/>
      <c r="J1116" s="377">
        <f>MAX(0, Max(25,(DPS_Base_Range + ((DPS_Range_Stat) / 2))) / MIN(MAX(70, (70 * (1 + ($A1116 / 3)))), 120))</f>
        <v>3.333333333</v>
      </c>
      <c r="K1116" s="115" t="str">
        <f>IF(A1116&lt;=DPS_Graph_Max,IF(A1116&gt;=DPS_Graph_Speed_Min,A1116,),)</f>
        <v/>
      </c>
      <c r="M1116" s="213">
        <f>If(DPS_Weapon_Type="远程",$E1116/60+$F1116*2,$E1116/60+$F1116+$G1116/2+$H1116)</f>
        <v>0.04361082563</v>
      </c>
      <c r="N1116" s="104" t="str">
        <f>IF(DPS_Graph_Tooltip_Speed=TRUE,IF($A1116&lt;=DPS_Graph_Max,IF($A1116&gt;=DPS_Graph_Speed_Min,1/M1116,),),)</f>
        <v/>
      </c>
      <c r="R1116" s="104" t="str">
        <f>IF(DPS_Graph_Tooltip_Speed=TRUE,IF($E$8=$A1116,1/$N$6,),)</f>
        <v/>
      </c>
    </row>
    <row r="1117">
      <c r="A1117" s="370">
        <v>8.74</v>
      </c>
      <c r="B1117" s="213">
        <f>If(DPS_Weapon_Type="远程",($E1117+1)/60+(ROUNDDOWN($F1117*60+1,0)/60)*2,(ROUNDDOWN(($E1117+1)+ROUNDDOWN($F1117*60+1,0)+ROUNDDOWN($G1117/2*60+1,0)+ROUNDDOWN($H1117*60+1,0)+1,0))/60+If(DPS_ATK_TYPE="挥砍",1/60)+If(DPS_ATK_TYPE="挥砍/刺击",1/120))+DPS_Weapon_Randomization/60</f>
        <v>0.105</v>
      </c>
      <c r="C1117" s="104" t="str">
        <f>IF(DPS_Graph_True_Speed=TRUE,IF($A1117&lt;=DPS_Graph_Max,IF($A1117&gt;=DPS_Graph_Speed_Min,1/B1117,),),)</f>
        <v/>
      </c>
      <c r="D1117" s="115" t="str">
        <f>IF(DPS_Graph_True_Speed=TRUE,IF($E$8=$A1117,DPS_Attacks_P_Sec,),)</f>
        <v/>
      </c>
      <c r="E1117" s="222">
        <f>ROUNDDOWN(MAX(2,IF(A1117&gt;=0, DPS_Base_Wpn_Spd/(1+A1117),DPS_Base_Wpn_Spd*(1+ABS(A1117)))),0)</f>
        <v>2</v>
      </c>
      <c r="F1117" s="232">
        <f>IF(A1117&gt;=0, DPS_Base_Recoil/(1+A1117),DPS_Base_Recoil)</f>
        <v>0.005133470226</v>
      </c>
      <c r="G1117" s="377">
        <f t="shared" si="7"/>
        <v>0.51</v>
      </c>
      <c r="H1117" s="377">
        <f t="shared" si="8"/>
        <v>0.007347538575</v>
      </c>
      <c r="I1117" s="104"/>
      <c r="J1117" s="377">
        <f>MAX(0, Max(25,(DPS_Base_Range + ((DPS_Range_Stat) / 2))) / MIN(MAX(70, (70 * (1 + ($A1117 / 3)))), 120))</f>
        <v>3.333333333</v>
      </c>
      <c r="K1117" s="115" t="str">
        <f>IF(A1117&lt;=DPS_Graph_Max,IF(A1117&gt;=DPS_Graph_Speed_Min,A1117,),)</f>
        <v/>
      </c>
      <c r="M1117" s="213">
        <f>If(DPS_Weapon_Type="远程",$E1117/60+$F1117*2,$E1117/60+$F1117+$G1117/2+$H1117)</f>
        <v>0.04360027379</v>
      </c>
      <c r="N1117" s="104" t="str">
        <f>IF(DPS_Graph_Tooltip_Speed=TRUE,IF($A1117&lt;=DPS_Graph_Max,IF($A1117&gt;=DPS_Graph_Speed_Min,1/M1117,),),)</f>
        <v/>
      </c>
      <c r="R1117" s="104" t="str">
        <f>IF(DPS_Graph_Tooltip_Speed=TRUE,IF($E$8=$A1117,1/$N$6,),)</f>
        <v/>
      </c>
    </row>
    <row r="1118">
      <c r="A1118" s="370">
        <v>8.75</v>
      </c>
      <c r="B1118" s="213">
        <f>If(DPS_Weapon_Type="远程",($E1118+1)/60+(ROUNDDOWN($F1118*60+1,0)/60)*2,(ROUNDDOWN(($E1118+1)+ROUNDDOWN($F1118*60+1,0)+ROUNDDOWN($G1118/2*60+1,0)+ROUNDDOWN($H1118*60+1,0)+1,0))/60+If(DPS_ATK_TYPE="挥砍",1/60)+If(DPS_ATK_TYPE="挥砍/刺击",1/120))+DPS_Weapon_Randomization/60</f>
        <v>0.105</v>
      </c>
      <c r="C1118" s="104" t="str">
        <f>IF(DPS_Graph_True_Speed=TRUE,IF($A1118&lt;=DPS_Graph_Max,IF($A1118&gt;=DPS_Graph_Speed_Min,1/B1118,),),)</f>
        <v/>
      </c>
      <c r="D1118" s="115" t="str">
        <f>IF(DPS_Graph_True_Speed=TRUE,IF($E$8=$A1118,DPS_Attacks_P_Sec,),)</f>
        <v/>
      </c>
      <c r="E1118" s="222">
        <f>ROUNDDOWN(MAX(2,IF(A1118&gt;=0, DPS_Base_Wpn_Spd/(1+A1118),DPS_Base_Wpn_Spd*(1+ABS(A1118)))),0)</f>
        <v>2</v>
      </c>
      <c r="F1118" s="232">
        <f>IF(A1118&gt;=0, DPS_Base_Recoil/(1+A1118),DPS_Base_Recoil)</f>
        <v>0.005128205128</v>
      </c>
      <c r="G1118" s="377">
        <f t="shared" si="7"/>
        <v>0.51</v>
      </c>
      <c r="H1118" s="377">
        <f t="shared" si="8"/>
        <v>0.007339449541</v>
      </c>
      <c r="I1118" s="104"/>
      <c r="J1118" s="377">
        <f>MAX(0, Max(25,(DPS_Base_Range + ((DPS_Range_Stat) / 2))) / MIN(MAX(70, (70 * (1 + ($A1118 / 3)))), 120))</f>
        <v>3.333333333</v>
      </c>
      <c r="K1118" s="115" t="str">
        <f>IF(A1118&lt;=DPS_Graph_Max,IF(A1118&gt;=DPS_Graph_Speed_Min,A1118,),)</f>
        <v/>
      </c>
      <c r="M1118" s="213">
        <f>If(DPS_Weapon_Type="远程",$E1118/60+$F1118*2,$E1118/60+$F1118+$G1118/2+$H1118)</f>
        <v>0.04358974359</v>
      </c>
      <c r="N1118" s="104" t="str">
        <f>IF(DPS_Graph_Tooltip_Speed=TRUE,IF($A1118&lt;=DPS_Graph_Max,IF($A1118&gt;=DPS_Graph_Speed_Min,1/M1118,),),)</f>
        <v/>
      </c>
      <c r="R1118" s="104" t="str">
        <f>IF(DPS_Graph_Tooltip_Speed=TRUE,IF($E$8=$A1118,1/$N$6,),)</f>
        <v/>
      </c>
    </row>
    <row r="1119">
      <c r="A1119" s="370">
        <v>8.76</v>
      </c>
      <c r="B1119" s="213">
        <f>If(DPS_Weapon_Type="远程",($E1119+1)/60+(ROUNDDOWN($F1119*60+1,0)/60)*2,(ROUNDDOWN(($E1119+1)+ROUNDDOWN($F1119*60+1,0)+ROUNDDOWN($G1119/2*60+1,0)+ROUNDDOWN($H1119*60+1,0)+1,0))/60+If(DPS_ATK_TYPE="挥砍",1/60)+If(DPS_ATK_TYPE="挥砍/刺击",1/120))+DPS_Weapon_Randomization/60</f>
        <v>0.105</v>
      </c>
      <c r="C1119" s="104" t="str">
        <f>IF(DPS_Graph_True_Speed=TRUE,IF($A1119&lt;=DPS_Graph_Max,IF($A1119&gt;=DPS_Graph_Speed_Min,1/B1119,),),)</f>
        <v/>
      </c>
      <c r="D1119" s="115" t="str">
        <f>IF(DPS_Graph_True_Speed=TRUE,IF($E$8=$A1119,DPS_Attacks_P_Sec,),)</f>
        <v/>
      </c>
      <c r="E1119" s="222">
        <f>ROUNDDOWN(MAX(2,IF(A1119&gt;=0, DPS_Base_Wpn_Spd/(1+A1119),DPS_Base_Wpn_Spd*(1+ABS(A1119)))),0)</f>
        <v>2</v>
      </c>
      <c r="F1119" s="232">
        <f>IF(A1119&gt;=0, DPS_Base_Recoil/(1+A1119),DPS_Base_Recoil)</f>
        <v>0.00512295082</v>
      </c>
      <c r="G1119" s="377">
        <f t="shared" si="7"/>
        <v>0.51</v>
      </c>
      <c r="H1119" s="377">
        <f t="shared" si="8"/>
        <v>0.007331378299</v>
      </c>
      <c r="I1119" s="104"/>
      <c r="J1119" s="377">
        <f>MAX(0, Max(25,(DPS_Base_Range + ((DPS_Range_Stat) / 2))) / MIN(MAX(70, (70 * (1 + ($A1119 / 3)))), 120))</f>
        <v>3.333333333</v>
      </c>
      <c r="K1119" s="115" t="str">
        <f>IF(A1119&lt;=DPS_Graph_Max,IF(A1119&gt;=DPS_Graph_Speed_Min,A1119,),)</f>
        <v/>
      </c>
      <c r="M1119" s="213">
        <f>If(DPS_Weapon_Type="远程",$E1119/60+$F1119*2,$E1119/60+$F1119+$G1119/2+$H1119)</f>
        <v>0.04357923497</v>
      </c>
      <c r="N1119" s="104" t="str">
        <f>IF(DPS_Graph_Tooltip_Speed=TRUE,IF($A1119&lt;=DPS_Graph_Max,IF($A1119&gt;=DPS_Graph_Speed_Min,1/M1119,),),)</f>
        <v/>
      </c>
      <c r="R1119" s="104" t="str">
        <f>IF(DPS_Graph_Tooltip_Speed=TRUE,IF($E$8=$A1119,1/$N$6,),)</f>
        <v/>
      </c>
    </row>
    <row r="1120">
      <c r="A1120" s="370">
        <v>8.77</v>
      </c>
      <c r="B1120" s="213">
        <f>If(DPS_Weapon_Type="远程",($E1120+1)/60+(ROUNDDOWN($F1120*60+1,0)/60)*2,(ROUNDDOWN(($E1120+1)+ROUNDDOWN($F1120*60+1,0)+ROUNDDOWN($G1120/2*60+1,0)+ROUNDDOWN($H1120*60+1,0)+1,0))/60+If(DPS_ATK_TYPE="挥砍",1/60)+If(DPS_ATK_TYPE="挥砍/刺击",1/120))+DPS_Weapon_Randomization/60</f>
        <v>0.105</v>
      </c>
      <c r="C1120" s="104" t="str">
        <f>IF(DPS_Graph_True_Speed=TRUE,IF($A1120&lt;=DPS_Graph_Max,IF($A1120&gt;=DPS_Graph_Speed_Min,1/B1120,),),)</f>
        <v/>
      </c>
      <c r="D1120" s="115" t="str">
        <f>IF(DPS_Graph_True_Speed=TRUE,IF($E$8=$A1120,DPS_Attacks_P_Sec,),)</f>
        <v/>
      </c>
      <c r="E1120" s="222">
        <f>ROUNDDOWN(MAX(2,IF(A1120&gt;=0, DPS_Base_Wpn_Spd/(1+A1120),DPS_Base_Wpn_Spd*(1+ABS(A1120)))),0)</f>
        <v>2</v>
      </c>
      <c r="F1120" s="232">
        <f>IF(A1120&gt;=0, DPS_Base_Recoil/(1+A1120),DPS_Base_Recoil)</f>
        <v>0.005117707267</v>
      </c>
      <c r="G1120" s="377">
        <f t="shared" si="7"/>
        <v>0.51</v>
      </c>
      <c r="H1120" s="377">
        <f t="shared" si="8"/>
        <v>0.007323324789</v>
      </c>
      <c r="I1120" s="104"/>
      <c r="J1120" s="377">
        <f>MAX(0, Max(25,(DPS_Base_Range + ((DPS_Range_Stat) / 2))) / MIN(MAX(70, (70 * (1 + ($A1120 / 3)))), 120))</f>
        <v>3.333333333</v>
      </c>
      <c r="K1120" s="115" t="str">
        <f>IF(A1120&lt;=DPS_Graph_Max,IF(A1120&gt;=DPS_Graph_Speed_Min,A1120,),)</f>
        <v/>
      </c>
      <c r="M1120" s="213">
        <f>If(DPS_Weapon_Type="远程",$E1120/60+$F1120*2,$E1120/60+$F1120+$G1120/2+$H1120)</f>
        <v>0.04356874787</v>
      </c>
      <c r="N1120" s="104" t="str">
        <f>IF(DPS_Graph_Tooltip_Speed=TRUE,IF($A1120&lt;=DPS_Graph_Max,IF($A1120&gt;=DPS_Graph_Speed_Min,1/M1120,),),)</f>
        <v/>
      </c>
      <c r="R1120" s="104" t="str">
        <f>IF(DPS_Graph_Tooltip_Speed=TRUE,IF($E$8=$A1120,1/$N$6,),)</f>
        <v/>
      </c>
    </row>
    <row r="1121">
      <c r="A1121" s="370">
        <v>8.78</v>
      </c>
      <c r="B1121" s="213">
        <f>If(DPS_Weapon_Type="远程",($E1121+1)/60+(ROUNDDOWN($F1121*60+1,0)/60)*2,(ROUNDDOWN(($E1121+1)+ROUNDDOWN($F1121*60+1,0)+ROUNDDOWN($G1121/2*60+1,0)+ROUNDDOWN($H1121*60+1,0)+1,0))/60+If(DPS_ATK_TYPE="挥砍",1/60)+If(DPS_ATK_TYPE="挥砍/刺击",1/120))+DPS_Weapon_Randomization/60</f>
        <v>0.105</v>
      </c>
      <c r="C1121" s="104" t="str">
        <f>IF(DPS_Graph_True_Speed=TRUE,IF($A1121&lt;=DPS_Graph_Max,IF($A1121&gt;=DPS_Graph_Speed_Min,1/B1121,),),)</f>
        <v/>
      </c>
      <c r="D1121" s="115" t="str">
        <f>IF(DPS_Graph_True_Speed=TRUE,IF($E$8=$A1121,DPS_Attacks_P_Sec,),)</f>
        <v/>
      </c>
      <c r="E1121" s="222">
        <f>ROUNDDOWN(MAX(2,IF(A1121&gt;=0, DPS_Base_Wpn_Spd/(1+A1121),DPS_Base_Wpn_Spd*(1+ABS(A1121)))),0)</f>
        <v>2</v>
      </c>
      <c r="F1121" s="232">
        <f>IF(A1121&gt;=0, DPS_Base_Recoil/(1+A1121),DPS_Base_Recoil)</f>
        <v>0.005112474438</v>
      </c>
      <c r="G1121" s="377">
        <f t="shared" si="7"/>
        <v>0.51</v>
      </c>
      <c r="H1121" s="377">
        <f t="shared" si="8"/>
        <v>0.007315288954</v>
      </c>
      <c r="I1121" s="104"/>
      <c r="J1121" s="377">
        <f>MAX(0, Max(25,(DPS_Base_Range + ((DPS_Range_Stat) / 2))) / MIN(MAX(70, (70 * (1 + ($A1121 / 3)))), 120))</f>
        <v>3.333333333</v>
      </c>
      <c r="K1121" s="115" t="str">
        <f>IF(A1121&lt;=DPS_Graph_Max,IF(A1121&gt;=DPS_Graph_Speed_Min,A1121,),)</f>
        <v/>
      </c>
      <c r="M1121" s="213">
        <f>If(DPS_Weapon_Type="远程",$E1121/60+$F1121*2,$E1121/60+$F1121+$G1121/2+$H1121)</f>
        <v>0.04355828221</v>
      </c>
      <c r="N1121" s="104" t="str">
        <f>IF(DPS_Graph_Tooltip_Speed=TRUE,IF($A1121&lt;=DPS_Graph_Max,IF($A1121&gt;=DPS_Graph_Speed_Min,1/M1121,),),)</f>
        <v/>
      </c>
      <c r="R1121" s="104" t="str">
        <f>IF(DPS_Graph_Tooltip_Speed=TRUE,IF($E$8=$A1121,1/$N$6,),)</f>
        <v/>
      </c>
    </row>
    <row r="1122">
      <c r="A1122" s="370">
        <v>8.79</v>
      </c>
      <c r="B1122" s="213">
        <f>If(DPS_Weapon_Type="远程",($E1122+1)/60+(ROUNDDOWN($F1122*60+1,0)/60)*2,(ROUNDDOWN(($E1122+1)+ROUNDDOWN($F1122*60+1,0)+ROUNDDOWN($G1122/2*60+1,0)+ROUNDDOWN($H1122*60+1,0)+1,0))/60+If(DPS_ATK_TYPE="挥砍",1/60)+If(DPS_ATK_TYPE="挥砍/刺击",1/120))+DPS_Weapon_Randomization/60</f>
        <v>0.105</v>
      </c>
      <c r="C1122" s="104" t="str">
        <f>IF(DPS_Graph_True_Speed=TRUE,IF($A1122&lt;=DPS_Graph_Max,IF($A1122&gt;=DPS_Graph_Speed_Min,1/B1122,),),)</f>
        <v/>
      </c>
      <c r="D1122" s="115" t="str">
        <f>IF(DPS_Graph_True_Speed=TRUE,IF($E$8=$A1122,DPS_Attacks_P_Sec,),)</f>
        <v/>
      </c>
      <c r="E1122" s="222">
        <f>ROUNDDOWN(MAX(2,IF(A1122&gt;=0, DPS_Base_Wpn_Spd/(1+A1122),DPS_Base_Wpn_Spd*(1+ABS(A1122)))),0)</f>
        <v>2</v>
      </c>
      <c r="F1122" s="232">
        <f>IF(A1122&gt;=0, DPS_Base_Recoil/(1+A1122),DPS_Base_Recoil)</f>
        <v>0.005107252298</v>
      </c>
      <c r="G1122" s="377">
        <f t="shared" si="7"/>
        <v>0.51</v>
      </c>
      <c r="H1122" s="377">
        <f t="shared" si="8"/>
        <v>0.007307270734</v>
      </c>
      <c r="I1122" s="104"/>
      <c r="J1122" s="377">
        <f>MAX(0, Max(25,(DPS_Base_Range + ((DPS_Range_Stat) / 2))) / MIN(MAX(70, (70 * (1 + ($A1122 / 3)))), 120))</f>
        <v>3.333333333</v>
      </c>
      <c r="K1122" s="115" t="str">
        <f>IF(A1122&lt;=DPS_Graph_Max,IF(A1122&gt;=DPS_Graph_Speed_Min,A1122,),)</f>
        <v/>
      </c>
      <c r="M1122" s="213">
        <f>If(DPS_Weapon_Type="远程",$E1122/60+$F1122*2,$E1122/60+$F1122+$G1122/2+$H1122)</f>
        <v>0.04354783793</v>
      </c>
      <c r="N1122" s="104" t="str">
        <f>IF(DPS_Graph_Tooltip_Speed=TRUE,IF($A1122&lt;=DPS_Graph_Max,IF($A1122&gt;=DPS_Graph_Speed_Min,1/M1122,),),)</f>
        <v/>
      </c>
      <c r="R1122" s="104" t="str">
        <f>IF(DPS_Graph_Tooltip_Speed=TRUE,IF($E$8=$A1122,1/$N$6,),)</f>
        <v/>
      </c>
    </row>
    <row r="1123">
      <c r="A1123" s="370">
        <v>8.8</v>
      </c>
      <c r="B1123" s="213">
        <f>If(DPS_Weapon_Type="远程",($E1123+1)/60+(ROUNDDOWN($F1123*60+1,0)/60)*2,(ROUNDDOWN(($E1123+1)+ROUNDDOWN($F1123*60+1,0)+ROUNDDOWN($G1123/2*60+1,0)+ROUNDDOWN($H1123*60+1,0)+1,0))/60+If(DPS_ATK_TYPE="挥砍",1/60)+If(DPS_ATK_TYPE="挥砍/刺击",1/120))+DPS_Weapon_Randomization/60</f>
        <v>0.105</v>
      </c>
      <c r="C1123" s="104" t="str">
        <f>IF(DPS_Graph_True_Speed=TRUE,IF($A1123&lt;=DPS_Graph_Max,IF($A1123&gt;=DPS_Graph_Speed_Min,1/B1123,),),)</f>
        <v/>
      </c>
      <c r="D1123" s="115" t="str">
        <f>IF(DPS_Graph_True_Speed=TRUE,IF($E$8=$A1123,DPS_Attacks_P_Sec,),)</f>
        <v/>
      </c>
      <c r="E1123" s="222">
        <f>ROUNDDOWN(MAX(2,IF(A1123&gt;=0, DPS_Base_Wpn_Spd/(1+A1123),DPS_Base_Wpn_Spd*(1+ABS(A1123)))),0)</f>
        <v>2</v>
      </c>
      <c r="F1123" s="232">
        <f>IF(A1123&gt;=0, DPS_Base_Recoil/(1+A1123),DPS_Base_Recoil)</f>
        <v>0.005102040816</v>
      </c>
      <c r="G1123" s="377">
        <f t="shared" si="7"/>
        <v>0.51</v>
      </c>
      <c r="H1123" s="377">
        <f t="shared" si="8"/>
        <v>0.007299270073</v>
      </c>
      <c r="I1123" s="104"/>
      <c r="J1123" s="377">
        <f>MAX(0, Max(25,(DPS_Base_Range + ((DPS_Range_Stat) / 2))) / MIN(MAX(70, (70 * (1 + ($A1123 / 3)))), 120))</f>
        <v>3.333333333</v>
      </c>
      <c r="K1123" s="115" t="str">
        <f>IF(A1123&lt;=DPS_Graph_Max,IF(A1123&gt;=DPS_Graph_Speed_Min,A1123,),)</f>
        <v/>
      </c>
      <c r="M1123" s="213">
        <f>If(DPS_Weapon_Type="远程",$E1123/60+$F1123*2,$E1123/60+$F1123+$G1123/2+$H1123)</f>
        <v>0.04353741497</v>
      </c>
      <c r="N1123" s="104" t="str">
        <f>IF(DPS_Graph_Tooltip_Speed=TRUE,IF($A1123&lt;=DPS_Graph_Max,IF($A1123&gt;=DPS_Graph_Speed_Min,1/M1123,),),)</f>
        <v/>
      </c>
      <c r="R1123" s="104" t="str">
        <f>IF(DPS_Graph_Tooltip_Speed=TRUE,IF($E$8=$A1123,1/$N$6,),)</f>
        <v/>
      </c>
    </row>
    <row r="1124">
      <c r="A1124" s="370">
        <v>8.81</v>
      </c>
      <c r="B1124" s="213">
        <f>If(DPS_Weapon_Type="远程",($E1124+1)/60+(ROUNDDOWN($F1124*60+1,0)/60)*2,(ROUNDDOWN(($E1124+1)+ROUNDDOWN($F1124*60+1,0)+ROUNDDOWN($G1124/2*60+1,0)+ROUNDDOWN($H1124*60+1,0)+1,0))/60+If(DPS_ATK_TYPE="挥砍",1/60)+If(DPS_ATK_TYPE="挥砍/刺击",1/120))+DPS_Weapon_Randomization/60</f>
        <v>0.105</v>
      </c>
      <c r="C1124" s="104" t="str">
        <f>IF(DPS_Graph_True_Speed=TRUE,IF($A1124&lt;=DPS_Graph_Max,IF($A1124&gt;=DPS_Graph_Speed_Min,1/B1124,),),)</f>
        <v/>
      </c>
      <c r="D1124" s="115" t="str">
        <f>IF(DPS_Graph_True_Speed=TRUE,IF($E$8=$A1124,DPS_Attacks_P_Sec,),)</f>
        <v/>
      </c>
      <c r="E1124" s="222">
        <f>ROUNDDOWN(MAX(2,IF(A1124&gt;=0, DPS_Base_Wpn_Spd/(1+A1124),DPS_Base_Wpn_Spd*(1+ABS(A1124)))),0)</f>
        <v>2</v>
      </c>
      <c r="F1124" s="232">
        <f>IF(A1124&gt;=0, DPS_Base_Recoil/(1+A1124),DPS_Base_Recoil)</f>
        <v>0.005096839959</v>
      </c>
      <c r="G1124" s="377">
        <f t="shared" si="7"/>
        <v>0.51</v>
      </c>
      <c r="H1124" s="377">
        <f t="shared" si="8"/>
        <v>0.007291286912</v>
      </c>
      <c r="I1124" s="104"/>
      <c r="J1124" s="377">
        <f>MAX(0, Max(25,(DPS_Base_Range + ((DPS_Range_Stat) / 2))) / MIN(MAX(70, (70 * (1 + ($A1124 / 3)))), 120))</f>
        <v>3.333333333</v>
      </c>
      <c r="K1124" s="115" t="str">
        <f>IF(A1124&lt;=DPS_Graph_Max,IF(A1124&gt;=DPS_Graph_Speed_Min,A1124,),)</f>
        <v/>
      </c>
      <c r="M1124" s="213">
        <f>If(DPS_Weapon_Type="远程",$E1124/60+$F1124*2,$E1124/60+$F1124+$G1124/2+$H1124)</f>
        <v>0.04352701325</v>
      </c>
      <c r="N1124" s="104" t="str">
        <f>IF(DPS_Graph_Tooltip_Speed=TRUE,IF($A1124&lt;=DPS_Graph_Max,IF($A1124&gt;=DPS_Graph_Speed_Min,1/M1124,),),)</f>
        <v/>
      </c>
      <c r="R1124" s="104" t="str">
        <f>IF(DPS_Graph_Tooltip_Speed=TRUE,IF($E$8=$A1124,1/$N$6,),)</f>
        <v/>
      </c>
    </row>
    <row r="1125">
      <c r="A1125" s="370">
        <v>8.82</v>
      </c>
      <c r="B1125" s="213">
        <f>If(DPS_Weapon_Type="远程",($E1125+1)/60+(ROUNDDOWN($F1125*60+1,0)/60)*2,(ROUNDDOWN(($E1125+1)+ROUNDDOWN($F1125*60+1,0)+ROUNDDOWN($G1125/2*60+1,0)+ROUNDDOWN($H1125*60+1,0)+1,0))/60+If(DPS_ATK_TYPE="挥砍",1/60)+If(DPS_ATK_TYPE="挥砍/刺击",1/120))+DPS_Weapon_Randomization/60</f>
        <v>0.105</v>
      </c>
      <c r="C1125" s="104" t="str">
        <f>IF(DPS_Graph_True_Speed=TRUE,IF($A1125&lt;=DPS_Graph_Max,IF($A1125&gt;=DPS_Graph_Speed_Min,1/B1125,),),)</f>
        <v/>
      </c>
      <c r="D1125" s="115" t="str">
        <f>IF(DPS_Graph_True_Speed=TRUE,IF($E$8=$A1125,DPS_Attacks_P_Sec,),)</f>
        <v/>
      </c>
      <c r="E1125" s="222">
        <f>ROUNDDOWN(MAX(2,IF(A1125&gt;=0, DPS_Base_Wpn_Spd/(1+A1125),DPS_Base_Wpn_Spd*(1+ABS(A1125)))),0)</f>
        <v>2</v>
      </c>
      <c r="F1125" s="232">
        <f>IF(A1125&gt;=0, DPS_Base_Recoil/(1+A1125),DPS_Base_Recoil)</f>
        <v>0.005091649695</v>
      </c>
      <c r="G1125" s="377">
        <f t="shared" si="7"/>
        <v>0.51</v>
      </c>
      <c r="H1125" s="377">
        <f t="shared" si="8"/>
        <v>0.007283321194</v>
      </c>
      <c r="I1125" s="104"/>
      <c r="J1125" s="377">
        <f>MAX(0, Max(25,(DPS_Base_Range + ((DPS_Range_Stat) / 2))) / MIN(MAX(70, (70 * (1 + ($A1125 / 3)))), 120))</f>
        <v>3.333333333</v>
      </c>
      <c r="K1125" s="115" t="str">
        <f>IF(A1125&lt;=DPS_Graph_Max,IF(A1125&gt;=DPS_Graph_Speed_Min,A1125,),)</f>
        <v/>
      </c>
      <c r="M1125" s="213">
        <f>If(DPS_Weapon_Type="远程",$E1125/60+$F1125*2,$E1125/60+$F1125+$G1125/2+$H1125)</f>
        <v>0.04351663272</v>
      </c>
      <c r="N1125" s="104" t="str">
        <f>IF(DPS_Graph_Tooltip_Speed=TRUE,IF($A1125&lt;=DPS_Graph_Max,IF($A1125&gt;=DPS_Graph_Speed_Min,1/M1125,),),)</f>
        <v/>
      </c>
      <c r="R1125" s="104" t="str">
        <f>IF(DPS_Graph_Tooltip_Speed=TRUE,IF($E$8=$A1125,1/$N$6,),)</f>
        <v/>
      </c>
    </row>
    <row r="1126">
      <c r="A1126" s="370">
        <v>8.83</v>
      </c>
      <c r="B1126" s="213">
        <f>If(DPS_Weapon_Type="远程",($E1126+1)/60+(ROUNDDOWN($F1126*60+1,0)/60)*2,(ROUNDDOWN(($E1126+1)+ROUNDDOWN($F1126*60+1,0)+ROUNDDOWN($G1126/2*60+1,0)+ROUNDDOWN($H1126*60+1,0)+1,0))/60+If(DPS_ATK_TYPE="挥砍",1/60)+If(DPS_ATK_TYPE="挥砍/刺击",1/120))+DPS_Weapon_Randomization/60</f>
        <v>0.105</v>
      </c>
      <c r="C1126" s="104" t="str">
        <f>IF(DPS_Graph_True_Speed=TRUE,IF($A1126&lt;=DPS_Graph_Max,IF($A1126&gt;=DPS_Graph_Speed_Min,1/B1126,),),)</f>
        <v/>
      </c>
      <c r="D1126" s="115" t="str">
        <f>IF(DPS_Graph_True_Speed=TRUE,IF($E$8=$A1126,DPS_Attacks_P_Sec,),)</f>
        <v/>
      </c>
      <c r="E1126" s="222">
        <f>ROUNDDOWN(MAX(2,IF(A1126&gt;=0, DPS_Base_Wpn_Spd/(1+A1126),DPS_Base_Wpn_Spd*(1+ABS(A1126)))),0)</f>
        <v>2</v>
      </c>
      <c r="F1126" s="232">
        <f>IF(A1126&gt;=0, DPS_Base_Recoil/(1+A1126),DPS_Base_Recoil)</f>
        <v>0.00508646999</v>
      </c>
      <c r="G1126" s="377">
        <f t="shared" si="7"/>
        <v>0.51</v>
      </c>
      <c r="H1126" s="377">
        <f t="shared" si="8"/>
        <v>0.007275372863</v>
      </c>
      <c r="I1126" s="104"/>
      <c r="J1126" s="377">
        <f>MAX(0, Max(25,(DPS_Base_Range + ((DPS_Range_Stat) / 2))) / MIN(MAX(70, (70 * (1 + ($A1126 / 3)))), 120))</f>
        <v>3.333333333</v>
      </c>
      <c r="K1126" s="115" t="str">
        <f>IF(A1126&lt;=DPS_Graph_Max,IF(A1126&gt;=DPS_Graph_Speed_Min,A1126,),)</f>
        <v/>
      </c>
      <c r="M1126" s="213">
        <f>If(DPS_Weapon_Type="远程",$E1126/60+$F1126*2,$E1126/60+$F1126+$G1126/2+$H1126)</f>
        <v>0.04350627331</v>
      </c>
      <c r="N1126" s="104" t="str">
        <f>IF(DPS_Graph_Tooltip_Speed=TRUE,IF($A1126&lt;=DPS_Graph_Max,IF($A1126&gt;=DPS_Graph_Speed_Min,1/M1126,),),)</f>
        <v/>
      </c>
      <c r="R1126" s="104" t="str">
        <f>IF(DPS_Graph_Tooltip_Speed=TRUE,IF($E$8=$A1126,1/$N$6,),)</f>
        <v/>
      </c>
    </row>
    <row r="1127">
      <c r="A1127" s="370">
        <v>8.84</v>
      </c>
      <c r="B1127" s="213">
        <f>If(DPS_Weapon_Type="远程",($E1127+1)/60+(ROUNDDOWN($F1127*60+1,0)/60)*2,(ROUNDDOWN(($E1127+1)+ROUNDDOWN($F1127*60+1,0)+ROUNDDOWN($G1127/2*60+1,0)+ROUNDDOWN($H1127*60+1,0)+1,0))/60+If(DPS_ATK_TYPE="挥砍",1/60)+If(DPS_ATK_TYPE="挥砍/刺击",1/120))+DPS_Weapon_Randomization/60</f>
        <v>0.105</v>
      </c>
      <c r="C1127" s="104" t="str">
        <f>IF(DPS_Graph_True_Speed=TRUE,IF($A1127&lt;=DPS_Graph_Max,IF($A1127&gt;=DPS_Graph_Speed_Min,1/B1127,),),)</f>
        <v/>
      </c>
      <c r="D1127" s="115" t="str">
        <f>IF(DPS_Graph_True_Speed=TRUE,IF($E$8=$A1127,DPS_Attacks_P_Sec,),)</f>
        <v/>
      </c>
      <c r="E1127" s="222">
        <f>ROUNDDOWN(MAX(2,IF(A1127&gt;=0, DPS_Base_Wpn_Spd/(1+A1127),DPS_Base_Wpn_Spd*(1+ABS(A1127)))),0)</f>
        <v>2</v>
      </c>
      <c r="F1127" s="232">
        <f>IF(A1127&gt;=0, DPS_Base_Recoil/(1+A1127),DPS_Base_Recoil)</f>
        <v>0.005081300813</v>
      </c>
      <c r="G1127" s="377">
        <f t="shared" si="7"/>
        <v>0.51</v>
      </c>
      <c r="H1127" s="377">
        <f t="shared" si="8"/>
        <v>0.00726744186</v>
      </c>
      <c r="I1127" s="104"/>
      <c r="J1127" s="377">
        <f>MAX(0, Max(25,(DPS_Base_Range + ((DPS_Range_Stat) / 2))) / MIN(MAX(70, (70 * (1 + ($A1127 / 3)))), 120))</f>
        <v>3.333333333</v>
      </c>
      <c r="K1127" s="115" t="str">
        <f>IF(A1127&lt;=DPS_Graph_Max,IF(A1127&gt;=DPS_Graph_Speed_Min,A1127,),)</f>
        <v/>
      </c>
      <c r="M1127" s="213">
        <f>If(DPS_Weapon_Type="远程",$E1127/60+$F1127*2,$E1127/60+$F1127+$G1127/2+$H1127)</f>
        <v>0.04349593496</v>
      </c>
      <c r="N1127" s="104" t="str">
        <f>IF(DPS_Graph_Tooltip_Speed=TRUE,IF($A1127&lt;=DPS_Graph_Max,IF($A1127&gt;=DPS_Graph_Speed_Min,1/M1127,),),)</f>
        <v/>
      </c>
      <c r="R1127" s="104" t="str">
        <f>IF(DPS_Graph_Tooltip_Speed=TRUE,IF($E$8=$A1127,1/$N$6,),)</f>
        <v/>
      </c>
    </row>
    <row r="1128">
      <c r="A1128" s="370">
        <v>8.85</v>
      </c>
      <c r="B1128" s="213">
        <f>If(DPS_Weapon_Type="远程",($E1128+1)/60+(ROUNDDOWN($F1128*60+1,0)/60)*2,(ROUNDDOWN(($E1128+1)+ROUNDDOWN($F1128*60+1,0)+ROUNDDOWN($G1128/2*60+1,0)+ROUNDDOWN($H1128*60+1,0)+1,0))/60+If(DPS_ATK_TYPE="挥砍",1/60)+If(DPS_ATK_TYPE="挥砍/刺击",1/120))+DPS_Weapon_Randomization/60</f>
        <v>0.105</v>
      </c>
      <c r="C1128" s="104" t="str">
        <f>IF(DPS_Graph_True_Speed=TRUE,IF($A1128&lt;=DPS_Graph_Max,IF($A1128&gt;=DPS_Graph_Speed_Min,1/B1128,),),)</f>
        <v/>
      </c>
      <c r="D1128" s="115" t="str">
        <f>IF(DPS_Graph_True_Speed=TRUE,IF($E$8=$A1128,DPS_Attacks_P_Sec,),)</f>
        <v/>
      </c>
      <c r="E1128" s="222">
        <f>ROUNDDOWN(MAX(2,IF(A1128&gt;=0, DPS_Base_Wpn_Spd/(1+A1128),DPS_Base_Wpn_Spd*(1+ABS(A1128)))),0)</f>
        <v>2</v>
      </c>
      <c r="F1128" s="232">
        <f>IF(A1128&gt;=0, DPS_Base_Recoil/(1+A1128),DPS_Base_Recoil)</f>
        <v>0.005076142132</v>
      </c>
      <c r="G1128" s="377">
        <f t="shared" si="7"/>
        <v>0.51</v>
      </c>
      <c r="H1128" s="377">
        <f t="shared" si="8"/>
        <v>0.007259528131</v>
      </c>
      <c r="I1128" s="104"/>
      <c r="J1128" s="377">
        <f>MAX(0, Max(25,(DPS_Base_Range + ((DPS_Range_Stat) / 2))) / MIN(MAX(70, (70 * (1 + ($A1128 / 3)))), 120))</f>
        <v>3.333333333</v>
      </c>
      <c r="K1128" s="115" t="str">
        <f>IF(A1128&lt;=DPS_Graph_Max,IF(A1128&gt;=DPS_Graph_Speed_Min,A1128,),)</f>
        <v/>
      </c>
      <c r="M1128" s="213">
        <f>If(DPS_Weapon_Type="远程",$E1128/60+$F1128*2,$E1128/60+$F1128+$G1128/2+$H1128)</f>
        <v>0.0434856176</v>
      </c>
      <c r="N1128" s="104" t="str">
        <f>IF(DPS_Graph_Tooltip_Speed=TRUE,IF($A1128&lt;=DPS_Graph_Max,IF($A1128&gt;=DPS_Graph_Speed_Min,1/M1128,),),)</f>
        <v/>
      </c>
      <c r="R1128" s="104" t="str">
        <f>IF(DPS_Graph_Tooltip_Speed=TRUE,IF($E$8=$A1128,1/$N$6,),)</f>
        <v/>
      </c>
    </row>
    <row r="1129">
      <c r="A1129" s="370">
        <v>8.86</v>
      </c>
      <c r="B1129" s="213">
        <f>If(DPS_Weapon_Type="远程",($E1129+1)/60+(ROUNDDOWN($F1129*60+1,0)/60)*2,(ROUNDDOWN(($E1129+1)+ROUNDDOWN($F1129*60+1,0)+ROUNDDOWN($G1129/2*60+1,0)+ROUNDDOWN($H1129*60+1,0)+1,0))/60+If(DPS_ATK_TYPE="挥砍",1/60)+If(DPS_ATK_TYPE="挥砍/刺击",1/120))+DPS_Weapon_Randomization/60</f>
        <v>0.105</v>
      </c>
      <c r="C1129" s="104" t="str">
        <f>IF(DPS_Graph_True_Speed=TRUE,IF($A1129&lt;=DPS_Graph_Max,IF($A1129&gt;=DPS_Graph_Speed_Min,1/B1129,),),)</f>
        <v/>
      </c>
      <c r="D1129" s="115" t="str">
        <f>IF(DPS_Graph_True_Speed=TRUE,IF($E$8=$A1129,DPS_Attacks_P_Sec,),)</f>
        <v/>
      </c>
      <c r="E1129" s="222">
        <f>ROUNDDOWN(MAX(2,IF(A1129&gt;=0, DPS_Base_Wpn_Spd/(1+A1129),DPS_Base_Wpn_Spd*(1+ABS(A1129)))),0)</f>
        <v>2</v>
      </c>
      <c r="F1129" s="232">
        <f>IF(A1129&gt;=0, DPS_Base_Recoil/(1+A1129),DPS_Base_Recoil)</f>
        <v>0.005070993915</v>
      </c>
      <c r="G1129" s="377">
        <f t="shared" si="7"/>
        <v>0.51</v>
      </c>
      <c r="H1129" s="377">
        <f t="shared" si="8"/>
        <v>0.007251631617</v>
      </c>
      <c r="I1129" s="104"/>
      <c r="J1129" s="377">
        <f>MAX(0, Max(25,(DPS_Base_Range + ((DPS_Range_Stat) / 2))) / MIN(MAX(70, (70 * (1 + ($A1129 / 3)))), 120))</f>
        <v>3.333333333</v>
      </c>
      <c r="K1129" s="115" t="str">
        <f>IF(A1129&lt;=DPS_Graph_Max,IF(A1129&gt;=DPS_Graph_Speed_Min,A1129,),)</f>
        <v/>
      </c>
      <c r="M1129" s="213">
        <f>If(DPS_Weapon_Type="远程",$E1129/60+$F1129*2,$E1129/60+$F1129+$G1129/2+$H1129)</f>
        <v>0.04347532116</v>
      </c>
      <c r="N1129" s="104" t="str">
        <f>IF(DPS_Graph_Tooltip_Speed=TRUE,IF($A1129&lt;=DPS_Graph_Max,IF($A1129&gt;=DPS_Graph_Speed_Min,1/M1129,),),)</f>
        <v/>
      </c>
      <c r="R1129" s="104" t="str">
        <f>IF(DPS_Graph_Tooltip_Speed=TRUE,IF($E$8=$A1129,1/$N$6,),)</f>
        <v/>
      </c>
    </row>
    <row r="1130">
      <c r="A1130" s="370">
        <v>8.87</v>
      </c>
      <c r="B1130" s="213">
        <f>If(DPS_Weapon_Type="远程",($E1130+1)/60+(ROUNDDOWN($F1130*60+1,0)/60)*2,(ROUNDDOWN(($E1130+1)+ROUNDDOWN($F1130*60+1,0)+ROUNDDOWN($G1130/2*60+1,0)+ROUNDDOWN($H1130*60+1,0)+1,0))/60+If(DPS_ATK_TYPE="挥砍",1/60)+If(DPS_ATK_TYPE="挥砍/刺击",1/120))+DPS_Weapon_Randomization/60</f>
        <v>0.105</v>
      </c>
      <c r="C1130" s="104" t="str">
        <f>IF(DPS_Graph_True_Speed=TRUE,IF($A1130&lt;=DPS_Graph_Max,IF($A1130&gt;=DPS_Graph_Speed_Min,1/B1130,),),)</f>
        <v/>
      </c>
      <c r="D1130" s="115" t="str">
        <f>IF(DPS_Graph_True_Speed=TRUE,IF($E$8=$A1130,DPS_Attacks_P_Sec,),)</f>
        <v/>
      </c>
      <c r="E1130" s="222">
        <f>ROUNDDOWN(MAX(2,IF(A1130&gt;=0, DPS_Base_Wpn_Spd/(1+A1130),DPS_Base_Wpn_Spd*(1+ABS(A1130)))),0)</f>
        <v>2</v>
      </c>
      <c r="F1130" s="232">
        <f>IF(A1130&gt;=0, DPS_Base_Recoil/(1+A1130),DPS_Base_Recoil)</f>
        <v>0.00506585613</v>
      </c>
      <c r="G1130" s="377">
        <f t="shared" si="7"/>
        <v>0.51</v>
      </c>
      <c r="H1130" s="377">
        <f t="shared" si="8"/>
        <v>0.007243752264</v>
      </c>
      <c r="I1130" s="104"/>
      <c r="J1130" s="377">
        <f>MAX(0, Max(25,(DPS_Base_Range + ((DPS_Range_Stat) / 2))) / MIN(MAX(70, (70 * (1 + ($A1130 / 3)))), 120))</f>
        <v>3.333333333</v>
      </c>
      <c r="K1130" s="115" t="str">
        <f>IF(A1130&lt;=DPS_Graph_Max,IF(A1130&gt;=DPS_Graph_Speed_Min,A1130,),)</f>
        <v/>
      </c>
      <c r="M1130" s="213">
        <f>If(DPS_Weapon_Type="远程",$E1130/60+$F1130*2,$E1130/60+$F1130+$G1130/2+$H1130)</f>
        <v>0.04346504559</v>
      </c>
      <c r="N1130" s="104" t="str">
        <f>IF(DPS_Graph_Tooltip_Speed=TRUE,IF($A1130&lt;=DPS_Graph_Max,IF($A1130&gt;=DPS_Graph_Speed_Min,1/M1130,),),)</f>
        <v/>
      </c>
      <c r="R1130" s="104" t="str">
        <f>IF(DPS_Graph_Tooltip_Speed=TRUE,IF($E$8=$A1130,1/$N$6,),)</f>
        <v/>
      </c>
    </row>
    <row r="1131">
      <c r="A1131" s="370">
        <v>8.88</v>
      </c>
      <c r="B1131" s="213">
        <f>If(DPS_Weapon_Type="远程",($E1131+1)/60+(ROUNDDOWN($F1131*60+1,0)/60)*2,(ROUNDDOWN(($E1131+1)+ROUNDDOWN($F1131*60+1,0)+ROUNDDOWN($G1131/2*60+1,0)+ROUNDDOWN($H1131*60+1,0)+1,0))/60+If(DPS_ATK_TYPE="挥砍",1/60)+If(DPS_ATK_TYPE="挥砍/刺击",1/120))+DPS_Weapon_Randomization/60</f>
        <v>0.105</v>
      </c>
      <c r="C1131" s="104" t="str">
        <f>IF(DPS_Graph_True_Speed=TRUE,IF($A1131&lt;=DPS_Graph_Max,IF($A1131&gt;=DPS_Graph_Speed_Min,1/B1131,),),)</f>
        <v/>
      </c>
      <c r="D1131" s="115" t="str">
        <f>IF(DPS_Graph_True_Speed=TRUE,IF($E$8=$A1131,DPS_Attacks_P_Sec,),)</f>
        <v/>
      </c>
      <c r="E1131" s="222">
        <f>ROUNDDOWN(MAX(2,IF(A1131&gt;=0, DPS_Base_Wpn_Spd/(1+A1131),DPS_Base_Wpn_Spd*(1+ABS(A1131)))),0)</f>
        <v>2</v>
      </c>
      <c r="F1131" s="232">
        <f>IF(A1131&gt;=0, DPS_Base_Recoil/(1+A1131),DPS_Base_Recoil)</f>
        <v>0.005060728745</v>
      </c>
      <c r="G1131" s="377">
        <f t="shared" si="7"/>
        <v>0.51</v>
      </c>
      <c r="H1131" s="377">
        <f t="shared" si="8"/>
        <v>0.007235890014</v>
      </c>
      <c r="I1131" s="104"/>
      <c r="J1131" s="377">
        <f>MAX(0, Max(25,(DPS_Base_Range + ((DPS_Range_Stat) / 2))) / MIN(MAX(70, (70 * (1 + ($A1131 / 3)))), 120))</f>
        <v>3.333333333</v>
      </c>
      <c r="K1131" s="115" t="str">
        <f>IF(A1131&lt;=DPS_Graph_Max,IF(A1131&gt;=DPS_Graph_Speed_Min,A1131,),)</f>
        <v/>
      </c>
      <c r="M1131" s="213">
        <f>If(DPS_Weapon_Type="远程",$E1131/60+$F1131*2,$E1131/60+$F1131+$G1131/2+$H1131)</f>
        <v>0.04345479082</v>
      </c>
      <c r="N1131" s="104" t="str">
        <f>IF(DPS_Graph_Tooltip_Speed=TRUE,IF($A1131&lt;=DPS_Graph_Max,IF($A1131&gt;=DPS_Graph_Speed_Min,1/M1131,),),)</f>
        <v/>
      </c>
      <c r="R1131" s="104" t="str">
        <f>IF(DPS_Graph_Tooltip_Speed=TRUE,IF($E$8=$A1131,1/$N$6,),)</f>
        <v/>
      </c>
    </row>
    <row r="1132">
      <c r="A1132" s="370">
        <v>8.89</v>
      </c>
      <c r="B1132" s="213">
        <f>If(DPS_Weapon_Type="远程",($E1132+1)/60+(ROUNDDOWN($F1132*60+1,0)/60)*2,(ROUNDDOWN(($E1132+1)+ROUNDDOWN($F1132*60+1,0)+ROUNDDOWN($G1132/2*60+1,0)+ROUNDDOWN($H1132*60+1,0)+1,0))/60+If(DPS_ATK_TYPE="挥砍",1/60)+If(DPS_ATK_TYPE="挥砍/刺击",1/120))+DPS_Weapon_Randomization/60</f>
        <v>0.105</v>
      </c>
      <c r="C1132" s="104" t="str">
        <f>IF(DPS_Graph_True_Speed=TRUE,IF($A1132&lt;=DPS_Graph_Max,IF($A1132&gt;=DPS_Graph_Speed_Min,1/B1132,),),)</f>
        <v/>
      </c>
      <c r="D1132" s="115" t="str">
        <f>IF(DPS_Graph_True_Speed=TRUE,IF($E$8=$A1132,DPS_Attacks_P_Sec,),)</f>
        <v/>
      </c>
      <c r="E1132" s="222">
        <f>ROUNDDOWN(MAX(2,IF(A1132&gt;=0, DPS_Base_Wpn_Spd/(1+A1132),DPS_Base_Wpn_Spd*(1+ABS(A1132)))),0)</f>
        <v>2</v>
      </c>
      <c r="F1132" s="232">
        <f>IF(A1132&gt;=0, DPS_Base_Recoil/(1+A1132),DPS_Base_Recoil)</f>
        <v>0.005055611729</v>
      </c>
      <c r="G1132" s="377">
        <f t="shared" si="7"/>
        <v>0.51</v>
      </c>
      <c r="H1132" s="377">
        <f t="shared" si="8"/>
        <v>0.007228044814</v>
      </c>
      <c r="I1132" s="104"/>
      <c r="J1132" s="377">
        <f>MAX(0, Max(25,(DPS_Base_Range + ((DPS_Range_Stat) / 2))) / MIN(MAX(70, (70 * (1 + ($A1132 / 3)))), 120))</f>
        <v>3.333333333</v>
      </c>
      <c r="K1132" s="115" t="str">
        <f>IF(A1132&lt;=DPS_Graph_Max,IF(A1132&gt;=DPS_Graph_Speed_Min,A1132,),)</f>
        <v/>
      </c>
      <c r="M1132" s="213">
        <f>If(DPS_Weapon_Type="远程",$E1132/60+$F1132*2,$E1132/60+$F1132+$G1132/2+$H1132)</f>
        <v>0.04344455679</v>
      </c>
      <c r="N1132" s="104" t="str">
        <f>IF(DPS_Graph_Tooltip_Speed=TRUE,IF($A1132&lt;=DPS_Graph_Max,IF($A1132&gt;=DPS_Graph_Speed_Min,1/M1132,),),)</f>
        <v/>
      </c>
      <c r="R1132" s="104" t="str">
        <f>IF(DPS_Graph_Tooltip_Speed=TRUE,IF($E$8=$A1132,1/$N$6,),)</f>
        <v/>
      </c>
    </row>
    <row r="1133">
      <c r="A1133" s="370">
        <v>8.9</v>
      </c>
      <c r="B1133" s="213">
        <f>If(DPS_Weapon_Type="远程",($E1133+1)/60+(ROUNDDOWN($F1133*60+1,0)/60)*2,(ROUNDDOWN(($E1133+1)+ROUNDDOWN($F1133*60+1,0)+ROUNDDOWN($G1133/2*60+1,0)+ROUNDDOWN($H1133*60+1,0)+1,0))/60+If(DPS_ATK_TYPE="挥砍",1/60)+If(DPS_ATK_TYPE="挥砍/刺击",1/120))+DPS_Weapon_Randomization/60</f>
        <v>0.105</v>
      </c>
      <c r="C1133" s="104" t="str">
        <f>IF(DPS_Graph_True_Speed=TRUE,IF($A1133&lt;=DPS_Graph_Max,IF($A1133&gt;=DPS_Graph_Speed_Min,1/B1133,),),)</f>
        <v/>
      </c>
      <c r="D1133" s="115" t="str">
        <f>IF(DPS_Graph_True_Speed=TRUE,IF($E$8=$A1133,DPS_Attacks_P_Sec,),)</f>
        <v/>
      </c>
      <c r="E1133" s="222">
        <f>ROUNDDOWN(MAX(2,IF(A1133&gt;=0, DPS_Base_Wpn_Spd/(1+A1133),DPS_Base_Wpn_Spd*(1+ABS(A1133)))),0)</f>
        <v>2</v>
      </c>
      <c r="F1133" s="232">
        <f>IF(A1133&gt;=0, DPS_Base_Recoil/(1+A1133),DPS_Base_Recoil)</f>
        <v>0.005050505051</v>
      </c>
      <c r="G1133" s="377">
        <f t="shared" si="7"/>
        <v>0.51</v>
      </c>
      <c r="H1133" s="377">
        <f t="shared" si="8"/>
        <v>0.007220216606</v>
      </c>
      <c r="I1133" s="104"/>
      <c r="J1133" s="377">
        <f>MAX(0, Max(25,(DPS_Base_Range + ((DPS_Range_Stat) / 2))) / MIN(MAX(70, (70 * (1 + ($A1133 / 3)))), 120))</f>
        <v>3.333333333</v>
      </c>
      <c r="K1133" s="115" t="str">
        <f>IF(A1133&lt;=DPS_Graph_Max,IF(A1133&gt;=DPS_Graph_Speed_Min,A1133,),)</f>
        <v/>
      </c>
      <c r="M1133" s="213">
        <f>If(DPS_Weapon_Type="远程",$E1133/60+$F1133*2,$E1133/60+$F1133+$G1133/2+$H1133)</f>
        <v>0.04343434343</v>
      </c>
      <c r="N1133" s="104" t="str">
        <f>IF(DPS_Graph_Tooltip_Speed=TRUE,IF($A1133&lt;=DPS_Graph_Max,IF($A1133&gt;=DPS_Graph_Speed_Min,1/M1133,),),)</f>
        <v/>
      </c>
      <c r="R1133" s="104" t="str">
        <f>IF(DPS_Graph_Tooltip_Speed=TRUE,IF($E$8=$A1133,1/$N$6,),)</f>
        <v/>
      </c>
    </row>
    <row r="1134">
      <c r="A1134" s="370">
        <v>8.91</v>
      </c>
      <c r="B1134" s="213">
        <f>If(DPS_Weapon_Type="远程",($E1134+1)/60+(ROUNDDOWN($F1134*60+1,0)/60)*2,(ROUNDDOWN(($E1134+1)+ROUNDDOWN($F1134*60+1,0)+ROUNDDOWN($G1134/2*60+1,0)+ROUNDDOWN($H1134*60+1,0)+1,0))/60+If(DPS_ATK_TYPE="挥砍",1/60)+If(DPS_ATK_TYPE="挥砍/刺击",1/120))+DPS_Weapon_Randomization/60</f>
        <v>0.105</v>
      </c>
      <c r="C1134" s="104" t="str">
        <f>IF(DPS_Graph_True_Speed=TRUE,IF($A1134&lt;=DPS_Graph_Max,IF($A1134&gt;=DPS_Graph_Speed_Min,1/B1134,),),)</f>
        <v/>
      </c>
      <c r="D1134" s="115" t="str">
        <f>IF(DPS_Graph_True_Speed=TRUE,IF($E$8=$A1134,DPS_Attacks_P_Sec,),)</f>
        <v/>
      </c>
      <c r="E1134" s="222">
        <f>ROUNDDOWN(MAX(2,IF(A1134&gt;=0, DPS_Base_Wpn_Spd/(1+A1134),DPS_Base_Wpn_Spd*(1+ABS(A1134)))),0)</f>
        <v>2</v>
      </c>
      <c r="F1134" s="232">
        <f>IF(A1134&gt;=0, DPS_Base_Recoil/(1+A1134),DPS_Base_Recoil)</f>
        <v>0.005045408678</v>
      </c>
      <c r="G1134" s="377">
        <f t="shared" si="7"/>
        <v>0.51</v>
      </c>
      <c r="H1134" s="377">
        <f t="shared" si="8"/>
        <v>0.007212405337</v>
      </c>
      <c r="I1134" s="104"/>
      <c r="J1134" s="377">
        <f>MAX(0, Max(25,(DPS_Base_Range + ((DPS_Range_Stat) / 2))) / MIN(MAX(70, (70 * (1 + ($A1134 / 3)))), 120))</f>
        <v>3.333333333</v>
      </c>
      <c r="K1134" s="115" t="str">
        <f>IF(A1134&lt;=DPS_Graph_Max,IF(A1134&gt;=DPS_Graph_Speed_Min,A1134,),)</f>
        <v/>
      </c>
      <c r="M1134" s="213">
        <f>If(DPS_Weapon_Type="远程",$E1134/60+$F1134*2,$E1134/60+$F1134+$G1134/2+$H1134)</f>
        <v>0.04342415069</v>
      </c>
      <c r="N1134" s="104" t="str">
        <f>IF(DPS_Graph_Tooltip_Speed=TRUE,IF($A1134&lt;=DPS_Graph_Max,IF($A1134&gt;=DPS_Graph_Speed_Min,1/M1134,),),)</f>
        <v/>
      </c>
      <c r="R1134" s="104" t="str">
        <f>IF(DPS_Graph_Tooltip_Speed=TRUE,IF($E$8=$A1134,1/$N$6,),)</f>
        <v/>
      </c>
    </row>
    <row r="1135">
      <c r="A1135" s="370">
        <v>8.92</v>
      </c>
      <c r="B1135" s="213">
        <f>If(DPS_Weapon_Type="远程",($E1135+1)/60+(ROUNDDOWN($F1135*60+1,0)/60)*2,(ROUNDDOWN(($E1135+1)+ROUNDDOWN($F1135*60+1,0)+ROUNDDOWN($G1135/2*60+1,0)+ROUNDDOWN($H1135*60+1,0)+1,0))/60+If(DPS_ATK_TYPE="挥砍",1/60)+If(DPS_ATK_TYPE="挥砍/刺击",1/120))+DPS_Weapon_Randomization/60</f>
        <v>0.105</v>
      </c>
      <c r="C1135" s="104" t="str">
        <f>IF(DPS_Graph_True_Speed=TRUE,IF($A1135&lt;=DPS_Graph_Max,IF($A1135&gt;=DPS_Graph_Speed_Min,1/B1135,),),)</f>
        <v/>
      </c>
      <c r="D1135" s="115" t="str">
        <f>IF(DPS_Graph_True_Speed=TRUE,IF($E$8=$A1135,DPS_Attacks_P_Sec,),)</f>
        <v/>
      </c>
      <c r="E1135" s="222">
        <f>ROUNDDOWN(MAX(2,IF(A1135&gt;=0, DPS_Base_Wpn_Spd/(1+A1135),DPS_Base_Wpn_Spd*(1+ABS(A1135)))),0)</f>
        <v>2</v>
      </c>
      <c r="F1135" s="232">
        <f>IF(A1135&gt;=0, DPS_Base_Recoil/(1+A1135),DPS_Base_Recoil)</f>
        <v>0.005040322581</v>
      </c>
      <c r="G1135" s="377">
        <f t="shared" si="7"/>
        <v>0.51</v>
      </c>
      <c r="H1135" s="377">
        <f t="shared" si="8"/>
        <v>0.007204610951</v>
      </c>
      <c r="I1135" s="104"/>
      <c r="J1135" s="377">
        <f>MAX(0, Max(25,(DPS_Base_Range + ((DPS_Range_Stat) / 2))) / MIN(MAX(70, (70 * (1 + ($A1135 / 3)))), 120))</f>
        <v>3.333333333</v>
      </c>
      <c r="K1135" s="115" t="str">
        <f>IF(A1135&lt;=DPS_Graph_Max,IF(A1135&gt;=DPS_Graph_Speed_Min,A1135,),)</f>
        <v/>
      </c>
      <c r="M1135" s="213">
        <f>If(DPS_Weapon_Type="远程",$E1135/60+$F1135*2,$E1135/60+$F1135+$G1135/2+$H1135)</f>
        <v>0.04341397849</v>
      </c>
      <c r="N1135" s="104" t="str">
        <f>IF(DPS_Graph_Tooltip_Speed=TRUE,IF($A1135&lt;=DPS_Graph_Max,IF($A1135&gt;=DPS_Graph_Speed_Min,1/M1135,),),)</f>
        <v/>
      </c>
      <c r="R1135" s="104" t="str">
        <f>IF(DPS_Graph_Tooltip_Speed=TRUE,IF($E$8=$A1135,1/$N$6,),)</f>
        <v/>
      </c>
    </row>
    <row r="1136">
      <c r="A1136" s="370">
        <v>8.93</v>
      </c>
      <c r="B1136" s="213">
        <f>If(DPS_Weapon_Type="远程",($E1136+1)/60+(ROUNDDOWN($F1136*60+1,0)/60)*2,(ROUNDDOWN(($E1136+1)+ROUNDDOWN($F1136*60+1,0)+ROUNDDOWN($G1136/2*60+1,0)+ROUNDDOWN($H1136*60+1,0)+1,0))/60+If(DPS_ATK_TYPE="挥砍",1/60)+If(DPS_ATK_TYPE="挥砍/刺击",1/120))+DPS_Weapon_Randomization/60</f>
        <v>0.105</v>
      </c>
      <c r="C1136" s="104" t="str">
        <f>IF(DPS_Graph_True_Speed=TRUE,IF($A1136&lt;=DPS_Graph_Max,IF($A1136&gt;=DPS_Graph_Speed_Min,1/B1136,),),)</f>
        <v/>
      </c>
      <c r="D1136" s="115" t="str">
        <f>IF(DPS_Graph_True_Speed=TRUE,IF($E$8=$A1136,DPS_Attacks_P_Sec,),)</f>
        <v/>
      </c>
      <c r="E1136" s="222">
        <f>ROUNDDOWN(MAX(2,IF(A1136&gt;=0, DPS_Base_Wpn_Spd/(1+A1136),DPS_Base_Wpn_Spd*(1+ABS(A1136)))),0)</f>
        <v>2</v>
      </c>
      <c r="F1136" s="232">
        <f>IF(A1136&gt;=0, DPS_Base_Recoil/(1+A1136),DPS_Base_Recoil)</f>
        <v>0.005035246727</v>
      </c>
      <c r="G1136" s="377">
        <f t="shared" si="7"/>
        <v>0.51</v>
      </c>
      <c r="H1136" s="377">
        <f t="shared" si="8"/>
        <v>0.007196833393</v>
      </c>
      <c r="I1136" s="104"/>
      <c r="J1136" s="377">
        <f>MAX(0, Max(25,(DPS_Base_Range + ((DPS_Range_Stat) / 2))) / MIN(MAX(70, (70 * (1 + ($A1136 / 3)))), 120))</f>
        <v>3.333333333</v>
      </c>
      <c r="K1136" s="115" t="str">
        <f>IF(A1136&lt;=DPS_Graph_Max,IF(A1136&gt;=DPS_Graph_Speed_Min,A1136,),)</f>
        <v/>
      </c>
      <c r="M1136" s="213">
        <f>If(DPS_Weapon_Type="远程",$E1136/60+$F1136*2,$E1136/60+$F1136+$G1136/2+$H1136)</f>
        <v>0.04340382679</v>
      </c>
      <c r="N1136" s="104" t="str">
        <f>IF(DPS_Graph_Tooltip_Speed=TRUE,IF($A1136&lt;=DPS_Graph_Max,IF($A1136&gt;=DPS_Graph_Speed_Min,1/M1136,),),)</f>
        <v/>
      </c>
      <c r="R1136" s="104" t="str">
        <f>IF(DPS_Graph_Tooltip_Speed=TRUE,IF($E$8=$A1136,1/$N$6,),)</f>
        <v/>
      </c>
    </row>
    <row r="1137">
      <c r="A1137" s="370">
        <v>8.94</v>
      </c>
      <c r="B1137" s="213">
        <f>If(DPS_Weapon_Type="远程",($E1137+1)/60+(ROUNDDOWN($F1137*60+1,0)/60)*2,(ROUNDDOWN(($E1137+1)+ROUNDDOWN($F1137*60+1,0)+ROUNDDOWN($G1137/2*60+1,0)+ROUNDDOWN($H1137*60+1,0)+1,0))/60+If(DPS_ATK_TYPE="挥砍",1/60)+If(DPS_ATK_TYPE="挥砍/刺击",1/120))+DPS_Weapon_Randomization/60</f>
        <v>0.105</v>
      </c>
      <c r="C1137" s="104" t="str">
        <f>IF(DPS_Graph_True_Speed=TRUE,IF($A1137&lt;=DPS_Graph_Max,IF($A1137&gt;=DPS_Graph_Speed_Min,1/B1137,),),)</f>
        <v/>
      </c>
      <c r="D1137" s="115" t="str">
        <f>IF(DPS_Graph_True_Speed=TRUE,IF($E$8=$A1137,DPS_Attacks_P_Sec,),)</f>
        <v/>
      </c>
      <c r="E1137" s="222">
        <f>ROUNDDOWN(MAX(2,IF(A1137&gt;=0, DPS_Base_Wpn_Spd/(1+A1137),DPS_Base_Wpn_Spd*(1+ABS(A1137)))),0)</f>
        <v>2</v>
      </c>
      <c r="F1137" s="232">
        <f>IF(A1137&gt;=0, DPS_Base_Recoil/(1+A1137),DPS_Base_Recoil)</f>
        <v>0.005030181087</v>
      </c>
      <c r="G1137" s="377">
        <f t="shared" si="7"/>
        <v>0.51</v>
      </c>
      <c r="H1137" s="377">
        <f t="shared" si="8"/>
        <v>0.00718907261</v>
      </c>
      <c r="I1137" s="104"/>
      <c r="J1137" s="377">
        <f>MAX(0, Max(25,(DPS_Base_Range + ((DPS_Range_Stat) / 2))) / MIN(MAX(70, (70 * (1 + ($A1137 / 3)))), 120))</f>
        <v>3.333333333</v>
      </c>
      <c r="K1137" s="115" t="str">
        <f>IF(A1137&lt;=DPS_Graph_Max,IF(A1137&gt;=DPS_Graph_Speed_Min,A1137,),)</f>
        <v/>
      </c>
      <c r="M1137" s="213">
        <f>If(DPS_Weapon_Type="远程",$E1137/60+$F1137*2,$E1137/60+$F1137+$G1137/2+$H1137)</f>
        <v>0.04339369551</v>
      </c>
      <c r="N1137" s="104" t="str">
        <f>IF(DPS_Graph_Tooltip_Speed=TRUE,IF($A1137&lt;=DPS_Graph_Max,IF($A1137&gt;=DPS_Graph_Speed_Min,1/M1137,),),)</f>
        <v/>
      </c>
      <c r="R1137" s="104" t="str">
        <f>IF(DPS_Graph_Tooltip_Speed=TRUE,IF($E$8=$A1137,1/$N$6,),)</f>
        <v/>
      </c>
    </row>
    <row r="1138">
      <c r="A1138" s="370">
        <v>8.95</v>
      </c>
      <c r="B1138" s="213">
        <f>If(DPS_Weapon_Type="远程",($E1138+1)/60+(ROUNDDOWN($F1138*60+1,0)/60)*2,(ROUNDDOWN(($E1138+1)+ROUNDDOWN($F1138*60+1,0)+ROUNDDOWN($G1138/2*60+1,0)+ROUNDDOWN($H1138*60+1,0)+1,0))/60+If(DPS_ATK_TYPE="挥砍",1/60)+If(DPS_ATK_TYPE="挥砍/刺击",1/120))+DPS_Weapon_Randomization/60</f>
        <v>0.105</v>
      </c>
      <c r="C1138" s="104" t="str">
        <f>IF(DPS_Graph_True_Speed=TRUE,IF($A1138&lt;=DPS_Graph_Max,IF($A1138&gt;=DPS_Graph_Speed_Min,1/B1138,),),)</f>
        <v/>
      </c>
      <c r="D1138" s="115" t="str">
        <f>IF(DPS_Graph_True_Speed=TRUE,IF($E$8=$A1138,DPS_Attacks_P_Sec,),)</f>
        <v/>
      </c>
      <c r="E1138" s="222">
        <f>ROUNDDOWN(MAX(2,IF(A1138&gt;=0, DPS_Base_Wpn_Spd/(1+A1138),DPS_Base_Wpn_Spd*(1+ABS(A1138)))),0)</f>
        <v>2</v>
      </c>
      <c r="F1138" s="232">
        <f>IF(A1138&gt;=0, DPS_Base_Recoil/(1+A1138),DPS_Base_Recoil)</f>
        <v>0.005025125628</v>
      </c>
      <c r="G1138" s="377">
        <f t="shared" si="7"/>
        <v>0.51</v>
      </c>
      <c r="H1138" s="377">
        <f t="shared" si="8"/>
        <v>0.007181328546</v>
      </c>
      <c r="I1138" s="104"/>
      <c r="J1138" s="377">
        <f>MAX(0, Max(25,(DPS_Base_Range + ((DPS_Range_Stat) / 2))) / MIN(MAX(70, (70 * (1 + ($A1138 / 3)))), 120))</f>
        <v>3.333333333</v>
      </c>
      <c r="K1138" s="115" t="str">
        <f>IF(A1138&lt;=DPS_Graph_Max,IF(A1138&gt;=DPS_Graph_Speed_Min,A1138,),)</f>
        <v/>
      </c>
      <c r="M1138" s="213">
        <f>If(DPS_Weapon_Type="远程",$E1138/60+$F1138*2,$E1138/60+$F1138+$G1138/2+$H1138)</f>
        <v>0.04338358459</v>
      </c>
      <c r="N1138" s="104" t="str">
        <f>IF(DPS_Graph_Tooltip_Speed=TRUE,IF($A1138&lt;=DPS_Graph_Max,IF($A1138&gt;=DPS_Graph_Speed_Min,1/M1138,),),)</f>
        <v/>
      </c>
      <c r="R1138" s="104" t="str">
        <f>IF(DPS_Graph_Tooltip_Speed=TRUE,IF($E$8=$A1138,1/$N$6,),)</f>
        <v/>
      </c>
    </row>
    <row r="1139">
      <c r="A1139" s="370">
        <v>8.96</v>
      </c>
      <c r="B1139" s="213">
        <f>If(DPS_Weapon_Type="远程",($E1139+1)/60+(ROUNDDOWN($F1139*60+1,0)/60)*2,(ROUNDDOWN(($E1139+1)+ROUNDDOWN($F1139*60+1,0)+ROUNDDOWN($G1139/2*60+1,0)+ROUNDDOWN($H1139*60+1,0)+1,0))/60+If(DPS_ATK_TYPE="挥砍",1/60)+If(DPS_ATK_TYPE="挥砍/刺击",1/120))+DPS_Weapon_Randomization/60</f>
        <v>0.105</v>
      </c>
      <c r="C1139" s="104" t="str">
        <f>IF(DPS_Graph_True_Speed=TRUE,IF($A1139&lt;=DPS_Graph_Max,IF($A1139&gt;=DPS_Graph_Speed_Min,1/B1139,),),)</f>
        <v/>
      </c>
      <c r="D1139" s="115" t="str">
        <f>IF(DPS_Graph_True_Speed=TRUE,IF($E$8=$A1139,DPS_Attacks_P_Sec,),)</f>
        <v/>
      </c>
      <c r="E1139" s="222">
        <f>ROUNDDOWN(MAX(2,IF(A1139&gt;=0, DPS_Base_Wpn_Spd/(1+A1139),DPS_Base_Wpn_Spd*(1+ABS(A1139)))),0)</f>
        <v>2</v>
      </c>
      <c r="F1139" s="232">
        <f>IF(A1139&gt;=0, DPS_Base_Recoil/(1+A1139),DPS_Base_Recoil)</f>
        <v>0.005020080321</v>
      </c>
      <c r="G1139" s="377">
        <f t="shared" si="7"/>
        <v>0.51</v>
      </c>
      <c r="H1139" s="377">
        <f t="shared" si="8"/>
        <v>0.007173601148</v>
      </c>
      <c r="I1139" s="104"/>
      <c r="J1139" s="377">
        <f>MAX(0, Max(25,(DPS_Base_Range + ((DPS_Range_Stat) / 2))) / MIN(MAX(70, (70 * (1 + ($A1139 / 3)))), 120))</f>
        <v>3.333333333</v>
      </c>
      <c r="K1139" s="115" t="str">
        <f>IF(A1139&lt;=DPS_Graph_Max,IF(A1139&gt;=DPS_Graph_Speed_Min,A1139,),)</f>
        <v/>
      </c>
      <c r="M1139" s="213">
        <f>If(DPS_Weapon_Type="远程",$E1139/60+$F1139*2,$E1139/60+$F1139+$G1139/2+$H1139)</f>
        <v>0.04337349398</v>
      </c>
      <c r="N1139" s="104" t="str">
        <f>IF(DPS_Graph_Tooltip_Speed=TRUE,IF($A1139&lt;=DPS_Graph_Max,IF($A1139&gt;=DPS_Graph_Speed_Min,1/M1139,),),)</f>
        <v/>
      </c>
      <c r="R1139" s="104" t="str">
        <f>IF(DPS_Graph_Tooltip_Speed=TRUE,IF($E$8=$A1139,1/$N$6,),)</f>
        <v/>
      </c>
    </row>
    <row r="1140">
      <c r="A1140" s="370">
        <v>8.97</v>
      </c>
      <c r="B1140" s="213">
        <f>If(DPS_Weapon_Type="远程",($E1140+1)/60+(ROUNDDOWN($F1140*60+1,0)/60)*2,(ROUNDDOWN(($E1140+1)+ROUNDDOWN($F1140*60+1,0)+ROUNDDOWN($G1140/2*60+1,0)+ROUNDDOWN($H1140*60+1,0)+1,0))/60+If(DPS_ATK_TYPE="挥砍",1/60)+If(DPS_ATK_TYPE="挥砍/刺击",1/120))+DPS_Weapon_Randomization/60</f>
        <v>0.105</v>
      </c>
      <c r="C1140" s="104" t="str">
        <f>IF(DPS_Graph_True_Speed=TRUE,IF($A1140&lt;=DPS_Graph_Max,IF($A1140&gt;=DPS_Graph_Speed_Min,1/B1140,),),)</f>
        <v/>
      </c>
      <c r="D1140" s="115" t="str">
        <f>IF(DPS_Graph_True_Speed=TRUE,IF($E$8=$A1140,DPS_Attacks_P_Sec,),)</f>
        <v/>
      </c>
      <c r="E1140" s="222">
        <f>ROUNDDOWN(MAX(2,IF(A1140&gt;=0, DPS_Base_Wpn_Spd/(1+A1140),DPS_Base_Wpn_Spd*(1+ABS(A1140)))),0)</f>
        <v>2</v>
      </c>
      <c r="F1140" s="232">
        <f>IF(A1140&gt;=0, DPS_Base_Recoil/(1+A1140),DPS_Base_Recoil)</f>
        <v>0.005015045135</v>
      </c>
      <c r="G1140" s="377">
        <f t="shared" si="7"/>
        <v>0.51</v>
      </c>
      <c r="H1140" s="377">
        <f t="shared" si="8"/>
        <v>0.007165890362</v>
      </c>
      <c r="I1140" s="104"/>
      <c r="J1140" s="377">
        <f>MAX(0, Max(25,(DPS_Base_Range + ((DPS_Range_Stat) / 2))) / MIN(MAX(70, (70 * (1 + ($A1140 / 3)))), 120))</f>
        <v>3.333333333</v>
      </c>
      <c r="K1140" s="115" t="str">
        <f>IF(A1140&lt;=DPS_Graph_Max,IF(A1140&gt;=DPS_Graph_Speed_Min,A1140,),)</f>
        <v/>
      </c>
      <c r="M1140" s="213">
        <f>If(DPS_Weapon_Type="远程",$E1140/60+$F1140*2,$E1140/60+$F1140+$G1140/2+$H1140)</f>
        <v>0.0433634236</v>
      </c>
      <c r="N1140" s="104" t="str">
        <f>IF(DPS_Graph_Tooltip_Speed=TRUE,IF($A1140&lt;=DPS_Graph_Max,IF($A1140&gt;=DPS_Graph_Speed_Min,1/M1140,),),)</f>
        <v/>
      </c>
      <c r="R1140" s="104" t="str">
        <f>IF(DPS_Graph_Tooltip_Speed=TRUE,IF($E$8=$A1140,1/$N$6,),)</f>
        <v/>
      </c>
    </row>
    <row r="1141">
      <c r="A1141" s="370">
        <v>8.98</v>
      </c>
      <c r="B1141" s="213">
        <f>If(DPS_Weapon_Type="远程",($E1141+1)/60+(ROUNDDOWN($F1141*60+1,0)/60)*2,(ROUNDDOWN(($E1141+1)+ROUNDDOWN($F1141*60+1,0)+ROUNDDOWN($G1141/2*60+1,0)+ROUNDDOWN($H1141*60+1,0)+1,0))/60+If(DPS_ATK_TYPE="挥砍",1/60)+If(DPS_ATK_TYPE="挥砍/刺击",1/120))+DPS_Weapon_Randomization/60</f>
        <v>0.105</v>
      </c>
      <c r="C1141" s="104" t="str">
        <f>IF(DPS_Graph_True_Speed=TRUE,IF($A1141&lt;=DPS_Graph_Max,IF($A1141&gt;=DPS_Graph_Speed_Min,1/B1141,),),)</f>
        <v/>
      </c>
      <c r="D1141" s="115" t="str">
        <f>IF(DPS_Graph_True_Speed=TRUE,IF($E$8=$A1141,DPS_Attacks_P_Sec,),)</f>
        <v/>
      </c>
      <c r="E1141" s="222">
        <f>ROUNDDOWN(MAX(2,IF(A1141&gt;=0, DPS_Base_Wpn_Spd/(1+A1141),DPS_Base_Wpn_Spd*(1+ABS(A1141)))),0)</f>
        <v>2</v>
      </c>
      <c r="F1141" s="232">
        <f>IF(A1141&gt;=0, DPS_Base_Recoil/(1+A1141),DPS_Base_Recoil)</f>
        <v>0.00501002004</v>
      </c>
      <c r="G1141" s="377">
        <f t="shared" si="7"/>
        <v>0.51</v>
      </c>
      <c r="H1141" s="377">
        <f t="shared" si="8"/>
        <v>0.007158196135</v>
      </c>
      <c r="I1141" s="104"/>
      <c r="J1141" s="377">
        <f>MAX(0, Max(25,(DPS_Base_Range + ((DPS_Range_Stat) / 2))) / MIN(MAX(70, (70 * (1 + ($A1141 / 3)))), 120))</f>
        <v>3.333333333</v>
      </c>
      <c r="K1141" s="115" t="str">
        <f>IF(A1141&lt;=DPS_Graph_Max,IF(A1141&gt;=DPS_Graph_Speed_Min,A1141,),)</f>
        <v/>
      </c>
      <c r="M1141" s="213">
        <f>If(DPS_Weapon_Type="远程",$E1141/60+$F1141*2,$E1141/60+$F1141+$G1141/2+$H1141)</f>
        <v>0.04335337341</v>
      </c>
      <c r="N1141" s="104" t="str">
        <f>IF(DPS_Graph_Tooltip_Speed=TRUE,IF($A1141&lt;=DPS_Graph_Max,IF($A1141&gt;=DPS_Graph_Speed_Min,1/M1141,),),)</f>
        <v/>
      </c>
      <c r="R1141" s="104" t="str">
        <f>IF(DPS_Graph_Tooltip_Speed=TRUE,IF($E$8=$A1141,1/$N$6,),)</f>
        <v/>
      </c>
    </row>
    <row r="1142">
      <c r="A1142" s="370">
        <v>8.99</v>
      </c>
      <c r="B1142" s="213">
        <f>If(DPS_Weapon_Type="远程",($E1142+1)/60+(ROUNDDOWN($F1142*60+1,0)/60)*2,(ROUNDDOWN(($E1142+1)+ROUNDDOWN($F1142*60+1,0)+ROUNDDOWN($G1142/2*60+1,0)+ROUNDDOWN($H1142*60+1,0)+1,0))/60+If(DPS_ATK_TYPE="挥砍",1/60)+If(DPS_ATK_TYPE="挥砍/刺击",1/120))+DPS_Weapon_Randomization/60</f>
        <v>0.105</v>
      </c>
      <c r="C1142" s="104" t="str">
        <f>IF(DPS_Graph_True_Speed=TRUE,IF($A1142&lt;=DPS_Graph_Max,IF($A1142&gt;=DPS_Graph_Speed_Min,1/B1142,),),)</f>
        <v/>
      </c>
      <c r="D1142" s="115" t="str">
        <f>IF(DPS_Graph_True_Speed=TRUE,IF($E$8=$A1142,DPS_Attacks_P_Sec,),)</f>
        <v/>
      </c>
      <c r="E1142" s="222">
        <f>ROUNDDOWN(MAX(2,IF(A1142&gt;=0, DPS_Base_Wpn_Spd/(1+A1142),DPS_Base_Wpn_Spd*(1+ABS(A1142)))),0)</f>
        <v>2</v>
      </c>
      <c r="F1142" s="232">
        <f>IF(A1142&gt;=0, DPS_Base_Recoil/(1+A1142),DPS_Base_Recoil)</f>
        <v>0.005005005005</v>
      </c>
      <c r="G1142" s="377">
        <f t="shared" si="7"/>
        <v>0.51</v>
      </c>
      <c r="H1142" s="377">
        <f t="shared" si="8"/>
        <v>0.007150518413</v>
      </c>
      <c r="I1142" s="104"/>
      <c r="J1142" s="377">
        <f>MAX(0, Max(25,(DPS_Base_Range + ((DPS_Range_Stat) / 2))) / MIN(MAX(70, (70 * (1 + ($A1142 / 3)))), 120))</f>
        <v>3.333333333</v>
      </c>
      <c r="K1142" s="115" t="str">
        <f>IF(A1142&lt;=DPS_Graph_Max,IF(A1142&gt;=DPS_Graph_Speed_Min,A1142,),)</f>
        <v/>
      </c>
      <c r="M1142" s="213">
        <f>If(DPS_Weapon_Type="远程",$E1142/60+$F1142*2,$E1142/60+$F1142+$G1142/2+$H1142)</f>
        <v>0.04334334334</v>
      </c>
      <c r="N1142" s="104" t="str">
        <f>IF(DPS_Graph_Tooltip_Speed=TRUE,IF($A1142&lt;=DPS_Graph_Max,IF($A1142&gt;=DPS_Graph_Speed_Min,1/M1142,),),)</f>
        <v/>
      </c>
      <c r="R1142" s="104" t="str">
        <f>IF(DPS_Graph_Tooltip_Speed=TRUE,IF($E$8=$A1142,1/$N$6,),)</f>
        <v/>
      </c>
    </row>
    <row r="1143">
      <c r="A1143" s="370">
        <v>9.0</v>
      </c>
      <c r="B1143" s="213">
        <f>If(DPS_Weapon_Type="远程",($E1143+1)/60+(ROUNDDOWN($F1143*60+1,0)/60)*2,(ROUNDDOWN(($E1143+1)+ROUNDDOWN($F1143*60+1,0)+ROUNDDOWN($G1143/2*60+1,0)+ROUNDDOWN($H1143*60+1,0)+1,0))/60+If(DPS_ATK_TYPE="挥砍",1/60)+If(DPS_ATK_TYPE="挥砍/刺击",1/120))+DPS_Weapon_Randomization/60</f>
        <v>0.105</v>
      </c>
      <c r="C1143" s="104" t="str">
        <f>IF(DPS_Graph_True_Speed=TRUE,IF($A1143&lt;=DPS_Graph_Max,IF($A1143&gt;=DPS_Graph_Speed_Min,1/B1143,),),)</f>
        <v/>
      </c>
      <c r="D1143" s="115" t="str">
        <f>IF(DPS_Graph_True_Speed=TRUE,IF($E$8=$A1143,DPS_Attacks_P_Sec,),)</f>
        <v/>
      </c>
      <c r="E1143" s="222">
        <f>ROUNDDOWN(MAX(2,IF(A1143&gt;=0, DPS_Base_Wpn_Spd/(1+A1143),DPS_Base_Wpn_Spd*(1+ABS(A1143)))),0)</f>
        <v>2</v>
      </c>
      <c r="F1143" s="232">
        <f>IF(A1143&gt;=0, DPS_Base_Recoil/(1+A1143),DPS_Base_Recoil)</f>
        <v>0.005</v>
      </c>
      <c r="G1143" s="377">
        <f t="shared" si="7"/>
        <v>0.51</v>
      </c>
      <c r="H1143" s="377">
        <f t="shared" si="8"/>
        <v>0.007142857143</v>
      </c>
      <c r="I1143" s="104"/>
      <c r="J1143" s="377">
        <f>MAX(0, Max(25,(DPS_Base_Range + ((DPS_Range_Stat) / 2))) / MIN(MAX(70, (70 * (1 + ($A1143 / 3)))), 120))</f>
        <v>3.333333333</v>
      </c>
      <c r="K1143" s="115" t="str">
        <f>IF(A1143&lt;=DPS_Graph_Max,IF(A1143&gt;=DPS_Graph_Speed_Min,A1143,),)</f>
        <v/>
      </c>
      <c r="M1143" s="213">
        <f>If(DPS_Weapon_Type="远程",$E1143/60+$F1143*2,$E1143/60+$F1143+$G1143/2+$H1143)</f>
        <v>0.04333333333</v>
      </c>
      <c r="N1143" s="104" t="str">
        <f>IF(DPS_Graph_Tooltip_Speed=TRUE,IF($A1143&lt;=DPS_Graph_Max,IF($A1143&gt;=DPS_Graph_Speed_Min,1/M1143,),),)</f>
        <v/>
      </c>
      <c r="R1143" s="104" t="str">
        <f>IF(DPS_Graph_Tooltip_Speed=TRUE,IF($E$8=$A1143,1/$N$6,),)</f>
        <v/>
      </c>
    </row>
    <row r="1144">
      <c r="A1144" s="370">
        <v>9.01</v>
      </c>
      <c r="B1144" s="213">
        <f>If(DPS_Weapon_Type="远程",($E1144+1)/60+(ROUNDDOWN($F1144*60+1,0)/60)*2,(ROUNDDOWN(($E1144+1)+ROUNDDOWN($F1144*60+1,0)+ROUNDDOWN($G1144/2*60+1,0)+ROUNDDOWN($H1144*60+1,0)+1,0))/60+If(DPS_ATK_TYPE="挥砍",1/60)+If(DPS_ATK_TYPE="挥砍/刺击",1/120))+DPS_Weapon_Randomization/60</f>
        <v>0.105</v>
      </c>
      <c r="C1144" s="104" t="str">
        <f>IF(DPS_Graph_True_Speed=TRUE,IF($A1144&lt;=DPS_Graph_Max,IF($A1144&gt;=DPS_Graph_Speed_Min,1/B1144,),),)</f>
        <v/>
      </c>
      <c r="D1144" s="115" t="str">
        <f>IF(DPS_Graph_True_Speed=TRUE,IF($E$8=$A1144,DPS_Attacks_P_Sec,),)</f>
        <v/>
      </c>
      <c r="E1144" s="222">
        <f>ROUNDDOWN(MAX(2,IF(A1144&gt;=0, DPS_Base_Wpn_Spd/(1+A1144),DPS_Base_Wpn_Spd*(1+ABS(A1144)))),0)</f>
        <v>2</v>
      </c>
      <c r="F1144" s="232">
        <f>IF(A1144&gt;=0, DPS_Base_Recoil/(1+A1144),DPS_Base_Recoil)</f>
        <v>0.004995004995</v>
      </c>
      <c r="G1144" s="377">
        <f t="shared" si="7"/>
        <v>0.51</v>
      </c>
      <c r="H1144" s="377">
        <f t="shared" si="8"/>
        <v>0.007135212273</v>
      </c>
      <c r="I1144" s="104"/>
      <c r="J1144" s="377">
        <f>MAX(0, Max(25,(DPS_Base_Range + ((DPS_Range_Stat) / 2))) / MIN(MAX(70, (70 * (1 + ($A1144 / 3)))), 120))</f>
        <v>3.333333333</v>
      </c>
      <c r="K1144" s="115" t="str">
        <f>IF(A1144&lt;=DPS_Graph_Max,IF(A1144&gt;=DPS_Graph_Speed_Min,A1144,),)</f>
        <v/>
      </c>
      <c r="M1144" s="213">
        <f>If(DPS_Weapon_Type="远程",$E1144/60+$F1144*2,$E1144/60+$F1144+$G1144/2+$H1144)</f>
        <v>0.04332334332</v>
      </c>
      <c r="N1144" s="104" t="str">
        <f>IF(DPS_Graph_Tooltip_Speed=TRUE,IF($A1144&lt;=DPS_Graph_Max,IF($A1144&gt;=DPS_Graph_Speed_Min,1/M1144,),),)</f>
        <v/>
      </c>
      <c r="R1144" s="104" t="str">
        <f>IF(DPS_Graph_Tooltip_Speed=TRUE,IF($E$8=$A1144,1/$N$6,),)</f>
        <v/>
      </c>
    </row>
    <row r="1145">
      <c r="A1145" s="370">
        <v>9.02</v>
      </c>
      <c r="B1145" s="213">
        <f>If(DPS_Weapon_Type="远程",($E1145+1)/60+(ROUNDDOWN($F1145*60+1,0)/60)*2,(ROUNDDOWN(($E1145+1)+ROUNDDOWN($F1145*60+1,0)+ROUNDDOWN($G1145/2*60+1,0)+ROUNDDOWN($H1145*60+1,0)+1,0))/60+If(DPS_ATK_TYPE="挥砍",1/60)+If(DPS_ATK_TYPE="挥砍/刺击",1/120))+DPS_Weapon_Randomization/60</f>
        <v>0.105</v>
      </c>
      <c r="C1145" s="104" t="str">
        <f>IF(DPS_Graph_True_Speed=TRUE,IF($A1145&lt;=DPS_Graph_Max,IF($A1145&gt;=DPS_Graph_Speed_Min,1/B1145,),),)</f>
        <v/>
      </c>
      <c r="D1145" s="115" t="str">
        <f>IF(DPS_Graph_True_Speed=TRUE,IF($E$8=$A1145,DPS_Attacks_P_Sec,),)</f>
        <v/>
      </c>
      <c r="E1145" s="222">
        <f>ROUNDDOWN(MAX(2,IF(A1145&gt;=0, DPS_Base_Wpn_Spd/(1+A1145),DPS_Base_Wpn_Spd*(1+ABS(A1145)))),0)</f>
        <v>2</v>
      </c>
      <c r="F1145" s="232">
        <f>IF(A1145&gt;=0, DPS_Base_Recoil/(1+A1145),DPS_Base_Recoil)</f>
        <v>0.00499001996</v>
      </c>
      <c r="G1145" s="377">
        <f t="shared" si="7"/>
        <v>0.51</v>
      </c>
      <c r="H1145" s="377">
        <f t="shared" si="8"/>
        <v>0.007127583749</v>
      </c>
      <c r="I1145" s="104"/>
      <c r="J1145" s="377">
        <f>MAX(0, Max(25,(DPS_Base_Range + ((DPS_Range_Stat) / 2))) / MIN(MAX(70, (70 * (1 + ($A1145 / 3)))), 120))</f>
        <v>3.333333333</v>
      </c>
      <c r="K1145" s="115" t="str">
        <f>IF(A1145&lt;=DPS_Graph_Max,IF(A1145&gt;=DPS_Graph_Speed_Min,A1145,),)</f>
        <v/>
      </c>
      <c r="M1145" s="213">
        <f>If(DPS_Weapon_Type="远程",$E1145/60+$F1145*2,$E1145/60+$F1145+$G1145/2+$H1145)</f>
        <v>0.04331337325</v>
      </c>
      <c r="N1145" s="104" t="str">
        <f>IF(DPS_Graph_Tooltip_Speed=TRUE,IF($A1145&lt;=DPS_Graph_Max,IF($A1145&gt;=DPS_Graph_Speed_Min,1/M1145,),),)</f>
        <v/>
      </c>
      <c r="R1145" s="104" t="str">
        <f>IF(DPS_Graph_Tooltip_Speed=TRUE,IF($E$8=$A1145,1/$N$6,),)</f>
        <v/>
      </c>
    </row>
    <row r="1146">
      <c r="A1146" s="370">
        <v>9.03</v>
      </c>
      <c r="B1146" s="213">
        <f>If(DPS_Weapon_Type="远程",($E1146+1)/60+(ROUNDDOWN($F1146*60+1,0)/60)*2,(ROUNDDOWN(($E1146+1)+ROUNDDOWN($F1146*60+1,0)+ROUNDDOWN($G1146/2*60+1,0)+ROUNDDOWN($H1146*60+1,0)+1,0))/60+If(DPS_ATK_TYPE="挥砍",1/60)+If(DPS_ATK_TYPE="挥砍/刺击",1/120))+DPS_Weapon_Randomization/60</f>
        <v>0.105</v>
      </c>
      <c r="C1146" s="104" t="str">
        <f>IF(DPS_Graph_True_Speed=TRUE,IF($A1146&lt;=DPS_Graph_Max,IF($A1146&gt;=DPS_Graph_Speed_Min,1/B1146,),),)</f>
        <v/>
      </c>
      <c r="D1146" s="115" t="str">
        <f>IF(DPS_Graph_True_Speed=TRUE,IF($E$8=$A1146,DPS_Attacks_P_Sec,),)</f>
        <v/>
      </c>
      <c r="E1146" s="222">
        <f>ROUNDDOWN(MAX(2,IF(A1146&gt;=0, DPS_Base_Wpn_Spd/(1+A1146),DPS_Base_Wpn_Spd*(1+ABS(A1146)))),0)</f>
        <v>2</v>
      </c>
      <c r="F1146" s="232">
        <f>IF(A1146&gt;=0, DPS_Base_Recoil/(1+A1146),DPS_Base_Recoil)</f>
        <v>0.004985044865</v>
      </c>
      <c r="G1146" s="377">
        <f t="shared" si="7"/>
        <v>0.51</v>
      </c>
      <c r="H1146" s="377">
        <f t="shared" si="8"/>
        <v>0.00711997152</v>
      </c>
      <c r="I1146" s="104"/>
      <c r="J1146" s="377">
        <f>MAX(0, Max(25,(DPS_Base_Range + ((DPS_Range_Stat) / 2))) / MIN(MAX(70, (70 * (1 + ($A1146 / 3)))), 120))</f>
        <v>3.333333333</v>
      </c>
      <c r="K1146" s="115" t="str">
        <f>IF(A1146&lt;=DPS_Graph_Max,IF(A1146&gt;=DPS_Graph_Speed_Min,A1146,),)</f>
        <v/>
      </c>
      <c r="M1146" s="213">
        <f>If(DPS_Weapon_Type="远程",$E1146/60+$F1146*2,$E1146/60+$F1146+$G1146/2+$H1146)</f>
        <v>0.04330342306</v>
      </c>
      <c r="N1146" s="104" t="str">
        <f>IF(DPS_Graph_Tooltip_Speed=TRUE,IF($A1146&lt;=DPS_Graph_Max,IF($A1146&gt;=DPS_Graph_Speed_Min,1/M1146,),),)</f>
        <v/>
      </c>
      <c r="R1146" s="104" t="str">
        <f>IF(DPS_Graph_Tooltip_Speed=TRUE,IF($E$8=$A1146,1/$N$6,),)</f>
        <v/>
      </c>
    </row>
    <row r="1147">
      <c r="A1147" s="370">
        <v>9.04</v>
      </c>
      <c r="B1147" s="213">
        <f>If(DPS_Weapon_Type="远程",($E1147+1)/60+(ROUNDDOWN($F1147*60+1,0)/60)*2,(ROUNDDOWN(($E1147+1)+ROUNDDOWN($F1147*60+1,0)+ROUNDDOWN($G1147/2*60+1,0)+ROUNDDOWN($H1147*60+1,0)+1,0))/60+If(DPS_ATK_TYPE="挥砍",1/60)+If(DPS_ATK_TYPE="挥砍/刺击",1/120))+DPS_Weapon_Randomization/60</f>
        <v>0.105</v>
      </c>
      <c r="C1147" s="104" t="str">
        <f>IF(DPS_Graph_True_Speed=TRUE,IF($A1147&lt;=DPS_Graph_Max,IF($A1147&gt;=DPS_Graph_Speed_Min,1/B1147,),),)</f>
        <v/>
      </c>
      <c r="D1147" s="115" t="str">
        <f>IF(DPS_Graph_True_Speed=TRUE,IF($E$8=$A1147,DPS_Attacks_P_Sec,),)</f>
        <v/>
      </c>
      <c r="E1147" s="222">
        <f>ROUNDDOWN(MAX(2,IF(A1147&gt;=0, DPS_Base_Wpn_Spd/(1+A1147),DPS_Base_Wpn_Spd*(1+ABS(A1147)))),0)</f>
        <v>2</v>
      </c>
      <c r="F1147" s="232">
        <f>IF(A1147&gt;=0, DPS_Base_Recoil/(1+A1147),DPS_Base_Recoil)</f>
        <v>0.004980079681</v>
      </c>
      <c r="G1147" s="377">
        <f t="shared" si="7"/>
        <v>0.51</v>
      </c>
      <c r="H1147" s="377">
        <f t="shared" si="8"/>
        <v>0.007112375533</v>
      </c>
      <c r="I1147" s="104"/>
      <c r="J1147" s="377">
        <f>MAX(0, Max(25,(DPS_Base_Range + ((DPS_Range_Stat) / 2))) / MIN(MAX(70, (70 * (1 + ($A1147 / 3)))), 120))</f>
        <v>3.333333333</v>
      </c>
      <c r="K1147" s="115" t="str">
        <f>IF(A1147&lt;=DPS_Graph_Max,IF(A1147&gt;=DPS_Graph_Speed_Min,A1147,),)</f>
        <v/>
      </c>
      <c r="M1147" s="213">
        <f>If(DPS_Weapon_Type="远程",$E1147/60+$F1147*2,$E1147/60+$F1147+$G1147/2+$H1147)</f>
        <v>0.0432934927</v>
      </c>
      <c r="N1147" s="104" t="str">
        <f>IF(DPS_Graph_Tooltip_Speed=TRUE,IF($A1147&lt;=DPS_Graph_Max,IF($A1147&gt;=DPS_Graph_Speed_Min,1/M1147,),),)</f>
        <v/>
      </c>
      <c r="R1147" s="104" t="str">
        <f>IF(DPS_Graph_Tooltip_Speed=TRUE,IF($E$8=$A1147,1/$N$6,),)</f>
        <v/>
      </c>
    </row>
    <row r="1148">
      <c r="A1148" s="370">
        <v>9.05</v>
      </c>
      <c r="B1148" s="213">
        <f>If(DPS_Weapon_Type="远程",($E1148+1)/60+(ROUNDDOWN($F1148*60+1,0)/60)*2,(ROUNDDOWN(($E1148+1)+ROUNDDOWN($F1148*60+1,0)+ROUNDDOWN($G1148/2*60+1,0)+ROUNDDOWN($H1148*60+1,0)+1,0))/60+If(DPS_ATK_TYPE="挥砍",1/60)+If(DPS_ATK_TYPE="挥砍/刺击",1/120))+DPS_Weapon_Randomization/60</f>
        <v>0.105</v>
      </c>
      <c r="C1148" s="104" t="str">
        <f>IF(DPS_Graph_True_Speed=TRUE,IF($A1148&lt;=DPS_Graph_Max,IF($A1148&gt;=DPS_Graph_Speed_Min,1/B1148,),),)</f>
        <v/>
      </c>
      <c r="D1148" s="115" t="str">
        <f>IF(DPS_Graph_True_Speed=TRUE,IF($E$8=$A1148,DPS_Attacks_P_Sec,),)</f>
        <v/>
      </c>
      <c r="E1148" s="222">
        <f>ROUNDDOWN(MAX(2,IF(A1148&gt;=0, DPS_Base_Wpn_Spd/(1+A1148),DPS_Base_Wpn_Spd*(1+ABS(A1148)))),0)</f>
        <v>2</v>
      </c>
      <c r="F1148" s="232">
        <f>IF(A1148&gt;=0, DPS_Base_Recoil/(1+A1148),DPS_Base_Recoil)</f>
        <v>0.004975124378</v>
      </c>
      <c r="G1148" s="377">
        <f t="shared" si="7"/>
        <v>0.51</v>
      </c>
      <c r="H1148" s="377">
        <f t="shared" si="8"/>
        <v>0.007104795737</v>
      </c>
      <c r="I1148" s="104"/>
      <c r="J1148" s="377">
        <f>MAX(0, Max(25,(DPS_Base_Range + ((DPS_Range_Stat) / 2))) / MIN(MAX(70, (70 * (1 + ($A1148 / 3)))), 120))</f>
        <v>3.333333333</v>
      </c>
      <c r="K1148" s="115" t="str">
        <f>IF(A1148&lt;=DPS_Graph_Max,IF(A1148&gt;=DPS_Graph_Speed_Min,A1148,),)</f>
        <v/>
      </c>
      <c r="M1148" s="213">
        <f>If(DPS_Weapon_Type="远程",$E1148/60+$F1148*2,$E1148/60+$F1148+$G1148/2+$H1148)</f>
        <v>0.04328358209</v>
      </c>
      <c r="N1148" s="104" t="str">
        <f>IF(DPS_Graph_Tooltip_Speed=TRUE,IF($A1148&lt;=DPS_Graph_Max,IF($A1148&gt;=DPS_Graph_Speed_Min,1/M1148,),),)</f>
        <v/>
      </c>
      <c r="R1148" s="104" t="str">
        <f>IF(DPS_Graph_Tooltip_Speed=TRUE,IF($E$8=$A1148,1/$N$6,),)</f>
        <v/>
      </c>
    </row>
    <row r="1149">
      <c r="A1149" s="370">
        <v>9.06</v>
      </c>
      <c r="B1149" s="213">
        <f>If(DPS_Weapon_Type="远程",($E1149+1)/60+(ROUNDDOWN($F1149*60+1,0)/60)*2,(ROUNDDOWN(($E1149+1)+ROUNDDOWN($F1149*60+1,0)+ROUNDDOWN($G1149/2*60+1,0)+ROUNDDOWN($H1149*60+1,0)+1,0))/60+If(DPS_ATK_TYPE="挥砍",1/60)+If(DPS_ATK_TYPE="挥砍/刺击",1/120))+DPS_Weapon_Randomization/60</f>
        <v>0.105</v>
      </c>
      <c r="C1149" s="104" t="str">
        <f>IF(DPS_Graph_True_Speed=TRUE,IF($A1149&lt;=DPS_Graph_Max,IF($A1149&gt;=DPS_Graph_Speed_Min,1/B1149,),),)</f>
        <v/>
      </c>
      <c r="D1149" s="115" t="str">
        <f>IF(DPS_Graph_True_Speed=TRUE,IF($E$8=$A1149,DPS_Attacks_P_Sec,),)</f>
        <v/>
      </c>
      <c r="E1149" s="222">
        <f>ROUNDDOWN(MAX(2,IF(A1149&gt;=0, DPS_Base_Wpn_Spd/(1+A1149),DPS_Base_Wpn_Spd*(1+ABS(A1149)))),0)</f>
        <v>2</v>
      </c>
      <c r="F1149" s="232">
        <f>IF(A1149&gt;=0, DPS_Base_Recoil/(1+A1149),DPS_Base_Recoil)</f>
        <v>0.004970178926</v>
      </c>
      <c r="G1149" s="377">
        <f t="shared" si="7"/>
        <v>0.51</v>
      </c>
      <c r="H1149" s="377">
        <f t="shared" si="8"/>
        <v>0.007097232079</v>
      </c>
      <c r="I1149" s="104"/>
      <c r="J1149" s="377">
        <f>MAX(0, Max(25,(DPS_Base_Range + ((DPS_Range_Stat) / 2))) / MIN(MAX(70, (70 * (1 + ($A1149 / 3)))), 120))</f>
        <v>3.333333333</v>
      </c>
      <c r="K1149" s="115" t="str">
        <f>IF(A1149&lt;=DPS_Graph_Max,IF(A1149&gt;=DPS_Graph_Speed_Min,A1149,),)</f>
        <v/>
      </c>
      <c r="M1149" s="213">
        <f>If(DPS_Weapon_Type="远程",$E1149/60+$F1149*2,$E1149/60+$F1149+$G1149/2+$H1149)</f>
        <v>0.04327369119</v>
      </c>
      <c r="N1149" s="104" t="str">
        <f>IF(DPS_Graph_Tooltip_Speed=TRUE,IF($A1149&lt;=DPS_Graph_Max,IF($A1149&gt;=DPS_Graph_Speed_Min,1/M1149,),),)</f>
        <v/>
      </c>
      <c r="R1149" s="104" t="str">
        <f>IF(DPS_Graph_Tooltip_Speed=TRUE,IF($E$8=$A1149,1/$N$6,),)</f>
        <v/>
      </c>
    </row>
    <row r="1150">
      <c r="A1150" s="370">
        <v>9.07</v>
      </c>
      <c r="B1150" s="213">
        <f>If(DPS_Weapon_Type="远程",($E1150+1)/60+(ROUNDDOWN($F1150*60+1,0)/60)*2,(ROUNDDOWN(($E1150+1)+ROUNDDOWN($F1150*60+1,0)+ROUNDDOWN($G1150/2*60+1,0)+ROUNDDOWN($H1150*60+1,0)+1,0))/60+If(DPS_ATK_TYPE="挥砍",1/60)+If(DPS_ATK_TYPE="挥砍/刺击",1/120))+DPS_Weapon_Randomization/60</f>
        <v>0.105</v>
      </c>
      <c r="C1150" s="104" t="str">
        <f>IF(DPS_Graph_True_Speed=TRUE,IF($A1150&lt;=DPS_Graph_Max,IF($A1150&gt;=DPS_Graph_Speed_Min,1/B1150,),),)</f>
        <v/>
      </c>
      <c r="D1150" s="115" t="str">
        <f>IF(DPS_Graph_True_Speed=TRUE,IF($E$8=$A1150,DPS_Attacks_P_Sec,),)</f>
        <v/>
      </c>
      <c r="E1150" s="222">
        <f>ROUNDDOWN(MAX(2,IF(A1150&gt;=0, DPS_Base_Wpn_Spd/(1+A1150),DPS_Base_Wpn_Spd*(1+ABS(A1150)))),0)</f>
        <v>2</v>
      </c>
      <c r="F1150" s="232">
        <f>IF(A1150&gt;=0, DPS_Base_Recoil/(1+A1150),DPS_Base_Recoil)</f>
        <v>0.004965243297</v>
      </c>
      <c r="G1150" s="377">
        <f t="shared" si="7"/>
        <v>0.51</v>
      </c>
      <c r="H1150" s="377">
        <f t="shared" si="8"/>
        <v>0.007089684509</v>
      </c>
      <c r="I1150" s="104"/>
      <c r="J1150" s="377">
        <f>MAX(0, Max(25,(DPS_Base_Range + ((DPS_Range_Stat) / 2))) / MIN(MAX(70, (70 * (1 + ($A1150 / 3)))), 120))</f>
        <v>3.333333333</v>
      </c>
      <c r="K1150" s="115" t="str">
        <f>IF(A1150&lt;=DPS_Graph_Max,IF(A1150&gt;=DPS_Graph_Speed_Min,A1150,),)</f>
        <v/>
      </c>
      <c r="M1150" s="213">
        <f>If(DPS_Weapon_Type="远程",$E1150/60+$F1150*2,$E1150/60+$F1150+$G1150/2+$H1150)</f>
        <v>0.04326381993</v>
      </c>
      <c r="N1150" s="104" t="str">
        <f>IF(DPS_Graph_Tooltip_Speed=TRUE,IF($A1150&lt;=DPS_Graph_Max,IF($A1150&gt;=DPS_Graph_Speed_Min,1/M1150,),),)</f>
        <v/>
      </c>
      <c r="R1150" s="104" t="str">
        <f>IF(DPS_Graph_Tooltip_Speed=TRUE,IF($E$8=$A1150,1/$N$6,),)</f>
        <v/>
      </c>
    </row>
    <row r="1151">
      <c r="A1151" s="370">
        <v>9.08</v>
      </c>
      <c r="B1151" s="213">
        <f>If(DPS_Weapon_Type="远程",($E1151+1)/60+(ROUNDDOWN($F1151*60+1,0)/60)*2,(ROUNDDOWN(($E1151+1)+ROUNDDOWN($F1151*60+1,0)+ROUNDDOWN($G1151/2*60+1,0)+ROUNDDOWN($H1151*60+1,0)+1,0))/60+If(DPS_ATK_TYPE="挥砍",1/60)+If(DPS_ATK_TYPE="挥砍/刺击",1/120))+DPS_Weapon_Randomization/60</f>
        <v>0.105</v>
      </c>
      <c r="C1151" s="104" t="str">
        <f>IF(DPS_Graph_True_Speed=TRUE,IF($A1151&lt;=DPS_Graph_Max,IF($A1151&gt;=DPS_Graph_Speed_Min,1/B1151,),),)</f>
        <v/>
      </c>
      <c r="D1151" s="115" t="str">
        <f>IF(DPS_Graph_True_Speed=TRUE,IF($E$8=$A1151,DPS_Attacks_P_Sec,),)</f>
        <v/>
      </c>
      <c r="E1151" s="222">
        <f>ROUNDDOWN(MAX(2,IF(A1151&gt;=0, DPS_Base_Wpn_Spd/(1+A1151),DPS_Base_Wpn_Spd*(1+ABS(A1151)))),0)</f>
        <v>2</v>
      </c>
      <c r="F1151" s="232">
        <f>IF(A1151&gt;=0, DPS_Base_Recoil/(1+A1151),DPS_Base_Recoil)</f>
        <v>0.00496031746</v>
      </c>
      <c r="G1151" s="377">
        <f t="shared" si="7"/>
        <v>0.51</v>
      </c>
      <c r="H1151" s="377">
        <f t="shared" si="8"/>
        <v>0.007082152975</v>
      </c>
      <c r="I1151" s="104"/>
      <c r="J1151" s="377">
        <f>MAX(0, Max(25,(DPS_Base_Range + ((DPS_Range_Stat) / 2))) / MIN(MAX(70, (70 * (1 + ($A1151 / 3)))), 120))</f>
        <v>3.333333333</v>
      </c>
      <c r="K1151" s="115" t="str">
        <f>IF(A1151&lt;=DPS_Graph_Max,IF(A1151&gt;=DPS_Graph_Speed_Min,A1151,),)</f>
        <v/>
      </c>
      <c r="M1151" s="213">
        <f>If(DPS_Weapon_Type="远程",$E1151/60+$F1151*2,$E1151/60+$F1151+$G1151/2+$H1151)</f>
        <v>0.04325396825</v>
      </c>
      <c r="N1151" s="104" t="str">
        <f>IF(DPS_Graph_Tooltip_Speed=TRUE,IF($A1151&lt;=DPS_Graph_Max,IF($A1151&gt;=DPS_Graph_Speed_Min,1/M1151,),),)</f>
        <v/>
      </c>
      <c r="R1151" s="104" t="str">
        <f>IF(DPS_Graph_Tooltip_Speed=TRUE,IF($E$8=$A1151,1/$N$6,),)</f>
        <v/>
      </c>
    </row>
    <row r="1152">
      <c r="A1152" s="370">
        <v>9.09</v>
      </c>
      <c r="B1152" s="213">
        <f>If(DPS_Weapon_Type="远程",($E1152+1)/60+(ROUNDDOWN($F1152*60+1,0)/60)*2,(ROUNDDOWN(($E1152+1)+ROUNDDOWN($F1152*60+1,0)+ROUNDDOWN($G1152/2*60+1,0)+ROUNDDOWN($H1152*60+1,0)+1,0))/60+If(DPS_ATK_TYPE="挥砍",1/60)+If(DPS_ATK_TYPE="挥砍/刺击",1/120))+DPS_Weapon_Randomization/60</f>
        <v>0.105</v>
      </c>
      <c r="C1152" s="104" t="str">
        <f>IF(DPS_Graph_True_Speed=TRUE,IF($A1152&lt;=DPS_Graph_Max,IF($A1152&gt;=DPS_Graph_Speed_Min,1/B1152,),),)</f>
        <v/>
      </c>
      <c r="D1152" s="115" t="str">
        <f>IF(DPS_Graph_True_Speed=TRUE,IF($E$8=$A1152,DPS_Attacks_P_Sec,),)</f>
        <v/>
      </c>
      <c r="E1152" s="222">
        <f>ROUNDDOWN(MAX(2,IF(A1152&gt;=0, DPS_Base_Wpn_Spd/(1+A1152),DPS_Base_Wpn_Spd*(1+ABS(A1152)))),0)</f>
        <v>2</v>
      </c>
      <c r="F1152" s="232">
        <f>IF(A1152&gt;=0, DPS_Base_Recoil/(1+A1152),DPS_Base_Recoil)</f>
        <v>0.004955401388</v>
      </c>
      <c r="G1152" s="377">
        <f t="shared" si="7"/>
        <v>0.51</v>
      </c>
      <c r="H1152" s="377">
        <f t="shared" si="8"/>
        <v>0.007074637425</v>
      </c>
      <c r="I1152" s="104"/>
      <c r="J1152" s="377">
        <f>MAX(0, Max(25,(DPS_Base_Range + ((DPS_Range_Stat) / 2))) / MIN(MAX(70, (70 * (1 + ($A1152 / 3)))), 120))</f>
        <v>3.333333333</v>
      </c>
      <c r="K1152" s="115" t="str">
        <f>IF(A1152&lt;=DPS_Graph_Max,IF(A1152&gt;=DPS_Graph_Speed_Min,A1152,),)</f>
        <v/>
      </c>
      <c r="M1152" s="213">
        <f>If(DPS_Weapon_Type="远程",$E1152/60+$F1152*2,$E1152/60+$F1152+$G1152/2+$H1152)</f>
        <v>0.04324413611</v>
      </c>
      <c r="N1152" s="104" t="str">
        <f>IF(DPS_Graph_Tooltip_Speed=TRUE,IF($A1152&lt;=DPS_Graph_Max,IF($A1152&gt;=DPS_Graph_Speed_Min,1/M1152,),),)</f>
        <v/>
      </c>
      <c r="R1152" s="104" t="str">
        <f>IF(DPS_Graph_Tooltip_Speed=TRUE,IF($E$8=$A1152,1/$N$6,),)</f>
        <v/>
      </c>
    </row>
    <row r="1153">
      <c r="A1153" s="370">
        <v>9.1</v>
      </c>
      <c r="B1153" s="213">
        <f>If(DPS_Weapon_Type="远程",($E1153+1)/60+(ROUNDDOWN($F1153*60+1,0)/60)*2,(ROUNDDOWN(($E1153+1)+ROUNDDOWN($F1153*60+1,0)+ROUNDDOWN($G1153/2*60+1,0)+ROUNDDOWN($H1153*60+1,0)+1,0))/60+If(DPS_ATK_TYPE="挥砍",1/60)+If(DPS_ATK_TYPE="挥砍/刺击",1/120))+DPS_Weapon_Randomization/60</f>
        <v>0.105</v>
      </c>
      <c r="C1153" s="104" t="str">
        <f>IF(DPS_Graph_True_Speed=TRUE,IF($A1153&lt;=DPS_Graph_Max,IF($A1153&gt;=DPS_Graph_Speed_Min,1/B1153,),),)</f>
        <v/>
      </c>
      <c r="D1153" s="115" t="str">
        <f>IF(DPS_Graph_True_Speed=TRUE,IF($E$8=$A1153,DPS_Attacks_P_Sec,),)</f>
        <v/>
      </c>
      <c r="E1153" s="222">
        <f>ROUNDDOWN(MAX(2,IF(A1153&gt;=0, DPS_Base_Wpn_Spd/(1+A1153),DPS_Base_Wpn_Spd*(1+ABS(A1153)))),0)</f>
        <v>2</v>
      </c>
      <c r="F1153" s="232">
        <f>IF(A1153&gt;=0, DPS_Base_Recoil/(1+A1153),DPS_Base_Recoil)</f>
        <v>0.00495049505</v>
      </c>
      <c r="G1153" s="377">
        <f t="shared" si="7"/>
        <v>0.51</v>
      </c>
      <c r="H1153" s="377">
        <f t="shared" si="8"/>
        <v>0.007067137809</v>
      </c>
      <c r="I1153" s="104"/>
      <c r="J1153" s="377">
        <f>MAX(0, Max(25,(DPS_Base_Range + ((DPS_Range_Stat) / 2))) / MIN(MAX(70, (70 * (1 + ($A1153 / 3)))), 120))</f>
        <v>3.333333333</v>
      </c>
      <c r="K1153" s="115" t="str">
        <f>IF(A1153&lt;=DPS_Graph_Max,IF(A1153&gt;=DPS_Graph_Speed_Min,A1153,),)</f>
        <v/>
      </c>
      <c r="M1153" s="213">
        <f>If(DPS_Weapon_Type="远程",$E1153/60+$F1153*2,$E1153/60+$F1153+$G1153/2+$H1153)</f>
        <v>0.04323432343</v>
      </c>
      <c r="N1153" s="104" t="str">
        <f>IF(DPS_Graph_Tooltip_Speed=TRUE,IF($A1153&lt;=DPS_Graph_Max,IF($A1153&gt;=DPS_Graph_Speed_Min,1/M1153,),),)</f>
        <v/>
      </c>
      <c r="R1153" s="104" t="str">
        <f>IF(DPS_Graph_Tooltip_Speed=TRUE,IF($E$8=$A1153,1/$N$6,),)</f>
        <v/>
      </c>
    </row>
    <row r="1154">
      <c r="A1154" s="370">
        <v>9.11</v>
      </c>
      <c r="B1154" s="213">
        <f>If(DPS_Weapon_Type="远程",($E1154+1)/60+(ROUNDDOWN($F1154*60+1,0)/60)*2,(ROUNDDOWN(($E1154+1)+ROUNDDOWN($F1154*60+1,0)+ROUNDDOWN($G1154/2*60+1,0)+ROUNDDOWN($H1154*60+1,0)+1,0))/60+If(DPS_ATK_TYPE="挥砍",1/60)+If(DPS_ATK_TYPE="挥砍/刺击",1/120))+DPS_Weapon_Randomization/60</f>
        <v>0.105</v>
      </c>
      <c r="C1154" s="104" t="str">
        <f>IF(DPS_Graph_True_Speed=TRUE,IF($A1154&lt;=DPS_Graph_Max,IF($A1154&gt;=DPS_Graph_Speed_Min,1/B1154,),),)</f>
        <v/>
      </c>
      <c r="D1154" s="115" t="str">
        <f>IF(DPS_Graph_True_Speed=TRUE,IF($E$8=$A1154,DPS_Attacks_P_Sec,),)</f>
        <v/>
      </c>
      <c r="E1154" s="222">
        <f>ROUNDDOWN(MAX(2,IF(A1154&gt;=0, DPS_Base_Wpn_Spd/(1+A1154),DPS_Base_Wpn_Spd*(1+ABS(A1154)))),0)</f>
        <v>2</v>
      </c>
      <c r="F1154" s="232">
        <f>IF(A1154&gt;=0, DPS_Base_Recoil/(1+A1154),DPS_Base_Recoil)</f>
        <v>0.004945598417</v>
      </c>
      <c r="G1154" s="377">
        <f t="shared" si="7"/>
        <v>0.51</v>
      </c>
      <c r="H1154" s="377">
        <f t="shared" si="8"/>
        <v>0.007059654077</v>
      </c>
      <c r="I1154" s="104"/>
      <c r="J1154" s="377">
        <f>MAX(0, Max(25,(DPS_Base_Range + ((DPS_Range_Stat) / 2))) / MIN(MAX(70, (70 * (1 + ($A1154 / 3)))), 120))</f>
        <v>3.333333333</v>
      </c>
      <c r="K1154" s="115" t="str">
        <f>IF(A1154&lt;=DPS_Graph_Max,IF(A1154&gt;=DPS_Graph_Speed_Min,A1154,),)</f>
        <v/>
      </c>
      <c r="M1154" s="213">
        <f>If(DPS_Weapon_Type="远程",$E1154/60+$F1154*2,$E1154/60+$F1154+$G1154/2+$H1154)</f>
        <v>0.04322453017</v>
      </c>
      <c r="N1154" s="104" t="str">
        <f>IF(DPS_Graph_Tooltip_Speed=TRUE,IF($A1154&lt;=DPS_Graph_Max,IF($A1154&gt;=DPS_Graph_Speed_Min,1/M1154,),),)</f>
        <v/>
      </c>
      <c r="R1154" s="104" t="str">
        <f>IF(DPS_Graph_Tooltip_Speed=TRUE,IF($E$8=$A1154,1/$N$6,),)</f>
        <v/>
      </c>
    </row>
    <row r="1155">
      <c r="A1155" s="370">
        <v>9.12</v>
      </c>
      <c r="B1155" s="213">
        <f>If(DPS_Weapon_Type="远程",($E1155+1)/60+(ROUNDDOWN($F1155*60+1,0)/60)*2,(ROUNDDOWN(($E1155+1)+ROUNDDOWN($F1155*60+1,0)+ROUNDDOWN($G1155/2*60+1,0)+ROUNDDOWN($H1155*60+1,0)+1,0))/60+If(DPS_ATK_TYPE="挥砍",1/60)+If(DPS_ATK_TYPE="挥砍/刺击",1/120))+DPS_Weapon_Randomization/60</f>
        <v>0.105</v>
      </c>
      <c r="C1155" s="104" t="str">
        <f>IF(DPS_Graph_True_Speed=TRUE,IF($A1155&lt;=DPS_Graph_Max,IF($A1155&gt;=DPS_Graph_Speed_Min,1/B1155,),),)</f>
        <v/>
      </c>
      <c r="D1155" s="115" t="str">
        <f>IF(DPS_Graph_True_Speed=TRUE,IF($E$8=$A1155,DPS_Attacks_P_Sec,),)</f>
        <v/>
      </c>
      <c r="E1155" s="222">
        <f>ROUNDDOWN(MAX(2,IF(A1155&gt;=0, DPS_Base_Wpn_Spd/(1+A1155),DPS_Base_Wpn_Spd*(1+ABS(A1155)))),0)</f>
        <v>2</v>
      </c>
      <c r="F1155" s="232">
        <f>IF(A1155&gt;=0, DPS_Base_Recoil/(1+A1155),DPS_Base_Recoil)</f>
        <v>0.004940711462</v>
      </c>
      <c r="G1155" s="377">
        <f t="shared" si="7"/>
        <v>0.51</v>
      </c>
      <c r="H1155" s="377">
        <f t="shared" si="8"/>
        <v>0.007052186178</v>
      </c>
      <c r="I1155" s="104"/>
      <c r="J1155" s="377">
        <f>MAX(0, Max(25,(DPS_Base_Range + ((DPS_Range_Stat) / 2))) / MIN(MAX(70, (70 * (1 + ($A1155 / 3)))), 120))</f>
        <v>3.333333333</v>
      </c>
      <c r="K1155" s="115" t="str">
        <f>IF(A1155&lt;=DPS_Graph_Max,IF(A1155&gt;=DPS_Graph_Speed_Min,A1155,),)</f>
        <v/>
      </c>
      <c r="M1155" s="213">
        <f>If(DPS_Weapon_Type="远程",$E1155/60+$F1155*2,$E1155/60+$F1155+$G1155/2+$H1155)</f>
        <v>0.04321475626</v>
      </c>
      <c r="N1155" s="104" t="str">
        <f>IF(DPS_Graph_Tooltip_Speed=TRUE,IF($A1155&lt;=DPS_Graph_Max,IF($A1155&gt;=DPS_Graph_Speed_Min,1/M1155,),),)</f>
        <v/>
      </c>
      <c r="R1155" s="104" t="str">
        <f>IF(DPS_Graph_Tooltip_Speed=TRUE,IF($E$8=$A1155,1/$N$6,),)</f>
        <v/>
      </c>
    </row>
    <row r="1156">
      <c r="A1156" s="370">
        <v>9.13</v>
      </c>
      <c r="B1156" s="213">
        <f>If(DPS_Weapon_Type="远程",($E1156+1)/60+(ROUNDDOWN($F1156*60+1,0)/60)*2,(ROUNDDOWN(($E1156+1)+ROUNDDOWN($F1156*60+1,0)+ROUNDDOWN($G1156/2*60+1,0)+ROUNDDOWN($H1156*60+1,0)+1,0))/60+If(DPS_ATK_TYPE="挥砍",1/60)+If(DPS_ATK_TYPE="挥砍/刺击",1/120))+DPS_Weapon_Randomization/60</f>
        <v>0.105</v>
      </c>
      <c r="C1156" s="104" t="str">
        <f>IF(DPS_Graph_True_Speed=TRUE,IF($A1156&lt;=DPS_Graph_Max,IF($A1156&gt;=DPS_Graph_Speed_Min,1/B1156,),),)</f>
        <v/>
      </c>
      <c r="D1156" s="115" t="str">
        <f>IF(DPS_Graph_True_Speed=TRUE,IF($E$8=$A1156,DPS_Attacks_P_Sec,),)</f>
        <v/>
      </c>
      <c r="E1156" s="222">
        <f>ROUNDDOWN(MAX(2,IF(A1156&gt;=0, DPS_Base_Wpn_Spd/(1+A1156),DPS_Base_Wpn_Spd*(1+ABS(A1156)))),0)</f>
        <v>2</v>
      </c>
      <c r="F1156" s="232">
        <f>IF(A1156&gt;=0, DPS_Base_Recoil/(1+A1156),DPS_Base_Recoil)</f>
        <v>0.004935834156</v>
      </c>
      <c r="G1156" s="377">
        <f t="shared" si="7"/>
        <v>0.51</v>
      </c>
      <c r="H1156" s="377">
        <f t="shared" si="8"/>
        <v>0.007044734061</v>
      </c>
      <c r="I1156" s="104"/>
      <c r="J1156" s="377">
        <f>MAX(0, Max(25,(DPS_Base_Range + ((DPS_Range_Stat) / 2))) / MIN(MAX(70, (70 * (1 + ($A1156 / 3)))), 120))</f>
        <v>3.333333333</v>
      </c>
      <c r="K1156" s="115" t="str">
        <f>IF(A1156&lt;=DPS_Graph_Max,IF(A1156&gt;=DPS_Graph_Speed_Min,A1156,),)</f>
        <v/>
      </c>
      <c r="M1156" s="213">
        <f>If(DPS_Weapon_Type="远程",$E1156/60+$F1156*2,$E1156/60+$F1156+$G1156/2+$H1156)</f>
        <v>0.04320500165</v>
      </c>
      <c r="N1156" s="104" t="str">
        <f>IF(DPS_Graph_Tooltip_Speed=TRUE,IF($A1156&lt;=DPS_Graph_Max,IF($A1156&gt;=DPS_Graph_Speed_Min,1/M1156,),),)</f>
        <v/>
      </c>
      <c r="R1156" s="104" t="str">
        <f>IF(DPS_Graph_Tooltip_Speed=TRUE,IF($E$8=$A1156,1/$N$6,),)</f>
        <v/>
      </c>
    </row>
    <row r="1157">
      <c r="A1157" s="370">
        <v>9.14</v>
      </c>
      <c r="B1157" s="213">
        <f>If(DPS_Weapon_Type="远程",($E1157+1)/60+(ROUNDDOWN($F1157*60+1,0)/60)*2,(ROUNDDOWN(($E1157+1)+ROUNDDOWN($F1157*60+1,0)+ROUNDDOWN($G1157/2*60+1,0)+ROUNDDOWN($H1157*60+1,0)+1,0))/60+If(DPS_ATK_TYPE="挥砍",1/60)+If(DPS_ATK_TYPE="挥砍/刺击",1/120))+DPS_Weapon_Randomization/60</f>
        <v>0.105</v>
      </c>
      <c r="C1157" s="104" t="str">
        <f>IF(DPS_Graph_True_Speed=TRUE,IF($A1157&lt;=DPS_Graph_Max,IF($A1157&gt;=DPS_Graph_Speed_Min,1/B1157,),),)</f>
        <v/>
      </c>
      <c r="D1157" s="115" t="str">
        <f>IF(DPS_Graph_True_Speed=TRUE,IF($E$8=$A1157,DPS_Attacks_P_Sec,),)</f>
        <v/>
      </c>
      <c r="E1157" s="222">
        <f>ROUNDDOWN(MAX(2,IF(A1157&gt;=0, DPS_Base_Wpn_Spd/(1+A1157),DPS_Base_Wpn_Spd*(1+ABS(A1157)))),0)</f>
        <v>2</v>
      </c>
      <c r="F1157" s="232">
        <f>IF(A1157&gt;=0, DPS_Base_Recoil/(1+A1157),DPS_Base_Recoil)</f>
        <v>0.004930966469</v>
      </c>
      <c r="G1157" s="377">
        <f t="shared" si="7"/>
        <v>0.51</v>
      </c>
      <c r="H1157" s="377">
        <f t="shared" si="8"/>
        <v>0.007037297678</v>
      </c>
      <c r="I1157" s="104"/>
      <c r="J1157" s="377">
        <f>MAX(0, Max(25,(DPS_Base_Range + ((DPS_Range_Stat) / 2))) / MIN(MAX(70, (70 * (1 + ($A1157 / 3)))), 120))</f>
        <v>3.333333333</v>
      </c>
      <c r="K1157" s="115" t="str">
        <f>IF(A1157&lt;=DPS_Graph_Max,IF(A1157&gt;=DPS_Graph_Speed_Min,A1157,),)</f>
        <v/>
      </c>
      <c r="M1157" s="213">
        <f>If(DPS_Weapon_Type="远程",$E1157/60+$F1157*2,$E1157/60+$F1157+$G1157/2+$H1157)</f>
        <v>0.04319526627</v>
      </c>
      <c r="N1157" s="104" t="str">
        <f>IF(DPS_Graph_Tooltip_Speed=TRUE,IF($A1157&lt;=DPS_Graph_Max,IF($A1157&gt;=DPS_Graph_Speed_Min,1/M1157,),),)</f>
        <v/>
      </c>
      <c r="R1157" s="104" t="str">
        <f>IF(DPS_Graph_Tooltip_Speed=TRUE,IF($E$8=$A1157,1/$N$6,),)</f>
        <v/>
      </c>
    </row>
    <row r="1158">
      <c r="A1158" s="370">
        <v>9.15</v>
      </c>
      <c r="B1158" s="213">
        <f>If(DPS_Weapon_Type="远程",($E1158+1)/60+(ROUNDDOWN($F1158*60+1,0)/60)*2,(ROUNDDOWN(($E1158+1)+ROUNDDOWN($F1158*60+1,0)+ROUNDDOWN($G1158/2*60+1,0)+ROUNDDOWN($H1158*60+1,0)+1,0))/60+If(DPS_ATK_TYPE="挥砍",1/60)+If(DPS_ATK_TYPE="挥砍/刺击",1/120))+DPS_Weapon_Randomization/60</f>
        <v>0.105</v>
      </c>
      <c r="C1158" s="104" t="str">
        <f>IF(DPS_Graph_True_Speed=TRUE,IF($A1158&lt;=DPS_Graph_Max,IF($A1158&gt;=DPS_Graph_Speed_Min,1/B1158,),),)</f>
        <v/>
      </c>
      <c r="D1158" s="115" t="str">
        <f>IF(DPS_Graph_True_Speed=TRUE,IF($E$8=$A1158,DPS_Attacks_P_Sec,),)</f>
        <v/>
      </c>
      <c r="E1158" s="222">
        <f>ROUNDDOWN(MAX(2,IF(A1158&gt;=0, DPS_Base_Wpn_Spd/(1+A1158),DPS_Base_Wpn_Spd*(1+ABS(A1158)))),0)</f>
        <v>2</v>
      </c>
      <c r="F1158" s="232">
        <f>IF(A1158&gt;=0, DPS_Base_Recoil/(1+A1158),DPS_Base_Recoil)</f>
        <v>0.004926108374</v>
      </c>
      <c r="G1158" s="377">
        <f t="shared" si="7"/>
        <v>0.51</v>
      </c>
      <c r="H1158" s="377">
        <f t="shared" si="8"/>
        <v>0.007029876977</v>
      </c>
      <c r="I1158" s="104"/>
      <c r="J1158" s="377">
        <f>MAX(0, Max(25,(DPS_Base_Range + ((DPS_Range_Stat) / 2))) / MIN(MAX(70, (70 * (1 + ($A1158 / 3)))), 120))</f>
        <v>3.333333333</v>
      </c>
      <c r="K1158" s="115" t="str">
        <f>IF(A1158&lt;=DPS_Graph_Max,IF(A1158&gt;=DPS_Graph_Speed_Min,A1158,),)</f>
        <v/>
      </c>
      <c r="M1158" s="213">
        <f>If(DPS_Weapon_Type="远程",$E1158/60+$F1158*2,$E1158/60+$F1158+$G1158/2+$H1158)</f>
        <v>0.04318555008</v>
      </c>
      <c r="N1158" s="104" t="str">
        <f>IF(DPS_Graph_Tooltip_Speed=TRUE,IF($A1158&lt;=DPS_Graph_Max,IF($A1158&gt;=DPS_Graph_Speed_Min,1/M1158,),),)</f>
        <v/>
      </c>
      <c r="R1158" s="104" t="str">
        <f>IF(DPS_Graph_Tooltip_Speed=TRUE,IF($E$8=$A1158,1/$N$6,),)</f>
        <v/>
      </c>
    </row>
    <row r="1159">
      <c r="A1159" s="370">
        <v>9.16</v>
      </c>
      <c r="B1159" s="213">
        <f>If(DPS_Weapon_Type="远程",($E1159+1)/60+(ROUNDDOWN($F1159*60+1,0)/60)*2,(ROUNDDOWN(($E1159+1)+ROUNDDOWN($F1159*60+1,0)+ROUNDDOWN($G1159/2*60+1,0)+ROUNDDOWN($H1159*60+1,0)+1,0))/60+If(DPS_ATK_TYPE="挥砍",1/60)+If(DPS_ATK_TYPE="挥砍/刺击",1/120))+DPS_Weapon_Randomization/60</f>
        <v>0.105</v>
      </c>
      <c r="C1159" s="104" t="str">
        <f>IF(DPS_Graph_True_Speed=TRUE,IF($A1159&lt;=DPS_Graph_Max,IF($A1159&gt;=DPS_Graph_Speed_Min,1/B1159,),),)</f>
        <v/>
      </c>
      <c r="D1159" s="115" t="str">
        <f>IF(DPS_Graph_True_Speed=TRUE,IF($E$8=$A1159,DPS_Attacks_P_Sec,),)</f>
        <v/>
      </c>
      <c r="E1159" s="222">
        <f>ROUNDDOWN(MAX(2,IF(A1159&gt;=0, DPS_Base_Wpn_Spd/(1+A1159),DPS_Base_Wpn_Spd*(1+ABS(A1159)))),0)</f>
        <v>2</v>
      </c>
      <c r="F1159" s="232">
        <f>IF(A1159&gt;=0, DPS_Base_Recoil/(1+A1159),DPS_Base_Recoil)</f>
        <v>0.004921259843</v>
      </c>
      <c r="G1159" s="377">
        <f t="shared" si="7"/>
        <v>0.51</v>
      </c>
      <c r="H1159" s="377">
        <f t="shared" si="8"/>
        <v>0.00702247191</v>
      </c>
      <c r="I1159" s="104"/>
      <c r="J1159" s="377">
        <f>MAX(0, Max(25,(DPS_Base_Range + ((DPS_Range_Stat) / 2))) / MIN(MAX(70, (70 * (1 + ($A1159 / 3)))), 120))</f>
        <v>3.333333333</v>
      </c>
      <c r="K1159" s="115" t="str">
        <f>IF(A1159&lt;=DPS_Graph_Max,IF(A1159&gt;=DPS_Graph_Speed_Min,A1159,),)</f>
        <v/>
      </c>
      <c r="M1159" s="213">
        <f>If(DPS_Weapon_Type="远程",$E1159/60+$F1159*2,$E1159/60+$F1159+$G1159/2+$H1159)</f>
        <v>0.04317585302</v>
      </c>
      <c r="N1159" s="104" t="str">
        <f>IF(DPS_Graph_Tooltip_Speed=TRUE,IF($A1159&lt;=DPS_Graph_Max,IF($A1159&gt;=DPS_Graph_Speed_Min,1/M1159,),),)</f>
        <v/>
      </c>
      <c r="R1159" s="104" t="str">
        <f>IF(DPS_Graph_Tooltip_Speed=TRUE,IF($E$8=$A1159,1/$N$6,),)</f>
        <v/>
      </c>
    </row>
    <row r="1160">
      <c r="A1160" s="370">
        <v>9.17</v>
      </c>
      <c r="B1160" s="213">
        <f>If(DPS_Weapon_Type="远程",($E1160+1)/60+(ROUNDDOWN($F1160*60+1,0)/60)*2,(ROUNDDOWN(($E1160+1)+ROUNDDOWN($F1160*60+1,0)+ROUNDDOWN($G1160/2*60+1,0)+ROUNDDOWN($H1160*60+1,0)+1,0))/60+If(DPS_ATK_TYPE="挥砍",1/60)+If(DPS_ATK_TYPE="挥砍/刺击",1/120))+DPS_Weapon_Randomization/60</f>
        <v>0.105</v>
      </c>
      <c r="C1160" s="104" t="str">
        <f>IF(DPS_Graph_True_Speed=TRUE,IF($A1160&lt;=DPS_Graph_Max,IF($A1160&gt;=DPS_Graph_Speed_Min,1/B1160,),),)</f>
        <v/>
      </c>
      <c r="D1160" s="115" t="str">
        <f>IF(DPS_Graph_True_Speed=TRUE,IF($E$8=$A1160,DPS_Attacks_P_Sec,),)</f>
        <v/>
      </c>
      <c r="E1160" s="222">
        <f>ROUNDDOWN(MAX(2,IF(A1160&gt;=0, DPS_Base_Wpn_Spd/(1+A1160),DPS_Base_Wpn_Spd*(1+ABS(A1160)))),0)</f>
        <v>2</v>
      </c>
      <c r="F1160" s="232">
        <f>IF(A1160&gt;=0, DPS_Base_Recoil/(1+A1160),DPS_Base_Recoil)</f>
        <v>0.004916420846</v>
      </c>
      <c r="G1160" s="377">
        <f t="shared" si="7"/>
        <v>0.51</v>
      </c>
      <c r="H1160" s="377">
        <f t="shared" si="8"/>
        <v>0.007015082427</v>
      </c>
      <c r="I1160" s="104"/>
      <c r="J1160" s="377">
        <f>MAX(0, Max(25,(DPS_Base_Range + ((DPS_Range_Stat) / 2))) / MIN(MAX(70, (70 * (1 + ($A1160 / 3)))), 120))</f>
        <v>3.333333333</v>
      </c>
      <c r="K1160" s="115" t="str">
        <f>IF(A1160&lt;=DPS_Graph_Max,IF(A1160&gt;=DPS_Graph_Speed_Min,A1160,),)</f>
        <v/>
      </c>
      <c r="M1160" s="213">
        <f>If(DPS_Weapon_Type="远程",$E1160/60+$F1160*2,$E1160/60+$F1160+$G1160/2+$H1160)</f>
        <v>0.04316617502</v>
      </c>
      <c r="N1160" s="104" t="str">
        <f>IF(DPS_Graph_Tooltip_Speed=TRUE,IF($A1160&lt;=DPS_Graph_Max,IF($A1160&gt;=DPS_Graph_Speed_Min,1/M1160,),),)</f>
        <v/>
      </c>
      <c r="R1160" s="104" t="str">
        <f>IF(DPS_Graph_Tooltip_Speed=TRUE,IF($E$8=$A1160,1/$N$6,),)</f>
        <v/>
      </c>
    </row>
    <row r="1161">
      <c r="A1161" s="370">
        <v>9.18</v>
      </c>
      <c r="B1161" s="213">
        <f>If(DPS_Weapon_Type="远程",($E1161+1)/60+(ROUNDDOWN($F1161*60+1,0)/60)*2,(ROUNDDOWN(($E1161+1)+ROUNDDOWN($F1161*60+1,0)+ROUNDDOWN($G1161/2*60+1,0)+ROUNDDOWN($H1161*60+1,0)+1,0))/60+If(DPS_ATK_TYPE="挥砍",1/60)+If(DPS_ATK_TYPE="挥砍/刺击",1/120))+DPS_Weapon_Randomization/60</f>
        <v>0.105</v>
      </c>
      <c r="C1161" s="104" t="str">
        <f>IF(DPS_Graph_True_Speed=TRUE,IF($A1161&lt;=DPS_Graph_Max,IF($A1161&gt;=DPS_Graph_Speed_Min,1/B1161,),),)</f>
        <v/>
      </c>
      <c r="D1161" s="115" t="str">
        <f>IF(DPS_Graph_True_Speed=TRUE,IF($E$8=$A1161,DPS_Attacks_P_Sec,),)</f>
        <v/>
      </c>
      <c r="E1161" s="222">
        <f>ROUNDDOWN(MAX(2,IF(A1161&gt;=0, DPS_Base_Wpn_Spd/(1+A1161),DPS_Base_Wpn_Spd*(1+ABS(A1161)))),0)</f>
        <v>2</v>
      </c>
      <c r="F1161" s="232">
        <f>IF(A1161&gt;=0, DPS_Base_Recoil/(1+A1161),DPS_Base_Recoil)</f>
        <v>0.004911591356</v>
      </c>
      <c r="G1161" s="377">
        <f t="shared" si="7"/>
        <v>0.51</v>
      </c>
      <c r="H1161" s="377">
        <f t="shared" si="8"/>
        <v>0.007007708479</v>
      </c>
      <c r="I1161" s="104"/>
      <c r="J1161" s="377">
        <f>MAX(0, Max(25,(DPS_Base_Range + ((DPS_Range_Stat) / 2))) / MIN(MAX(70, (70 * (1 + ($A1161 / 3)))), 120))</f>
        <v>3.333333333</v>
      </c>
      <c r="K1161" s="115" t="str">
        <f>IF(A1161&lt;=DPS_Graph_Max,IF(A1161&gt;=DPS_Graph_Speed_Min,A1161,),)</f>
        <v/>
      </c>
      <c r="M1161" s="213">
        <f>If(DPS_Weapon_Type="远程",$E1161/60+$F1161*2,$E1161/60+$F1161+$G1161/2+$H1161)</f>
        <v>0.04315651604</v>
      </c>
      <c r="N1161" s="104" t="str">
        <f>IF(DPS_Graph_Tooltip_Speed=TRUE,IF($A1161&lt;=DPS_Graph_Max,IF($A1161&gt;=DPS_Graph_Speed_Min,1/M1161,),),)</f>
        <v/>
      </c>
      <c r="R1161" s="104" t="str">
        <f>IF(DPS_Graph_Tooltip_Speed=TRUE,IF($E$8=$A1161,1/$N$6,),)</f>
        <v/>
      </c>
    </row>
    <row r="1162">
      <c r="A1162" s="370">
        <v>9.19</v>
      </c>
      <c r="B1162" s="213">
        <f>If(DPS_Weapon_Type="远程",($E1162+1)/60+(ROUNDDOWN($F1162*60+1,0)/60)*2,(ROUNDDOWN(($E1162+1)+ROUNDDOWN($F1162*60+1,0)+ROUNDDOWN($G1162/2*60+1,0)+ROUNDDOWN($H1162*60+1,0)+1,0))/60+If(DPS_ATK_TYPE="挥砍",1/60)+If(DPS_ATK_TYPE="挥砍/刺击",1/120))+DPS_Weapon_Randomization/60</f>
        <v>0.105</v>
      </c>
      <c r="C1162" s="104" t="str">
        <f>IF(DPS_Graph_True_Speed=TRUE,IF($A1162&lt;=DPS_Graph_Max,IF($A1162&gt;=DPS_Graph_Speed_Min,1/B1162,),),)</f>
        <v/>
      </c>
      <c r="D1162" s="115" t="str">
        <f>IF(DPS_Graph_True_Speed=TRUE,IF($E$8=$A1162,DPS_Attacks_P_Sec,),)</f>
        <v/>
      </c>
      <c r="E1162" s="222">
        <f>ROUNDDOWN(MAX(2,IF(A1162&gt;=0, DPS_Base_Wpn_Spd/(1+A1162),DPS_Base_Wpn_Spd*(1+ABS(A1162)))),0)</f>
        <v>2</v>
      </c>
      <c r="F1162" s="232">
        <f>IF(A1162&gt;=0, DPS_Base_Recoil/(1+A1162),DPS_Base_Recoil)</f>
        <v>0.004906771344</v>
      </c>
      <c r="G1162" s="377">
        <f t="shared" si="7"/>
        <v>0.51</v>
      </c>
      <c r="H1162" s="377">
        <f t="shared" si="8"/>
        <v>0.007000350018</v>
      </c>
      <c r="I1162" s="104"/>
      <c r="J1162" s="377">
        <f>MAX(0, Max(25,(DPS_Base_Range + ((DPS_Range_Stat) / 2))) / MIN(MAX(70, (70 * (1 + ($A1162 / 3)))), 120))</f>
        <v>3.333333333</v>
      </c>
      <c r="K1162" s="115" t="str">
        <f>IF(A1162&lt;=DPS_Graph_Max,IF(A1162&gt;=DPS_Graph_Speed_Min,A1162,),)</f>
        <v/>
      </c>
      <c r="M1162" s="213">
        <f>If(DPS_Weapon_Type="远程",$E1162/60+$F1162*2,$E1162/60+$F1162+$G1162/2+$H1162)</f>
        <v>0.04314687602</v>
      </c>
      <c r="N1162" s="104" t="str">
        <f>IF(DPS_Graph_Tooltip_Speed=TRUE,IF($A1162&lt;=DPS_Graph_Max,IF($A1162&gt;=DPS_Graph_Speed_Min,1/M1162,),),)</f>
        <v/>
      </c>
      <c r="R1162" s="104" t="str">
        <f>IF(DPS_Graph_Tooltip_Speed=TRUE,IF($E$8=$A1162,1/$N$6,),)</f>
        <v/>
      </c>
    </row>
    <row r="1163">
      <c r="A1163" s="370">
        <v>9.2</v>
      </c>
      <c r="B1163" s="213">
        <f>If(DPS_Weapon_Type="远程",($E1163+1)/60+(ROUNDDOWN($F1163*60+1,0)/60)*2,(ROUNDDOWN(($E1163+1)+ROUNDDOWN($F1163*60+1,0)+ROUNDDOWN($G1163/2*60+1,0)+ROUNDDOWN($H1163*60+1,0)+1,0))/60+If(DPS_ATK_TYPE="挥砍",1/60)+If(DPS_ATK_TYPE="挥砍/刺击",1/120))+DPS_Weapon_Randomization/60</f>
        <v>0.105</v>
      </c>
      <c r="C1163" s="104" t="str">
        <f>IF(DPS_Graph_True_Speed=TRUE,IF($A1163&lt;=DPS_Graph_Max,IF($A1163&gt;=DPS_Graph_Speed_Min,1/B1163,),),)</f>
        <v/>
      </c>
      <c r="D1163" s="115" t="str">
        <f>IF(DPS_Graph_True_Speed=TRUE,IF($E$8=$A1163,DPS_Attacks_P_Sec,),)</f>
        <v/>
      </c>
      <c r="E1163" s="222">
        <f>ROUNDDOWN(MAX(2,IF(A1163&gt;=0, DPS_Base_Wpn_Spd/(1+A1163),DPS_Base_Wpn_Spd*(1+ABS(A1163)))),0)</f>
        <v>2</v>
      </c>
      <c r="F1163" s="232">
        <f>IF(A1163&gt;=0, DPS_Base_Recoil/(1+A1163),DPS_Base_Recoil)</f>
        <v>0.004901960784</v>
      </c>
      <c r="G1163" s="377">
        <f t="shared" si="7"/>
        <v>0.51</v>
      </c>
      <c r="H1163" s="377">
        <f t="shared" si="8"/>
        <v>0.006993006993</v>
      </c>
      <c r="I1163" s="104"/>
      <c r="J1163" s="377">
        <f>MAX(0, Max(25,(DPS_Base_Range + ((DPS_Range_Stat) / 2))) / MIN(MAX(70, (70 * (1 + ($A1163 / 3)))), 120))</f>
        <v>3.333333333</v>
      </c>
      <c r="K1163" s="115" t="str">
        <f>IF(A1163&lt;=DPS_Graph_Max,IF(A1163&gt;=DPS_Graph_Speed_Min,A1163,),)</f>
        <v/>
      </c>
      <c r="M1163" s="213">
        <f>If(DPS_Weapon_Type="远程",$E1163/60+$F1163*2,$E1163/60+$F1163+$G1163/2+$H1163)</f>
        <v>0.0431372549</v>
      </c>
      <c r="N1163" s="104" t="str">
        <f>IF(DPS_Graph_Tooltip_Speed=TRUE,IF($A1163&lt;=DPS_Graph_Max,IF($A1163&gt;=DPS_Graph_Speed_Min,1/M1163,),),)</f>
        <v/>
      </c>
      <c r="R1163" s="104" t="str">
        <f>IF(DPS_Graph_Tooltip_Speed=TRUE,IF($E$8=$A1163,1/$N$6,),)</f>
        <v/>
      </c>
    </row>
    <row r="1164">
      <c r="A1164" s="370">
        <v>9.21</v>
      </c>
      <c r="B1164" s="213">
        <f>If(DPS_Weapon_Type="远程",($E1164+1)/60+(ROUNDDOWN($F1164*60+1,0)/60)*2,(ROUNDDOWN(($E1164+1)+ROUNDDOWN($F1164*60+1,0)+ROUNDDOWN($G1164/2*60+1,0)+ROUNDDOWN($H1164*60+1,0)+1,0))/60+If(DPS_ATK_TYPE="挥砍",1/60)+If(DPS_ATK_TYPE="挥砍/刺击",1/120))+DPS_Weapon_Randomization/60</f>
        <v>0.105</v>
      </c>
      <c r="C1164" s="104" t="str">
        <f>IF(DPS_Graph_True_Speed=TRUE,IF($A1164&lt;=DPS_Graph_Max,IF($A1164&gt;=DPS_Graph_Speed_Min,1/B1164,),),)</f>
        <v/>
      </c>
      <c r="D1164" s="115" t="str">
        <f>IF(DPS_Graph_True_Speed=TRUE,IF($E$8=$A1164,DPS_Attacks_P_Sec,),)</f>
        <v/>
      </c>
      <c r="E1164" s="222">
        <f>ROUNDDOWN(MAX(2,IF(A1164&gt;=0, DPS_Base_Wpn_Spd/(1+A1164),DPS_Base_Wpn_Spd*(1+ABS(A1164)))),0)</f>
        <v>2</v>
      </c>
      <c r="F1164" s="232">
        <f>IF(A1164&gt;=0, DPS_Base_Recoil/(1+A1164),DPS_Base_Recoil)</f>
        <v>0.004897159647</v>
      </c>
      <c r="G1164" s="377">
        <f t="shared" si="7"/>
        <v>0.51</v>
      </c>
      <c r="H1164" s="377">
        <f t="shared" si="8"/>
        <v>0.006985679357</v>
      </c>
      <c r="I1164" s="104"/>
      <c r="J1164" s="377">
        <f>MAX(0, Max(25,(DPS_Base_Range + ((DPS_Range_Stat) / 2))) / MIN(MAX(70, (70 * (1 + ($A1164 / 3)))), 120))</f>
        <v>3.333333333</v>
      </c>
      <c r="K1164" s="115" t="str">
        <f>IF(A1164&lt;=DPS_Graph_Max,IF(A1164&gt;=DPS_Graph_Speed_Min,A1164,),)</f>
        <v/>
      </c>
      <c r="M1164" s="213">
        <f>If(DPS_Weapon_Type="远程",$E1164/60+$F1164*2,$E1164/60+$F1164+$G1164/2+$H1164)</f>
        <v>0.04312765263</v>
      </c>
      <c r="N1164" s="104" t="str">
        <f>IF(DPS_Graph_Tooltip_Speed=TRUE,IF($A1164&lt;=DPS_Graph_Max,IF($A1164&gt;=DPS_Graph_Speed_Min,1/M1164,),),)</f>
        <v/>
      </c>
      <c r="R1164" s="104" t="str">
        <f>IF(DPS_Graph_Tooltip_Speed=TRUE,IF($E$8=$A1164,1/$N$6,),)</f>
        <v/>
      </c>
    </row>
    <row r="1165">
      <c r="A1165" s="370">
        <v>9.22</v>
      </c>
      <c r="B1165" s="213">
        <f>If(DPS_Weapon_Type="远程",($E1165+1)/60+(ROUNDDOWN($F1165*60+1,0)/60)*2,(ROUNDDOWN(($E1165+1)+ROUNDDOWN($F1165*60+1,0)+ROUNDDOWN($G1165/2*60+1,0)+ROUNDDOWN($H1165*60+1,0)+1,0))/60+If(DPS_ATK_TYPE="挥砍",1/60)+If(DPS_ATK_TYPE="挥砍/刺击",1/120))+DPS_Weapon_Randomization/60</f>
        <v>0.105</v>
      </c>
      <c r="C1165" s="104" t="str">
        <f>IF(DPS_Graph_True_Speed=TRUE,IF($A1165&lt;=DPS_Graph_Max,IF($A1165&gt;=DPS_Graph_Speed_Min,1/B1165,),),)</f>
        <v/>
      </c>
      <c r="D1165" s="115" t="str">
        <f>IF(DPS_Graph_True_Speed=TRUE,IF($E$8=$A1165,DPS_Attacks_P_Sec,),)</f>
        <v/>
      </c>
      <c r="E1165" s="222">
        <f>ROUNDDOWN(MAX(2,IF(A1165&gt;=0, DPS_Base_Wpn_Spd/(1+A1165),DPS_Base_Wpn_Spd*(1+ABS(A1165)))),0)</f>
        <v>2</v>
      </c>
      <c r="F1165" s="232">
        <f>IF(A1165&gt;=0, DPS_Base_Recoil/(1+A1165),DPS_Base_Recoil)</f>
        <v>0.004892367906</v>
      </c>
      <c r="G1165" s="377">
        <f t="shared" si="7"/>
        <v>0.51</v>
      </c>
      <c r="H1165" s="377">
        <f t="shared" si="8"/>
        <v>0.006978367062</v>
      </c>
      <c r="I1165" s="104"/>
      <c r="J1165" s="377">
        <f>MAX(0, Max(25,(DPS_Base_Range + ((DPS_Range_Stat) / 2))) / MIN(MAX(70, (70 * (1 + ($A1165 / 3)))), 120))</f>
        <v>3.333333333</v>
      </c>
      <c r="K1165" s="115" t="str">
        <f>IF(A1165&lt;=DPS_Graph_Max,IF(A1165&gt;=DPS_Graph_Speed_Min,A1165,),)</f>
        <v/>
      </c>
      <c r="M1165" s="213">
        <f>If(DPS_Weapon_Type="远程",$E1165/60+$F1165*2,$E1165/60+$F1165+$G1165/2+$H1165)</f>
        <v>0.04311806915</v>
      </c>
      <c r="N1165" s="104" t="str">
        <f>IF(DPS_Graph_Tooltip_Speed=TRUE,IF($A1165&lt;=DPS_Graph_Max,IF($A1165&gt;=DPS_Graph_Speed_Min,1/M1165,),),)</f>
        <v/>
      </c>
      <c r="R1165" s="104" t="str">
        <f>IF(DPS_Graph_Tooltip_Speed=TRUE,IF($E$8=$A1165,1/$N$6,),)</f>
        <v/>
      </c>
    </row>
    <row r="1166">
      <c r="A1166" s="370">
        <v>9.23</v>
      </c>
      <c r="B1166" s="213">
        <f>If(DPS_Weapon_Type="远程",($E1166+1)/60+(ROUNDDOWN($F1166*60+1,0)/60)*2,(ROUNDDOWN(($E1166+1)+ROUNDDOWN($F1166*60+1,0)+ROUNDDOWN($G1166/2*60+1,0)+ROUNDDOWN($H1166*60+1,0)+1,0))/60+If(DPS_ATK_TYPE="挥砍",1/60)+If(DPS_ATK_TYPE="挥砍/刺击",1/120))+DPS_Weapon_Randomization/60</f>
        <v>0.105</v>
      </c>
      <c r="C1166" s="104" t="str">
        <f>IF(DPS_Graph_True_Speed=TRUE,IF($A1166&lt;=DPS_Graph_Max,IF($A1166&gt;=DPS_Graph_Speed_Min,1/B1166,),),)</f>
        <v/>
      </c>
      <c r="D1166" s="115" t="str">
        <f>IF(DPS_Graph_True_Speed=TRUE,IF($E$8=$A1166,DPS_Attacks_P_Sec,),)</f>
        <v/>
      </c>
      <c r="E1166" s="222">
        <f>ROUNDDOWN(MAX(2,IF(A1166&gt;=0, DPS_Base_Wpn_Spd/(1+A1166),DPS_Base_Wpn_Spd*(1+ABS(A1166)))),0)</f>
        <v>2</v>
      </c>
      <c r="F1166" s="232">
        <f>IF(A1166&gt;=0, DPS_Base_Recoil/(1+A1166),DPS_Base_Recoil)</f>
        <v>0.004887585533</v>
      </c>
      <c r="G1166" s="377">
        <f t="shared" si="7"/>
        <v>0.51</v>
      </c>
      <c r="H1166" s="377">
        <f t="shared" si="8"/>
        <v>0.006971070059</v>
      </c>
      <c r="I1166" s="104"/>
      <c r="J1166" s="377">
        <f>MAX(0, Max(25,(DPS_Base_Range + ((DPS_Range_Stat) / 2))) / MIN(MAX(70, (70 * (1 + ($A1166 / 3)))), 120))</f>
        <v>3.333333333</v>
      </c>
      <c r="K1166" s="115" t="str">
        <f>IF(A1166&lt;=DPS_Graph_Max,IF(A1166&gt;=DPS_Graph_Speed_Min,A1166,),)</f>
        <v/>
      </c>
      <c r="M1166" s="213">
        <f>If(DPS_Weapon_Type="远程",$E1166/60+$F1166*2,$E1166/60+$F1166+$G1166/2+$H1166)</f>
        <v>0.0431085044</v>
      </c>
      <c r="N1166" s="104" t="str">
        <f>IF(DPS_Graph_Tooltip_Speed=TRUE,IF($A1166&lt;=DPS_Graph_Max,IF($A1166&gt;=DPS_Graph_Speed_Min,1/M1166,),),)</f>
        <v/>
      </c>
      <c r="R1166" s="104" t="str">
        <f>IF(DPS_Graph_Tooltip_Speed=TRUE,IF($E$8=$A1166,1/$N$6,),)</f>
        <v/>
      </c>
    </row>
    <row r="1167">
      <c r="A1167" s="370">
        <v>9.24</v>
      </c>
      <c r="B1167" s="213">
        <f>If(DPS_Weapon_Type="远程",($E1167+1)/60+(ROUNDDOWN($F1167*60+1,0)/60)*2,(ROUNDDOWN(($E1167+1)+ROUNDDOWN($F1167*60+1,0)+ROUNDDOWN($G1167/2*60+1,0)+ROUNDDOWN($H1167*60+1,0)+1,0))/60+If(DPS_ATK_TYPE="挥砍",1/60)+If(DPS_ATK_TYPE="挥砍/刺击",1/120))+DPS_Weapon_Randomization/60</f>
        <v>0.105</v>
      </c>
      <c r="C1167" s="104" t="str">
        <f>IF(DPS_Graph_True_Speed=TRUE,IF($A1167&lt;=DPS_Graph_Max,IF($A1167&gt;=DPS_Graph_Speed_Min,1/B1167,),),)</f>
        <v/>
      </c>
      <c r="D1167" s="115" t="str">
        <f>IF(DPS_Graph_True_Speed=TRUE,IF($E$8=$A1167,DPS_Attacks_P_Sec,),)</f>
        <v/>
      </c>
      <c r="E1167" s="222">
        <f>ROUNDDOWN(MAX(2,IF(A1167&gt;=0, DPS_Base_Wpn_Spd/(1+A1167),DPS_Base_Wpn_Spd*(1+ABS(A1167)))),0)</f>
        <v>2</v>
      </c>
      <c r="F1167" s="232">
        <f>IF(A1167&gt;=0, DPS_Base_Recoil/(1+A1167),DPS_Base_Recoil)</f>
        <v>0.0048828125</v>
      </c>
      <c r="G1167" s="377">
        <f t="shared" si="7"/>
        <v>0.51</v>
      </c>
      <c r="H1167" s="377">
        <f t="shared" si="8"/>
        <v>0.006963788301</v>
      </c>
      <c r="I1167" s="104"/>
      <c r="J1167" s="377">
        <f>MAX(0, Max(25,(DPS_Base_Range + ((DPS_Range_Stat) / 2))) / MIN(MAX(70, (70 * (1 + ($A1167 / 3)))), 120))</f>
        <v>3.333333333</v>
      </c>
      <c r="K1167" s="115" t="str">
        <f>IF(A1167&lt;=DPS_Graph_Max,IF(A1167&gt;=DPS_Graph_Speed_Min,A1167,),)</f>
        <v/>
      </c>
      <c r="M1167" s="213">
        <f>If(DPS_Weapon_Type="远程",$E1167/60+$F1167*2,$E1167/60+$F1167+$G1167/2+$H1167)</f>
        <v>0.04309895833</v>
      </c>
      <c r="N1167" s="104" t="str">
        <f>IF(DPS_Graph_Tooltip_Speed=TRUE,IF($A1167&lt;=DPS_Graph_Max,IF($A1167&gt;=DPS_Graph_Speed_Min,1/M1167,),),)</f>
        <v/>
      </c>
      <c r="R1167" s="104" t="str">
        <f>IF(DPS_Graph_Tooltip_Speed=TRUE,IF($E$8=$A1167,1/$N$6,),)</f>
        <v/>
      </c>
    </row>
    <row r="1168">
      <c r="A1168" s="370">
        <v>9.25</v>
      </c>
      <c r="B1168" s="213">
        <f>If(DPS_Weapon_Type="远程",($E1168+1)/60+(ROUNDDOWN($F1168*60+1,0)/60)*2,(ROUNDDOWN(($E1168+1)+ROUNDDOWN($F1168*60+1,0)+ROUNDDOWN($G1168/2*60+1,0)+ROUNDDOWN($H1168*60+1,0)+1,0))/60+If(DPS_ATK_TYPE="挥砍",1/60)+If(DPS_ATK_TYPE="挥砍/刺击",1/120))+DPS_Weapon_Randomization/60</f>
        <v>0.105</v>
      </c>
      <c r="C1168" s="104" t="str">
        <f>IF(DPS_Graph_True_Speed=TRUE,IF($A1168&lt;=DPS_Graph_Max,IF($A1168&gt;=DPS_Graph_Speed_Min,1/B1168,),),)</f>
        <v/>
      </c>
      <c r="D1168" s="115" t="str">
        <f>IF(DPS_Graph_True_Speed=TRUE,IF($E$8=$A1168,DPS_Attacks_P_Sec,),)</f>
        <v/>
      </c>
      <c r="E1168" s="222">
        <f>ROUNDDOWN(MAX(2,IF(A1168&gt;=0, DPS_Base_Wpn_Spd/(1+A1168),DPS_Base_Wpn_Spd*(1+ABS(A1168)))),0)</f>
        <v>2</v>
      </c>
      <c r="F1168" s="232">
        <f>IF(A1168&gt;=0, DPS_Base_Recoil/(1+A1168),DPS_Base_Recoil)</f>
        <v>0.00487804878</v>
      </c>
      <c r="G1168" s="377">
        <f t="shared" si="7"/>
        <v>0.51</v>
      </c>
      <c r="H1168" s="377">
        <f t="shared" si="8"/>
        <v>0.006956521739</v>
      </c>
      <c r="I1168" s="104"/>
      <c r="J1168" s="377">
        <f>MAX(0, Max(25,(DPS_Base_Range + ((DPS_Range_Stat) / 2))) / MIN(MAX(70, (70 * (1 + ($A1168 / 3)))), 120))</f>
        <v>3.333333333</v>
      </c>
      <c r="K1168" s="115" t="str">
        <f>IF(A1168&lt;=DPS_Graph_Max,IF(A1168&gt;=DPS_Graph_Speed_Min,A1168,),)</f>
        <v/>
      </c>
      <c r="M1168" s="213">
        <f>If(DPS_Weapon_Type="远程",$E1168/60+$F1168*2,$E1168/60+$F1168+$G1168/2+$H1168)</f>
        <v>0.04308943089</v>
      </c>
      <c r="N1168" s="104" t="str">
        <f>IF(DPS_Graph_Tooltip_Speed=TRUE,IF($A1168&lt;=DPS_Graph_Max,IF($A1168&gt;=DPS_Graph_Speed_Min,1/M1168,),),)</f>
        <v/>
      </c>
      <c r="R1168" s="104" t="str">
        <f>IF(DPS_Graph_Tooltip_Speed=TRUE,IF($E$8=$A1168,1/$N$6,),)</f>
        <v/>
      </c>
    </row>
    <row r="1169">
      <c r="A1169" s="370">
        <v>9.26</v>
      </c>
      <c r="B1169" s="213">
        <f>If(DPS_Weapon_Type="远程",($E1169+1)/60+(ROUNDDOWN($F1169*60+1,0)/60)*2,(ROUNDDOWN(($E1169+1)+ROUNDDOWN($F1169*60+1,0)+ROUNDDOWN($G1169/2*60+1,0)+ROUNDDOWN($H1169*60+1,0)+1,0))/60+If(DPS_ATK_TYPE="挥砍",1/60)+If(DPS_ATK_TYPE="挥砍/刺击",1/120))+DPS_Weapon_Randomization/60</f>
        <v>0.105</v>
      </c>
      <c r="C1169" s="104" t="str">
        <f>IF(DPS_Graph_True_Speed=TRUE,IF($A1169&lt;=DPS_Graph_Max,IF($A1169&gt;=DPS_Graph_Speed_Min,1/B1169,),),)</f>
        <v/>
      </c>
      <c r="D1169" s="115" t="str">
        <f>IF(DPS_Graph_True_Speed=TRUE,IF($E$8=$A1169,DPS_Attacks_P_Sec,),)</f>
        <v/>
      </c>
      <c r="E1169" s="222">
        <f>ROUNDDOWN(MAX(2,IF(A1169&gt;=0, DPS_Base_Wpn_Spd/(1+A1169),DPS_Base_Wpn_Spd*(1+ABS(A1169)))),0)</f>
        <v>2</v>
      </c>
      <c r="F1169" s="232">
        <f>IF(A1169&gt;=0, DPS_Base_Recoil/(1+A1169),DPS_Base_Recoil)</f>
        <v>0.004873294347</v>
      </c>
      <c r="G1169" s="377">
        <f t="shared" si="7"/>
        <v>0.51</v>
      </c>
      <c r="H1169" s="377">
        <f t="shared" si="8"/>
        <v>0.006949270327</v>
      </c>
      <c r="I1169" s="104"/>
      <c r="J1169" s="377">
        <f>MAX(0, Max(25,(DPS_Base_Range + ((DPS_Range_Stat) / 2))) / MIN(MAX(70, (70 * (1 + ($A1169 / 3)))), 120))</f>
        <v>3.333333333</v>
      </c>
      <c r="K1169" s="115" t="str">
        <f>IF(A1169&lt;=DPS_Graph_Max,IF(A1169&gt;=DPS_Graph_Speed_Min,A1169,),)</f>
        <v/>
      </c>
      <c r="M1169" s="213">
        <f>If(DPS_Weapon_Type="远程",$E1169/60+$F1169*2,$E1169/60+$F1169+$G1169/2+$H1169)</f>
        <v>0.04307992203</v>
      </c>
      <c r="N1169" s="104" t="str">
        <f>IF(DPS_Graph_Tooltip_Speed=TRUE,IF($A1169&lt;=DPS_Graph_Max,IF($A1169&gt;=DPS_Graph_Speed_Min,1/M1169,),),)</f>
        <v/>
      </c>
      <c r="R1169" s="104" t="str">
        <f>IF(DPS_Graph_Tooltip_Speed=TRUE,IF($E$8=$A1169,1/$N$6,),)</f>
        <v/>
      </c>
    </row>
    <row r="1170">
      <c r="A1170" s="370">
        <v>9.27</v>
      </c>
      <c r="B1170" s="213">
        <f>If(DPS_Weapon_Type="远程",($E1170+1)/60+(ROUNDDOWN($F1170*60+1,0)/60)*2,(ROUNDDOWN(($E1170+1)+ROUNDDOWN($F1170*60+1,0)+ROUNDDOWN($G1170/2*60+1,0)+ROUNDDOWN($H1170*60+1,0)+1,0))/60+If(DPS_ATK_TYPE="挥砍",1/60)+If(DPS_ATK_TYPE="挥砍/刺击",1/120))+DPS_Weapon_Randomization/60</f>
        <v>0.105</v>
      </c>
      <c r="C1170" s="104" t="str">
        <f>IF(DPS_Graph_True_Speed=TRUE,IF($A1170&lt;=DPS_Graph_Max,IF($A1170&gt;=DPS_Graph_Speed_Min,1/B1170,),),)</f>
        <v/>
      </c>
      <c r="D1170" s="115" t="str">
        <f>IF(DPS_Graph_True_Speed=TRUE,IF($E$8=$A1170,DPS_Attacks_P_Sec,),)</f>
        <v/>
      </c>
      <c r="E1170" s="222">
        <f>ROUNDDOWN(MAX(2,IF(A1170&gt;=0, DPS_Base_Wpn_Spd/(1+A1170),DPS_Base_Wpn_Spd*(1+ABS(A1170)))),0)</f>
        <v>2</v>
      </c>
      <c r="F1170" s="232">
        <f>IF(A1170&gt;=0, DPS_Base_Recoil/(1+A1170),DPS_Base_Recoil)</f>
        <v>0.004868549172</v>
      </c>
      <c r="G1170" s="377">
        <f t="shared" si="7"/>
        <v>0.51</v>
      </c>
      <c r="H1170" s="377">
        <f t="shared" si="8"/>
        <v>0.006942034016</v>
      </c>
      <c r="I1170" s="104"/>
      <c r="J1170" s="377">
        <f>MAX(0, Max(25,(DPS_Base_Range + ((DPS_Range_Stat) / 2))) / MIN(MAX(70, (70 * (1 + ($A1170 / 3)))), 120))</f>
        <v>3.333333333</v>
      </c>
      <c r="K1170" s="115" t="str">
        <f>IF(A1170&lt;=DPS_Graph_Max,IF(A1170&gt;=DPS_Graph_Speed_Min,A1170,),)</f>
        <v/>
      </c>
      <c r="M1170" s="213">
        <f>If(DPS_Weapon_Type="远程",$E1170/60+$F1170*2,$E1170/60+$F1170+$G1170/2+$H1170)</f>
        <v>0.04307043168</v>
      </c>
      <c r="N1170" s="104" t="str">
        <f>IF(DPS_Graph_Tooltip_Speed=TRUE,IF($A1170&lt;=DPS_Graph_Max,IF($A1170&gt;=DPS_Graph_Speed_Min,1/M1170,),),)</f>
        <v/>
      </c>
      <c r="R1170" s="104" t="str">
        <f>IF(DPS_Graph_Tooltip_Speed=TRUE,IF($E$8=$A1170,1/$N$6,),)</f>
        <v/>
      </c>
    </row>
    <row r="1171">
      <c r="A1171" s="370">
        <v>9.28</v>
      </c>
      <c r="B1171" s="213">
        <f>If(DPS_Weapon_Type="远程",($E1171+1)/60+(ROUNDDOWN($F1171*60+1,0)/60)*2,(ROUNDDOWN(($E1171+1)+ROUNDDOWN($F1171*60+1,0)+ROUNDDOWN($G1171/2*60+1,0)+ROUNDDOWN($H1171*60+1,0)+1,0))/60+If(DPS_ATK_TYPE="挥砍",1/60)+If(DPS_ATK_TYPE="挥砍/刺击",1/120))+DPS_Weapon_Randomization/60</f>
        <v>0.105</v>
      </c>
      <c r="C1171" s="104" t="str">
        <f>IF(DPS_Graph_True_Speed=TRUE,IF($A1171&lt;=DPS_Graph_Max,IF($A1171&gt;=DPS_Graph_Speed_Min,1/B1171,),),)</f>
        <v/>
      </c>
      <c r="D1171" s="115" t="str">
        <f>IF(DPS_Graph_True_Speed=TRUE,IF($E$8=$A1171,DPS_Attacks_P_Sec,),)</f>
        <v/>
      </c>
      <c r="E1171" s="222">
        <f>ROUNDDOWN(MAX(2,IF(A1171&gt;=0, DPS_Base_Wpn_Spd/(1+A1171),DPS_Base_Wpn_Spd*(1+ABS(A1171)))),0)</f>
        <v>2</v>
      </c>
      <c r="F1171" s="232">
        <f>IF(A1171&gt;=0, DPS_Base_Recoil/(1+A1171),DPS_Base_Recoil)</f>
        <v>0.00486381323</v>
      </c>
      <c r="G1171" s="377">
        <f t="shared" si="7"/>
        <v>0.51</v>
      </c>
      <c r="H1171" s="377">
        <f t="shared" si="8"/>
        <v>0.00693481276</v>
      </c>
      <c r="I1171" s="104"/>
      <c r="J1171" s="377">
        <f>MAX(0, Max(25,(DPS_Base_Range + ((DPS_Range_Stat) / 2))) / MIN(MAX(70, (70 * (1 + ($A1171 / 3)))), 120))</f>
        <v>3.333333333</v>
      </c>
      <c r="K1171" s="115" t="str">
        <f>IF(A1171&lt;=DPS_Graph_Max,IF(A1171&gt;=DPS_Graph_Speed_Min,A1171,),)</f>
        <v/>
      </c>
      <c r="M1171" s="213">
        <f>If(DPS_Weapon_Type="远程",$E1171/60+$F1171*2,$E1171/60+$F1171+$G1171/2+$H1171)</f>
        <v>0.04306095979</v>
      </c>
      <c r="N1171" s="104" t="str">
        <f>IF(DPS_Graph_Tooltip_Speed=TRUE,IF($A1171&lt;=DPS_Graph_Max,IF($A1171&gt;=DPS_Graph_Speed_Min,1/M1171,),),)</f>
        <v/>
      </c>
      <c r="R1171" s="104" t="str">
        <f>IF(DPS_Graph_Tooltip_Speed=TRUE,IF($E$8=$A1171,1/$N$6,),)</f>
        <v/>
      </c>
    </row>
    <row r="1172">
      <c r="A1172" s="370">
        <v>9.29</v>
      </c>
      <c r="B1172" s="213">
        <f>If(DPS_Weapon_Type="远程",($E1172+1)/60+(ROUNDDOWN($F1172*60+1,0)/60)*2,(ROUNDDOWN(($E1172+1)+ROUNDDOWN($F1172*60+1,0)+ROUNDDOWN($G1172/2*60+1,0)+ROUNDDOWN($H1172*60+1,0)+1,0))/60+If(DPS_ATK_TYPE="挥砍",1/60)+If(DPS_ATK_TYPE="挥砍/刺击",1/120))+DPS_Weapon_Randomization/60</f>
        <v>0.105</v>
      </c>
      <c r="C1172" s="104" t="str">
        <f>IF(DPS_Graph_True_Speed=TRUE,IF($A1172&lt;=DPS_Graph_Max,IF($A1172&gt;=DPS_Graph_Speed_Min,1/B1172,),),)</f>
        <v/>
      </c>
      <c r="D1172" s="115" t="str">
        <f>IF(DPS_Graph_True_Speed=TRUE,IF($E$8=$A1172,DPS_Attacks_P_Sec,),)</f>
        <v/>
      </c>
      <c r="E1172" s="222">
        <f>ROUNDDOWN(MAX(2,IF(A1172&gt;=0, DPS_Base_Wpn_Spd/(1+A1172),DPS_Base_Wpn_Spd*(1+ABS(A1172)))),0)</f>
        <v>2</v>
      </c>
      <c r="F1172" s="232">
        <f>IF(A1172&gt;=0, DPS_Base_Recoil/(1+A1172),DPS_Base_Recoil)</f>
        <v>0.004859086492</v>
      </c>
      <c r="G1172" s="377">
        <f t="shared" si="7"/>
        <v>0.51</v>
      </c>
      <c r="H1172" s="377">
        <f t="shared" si="8"/>
        <v>0.006927606512</v>
      </c>
      <c r="I1172" s="104"/>
      <c r="J1172" s="377">
        <f>MAX(0, Max(25,(DPS_Base_Range + ((DPS_Range_Stat) / 2))) / MIN(MAX(70, (70 * (1 + ($A1172 / 3)))), 120))</f>
        <v>3.333333333</v>
      </c>
      <c r="K1172" s="115" t="str">
        <f>IF(A1172&lt;=DPS_Graph_Max,IF(A1172&gt;=DPS_Graph_Speed_Min,A1172,),)</f>
        <v/>
      </c>
      <c r="M1172" s="213">
        <f>If(DPS_Weapon_Type="远程",$E1172/60+$F1172*2,$E1172/60+$F1172+$G1172/2+$H1172)</f>
        <v>0.04305150632</v>
      </c>
      <c r="N1172" s="104" t="str">
        <f>IF(DPS_Graph_Tooltip_Speed=TRUE,IF($A1172&lt;=DPS_Graph_Max,IF($A1172&gt;=DPS_Graph_Speed_Min,1/M1172,),),)</f>
        <v/>
      </c>
      <c r="R1172" s="104" t="str">
        <f>IF(DPS_Graph_Tooltip_Speed=TRUE,IF($E$8=$A1172,1/$N$6,),)</f>
        <v/>
      </c>
    </row>
    <row r="1173">
      <c r="A1173" s="370">
        <v>9.3</v>
      </c>
      <c r="B1173" s="213">
        <f>If(DPS_Weapon_Type="远程",($E1173+1)/60+(ROUNDDOWN($F1173*60+1,0)/60)*2,(ROUNDDOWN(($E1173+1)+ROUNDDOWN($F1173*60+1,0)+ROUNDDOWN($G1173/2*60+1,0)+ROUNDDOWN($H1173*60+1,0)+1,0))/60+If(DPS_ATK_TYPE="挥砍",1/60)+If(DPS_ATK_TYPE="挥砍/刺击",1/120))+DPS_Weapon_Randomization/60</f>
        <v>0.105</v>
      </c>
      <c r="C1173" s="104" t="str">
        <f>IF(DPS_Graph_True_Speed=TRUE,IF($A1173&lt;=DPS_Graph_Max,IF($A1173&gt;=DPS_Graph_Speed_Min,1/B1173,),),)</f>
        <v/>
      </c>
      <c r="D1173" s="115" t="str">
        <f>IF(DPS_Graph_True_Speed=TRUE,IF($E$8=$A1173,DPS_Attacks_P_Sec,),)</f>
        <v/>
      </c>
      <c r="E1173" s="222">
        <f>ROUNDDOWN(MAX(2,IF(A1173&gt;=0, DPS_Base_Wpn_Spd/(1+A1173),DPS_Base_Wpn_Spd*(1+ABS(A1173)))),0)</f>
        <v>2</v>
      </c>
      <c r="F1173" s="232">
        <f>IF(A1173&gt;=0, DPS_Base_Recoil/(1+A1173),DPS_Base_Recoil)</f>
        <v>0.004854368932</v>
      </c>
      <c r="G1173" s="377">
        <f t="shared" si="7"/>
        <v>0.51</v>
      </c>
      <c r="H1173" s="377">
        <f t="shared" si="8"/>
        <v>0.006920415225</v>
      </c>
      <c r="I1173" s="104"/>
      <c r="J1173" s="377">
        <f>MAX(0, Max(25,(DPS_Base_Range + ((DPS_Range_Stat) / 2))) / MIN(MAX(70, (70 * (1 + ($A1173 / 3)))), 120))</f>
        <v>3.333333333</v>
      </c>
      <c r="K1173" s="115" t="str">
        <f>IF(A1173&lt;=DPS_Graph_Max,IF(A1173&gt;=DPS_Graph_Speed_Min,A1173,),)</f>
        <v/>
      </c>
      <c r="M1173" s="213">
        <f>If(DPS_Weapon_Type="远程",$E1173/60+$F1173*2,$E1173/60+$F1173+$G1173/2+$H1173)</f>
        <v>0.0430420712</v>
      </c>
      <c r="N1173" s="104" t="str">
        <f>IF(DPS_Graph_Tooltip_Speed=TRUE,IF($A1173&lt;=DPS_Graph_Max,IF($A1173&gt;=DPS_Graph_Speed_Min,1/M1173,),),)</f>
        <v/>
      </c>
      <c r="R1173" s="104" t="str">
        <f>IF(DPS_Graph_Tooltip_Speed=TRUE,IF($E$8=$A1173,1/$N$6,),)</f>
        <v/>
      </c>
    </row>
    <row r="1174">
      <c r="A1174" s="370">
        <v>9.31</v>
      </c>
      <c r="B1174" s="213">
        <f>If(DPS_Weapon_Type="远程",($E1174+1)/60+(ROUNDDOWN($F1174*60+1,0)/60)*2,(ROUNDDOWN(($E1174+1)+ROUNDDOWN($F1174*60+1,0)+ROUNDDOWN($G1174/2*60+1,0)+ROUNDDOWN($H1174*60+1,0)+1,0))/60+If(DPS_ATK_TYPE="挥砍",1/60)+If(DPS_ATK_TYPE="挥砍/刺击",1/120))+DPS_Weapon_Randomization/60</f>
        <v>0.105</v>
      </c>
      <c r="C1174" s="104" t="str">
        <f>IF(DPS_Graph_True_Speed=TRUE,IF($A1174&lt;=DPS_Graph_Max,IF($A1174&gt;=DPS_Graph_Speed_Min,1/B1174,),),)</f>
        <v/>
      </c>
      <c r="D1174" s="115" t="str">
        <f>IF(DPS_Graph_True_Speed=TRUE,IF($E$8=$A1174,DPS_Attacks_P_Sec,),)</f>
        <v/>
      </c>
      <c r="E1174" s="222">
        <f>ROUNDDOWN(MAX(2,IF(A1174&gt;=0, DPS_Base_Wpn_Spd/(1+A1174),DPS_Base_Wpn_Spd*(1+ABS(A1174)))),0)</f>
        <v>2</v>
      </c>
      <c r="F1174" s="232">
        <f>IF(A1174&gt;=0, DPS_Base_Recoil/(1+A1174),DPS_Base_Recoil)</f>
        <v>0.004849660524</v>
      </c>
      <c r="G1174" s="377">
        <f t="shared" si="7"/>
        <v>0.51</v>
      </c>
      <c r="H1174" s="377">
        <f t="shared" si="8"/>
        <v>0.006913238852</v>
      </c>
      <c r="I1174" s="104"/>
      <c r="J1174" s="377">
        <f>MAX(0, Max(25,(DPS_Base_Range + ((DPS_Range_Stat) / 2))) / MIN(MAX(70, (70 * (1 + ($A1174 / 3)))), 120))</f>
        <v>3.333333333</v>
      </c>
      <c r="K1174" s="115" t="str">
        <f>IF(A1174&lt;=DPS_Graph_Max,IF(A1174&gt;=DPS_Graph_Speed_Min,A1174,),)</f>
        <v/>
      </c>
      <c r="M1174" s="213">
        <f>If(DPS_Weapon_Type="远程",$E1174/60+$F1174*2,$E1174/60+$F1174+$G1174/2+$H1174)</f>
        <v>0.04303265438</v>
      </c>
      <c r="N1174" s="104" t="str">
        <f>IF(DPS_Graph_Tooltip_Speed=TRUE,IF($A1174&lt;=DPS_Graph_Max,IF($A1174&gt;=DPS_Graph_Speed_Min,1/M1174,),),)</f>
        <v/>
      </c>
      <c r="R1174" s="104" t="str">
        <f>IF(DPS_Graph_Tooltip_Speed=TRUE,IF($E$8=$A1174,1/$N$6,),)</f>
        <v/>
      </c>
    </row>
    <row r="1175">
      <c r="A1175" s="370">
        <v>9.32</v>
      </c>
      <c r="B1175" s="213">
        <f>If(DPS_Weapon_Type="远程",($E1175+1)/60+(ROUNDDOWN($F1175*60+1,0)/60)*2,(ROUNDDOWN(($E1175+1)+ROUNDDOWN($F1175*60+1,0)+ROUNDDOWN($G1175/2*60+1,0)+ROUNDDOWN($H1175*60+1,0)+1,0))/60+If(DPS_ATK_TYPE="挥砍",1/60)+If(DPS_ATK_TYPE="挥砍/刺击",1/120))+DPS_Weapon_Randomization/60</f>
        <v>0.105</v>
      </c>
      <c r="C1175" s="104" t="str">
        <f>IF(DPS_Graph_True_Speed=TRUE,IF($A1175&lt;=DPS_Graph_Max,IF($A1175&gt;=DPS_Graph_Speed_Min,1/B1175,),),)</f>
        <v/>
      </c>
      <c r="D1175" s="115" t="str">
        <f>IF(DPS_Graph_True_Speed=TRUE,IF($E$8=$A1175,DPS_Attacks_P_Sec,),)</f>
        <v/>
      </c>
      <c r="E1175" s="222">
        <f>ROUNDDOWN(MAX(2,IF(A1175&gt;=0, DPS_Base_Wpn_Spd/(1+A1175),DPS_Base_Wpn_Spd*(1+ABS(A1175)))),0)</f>
        <v>2</v>
      </c>
      <c r="F1175" s="232">
        <f>IF(A1175&gt;=0, DPS_Base_Recoil/(1+A1175),DPS_Base_Recoil)</f>
        <v>0.00484496124</v>
      </c>
      <c r="G1175" s="377">
        <f t="shared" si="7"/>
        <v>0.51</v>
      </c>
      <c r="H1175" s="377">
        <f t="shared" si="8"/>
        <v>0.006906077348</v>
      </c>
      <c r="I1175" s="104"/>
      <c r="J1175" s="377">
        <f>MAX(0, Max(25,(DPS_Base_Range + ((DPS_Range_Stat) / 2))) / MIN(MAX(70, (70 * (1 + ($A1175 / 3)))), 120))</f>
        <v>3.333333333</v>
      </c>
      <c r="K1175" s="115" t="str">
        <f>IF(A1175&lt;=DPS_Graph_Max,IF(A1175&gt;=DPS_Graph_Speed_Min,A1175,),)</f>
        <v/>
      </c>
      <c r="M1175" s="213">
        <f>If(DPS_Weapon_Type="远程",$E1175/60+$F1175*2,$E1175/60+$F1175+$G1175/2+$H1175)</f>
        <v>0.04302325581</v>
      </c>
      <c r="N1175" s="104" t="str">
        <f>IF(DPS_Graph_Tooltip_Speed=TRUE,IF($A1175&lt;=DPS_Graph_Max,IF($A1175&gt;=DPS_Graph_Speed_Min,1/M1175,),),)</f>
        <v/>
      </c>
      <c r="R1175" s="104" t="str">
        <f>IF(DPS_Graph_Tooltip_Speed=TRUE,IF($E$8=$A1175,1/$N$6,),)</f>
        <v/>
      </c>
    </row>
    <row r="1176">
      <c r="A1176" s="370">
        <v>9.33</v>
      </c>
      <c r="B1176" s="213">
        <f>If(DPS_Weapon_Type="远程",($E1176+1)/60+(ROUNDDOWN($F1176*60+1,0)/60)*2,(ROUNDDOWN(($E1176+1)+ROUNDDOWN($F1176*60+1,0)+ROUNDDOWN($G1176/2*60+1,0)+ROUNDDOWN($H1176*60+1,0)+1,0))/60+If(DPS_ATK_TYPE="挥砍",1/60)+If(DPS_ATK_TYPE="挥砍/刺击",1/120))+DPS_Weapon_Randomization/60</f>
        <v>0.105</v>
      </c>
      <c r="C1176" s="104" t="str">
        <f>IF(DPS_Graph_True_Speed=TRUE,IF($A1176&lt;=DPS_Graph_Max,IF($A1176&gt;=DPS_Graph_Speed_Min,1/B1176,),),)</f>
        <v/>
      </c>
      <c r="D1176" s="115" t="str">
        <f>IF(DPS_Graph_True_Speed=TRUE,IF($E$8=$A1176,DPS_Attacks_P_Sec,),)</f>
        <v/>
      </c>
      <c r="E1176" s="222">
        <f>ROUNDDOWN(MAX(2,IF(A1176&gt;=0, DPS_Base_Wpn_Spd/(1+A1176),DPS_Base_Wpn_Spd*(1+ABS(A1176)))),0)</f>
        <v>2</v>
      </c>
      <c r="F1176" s="232">
        <f>IF(A1176&gt;=0, DPS_Base_Recoil/(1+A1176),DPS_Base_Recoil)</f>
        <v>0.004840271055</v>
      </c>
      <c r="G1176" s="377">
        <f t="shared" si="7"/>
        <v>0.51</v>
      </c>
      <c r="H1176" s="377">
        <f t="shared" si="8"/>
        <v>0.006898930666</v>
      </c>
      <c r="I1176" s="104"/>
      <c r="J1176" s="377">
        <f>MAX(0, Max(25,(DPS_Base_Range + ((DPS_Range_Stat) / 2))) / MIN(MAX(70, (70 * (1 + ($A1176 / 3)))), 120))</f>
        <v>3.333333333</v>
      </c>
      <c r="K1176" s="115" t="str">
        <f>IF(A1176&lt;=DPS_Graph_Max,IF(A1176&gt;=DPS_Graph_Speed_Min,A1176,),)</f>
        <v/>
      </c>
      <c r="M1176" s="213">
        <f>If(DPS_Weapon_Type="远程",$E1176/60+$F1176*2,$E1176/60+$F1176+$G1176/2+$H1176)</f>
        <v>0.04301387544</v>
      </c>
      <c r="N1176" s="104" t="str">
        <f>IF(DPS_Graph_Tooltip_Speed=TRUE,IF($A1176&lt;=DPS_Graph_Max,IF($A1176&gt;=DPS_Graph_Speed_Min,1/M1176,),),)</f>
        <v/>
      </c>
      <c r="R1176" s="104" t="str">
        <f>IF(DPS_Graph_Tooltip_Speed=TRUE,IF($E$8=$A1176,1/$N$6,),)</f>
        <v/>
      </c>
    </row>
    <row r="1177">
      <c r="A1177" s="370">
        <v>9.34</v>
      </c>
      <c r="B1177" s="213">
        <f>If(DPS_Weapon_Type="远程",($E1177+1)/60+(ROUNDDOWN($F1177*60+1,0)/60)*2,(ROUNDDOWN(($E1177+1)+ROUNDDOWN($F1177*60+1,0)+ROUNDDOWN($G1177/2*60+1,0)+ROUNDDOWN($H1177*60+1,0)+1,0))/60+If(DPS_ATK_TYPE="挥砍",1/60)+If(DPS_ATK_TYPE="挥砍/刺击",1/120))+DPS_Weapon_Randomization/60</f>
        <v>0.105</v>
      </c>
      <c r="C1177" s="104" t="str">
        <f>IF(DPS_Graph_True_Speed=TRUE,IF($A1177&lt;=DPS_Graph_Max,IF($A1177&gt;=DPS_Graph_Speed_Min,1/B1177,),),)</f>
        <v/>
      </c>
      <c r="D1177" s="115" t="str">
        <f>IF(DPS_Graph_True_Speed=TRUE,IF($E$8=$A1177,DPS_Attacks_P_Sec,),)</f>
        <v/>
      </c>
      <c r="E1177" s="222">
        <f>ROUNDDOWN(MAX(2,IF(A1177&gt;=0, DPS_Base_Wpn_Spd/(1+A1177),DPS_Base_Wpn_Spd*(1+ABS(A1177)))),0)</f>
        <v>2</v>
      </c>
      <c r="F1177" s="232">
        <f>IF(A1177&gt;=0, DPS_Base_Recoil/(1+A1177),DPS_Base_Recoil)</f>
        <v>0.004835589942</v>
      </c>
      <c r="G1177" s="377">
        <f t="shared" si="7"/>
        <v>0.51</v>
      </c>
      <c r="H1177" s="377">
        <f t="shared" si="8"/>
        <v>0.006891798759</v>
      </c>
      <c r="I1177" s="104"/>
      <c r="J1177" s="377">
        <f>MAX(0, Max(25,(DPS_Base_Range + ((DPS_Range_Stat) / 2))) / MIN(MAX(70, (70 * (1 + ($A1177 / 3)))), 120))</f>
        <v>3.333333333</v>
      </c>
      <c r="K1177" s="115" t="str">
        <f>IF(A1177&lt;=DPS_Graph_Max,IF(A1177&gt;=DPS_Graph_Speed_Min,A1177,),)</f>
        <v/>
      </c>
      <c r="M1177" s="213">
        <f>If(DPS_Weapon_Type="远程",$E1177/60+$F1177*2,$E1177/60+$F1177+$G1177/2+$H1177)</f>
        <v>0.04300451322</v>
      </c>
      <c r="N1177" s="104" t="str">
        <f>IF(DPS_Graph_Tooltip_Speed=TRUE,IF($A1177&lt;=DPS_Graph_Max,IF($A1177&gt;=DPS_Graph_Speed_Min,1/M1177,),),)</f>
        <v/>
      </c>
      <c r="R1177" s="104" t="str">
        <f>IF(DPS_Graph_Tooltip_Speed=TRUE,IF($E$8=$A1177,1/$N$6,),)</f>
        <v/>
      </c>
    </row>
    <row r="1178">
      <c r="A1178" s="370">
        <v>9.35</v>
      </c>
      <c r="B1178" s="213">
        <f>If(DPS_Weapon_Type="远程",($E1178+1)/60+(ROUNDDOWN($F1178*60+1,0)/60)*2,(ROUNDDOWN(($E1178+1)+ROUNDDOWN($F1178*60+1,0)+ROUNDDOWN($G1178/2*60+1,0)+ROUNDDOWN($H1178*60+1,0)+1,0))/60+If(DPS_ATK_TYPE="挥砍",1/60)+If(DPS_ATK_TYPE="挥砍/刺击",1/120))+DPS_Weapon_Randomization/60</f>
        <v>0.105</v>
      </c>
      <c r="C1178" s="104" t="str">
        <f>IF(DPS_Graph_True_Speed=TRUE,IF($A1178&lt;=DPS_Graph_Max,IF($A1178&gt;=DPS_Graph_Speed_Min,1/B1178,),),)</f>
        <v/>
      </c>
      <c r="D1178" s="115" t="str">
        <f>IF(DPS_Graph_True_Speed=TRUE,IF($E$8=$A1178,DPS_Attacks_P_Sec,),)</f>
        <v/>
      </c>
      <c r="E1178" s="222">
        <f>ROUNDDOWN(MAX(2,IF(A1178&gt;=0, DPS_Base_Wpn_Spd/(1+A1178),DPS_Base_Wpn_Spd*(1+ABS(A1178)))),0)</f>
        <v>2</v>
      </c>
      <c r="F1178" s="232">
        <f>IF(A1178&gt;=0, DPS_Base_Recoil/(1+A1178),DPS_Base_Recoil)</f>
        <v>0.004830917874</v>
      </c>
      <c r="G1178" s="377">
        <f t="shared" si="7"/>
        <v>0.51</v>
      </c>
      <c r="H1178" s="377">
        <f t="shared" si="8"/>
        <v>0.006884681583</v>
      </c>
      <c r="I1178" s="104"/>
      <c r="J1178" s="377">
        <f>MAX(0, Max(25,(DPS_Base_Range + ((DPS_Range_Stat) / 2))) / MIN(MAX(70, (70 * (1 + ($A1178 / 3)))), 120))</f>
        <v>3.333333333</v>
      </c>
      <c r="K1178" s="115" t="str">
        <f>IF(A1178&lt;=DPS_Graph_Max,IF(A1178&gt;=DPS_Graph_Speed_Min,A1178,),)</f>
        <v/>
      </c>
      <c r="M1178" s="213">
        <f>If(DPS_Weapon_Type="远程",$E1178/60+$F1178*2,$E1178/60+$F1178+$G1178/2+$H1178)</f>
        <v>0.04299516908</v>
      </c>
      <c r="N1178" s="104" t="str">
        <f>IF(DPS_Graph_Tooltip_Speed=TRUE,IF($A1178&lt;=DPS_Graph_Max,IF($A1178&gt;=DPS_Graph_Speed_Min,1/M1178,),),)</f>
        <v/>
      </c>
      <c r="R1178" s="104" t="str">
        <f>IF(DPS_Graph_Tooltip_Speed=TRUE,IF($E$8=$A1178,1/$N$6,),)</f>
        <v/>
      </c>
    </row>
    <row r="1179">
      <c r="A1179" s="370">
        <v>9.36</v>
      </c>
      <c r="B1179" s="213">
        <f>If(DPS_Weapon_Type="远程",($E1179+1)/60+(ROUNDDOWN($F1179*60+1,0)/60)*2,(ROUNDDOWN(($E1179+1)+ROUNDDOWN($F1179*60+1,0)+ROUNDDOWN($G1179/2*60+1,0)+ROUNDDOWN($H1179*60+1,0)+1,0))/60+If(DPS_ATK_TYPE="挥砍",1/60)+If(DPS_ATK_TYPE="挥砍/刺击",1/120))+DPS_Weapon_Randomization/60</f>
        <v>0.105</v>
      </c>
      <c r="C1179" s="104" t="str">
        <f>IF(DPS_Graph_True_Speed=TRUE,IF($A1179&lt;=DPS_Graph_Max,IF($A1179&gt;=DPS_Graph_Speed_Min,1/B1179,),),)</f>
        <v/>
      </c>
      <c r="D1179" s="115" t="str">
        <f>IF(DPS_Graph_True_Speed=TRUE,IF($E$8=$A1179,DPS_Attacks_P_Sec,),)</f>
        <v/>
      </c>
      <c r="E1179" s="222">
        <f>ROUNDDOWN(MAX(2,IF(A1179&gt;=0, DPS_Base_Wpn_Spd/(1+A1179),DPS_Base_Wpn_Spd*(1+ABS(A1179)))),0)</f>
        <v>2</v>
      </c>
      <c r="F1179" s="232">
        <f>IF(A1179&gt;=0, DPS_Base_Recoil/(1+A1179),DPS_Base_Recoil)</f>
        <v>0.004826254826</v>
      </c>
      <c r="G1179" s="377">
        <f t="shared" si="7"/>
        <v>0.51</v>
      </c>
      <c r="H1179" s="377">
        <f t="shared" si="8"/>
        <v>0.006877579092</v>
      </c>
      <c r="I1179" s="104"/>
      <c r="J1179" s="377">
        <f>MAX(0, Max(25,(DPS_Base_Range + ((DPS_Range_Stat) / 2))) / MIN(MAX(70, (70 * (1 + ($A1179 / 3)))), 120))</f>
        <v>3.333333333</v>
      </c>
      <c r="K1179" s="115" t="str">
        <f>IF(A1179&lt;=DPS_Graph_Max,IF(A1179&gt;=DPS_Graph_Speed_Min,A1179,),)</f>
        <v/>
      </c>
      <c r="M1179" s="213">
        <f>If(DPS_Weapon_Type="远程",$E1179/60+$F1179*2,$E1179/60+$F1179+$G1179/2+$H1179)</f>
        <v>0.04298584299</v>
      </c>
      <c r="N1179" s="104" t="str">
        <f>IF(DPS_Graph_Tooltip_Speed=TRUE,IF($A1179&lt;=DPS_Graph_Max,IF($A1179&gt;=DPS_Graph_Speed_Min,1/M1179,),),)</f>
        <v/>
      </c>
      <c r="R1179" s="104" t="str">
        <f>IF(DPS_Graph_Tooltip_Speed=TRUE,IF($E$8=$A1179,1/$N$6,),)</f>
        <v/>
      </c>
    </row>
    <row r="1180">
      <c r="A1180" s="370">
        <v>9.37</v>
      </c>
      <c r="B1180" s="213">
        <f>If(DPS_Weapon_Type="远程",($E1180+1)/60+(ROUNDDOWN($F1180*60+1,0)/60)*2,(ROUNDDOWN(($E1180+1)+ROUNDDOWN($F1180*60+1,0)+ROUNDDOWN($G1180/2*60+1,0)+ROUNDDOWN($H1180*60+1,0)+1,0))/60+If(DPS_ATK_TYPE="挥砍",1/60)+If(DPS_ATK_TYPE="挥砍/刺击",1/120))+DPS_Weapon_Randomization/60</f>
        <v>0.105</v>
      </c>
      <c r="C1180" s="104" t="str">
        <f>IF(DPS_Graph_True_Speed=TRUE,IF($A1180&lt;=DPS_Graph_Max,IF($A1180&gt;=DPS_Graph_Speed_Min,1/B1180,),),)</f>
        <v/>
      </c>
      <c r="D1180" s="115" t="str">
        <f>IF(DPS_Graph_True_Speed=TRUE,IF($E$8=$A1180,DPS_Attacks_P_Sec,),)</f>
        <v/>
      </c>
      <c r="E1180" s="222">
        <f>ROUNDDOWN(MAX(2,IF(A1180&gt;=0, DPS_Base_Wpn_Spd/(1+A1180),DPS_Base_Wpn_Spd*(1+ABS(A1180)))),0)</f>
        <v>2</v>
      </c>
      <c r="F1180" s="232">
        <f>IF(A1180&gt;=0, DPS_Base_Recoil/(1+A1180),DPS_Base_Recoil)</f>
        <v>0.004821600771</v>
      </c>
      <c r="G1180" s="377">
        <f t="shared" si="7"/>
        <v>0.51</v>
      </c>
      <c r="H1180" s="377">
        <f t="shared" si="8"/>
        <v>0.00687049124</v>
      </c>
      <c r="I1180" s="104"/>
      <c r="J1180" s="377">
        <f>MAX(0, Max(25,(DPS_Base_Range + ((DPS_Range_Stat) / 2))) / MIN(MAX(70, (70 * (1 + ($A1180 / 3)))), 120))</f>
        <v>3.333333333</v>
      </c>
      <c r="K1180" s="115" t="str">
        <f>IF(A1180&lt;=DPS_Graph_Max,IF(A1180&gt;=DPS_Graph_Speed_Min,A1180,),)</f>
        <v/>
      </c>
      <c r="M1180" s="213">
        <f>If(DPS_Weapon_Type="远程",$E1180/60+$F1180*2,$E1180/60+$F1180+$G1180/2+$H1180)</f>
        <v>0.04297653488</v>
      </c>
      <c r="N1180" s="104" t="str">
        <f>IF(DPS_Graph_Tooltip_Speed=TRUE,IF($A1180&lt;=DPS_Graph_Max,IF($A1180&gt;=DPS_Graph_Speed_Min,1/M1180,),),)</f>
        <v/>
      </c>
      <c r="R1180" s="104" t="str">
        <f>IF(DPS_Graph_Tooltip_Speed=TRUE,IF($E$8=$A1180,1/$N$6,),)</f>
        <v/>
      </c>
    </row>
    <row r="1181">
      <c r="A1181" s="370">
        <v>9.38</v>
      </c>
      <c r="B1181" s="213">
        <f>If(DPS_Weapon_Type="远程",($E1181+1)/60+(ROUNDDOWN($F1181*60+1,0)/60)*2,(ROUNDDOWN(($E1181+1)+ROUNDDOWN($F1181*60+1,0)+ROUNDDOWN($G1181/2*60+1,0)+ROUNDDOWN($H1181*60+1,0)+1,0))/60+If(DPS_ATK_TYPE="挥砍",1/60)+If(DPS_ATK_TYPE="挥砍/刺击",1/120))+DPS_Weapon_Randomization/60</f>
        <v>0.105</v>
      </c>
      <c r="C1181" s="104" t="str">
        <f>IF(DPS_Graph_True_Speed=TRUE,IF($A1181&lt;=DPS_Graph_Max,IF($A1181&gt;=DPS_Graph_Speed_Min,1/B1181,),),)</f>
        <v/>
      </c>
      <c r="D1181" s="115" t="str">
        <f>IF(DPS_Graph_True_Speed=TRUE,IF($E$8=$A1181,DPS_Attacks_P_Sec,),)</f>
        <v/>
      </c>
      <c r="E1181" s="222">
        <f>ROUNDDOWN(MAX(2,IF(A1181&gt;=0, DPS_Base_Wpn_Spd/(1+A1181),DPS_Base_Wpn_Spd*(1+ABS(A1181)))),0)</f>
        <v>2</v>
      </c>
      <c r="F1181" s="232">
        <f>IF(A1181&gt;=0, DPS_Base_Recoil/(1+A1181),DPS_Base_Recoil)</f>
        <v>0.004816955684</v>
      </c>
      <c r="G1181" s="377">
        <f t="shared" si="7"/>
        <v>0.51</v>
      </c>
      <c r="H1181" s="377">
        <f t="shared" si="8"/>
        <v>0.006863417982</v>
      </c>
      <c r="I1181" s="104"/>
      <c r="J1181" s="377">
        <f>MAX(0, Max(25,(DPS_Base_Range + ((DPS_Range_Stat) / 2))) / MIN(MAX(70, (70 * (1 + ($A1181 / 3)))), 120))</f>
        <v>3.333333333</v>
      </c>
      <c r="K1181" s="115" t="str">
        <f>IF(A1181&lt;=DPS_Graph_Max,IF(A1181&gt;=DPS_Graph_Speed_Min,A1181,),)</f>
        <v/>
      </c>
      <c r="M1181" s="213">
        <f>If(DPS_Weapon_Type="远程",$E1181/60+$F1181*2,$E1181/60+$F1181+$G1181/2+$H1181)</f>
        <v>0.0429672447</v>
      </c>
      <c r="N1181" s="104" t="str">
        <f>IF(DPS_Graph_Tooltip_Speed=TRUE,IF($A1181&lt;=DPS_Graph_Max,IF($A1181&gt;=DPS_Graph_Speed_Min,1/M1181,),),)</f>
        <v/>
      </c>
      <c r="R1181" s="104" t="str">
        <f>IF(DPS_Graph_Tooltip_Speed=TRUE,IF($E$8=$A1181,1/$N$6,),)</f>
        <v/>
      </c>
    </row>
    <row r="1182">
      <c r="A1182" s="370">
        <v>9.39</v>
      </c>
      <c r="B1182" s="213">
        <f>If(DPS_Weapon_Type="远程",($E1182+1)/60+(ROUNDDOWN($F1182*60+1,0)/60)*2,(ROUNDDOWN(($E1182+1)+ROUNDDOWN($F1182*60+1,0)+ROUNDDOWN($G1182/2*60+1,0)+ROUNDDOWN($H1182*60+1,0)+1,0))/60+If(DPS_ATK_TYPE="挥砍",1/60)+If(DPS_ATK_TYPE="挥砍/刺击",1/120))+DPS_Weapon_Randomization/60</f>
        <v>0.105</v>
      </c>
      <c r="C1182" s="104" t="str">
        <f>IF(DPS_Graph_True_Speed=TRUE,IF($A1182&lt;=DPS_Graph_Max,IF($A1182&gt;=DPS_Graph_Speed_Min,1/B1182,),),)</f>
        <v/>
      </c>
      <c r="D1182" s="115" t="str">
        <f>IF(DPS_Graph_True_Speed=TRUE,IF($E$8=$A1182,DPS_Attacks_P_Sec,),)</f>
        <v/>
      </c>
      <c r="E1182" s="222">
        <f>ROUNDDOWN(MAX(2,IF(A1182&gt;=0, DPS_Base_Wpn_Spd/(1+A1182),DPS_Base_Wpn_Spd*(1+ABS(A1182)))),0)</f>
        <v>2</v>
      </c>
      <c r="F1182" s="232">
        <f>IF(A1182&gt;=0, DPS_Base_Recoil/(1+A1182),DPS_Base_Recoil)</f>
        <v>0.004812319538</v>
      </c>
      <c r="G1182" s="377">
        <f t="shared" si="7"/>
        <v>0.51</v>
      </c>
      <c r="H1182" s="377">
        <f t="shared" si="8"/>
        <v>0.006856359273</v>
      </c>
      <c r="I1182" s="104"/>
      <c r="J1182" s="377">
        <f>MAX(0, Max(25,(DPS_Base_Range + ((DPS_Range_Stat) / 2))) / MIN(MAX(70, (70 * (1 + ($A1182 / 3)))), 120))</f>
        <v>3.333333333</v>
      </c>
      <c r="K1182" s="115" t="str">
        <f>IF(A1182&lt;=DPS_Graph_Max,IF(A1182&gt;=DPS_Graph_Speed_Min,A1182,),)</f>
        <v/>
      </c>
      <c r="M1182" s="213">
        <f>If(DPS_Weapon_Type="远程",$E1182/60+$F1182*2,$E1182/60+$F1182+$G1182/2+$H1182)</f>
        <v>0.04295797241</v>
      </c>
      <c r="N1182" s="104" t="str">
        <f>IF(DPS_Graph_Tooltip_Speed=TRUE,IF($A1182&lt;=DPS_Graph_Max,IF($A1182&gt;=DPS_Graph_Speed_Min,1/M1182,),),)</f>
        <v/>
      </c>
      <c r="R1182" s="104" t="str">
        <f>IF(DPS_Graph_Tooltip_Speed=TRUE,IF($E$8=$A1182,1/$N$6,),)</f>
        <v/>
      </c>
    </row>
    <row r="1183">
      <c r="A1183" s="370">
        <v>9.4</v>
      </c>
      <c r="B1183" s="213">
        <f>If(DPS_Weapon_Type="远程",($E1183+1)/60+(ROUNDDOWN($F1183*60+1,0)/60)*2,(ROUNDDOWN(($E1183+1)+ROUNDDOWN($F1183*60+1,0)+ROUNDDOWN($G1183/2*60+1,0)+ROUNDDOWN($H1183*60+1,0)+1,0))/60+If(DPS_ATK_TYPE="挥砍",1/60)+If(DPS_ATK_TYPE="挥砍/刺击",1/120))+DPS_Weapon_Randomization/60</f>
        <v>0.105</v>
      </c>
      <c r="C1183" s="104" t="str">
        <f>IF(DPS_Graph_True_Speed=TRUE,IF($A1183&lt;=DPS_Graph_Max,IF($A1183&gt;=DPS_Graph_Speed_Min,1/B1183,),),)</f>
        <v/>
      </c>
      <c r="D1183" s="115" t="str">
        <f>IF(DPS_Graph_True_Speed=TRUE,IF($E$8=$A1183,DPS_Attacks_P_Sec,),)</f>
        <v/>
      </c>
      <c r="E1183" s="222">
        <f>ROUNDDOWN(MAX(2,IF(A1183&gt;=0, DPS_Base_Wpn_Spd/(1+A1183),DPS_Base_Wpn_Spd*(1+ABS(A1183)))),0)</f>
        <v>2</v>
      </c>
      <c r="F1183" s="232">
        <f>IF(A1183&gt;=0, DPS_Base_Recoil/(1+A1183),DPS_Base_Recoil)</f>
        <v>0.004807692308</v>
      </c>
      <c r="G1183" s="377">
        <f t="shared" si="7"/>
        <v>0.51</v>
      </c>
      <c r="H1183" s="377">
        <f t="shared" si="8"/>
        <v>0.006849315068</v>
      </c>
      <c r="I1183" s="104"/>
      <c r="J1183" s="377">
        <f>MAX(0, Max(25,(DPS_Base_Range + ((DPS_Range_Stat) / 2))) / MIN(MAX(70, (70 * (1 + ($A1183 / 3)))), 120))</f>
        <v>3.333333333</v>
      </c>
      <c r="K1183" s="115" t="str">
        <f>IF(A1183&lt;=DPS_Graph_Max,IF(A1183&gt;=DPS_Graph_Speed_Min,A1183,),)</f>
        <v/>
      </c>
      <c r="M1183" s="213">
        <f>If(DPS_Weapon_Type="远程",$E1183/60+$F1183*2,$E1183/60+$F1183+$G1183/2+$H1183)</f>
        <v>0.04294871795</v>
      </c>
      <c r="N1183" s="104" t="str">
        <f>IF(DPS_Graph_Tooltip_Speed=TRUE,IF($A1183&lt;=DPS_Graph_Max,IF($A1183&gt;=DPS_Graph_Speed_Min,1/M1183,),),)</f>
        <v/>
      </c>
      <c r="R1183" s="104" t="str">
        <f>IF(DPS_Graph_Tooltip_Speed=TRUE,IF($E$8=$A1183,1/$N$6,),)</f>
        <v/>
      </c>
    </row>
    <row r="1184">
      <c r="A1184" s="370">
        <v>9.41</v>
      </c>
      <c r="B1184" s="213">
        <f>If(DPS_Weapon_Type="远程",($E1184+1)/60+(ROUNDDOWN($F1184*60+1,0)/60)*2,(ROUNDDOWN(($E1184+1)+ROUNDDOWN($F1184*60+1,0)+ROUNDDOWN($G1184/2*60+1,0)+ROUNDDOWN($H1184*60+1,0)+1,0))/60+If(DPS_ATK_TYPE="挥砍",1/60)+If(DPS_ATK_TYPE="挥砍/刺击",1/120))+DPS_Weapon_Randomization/60</f>
        <v>0.105</v>
      </c>
      <c r="C1184" s="104" t="str">
        <f>IF(DPS_Graph_True_Speed=TRUE,IF($A1184&lt;=DPS_Graph_Max,IF($A1184&gt;=DPS_Graph_Speed_Min,1/B1184,),),)</f>
        <v/>
      </c>
      <c r="D1184" s="115" t="str">
        <f>IF(DPS_Graph_True_Speed=TRUE,IF($E$8=$A1184,DPS_Attacks_P_Sec,),)</f>
        <v/>
      </c>
      <c r="E1184" s="222">
        <f>ROUNDDOWN(MAX(2,IF(A1184&gt;=0, DPS_Base_Wpn_Spd/(1+A1184),DPS_Base_Wpn_Spd*(1+ABS(A1184)))),0)</f>
        <v>2</v>
      </c>
      <c r="F1184" s="232">
        <f>IF(A1184&gt;=0, DPS_Base_Recoil/(1+A1184),DPS_Base_Recoil)</f>
        <v>0.004803073967</v>
      </c>
      <c r="G1184" s="377">
        <f t="shared" si="7"/>
        <v>0.51</v>
      </c>
      <c r="H1184" s="377">
        <f t="shared" si="8"/>
        <v>0.006842285323</v>
      </c>
      <c r="I1184" s="104"/>
      <c r="J1184" s="377">
        <f>MAX(0, Max(25,(DPS_Base_Range + ((DPS_Range_Stat) / 2))) / MIN(MAX(70, (70 * (1 + ($A1184 / 3)))), 120))</f>
        <v>3.333333333</v>
      </c>
      <c r="K1184" s="115" t="str">
        <f>IF(A1184&lt;=DPS_Graph_Max,IF(A1184&gt;=DPS_Graph_Speed_Min,A1184,),)</f>
        <v/>
      </c>
      <c r="M1184" s="213">
        <f>If(DPS_Weapon_Type="远程",$E1184/60+$F1184*2,$E1184/60+$F1184+$G1184/2+$H1184)</f>
        <v>0.04293948127</v>
      </c>
      <c r="N1184" s="104" t="str">
        <f>IF(DPS_Graph_Tooltip_Speed=TRUE,IF($A1184&lt;=DPS_Graph_Max,IF($A1184&gt;=DPS_Graph_Speed_Min,1/M1184,),),)</f>
        <v/>
      </c>
      <c r="R1184" s="104" t="str">
        <f>IF(DPS_Graph_Tooltip_Speed=TRUE,IF($E$8=$A1184,1/$N$6,),)</f>
        <v/>
      </c>
    </row>
    <row r="1185">
      <c r="A1185" s="370">
        <v>9.42</v>
      </c>
      <c r="B1185" s="213">
        <f>If(DPS_Weapon_Type="远程",($E1185+1)/60+(ROUNDDOWN($F1185*60+1,0)/60)*2,(ROUNDDOWN(($E1185+1)+ROUNDDOWN($F1185*60+1,0)+ROUNDDOWN($G1185/2*60+1,0)+ROUNDDOWN($H1185*60+1,0)+1,0))/60+If(DPS_ATK_TYPE="挥砍",1/60)+If(DPS_ATK_TYPE="挥砍/刺击",1/120))+DPS_Weapon_Randomization/60</f>
        <v>0.105</v>
      </c>
      <c r="C1185" s="104" t="str">
        <f>IF(DPS_Graph_True_Speed=TRUE,IF($A1185&lt;=DPS_Graph_Max,IF($A1185&gt;=DPS_Graph_Speed_Min,1/B1185,),),)</f>
        <v/>
      </c>
      <c r="D1185" s="115" t="str">
        <f>IF(DPS_Graph_True_Speed=TRUE,IF($E$8=$A1185,DPS_Attacks_P_Sec,),)</f>
        <v/>
      </c>
      <c r="E1185" s="222">
        <f>ROUNDDOWN(MAX(2,IF(A1185&gt;=0, DPS_Base_Wpn_Spd/(1+A1185),DPS_Base_Wpn_Spd*(1+ABS(A1185)))),0)</f>
        <v>2</v>
      </c>
      <c r="F1185" s="232">
        <f>IF(A1185&gt;=0, DPS_Base_Recoil/(1+A1185),DPS_Base_Recoil)</f>
        <v>0.004798464491</v>
      </c>
      <c r="G1185" s="377">
        <f t="shared" si="7"/>
        <v>0.51</v>
      </c>
      <c r="H1185" s="377">
        <f t="shared" si="8"/>
        <v>0.006835269993</v>
      </c>
      <c r="I1185" s="104"/>
      <c r="J1185" s="377">
        <f>MAX(0, Max(25,(DPS_Base_Range + ((DPS_Range_Stat) / 2))) / MIN(MAX(70, (70 * (1 + ($A1185 / 3)))), 120))</f>
        <v>3.333333333</v>
      </c>
      <c r="K1185" s="115" t="str">
        <f>IF(A1185&lt;=DPS_Graph_Max,IF(A1185&gt;=DPS_Graph_Speed_Min,A1185,),)</f>
        <v/>
      </c>
      <c r="M1185" s="213">
        <f>If(DPS_Weapon_Type="远程",$E1185/60+$F1185*2,$E1185/60+$F1185+$G1185/2+$H1185)</f>
        <v>0.04293026232</v>
      </c>
      <c r="N1185" s="104" t="str">
        <f>IF(DPS_Graph_Tooltip_Speed=TRUE,IF($A1185&lt;=DPS_Graph_Max,IF($A1185&gt;=DPS_Graph_Speed_Min,1/M1185,),),)</f>
        <v/>
      </c>
      <c r="R1185" s="104" t="str">
        <f>IF(DPS_Graph_Tooltip_Speed=TRUE,IF($E$8=$A1185,1/$N$6,),)</f>
        <v/>
      </c>
    </row>
    <row r="1186">
      <c r="A1186" s="370">
        <v>9.43</v>
      </c>
      <c r="B1186" s="213">
        <f>If(DPS_Weapon_Type="远程",($E1186+1)/60+(ROUNDDOWN($F1186*60+1,0)/60)*2,(ROUNDDOWN(($E1186+1)+ROUNDDOWN($F1186*60+1,0)+ROUNDDOWN($G1186/2*60+1,0)+ROUNDDOWN($H1186*60+1,0)+1,0))/60+If(DPS_ATK_TYPE="挥砍",1/60)+If(DPS_ATK_TYPE="挥砍/刺击",1/120))+DPS_Weapon_Randomization/60</f>
        <v>0.105</v>
      </c>
      <c r="C1186" s="104" t="str">
        <f>IF(DPS_Graph_True_Speed=TRUE,IF($A1186&lt;=DPS_Graph_Max,IF($A1186&gt;=DPS_Graph_Speed_Min,1/B1186,),),)</f>
        <v/>
      </c>
      <c r="D1186" s="115" t="str">
        <f>IF(DPS_Graph_True_Speed=TRUE,IF($E$8=$A1186,DPS_Attacks_P_Sec,),)</f>
        <v/>
      </c>
      <c r="E1186" s="222">
        <f>ROUNDDOWN(MAX(2,IF(A1186&gt;=0, DPS_Base_Wpn_Spd/(1+A1186),DPS_Base_Wpn_Spd*(1+ABS(A1186)))),0)</f>
        <v>2</v>
      </c>
      <c r="F1186" s="232">
        <f>IF(A1186&gt;=0, DPS_Base_Recoil/(1+A1186),DPS_Base_Recoil)</f>
        <v>0.004793863854</v>
      </c>
      <c r="G1186" s="377">
        <f t="shared" si="7"/>
        <v>0.51</v>
      </c>
      <c r="H1186" s="377">
        <f t="shared" si="8"/>
        <v>0.006828269034</v>
      </c>
      <c r="I1186" s="104"/>
      <c r="J1186" s="377">
        <f>MAX(0, Max(25,(DPS_Base_Range + ((DPS_Range_Stat) / 2))) / MIN(MAX(70, (70 * (1 + ($A1186 / 3)))), 120))</f>
        <v>3.333333333</v>
      </c>
      <c r="K1186" s="115" t="str">
        <f>IF(A1186&lt;=DPS_Graph_Max,IF(A1186&gt;=DPS_Graph_Speed_Min,A1186,),)</f>
        <v/>
      </c>
      <c r="M1186" s="213">
        <f>If(DPS_Weapon_Type="远程",$E1186/60+$F1186*2,$E1186/60+$F1186+$G1186/2+$H1186)</f>
        <v>0.04292106104</v>
      </c>
      <c r="N1186" s="104" t="str">
        <f>IF(DPS_Graph_Tooltip_Speed=TRUE,IF($A1186&lt;=DPS_Graph_Max,IF($A1186&gt;=DPS_Graph_Speed_Min,1/M1186,),),)</f>
        <v/>
      </c>
      <c r="R1186" s="104" t="str">
        <f>IF(DPS_Graph_Tooltip_Speed=TRUE,IF($E$8=$A1186,1/$N$6,),)</f>
        <v/>
      </c>
    </row>
    <row r="1187">
      <c r="A1187" s="370">
        <v>9.44</v>
      </c>
      <c r="B1187" s="213">
        <f>If(DPS_Weapon_Type="远程",($E1187+1)/60+(ROUNDDOWN($F1187*60+1,0)/60)*2,(ROUNDDOWN(($E1187+1)+ROUNDDOWN($F1187*60+1,0)+ROUNDDOWN($G1187/2*60+1,0)+ROUNDDOWN($H1187*60+1,0)+1,0))/60+If(DPS_ATK_TYPE="挥砍",1/60)+If(DPS_ATK_TYPE="挥砍/刺击",1/120))+DPS_Weapon_Randomization/60</f>
        <v>0.105</v>
      </c>
      <c r="C1187" s="104" t="str">
        <f>IF(DPS_Graph_True_Speed=TRUE,IF($A1187&lt;=DPS_Graph_Max,IF($A1187&gt;=DPS_Graph_Speed_Min,1/B1187,),),)</f>
        <v/>
      </c>
      <c r="D1187" s="115" t="str">
        <f>IF(DPS_Graph_True_Speed=TRUE,IF($E$8=$A1187,DPS_Attacks_P_Sec,),)</f>
        <v/>
      </c>
      <c r="E1187" s="222">
        <f>ROUNDDOWN(MAX(2,IF(A1187&gt;=0, DPS_Base_Wpn_Spd/(1+A1187),DPS_Base_Wpn_Spd*(1+ABS(A1187)))),0)</f>
        <v>2</v>
      </c>
      <c r="F1187" s="232">
        <f>IF(A1187&gt;=0, DPS_Base_Recoil/(1+A1187),DPS_Base_Recoil)</f>
        <v>0.004789272031</v>
      </c>
      <c r="G1187" s="377">
        <f t="shared" si="7"/>
        <v>0.51</v>
      </c>
      <c r="H1187" s="377">
        <f t="shared" si="8"/>
        <v>0.006821282401</v>
      </c>
      <c r="I1187" s="104"/>
      <c r="J1187" s="377">
        <f>MAX(0, Max(25,(DPS_Base_Range + ((DPS_Range_Stat) / 2))) / MIN(MAX(70, (70 * (1 + ($A1187 / 3)))), 120))</f>
        <v>3.333333333</v>
      </c>
      <c r="K1187" s="115" t="str">
        <f>IF(A1187&lt;=DPS_Graph_Max,IF(A1187&gt;=DPS_Graph_Speed_Min,A1187,),)</f>
        <v/>
      </c>
      <c r="M1187" s="213">
        <f>If(DPS_Weapon_Type="远程",$E1187/60+$F1187*2,$E1187/60+$F1187+$G1187/2+$H1187)</f>
        <v>0.04291187739</v>
      </c>
      <c r="N1187" s="104" t="str">
        <f>IF(DPS_Graph_Tooltip_Speed=TRUE,IF($A1187&lt;=DPS_Graph_Max,IF($A1187&gt;=DPS_Graph_Speed_Min,1/M1187,),),)</f>
        <v/>
      </c>
      <c r="R1187" s="104" t="str">
        <f>IF(DPS_Graph_Tooltip_Speed=TRUE,IF($E$8=$A1187,1/$N$6,),)</f>
        <v/>
      </c>
    </row>
    <row r="1188">
      <c r="A1188" s="370">
        <v>9.45</v>
      </c>
      <c r="B1188" s="213">
        <f>If(DPS_Weapon_Type="远程",($E1188+1)/60+(ROUNDDOWN($F1188*60+1,0)/60)*2,(ROUNDDOWN(($E1188+1)+ROUNDDOWN($F1188*60+1,0)+ROUNDDOWN($G1188/2*60+1,0)+ROUNDDOWN($H1188*60+1,0)+1,0))/60+If(DPS_ATK_TYPE="挥砍",1/60)+If(DPS_ATK_TYPE="挥砍/刺击",1/120))+DPS_Weapon_Randomization/60</f>
        <v>0.105</v>
      </c>
      <c r="C1188" s="104" t="str">
        <f>IF(DPS_Graph_True_Speed=TRUE,IF($A1188&lt;=DPS_Graph_Max,IF($A1188&gt;=DPS_Graph_Speed_Min,1/B1188,),),)</f>
        <v/>
      </c>
      <c r="D1188" s="115" t="str">
        <f>IF(DPS_Graph_True_Speed=TRUE,IF($E$8=$A1188,DPS_Attacks_P_Sec,),)</f>
        <v/>
      </c>
      <c r="E1188" s="222">
        <f>ROUNDDOWN(MAX(2,IF(A1188&gt;=0, DPS_Base_Wpn_Spd/(1+A1188),DPS_Base_Wpn_Spd*(1+ABS(A1188)))),0)</f>
        <v>2</v>
      </c>
      <c r="F1188" s="232">
        <f>IF(A1188&gt;=0, DPS_Base_Recoil/(1+A1188),DPS_Base_Recoil)</f>
        <v>0.004784688995</v>
      </c>
      <c r="G1188" s="377">
        <f t="shared" si="7"/>
        <v>0.51</v>
      </c>
      <c r="H1188" s="377">
        <f t="shared" si="8"/>
        <v>0.006814310051</v>
      </c>
      <c r="I1188" s="104"/>
      <c r="J1188" s="377">
        <f>MAX(0, Max(25,(DPS_Base_Range + ((DPS_Range_Stat) / 2))) / MIN(MAX(70, (70 * (1 + ($A1188 / 3)))), 120))</f>
        <v>3.333333333</v>
      </c>
      <c r="K1188" s="115" t="str">
        <f>IF(A1188&lt;=DPS_Graph_Max,IF(A1188&gt;=DPS_Graph_Speed_Min,A1188,),)</f>
        <v/>
      </c>
      <c r="M1188" s="213">
        <f>If(DPS_Weapon_Type="远程",$E1188/60+$F1188*2,$E1188/60+$F1188+$G1188/2+$H1188)</f>
        <v>0.04290271132</v>
      </c>
      <c r="N1188" s="104" t="str">
        <f>IF(DPS_Graph_Tooltip_Speed=TRUE,IF($A1188&lt;=DPS_Graph_Max,IF($A1188&gt;=DPS_Graph_Speed_Min,1/M1188,),),)</f>
        <v/>
      </c>
      <c r="R1188" s="104" t="str">
        <f>IF(DPS_Graph_Tooltip_Speed=TRUE,IF($E$8=$A1188,1/$N$6,),)</f>
        <v/>
      </c>
    </row>
    <row r="1189">
      <c r="A1189" s="370">
        <v>9.46</v>
      </c>
      <c r="B1189" s="213">
        <f>If(DPS_Weapon_Type="远程",($E1189+1)/60+(ROUNDDOWN($F1189*60+1,0)/60)*2,(ROUNDDOWN(($E1189+1)+ROUNDDOWN($F1189*60+1,0)+ROUNDDOWN($G1189/2*60+1,0)+ROUNDDOWN($H1189*60+1,0)+1,0))/60+If(DPS_ATK_TYPE="挥砍",1/60)+If(DPS_ATK_TYPE="挥砍/刺击",1/120))+DPS_Weapon_Randomization/60</f>
        <v>0.105</v>
      </c>
      <c r="C1189" s="104" t="str">
        <f>IF(DPS_Graph_True_Speed=TRUE,IF($A1189&lt;=DPS_Graph_Max,IF($A1189&gt;=DPS_Graph_Speed_Min,1/B1189,),),)</f>
        <v/>
      </c>
      <c r="D1189" s="115" t="str">
        <f>IF(DPS_Graph_True_Speed=TRUE,IF($E$8=$A1189,DPS_Attacks_P_Sec,),)</f>
        <v/>
      </c>
      <c r="E1189" s="222">
        <f>ROUNDDOWN(MAX(2,IF(A1189&gt;=0, DPS_Base_Wpn_Spd/(1+A1189),DPS_Base_Wpn_Spd*(1+ABS(A1189)))),0)</f>
        <v>2</v>
      </c>
      <c r="F1189" s="232">
        <f>IF(A1189&gt;=0, DPS_Base_Recoil/(1+A1189),DPS_Base_Recoil)</f>
        <v>0.004780114723</v>
      </c>
      <c r="G1189" s="377">
        <f t="shared" si="7"/>
        <v>0.51</v>
      </c>
      <c r="H1189" s="377">
        <f t="shared" si="8"/>
        <v>0.00680735194</v>
      </c>
      <c r="I1189" s="104"/>
      <c r="J1189" s="377">
        <f>MAX(0, Max(25,(DPS_Base_Range + ((DPS_Range_Stat) / 2))) / MIN(MAX(70, (70 * (1 + ($A1189 / 3)))), 120))</f>
        <v>3.333333333</v>
      </c>
      <c r="K1189" s="115" t="str">
        <f>IF(A1189&lt;=DPS_Graph_Max,IF(A1189&gt;=DPS_Graph_Speed_Min,A1189,),)</f>
        <v/>
      </c>
      <c r="M1189" s="213">
        <f>If(DPS_Weapon_Type="远程",$E1189/60+$F1189*2,$E1189/60+$F1189+$G1189/2+$H1189)</f>
        <v>0.04289356278</v>
      </c>
      <c r="N1189" s="104" t="str">
        <f>IF(DPS_Graph_Tooltip_Speed=TRUE,IF($A1189&lt;=DPS_Graph_Max,IF($A1189&gt;=DPS_Graph_Speed_Min,1/M1189,),),)</f>
        <v/>
      </c>
      <c r="R1189" s="104" t="str">
        <f>IF(DPS_Graph_Tooltip_Speed=TRUE,IF($E$8=$A1189,1/$N$6,),)</f>
        <v/>
      </c>
    </row>
    <row r="1190">
      <c r="A1190" s="370">
        <v>9.47</v>
      </c>
      <c r="B1190" s="213">
        <f>If(DPS_Weapon_Type="远程",($E1190+1)/60+(ROUNDDOWN($F1190*60+1,0)/60)*2,(ROUNDDOWN(($E1190+1)+ROUNDDOWN($F1190*60+1,0)+ROUNDDOWN($G1190/2*60+1,0)+ROUNDDOWN($H1190*60+1,0)+1,0))/60+If(DPS_ATK_TYPE="挥砍",1/60)+If(DPS_ATK_TYPE="挥砍/刺击",1/120))+DPS_Weapon_Randomization/60</f>
        <v>0.105</v>
      </c>
      <c r="C1190" s="104" t="str">
        <f>IF(DPS_Graph_True_Speed=TRUE,IF($A1190&lt;=DPS_Graph_Max,IF($A1190&gt;=DPS_Graph_Speed_Min,1/B1190,),),)</f>
        <v/>
      </c>
      <c r="D1190" s="115" t="str">
        <f>IF(DPS_Graph_True_Speed=TRUE,IF($E$8=$A1190,DPS_Attacks_P_Sec,),)</f>
        <v/>
      </c>
      <c r="E1190" s="222">
        <f>ROUNDDOWN(MAX(2,IF(A1190&gt;=0, DPS_Base_Wpn_Spd/(1+A1190),DPS_Base_Wpn_Spd*(1+ABS(A1190)))),0)</f>
        <v>2</v>
      </c>
      <c r="F1190" s="232">
        <f>IF(A1190&gt;=0, DPS_Base_Recoil/(1+A1190),DPS_Base_Recoil)</f>
        <v>0.004775549188</v>
      </c>
      <c r="G1190" s="377">
        <f t="shared" si="7"/>
        <v>0.51</v>
      </c>
      <c r="H1190" s="377">
        <f t="shared" si="8"/>
        <v>0.006800408024</v>
      </c>
      <c r="I1190" s="104"/>
      <c r="J1190" s="377">
        <f>MAX(0, Max(25,(DPS_Base_Range + ((DPS_Range_Stat) / 2))) / MIN(MAX(70, (70 * (1 + ($A1190 / 3)))), 120))</f>
        <v>3.333333333</v>
      </c>
      <c r="K1190" s="115" t="str">
        <f>IF(A1190&lt;=DPS_Graph_Max,IF(A1190&gt;=DPS_Graph_Speed_Min,A1190,),)</f>
        <v/>
      </c>
      <c r="M1190" s="213">
        <f>If(DPS_Weapon_Type="远程",$E1190/60+$F1190*2,$E1190/60+$F1190+$G1190/2+$H1190)</f>
        <v>0.04288443171</v>
      </c>
      <c r="N1190" s="104" t="str">
        <f>IF(DPS_Graph_Tooltip_Speed=TRUE,IF($A1190&lt;=DPS_Graph_Max,IF($A1190&gt;=DPS_Graph_Speed_Min,1/M1190,),),)</f>
        <v/>
      </c>
      <c r="R1190" s="104" t="str">
        <f>IF(DPS_Graph_Tooltip_Speed=TRUE,IF($E$8=$A1190,1/$N$6,),)</f>
        <v/>
      </c>
    </row>
    <row r="1191">
      <c r="A1191" s="370">
        <v>9.48</v>
      </c>
      <c r="B1191" s="213">
        <f>If(DPS_Weapon_Type="远程",($E1191+1)/60+(ROUNDDOWN($F1191*60+1,0)/60)*2,(ROUNDDOWN(($E1191+1)+ROUNDDOWN($F1191*60+1,0)+ROUNDDOWN($G1191/2*60+1,0)+ROUNDDOWN($H1191*60+1,0)+1,0))/60+If(DPS_ATK_TYPE="挥砍",1/60)+If(DPS_ATK_TYPE="挥砍/刺击",1/120))+DPS_Weapon_Randomization/60</f>
        <v>0.105</v>
      </c>
      <c r="C1191" s="104" t="str">
        <f>IF(DPS_Graph_True_Speed=TRUE,IF($A1191&lt;=DPS_Graph_Max,IF($A1191&gt;=DPS_Graph_Speed_Min,1/B1191,),),)</f>
        <v/>
      </c>
      <c r="D1191" s="115" t="str">
        <f>IF(DPS_Graph_True_Speed=TRUE,IF($E$8=$A1191,DPS_Attacks_P_Sec,),)</f>
        <v/>
      </c>
      <c r="E1191" s="222">
        <f>ROUNDDOWN(MAX(2,IF(A1191&gt;=0, DPS_Base_Wpn_Spd/(1+A1191),DPS_Base_Wpn_Spd*(1+ABS(A1191)))),0)</f>
        <v>2</v>
      </c>
      <c r="F1191" s="232">
        <f>IF(A1191&gt;=0, DPS_Base_Recoil/(1+A1191),DPS_Base_Recoil)</f>
        <v>0.004770992366</v>
      </c>
      <c r="G1191" s="377">
        <f t="shared" si="7"/>
        <v>0.51</v>
      </c>
      <c r="H1191" s="377">
        <f t="shared" si="8"/>
        <v>0.006793478261</v>
      </c>
      <c r="I1191" s="104"/>
      <c r="J1191" s="377">
        <f>MAX(0, Max(25,(DPS_Base_Range + ((DPS_Range_Stat) / 2))) / MIN(MAX(70, (70 * (1 + ($A1191 / 3)))), 120))</f>
        <v>3.333333333</v>
      </c>
      <c r="K1191" s="115" t="str">
        <f>IF(A1191&lt;=DPS_Graph_Max,IF(A1191&gt;=DPS_Graph_Speed_Min,A1191,),)</f>
        <v/>
      </c>
      <c r="M1191" s="213">
        <f>If(DPS_Weapon_Type="远程",$E1191/60+$F1191*2,$E1191/60+$F1191+$G1191/2+$H1191)</f>
        <v>0.04287531807</v>
      </c>
      <c r="N1191" s="104" t="str">
        <f>IF(DPS_Graph_Tooltip_Speed=TRUE,IF($A1191&lt;=DPS_Graph_Max,IF($A1191&gt;=DPS_Graph_Speed_Min,1/M1191,),),)</f>
        <v/>
      </c>
      <c r="R1191" s="104" t="str">
        <f>IF(DPS_Graph_Tooltip_Speed=TRUE,IF($E$8=$A1191,1/$N$6,),)</f>
        <v/>
      </c>
    </row>
    <row r="1192">
      <c r="A1192" s="370">
        <v>9.49</v>
      </c>
      <c r="B1192" s="213">
        <f>If(DPS_Weapon_Type="远程",($E1192+1)/60+(ROUNDDOWN($F1192*60+1,0)/60)*2,(ROUNDDOWN(($E1192+1)+ROUNDDOWN($F1192*60+1,0)+ROUNDDOWN($G1192/2*60+1,0)+ROUNDDOWN($H1192*60+1,0)+1,0))/60+If(DPS_ATK_TYPE="挥砍",1/60)+If(DPS_ATK_TYPE="挥砍/刺击",1/120))+DPS_Weapon_Randomization/60</f>
        <v>0.105</v>
      </c>
      <c r="C1192" s="104" t="str">
        <f>IF(DPS_Graph_True_Speed=TRUE,IF($A1192&lt;=DPS_Graph_Max,IF($A1192&gt;=DPS_Graph_Speed_Min,1/B1192,),),)</f>
        <v/>
      </c>
      <c r="D1192" s="115" t="str">
        <f>IF(DPS_Graph_True_Speed=TRUE,IF($E$8=$A1192,DPS_Attacks_P_Sec,),)</f>
        <v/>
      </c>
      <c r="E1192" s="222">
        <f>ROUNDDOWN(MAX(2,IF(A1192&gt;=0, DPS_Base_Wpn_Spd/(1+A1192),DPS_Base_Wpn_Spd*(1+ABS(A1192)))),0)</f>
        <v>2</v>
      </c>
      <c r="F1192" s="232">
        <f>IF(A1192&gt;=0, DPS_Base_Recoil/(1+A1192),DPS_Base_Recoil)</f>
        <v>0.004766444233</v>
      </c>
      <c r="G1192" s="377">
        <f t="shared" si="7"/>
        <v>0.51</v>
      </c>
      <c r="H1192" s="377">
        <f t="shared" si="8"/>
        <v>0.006786562606</v>
      </c>
      <c r="I1192" s="104"/>
      <c r="J1192" s="377">
        <f>MAX(0, Max(25,(DPS_Base_Range + ((DPS_Range_Stat) / 2))) / MIN(MAX(70, (70 * (1 + ($A1192 / 3)))), 120))</f>
        <v>3.333333333</v>
      </c>
      <c r="K1192" s="115" t="str">
        <f>IF(A1192&lt;=DPS_Graph_Max,IF(A1192&gt;=DPS_Graph_Speed_Min,A1192,),)</f>
        <v/>
      </c>
      <c r="M1192" s="213">
        <f>If(DPS_Weapon_Type="远程",$E1192/60+$F1192*2,$E1192/60+$F1192+$G1192/2+$H1192)</f>
        <v>0.0428662218</v>
      </c>
      <c r="N1192" s="104" t="str">
        <f>IF(DPS_Graph_Tooltip_Speed=TRUE,IF($A1192&lt;=DPS_Graph_Max,IF($A1192&gt;=DPS_Graph_Speed_Min,1/M1192,),),)</f>
        <v/>
      </c>
      <c r="R1192" s="104" t="str">
        <f>IF(DPS_Graph_Tooltip_Speed=TRUE,IF($E$8=$A1192,1/$N$6,),)</f>
        <v/>
      </c>
    </row>
    <row r="1193">
      <c r="A1193" s="370">
        <v>9.5</v>
      </c>
      <c r="B1193" s="213">
        <f>If(DPS_Weapon_Type="远程",($E1193+1)/60+(ROUNDDOWN($F1193*60+1,0)/60)*2,(ROUNDDOWN(($E1193+1)+ROUNDDOWN($F1193*60+1,0)+ROUNDDOWN($G1193/2*60+1,0)+ROUNDDOWN($H1193*60+1,0)+1,0))/60+If(DPS_ATK_TYPE="挥砍",1/60)+If(DPS_ATK_TYPE="挥砍/刺击",1/120))+DPS_Weapon_Randomization/60</f>
        <v>0.105</v>
      </c>
      <c r="C1193" s="104" t="str">
        <f>IF(DPS_Graph_True_Speed=TRUE,IF($A1193&lt;=DPS_Graph_Max,IF($A1193&gt;=DPS_Graph_Speed_Min,1/B1193,),),)</f>
        <v/>
      </c>
      <c r="D1193" s="115" t="str">
        <f>IF(DPS_Graph_True_Speed=TRUE,IF($E$8=$A1193,DPS_Attacks_P_Sec,),)</f>
        <v/>
      </c>
      <c r="E1193" s="222">
        <f>ROUNDDOWN(MAX(2,IF(A1193&gt;=0, DPS_Base_Wpn_Spd/(1+A1193),DPS_Base_Wpn_Spd*(1+ABS(A1193)))),0)</f>
        <v>2</v>
      </c>
      <c r="F1193" s="232">
        <f>IF(A1193&gt;=0, DPS_Base_Recoil/(1+A1193),DPS_Base_Recoil)</f>
        <v>0.004761904762</v>
      </c>
      <c r="G1193" s="377">
        <f t="shared" si="7"/>
        <v>0.51</v>
      </c>
      <c r="H1193" s="377">
        <f t="shared" si="8"/>
        <v>0.006779661017</v>
      </c>
      <c r="I1193" s="104"/>
      <c r="J1193" s="377">
        <f>MAX(0, Max(25,(DPS_Base_Range + ((DPS_Range_Stat) / 2))) / MIN(MAX(70, (70 * (1 + ($A1193 / 3)))), 120))</f>
        <v>3.333333333</v>
      </c>
      <c r="K1193" s="115" t="str">
        <f>IF(A1193&lt;=DPS_Graph_Max,IF(A1193&gt;=DPS_Graph_Speed_Min,A1193,),)</f>
        <v/>
      </c>
      <c r="M1193" s="213">
        <f>If(DPS_Weapon_Type="远程",$E1193/60+$F1193*2,$E1193/60+$F1193+$G1193/2+$H1193)</f>
        <v>0.04285714286</v>
      </c>
      <c r="N1193" s="104" t="str">
        <f>IF(DPS_Graph_Tooltip_Speed=TRUE,IF($A1193&lt;=DPS_Graph_Max,IF($A1193&gt;=DPS_Graph_Speed_Min,1/M1193,),),)</f>
        <v/>
      </c>
      <c r="R1193" s="104" t="str">
        <f>IF(DPS_Graph_Tooltip_Speed=TRUE,IF($E$8=$A1193,1/$N$6,),)</f>
        <v/>
      </c>
    </row>
    <row r="1194">
      <c r="A1194" s="370">
        <v>9.51</v>
      </c>
      <c r="B1194" s="213">
        <f>If(DPS_Weapon_Type="远程",($E1194+1)/60+(ROUNDDOWN($F1194*60+1,0)/60)*2,(ROUNDDOWN(($E1194+1)+ROUNDDOWN($F1194*60+1,0)+ROUNDDOWN($G1194/2*60+1,0)+ROUNDDOWN($H1194*60+1,0)+1,0))/60+If(DPS_ATK_TYPE="挥砍",1/60)+If(DPS_ATK_TYPE="挥砍/刺击",1/120))+DPS_Weapon_Randomization/60</f>
        <v>0.105</v>
      </c>
      <c r="C1194" s="104" t="str">
        <f>IF(DPS_Graph_True_Speed=TRUE,IF($A1194&lt;=DPS_Graph_Max,IF($A1194&gt;=DPS_Graph_Speed_Min,1/B1194,),),)</f>
        <v/>
      </c>
      <c r="D1194" s="115" t="str">
        <f>IF(DPS_Graph_True_Speed=TRUE,IF($E$8=$A1194,DPS_Attacks_P_Sec,),)</f>
        <v/>
      </c>
      <c r="E1194" s="222">
        <f>ROUNDDOWN(MAX(2,IF(A1194&gt;=0, DPS_Base_Wpn_Spd/(1+A1194),DPS_Base_Wpn_Spd*(1+ABS(A1194)))),0)</f>
        <v>2</v>
      </c>
      <c r="F1194" s="232">
        <f>IF(A1194&gt;=0, DPS_Base_Recoil/(1+A1194),DPS_Base_Recoil)</f>
        <v>0.00475737393</v>
      </c>
      <c r="G1194" s="377">
        <f t="shared" si="7"/>
        <v>0.51</v>
      </c>
      <c r="H1194" s="377">
        <f t="shared" si="8"/>
        <v>0.006772773451</v>
      </c>
      <c r="I1194" s="104"/>
      <c r="J1194" s="377">
        <f>MAX(0, Max(25,(DPS_Base_Range + ((DPS_Range_Stat) / 2))) / MIN(MAX(70, (70 * (1 + ($A1194 / 3)))), 120))</f>
        <v>3.333333333</v>
      </c>
      <c r="K1194" s="115" t="str">
        <f>IF(A1194&lt;=DPS_Graph_Max,IF(A1194&gt;=DPS_Graph_Speed_Min,A1194,),)</f>
        <v/>
      </c>
      <c r="M1194" s="213">
        <f>If(DPS_Weapon_Type="远程",$E1194/60+$F1194*2,$E1194/60+$F1194+$G1194/2+$H1194)</f>
        <v>0.04284808119</v>
      </c>
      <c r="N1194" s="104" t="str">
        <f>IF(DPS_Graph_Tooltip_Speed=TRUE,IF($A1194&lt;=DPS_Graph_Max,IF($A1194&gt;=DPS_Graph_Speed_Min,1/M1194,),),)</f>
        <v/>
      </c>
      <c r="R1194" s="104" t="str">
        <f>IF(DPS_Graph_Tooltip_Speed=TRUE,IF($E$8=$A1194,1/$N$6,),)</f>
        <v/>
      </c>
    </row>
    <row r="1195">
      <c r="A1195" s="370">
        <v>9.52</v>
      </c>
      <c r="B1195" s="213">
        <f>If(DPS_Weapon_Type="远程",($E1195+1)/60+(ROUNDDOWN($F1195*60+1,0)/60)*2,(ROUNDDOWN(($E1195+1)+ROUNDDOWN($F1195*60+1,0)+ROUNDDOWN($G1195/2*60+1,0)+ROUNDDOWN($H1195*60+1,0)+1,0))/60+If(DPS_ATK_TYPE="挥砍",1/60)+If(DPS_ATK_TYPE="挥砍/刺击",1/120))+DPS_Weapon_Randomization/60</f>
        <v>0.105</v>
      </c>
      <c r="C1195" s="104" t="str">
        <f>IF(DPS_Graph_True_Speed=TRUE,IF($A1195&lt;=DPS_Graph_Max,IF($A1195&gt;=DPS_Graph_Speed_Min,1/B1195,),),)</f>
        <v/>
      </c>
      <c r="D1195" s="115" t="str">
        <f>IF(DPS_Graph_True_Speed=TRUE,IF($E$8=$A1195,DPS_Attacks_P_Sec,),)</f>
        <v/>
      </c>
      <c r="E1195" s="222">
        <f>ROUNDDOWN(MAX(2,IF(A1195&gt;=0, DPS_Base_Wpn_Spd/(1+A1195),DPS_Base_Wpn_Spd*(1+ABS(A1195)))),0)</f>
        <v>2</v>
      </c>
      <c r="F1195" s="232">
        <f>IF(A1195&gt;=0, DPS_Base_Recoil/(1+A1195),DPS_Base_Recoil)</f>
        <v>0.004752851711</v>
      </c>
      <c r="G1195" s="377">
        <f t="shared" si="7"/>
        <v>0.51</v>
      </c>
      <c r="H1195" s="377">
        <f t="shared" si="8"/>
        <v>0.006765899865</v>
      </c>
      <c r="I1195" s="104"/>
      <c r="J1195" s="377">
        <f>MAX(0, Max(25,(DPS_Base_Range + ((DPS_Range_Stat) / 2))) / MIN(MAX(70, (70 * (1 + ($A1195 / 3)))), 120))</f>
        <v>3.333333333</v>
      </c>
      <c r="K1195" s="115" t="str">
        <f>IF(A1195&lt;=DPS_Graph_Max,IF(A1195&gt;=DPS_Graph_Speed_Min,A1195,),)</f>
        <v/>
      </c>
      <c r="M1195" s="213">
        <f>If(DPS_Weapon_Type="远程",$E1195/60+$F1195*2,$E1195/60+$F1195+$G1195/2+$H1195)</f>
        <v>0.04283903676</v>
      </c>
      <c r="N1195" s="104" t="str">
        <f>IF(DPS_Graph_Tooltip_Speed=TRUE,IF($A1195&lt;=DPS_Graph_Max,IF($A1195&gt;=DPS_Graph_Speed_Min,1/M1195,),),)</f>
        <v/>
      </c>
      <c r="R1195" s="104" t="str">
        <f>IF(DPS_Graph_Tooltip_Speed=TRUE,IF($E$8=$A1195,1/$N$6,),)</f>
        <v/>
      </c>
    </row>
    <row r="1196">
      <c r="A1196" s="370">
        <v>9.53</v>
      </c>
      <c r="B1196" s="213">
        <f>If(DPS_Weapon_Type="远程",($E1196+1)/60+(ROUNDDOWN($F1196*60+1,0)/60)*2,(ROUNDDOWN(($E1196+1)+ROUNDDOWN($F1196*60+1,0)+ROUNDDOWN($G1196/2*60+1,0)+ROUNDDOWN($H1196*60+1,0)+1,0))/60+If(DPS_ATK_TYPE="挥砍",1/60)+If(DPS_ATK_TYPE="挥砍/刺击",1/120))+DPS_Weapon_Randomization/60</f>
        <v>0.105</v>
      </c>
      <c r="C1196" s="104" t="str">
        <f>IF(DPS_Graph_True_Speed=TRUE,IF($A1196&lt;=DPS_Graph_Max,IF($A1196&gt;=DPS_Graph_Speed_Min,1/B1196,),),)</f>
        <v/>
      </c>
      <c r="D1196" s="115" t="str">
        <f>IF(DPS_Graph_True_Speed=TRUE,IF($E$8=$A1196,DPS_Attacks_P_Sec,),)</f>
        <v/>
      </c>
      <c r="E1196" s="222">
        <f>ROUNDDOWN(MAX(2,IF(A1196&gt;=0, DPS_Base_Wpn_Spd/(1+A1196),DPS_Base_Wpn_Spd*(1+ABS(A1196)))),0)</f>
        <v>2</v>
      </c>
      <c r="F1196" s="232">
        <f>IF(A1196&gt;=0, DPS_Base_Recoil/(1+A1196),DPS_Base_Recoil)</f>
        <v>0.004748338082</v>
      </c>
      <c r="G1196" s="377">
        <f t="shared" si="7"/>
        <v>0.51</v>
      </c>
      <c r="H1196" s="377">
        <f t="shared" si="8"/>
        <v>0.006759040216</v>
      </c>
      <c r="I1196" s="104"/>
      <c r="J1196" s="377">
        <f>MAX(0, Max(25,(DPS_Base_Range + ((DPS_Range_Stat) / 2))) / MIN(MAX(70, (70 * (1 + ($A1196 / 3)))), 120))</f>
        <v>3.333333333</v>
      </c>
      <c r="K1196" s="115" t="str">
        <f>IF(A1196&lt;=DPS_Graph_Max,IF(A1196&gt;=DPS_Graph_Speed_Min,A1196,),)</f>
        <v/>
      </c>
      <c r="M1196" s="213">
        <f>If(DPS_Weapon_Type="远程",$E1196/60+$F1196*2,$E1196/60+$F1196+$G1196/2+$H1196)</f>
        <v>0.0428300095</v>
      </c>
      <c r="N1196" s="104" t="str">
        <f>IF(DPS_Graph_Tooltip_Speed=TRUE,IF($A1196&lt;=DPS_Graph_Max,IF($A1196&gt;=DPS_Graph_Speed_Min,1/M1196,),),)</f>
        <v/>
      </c>
      <c r="R1196" s="104" t="str">
        <f>IF(DPS_Graph_Tooltip_Speed=TRUE,IF($E$8=$A1196,1/$N$6,),)</f>
        <v/>
      </c>
    </row>
    <row r="1197">
      <c r="A1197" s="370">
        <v>9.54</v>
      </c>
      <c r="B1197" s="213">
        <f>If(DPS_Weapon_Type="远程",($E1197+1)/60+(ROUNDDOWN($F1197*60+1,0)/60)*2,(ROUNDDOWN(($E1197+1)+ROUNDDOWN($F1197*60+1,0)+ROUNDDOWN($G1197/2*60+1,0)+ROUNDDOWN($H1197*60+1,0)+1,0))/60+If(DPS_ATK_TYPE="挥砍",1/60)+If(DPS_ATK_TYPE="挥砍/刺击",1/120))+DPS_Weapon_Randomization/60</f>
        <v>0.105</v>
      </c>
      <c r="C1197" s="104" t="str">
        <f>IF(DPS_Graph_True_Speed=TRUE,IF($A1197&lt;=DPS_Graph_Max,IF($A1197&gt;=DPS_Graph_Speed_Min,1/B1197,),),)</f>
        <v/>
      </c>
      <c r="D1197" s="115" t="str">
        <f>IF(DPS_Graph_True_Speed=TRUE,IF($E$8=$A1197,DPS_Attacks_P_Sec,),)</f>
        <v/>
      </c>
      <c r="E1197" s="222">
        <f>ROUNDDOWN(MAX(2,IF(A1197&gt;=0, DPS_Base_Wpn_Spd/(1+A1197),DPS_Base_Wpn_Spd*(1+ABS(A1197)))),0)</f>
        <v>2</v>
      </c>
      <c r="F1197" s="232">
        <f>IF(A1197&gt;=0, DPS_Base_Recoil/(1+A1197),DPS_Base_Recoil)</f>
        <v>0.004743833017</v>
      </c>
      <c r="G1197" s="377">
        <f t="shared" si="7"/>
        <v>0.51</v>
      </c>
      <c r="H1197" s="377">
        <f t="shared" si="8"/>
        <v>0.006752194463</v>
      </c>
      <c r="I1197" s="104"/>
      <c r="J1197" s="377">
        <f>MAX(0, Max(25,(DPS_Base_Range + ((DPS_Range_Stat) / 2))) / MIN(MAX(70, (70 * (1 + ($A1197 / 3)))), 120))</f>
        <v>3.333333333</v>
      </c>
      <c r="K1197" s="115" t="str">
        <f>IF(A1197&lt;=DPS_Graph_Max,IF(A1197&gt;=DPS_Graph_Speed_Min,A1197,),)</f>
        <v/>
      </c>
      <c r="M1197" s="213">
        <f>If(DPS_Weapon_Type="远程",$E1197/60+$F1197*2,$E1197/60+$F1197+$G1197/2+$H1197)</f>
        <v>0.04282099937</v>
      </c>
      <c r="N1197" s="104" t="str">
        <f>IF(DPS_Graph_Tooltip_Speed=TRUE,IF($A1197&lt;=DPS_Graph_Max,IF($A1197&gt;=DPS_Graph_Speed_Min,1/M1197,),),)</f>
        <v/>
      </c>
      <c r="R1197" s="104" t="str">
        <f>IF(DPS_Graph_Tooltip_Speed=TRUE,IF($E$8=$A1197,1/$N$6,),)</f>
        <v/>
      </c>
    </row>
    <row r="1198">
      <c r="A1198" s="370">
        <v>9.55</v>
      </c>
      <c r="B1198" s="213">
        <f>If(DPS_Weapon_Type="远程",($E1198+1)/60+(ROUNDDOWN($F1198*60+1,0)/60)*2,(ROUNDDOWN(($E1198+1)+ROUNDDOWN($F1198*60+1,0)+ROUNDDOWN($G1198/2*60+1,0)+ROUNDDOWN($H1198*60+1,0)+1,0))/60+If(DPS_ATK_TYPE="挥砍",1/60)+If(DPS_ATK_TYPE="挥砍/刺击",1/120))+DPS_Weapon_Randomization/60</f>
        <v>0.105</v>
      </c>
      <c r="C1198" s="104" t="str">
        <f>IF(DPS_Graph_True_Speed=TRUE,IF($A1198&lt;=DPS_Graph_Max,IF($A1198&gt;=DPS_Graph_Speed_Min,1/B1198,),),)</f>
        <v/>
      </c>
      <c r="D1198" s="115" t="str">
        <f>IF(DPS_Graph_True_Speed=TRUE,IF($E$8=$A1198,DPS_Attacks_P_Sec,),)</f>
        <v/>
      </c>
      <c r="E1198" s="222">
        <f>ROUNDDOWN(MAX(2,IF(A1198&gt;=0, DPS_Base_Wpn_Spd/(1+A1198),DPS_Base_Wpn_Spd*(1+ABS(A1198)))),0)</f>
        <v>2</v>
      </c>
      <c r="F1198" s="232">
        <f>IF(A1198&gt;=0, DPS_Base_Recoil/(1+A1198),DPS_Base_Recoil)</f>
        <v>0.004739336493</v>
      </c>
      <c r="G1198" s="377">
        <f t="shared" si="7"/>
        <v>0.51</v>
      </c>
      <c r="H1198" s="377">
        <f t="shared" si="8"/>
        <v>0.006745362563</v>
      </c>
      <c r="I1198" s="104"/>
      <c r="J1198" s="377">
        <f>MAX(0, Max(25,(DPS_Base_Range + ((DPS_Range_Stat) / 2))) / MIN(MAX(70, (70 * (1 + ($A1198 / 3)))), 120))</f>
        <v>3.333333333</v>
      </c>
      <c r="K1198" s="115" t="str">
        <f>IF(A1198&lt;=DPS_Graph_Max,IF(A1198&gt;=DPS_Graph_Speed_Min,A1198,),)</f>
        <v/>
      </c>
      <c r="M1198" s="213">
        <f>If(DPS_Weapon_Type="远程",$E1198/60+$F1198*2,$E1198/60+$F1198+$G1198/2+$H1198)</f>
        <v>0.04281200632</v>
      </c>
      <c r="N1198" s="104" t="str">
        <f>IF(DPS_Graph_Tooltip_Speed=TRUE,IF($A1198&lt;=DPS_Graph_Max,IF($A1198&gt;=DPS_Graph_Speed_Min,1/M1198,),),)</f>
        <v/>
      </c>
      <c r="R1198" s="104" t="str">
        <f>IF(DPS_Graph_Tooltip_Speed=TRUE,IF($E$8=$A1198,1/$N$6,),)</f>
        <v/>
      </c>
    </row>
    <row r="1199">
      <c r="A1199" s="370">
        <v>9.56</v>
      </c>
      <c r="B1199" s="213">
        <f>If(DPS_Weapon_Type="远程",($E1199+1)/60+(ROUNDDOWN($F1199*60+1,0)/60)*2,(ROUNDDOWN(($E1199+1)+ROUNDDOWN($F1199*60+1,0)+ROUNDDOWN($G1199/2*60+1,0)+ROUNDDOWN($H1199*60+1,0)+1,0))/60+If(DPS_ATK_TYPE="挥砍",1/60)+If(DPS_ATK_TYPE="挥砍/刺击",1/120))+DPS_Weapon_Randomization/60</f>
        <v>0.105</v>
      </c>
      <c r="C1199" s="104" t="str">
        <f>IF(DPS_Graph_True_Speed=TRUE,IF($A1199&lt;=DPS_Graph_Max,IF($A1199&gt;=DPS_Graph_Speed_Min,1/B1199,),),)</f>
        <v/>
      </c>
      <c r="D1199" s="115" t="str">
        <f>IF(DPS_Graph_True_Speed=TRUE,IF($E$8=$A1199,DPS_Attacks_P_Sec,),)</f>
        <v/>
      </c>
      <c r="E1199" s="222">
        <f>ROUNDDOWN(MAX(2,IF(A1199&gt;=0, DPS_Base_Wpn_Spd/(1+A1199),DPS_Base_Wpn_Spd*(1+ABS(A1199)))),0)</f>
        <v>2</v>
      </c>
      <c r="F1199" s="232">
        <f>IF(A1199&gt;=0, DPS_Base_Recoil/(1+A1199),DPS_Base_Recoil)</f>
        <v>0.004734848485</v>
      </c>
      <c r="G1199" s="377">
        <f t="shared" si="7"/>
        <v>0.51</v>
      </c>
      <c r="H1199" s="377">
        <f t="shared" si="8"/>
        <v>0.006738544474</v>
      </c>
      <c r="I1199" s="104"/>
      <c r="J1199" s="377">
        <f>MAX(0, Max(25,(DPS_Base_Range + ((DPS_Range_Stat) / 2))) / MIN(MAX(70, (70 * (1 + ($A1199 / 3)))), 120))</f>
        <v>3.333333333</v>
      </c>
      <c r="K1199" s="115" t="str">
        <f>IF(A1199&lt;=DPS_Graph_Max,IF(A1199&gt;=DPS_Graph_Speed_Min,A1199,),)</f>
        <v/>
      </c>
      <c r="M1199" s="213">
        <f>If(DPS_Weapon_Type="远程",$E1199/60+$F1199*2,$E1199/60+$F1199+$G1199/2+$H1199)</f>
        <v>0.0428030303</v>
      </c>
      <c r="N1199" s="104" t="str">
        <f>IF(DPS_Graph_Tooltip_Speed=TRUE,IF($A1199&lt;=DPS_Graph_Max,IF($A1199&gt;=DPS_Graph_Speed_Min,1/M1199,),),)</f>
        <v/>
      </c>
      <c r="R1199" s="104" t="str">
        <f>IF(DPS_Graph_Tooltip_Speed=TRUE,IF($E$8=$A1199,1/$N$6,),)</f>
        <v/>
      </c>
    </row>
    <row r="1200">
      <c r="A1200" s="370">
        <v>9.57</v>
      </c>
      <c r="B1200" s="213">
        <f>If(DPS_Weapon_Type="远程",($E1200+1)/60+(ROUNDDOWN($F1200*60+1,0)/60)*2,(ROUNDDOWN(($E1200+1)+ROUNDDOWN($F1200*60+1,0)+ROUNDDOWN($G1200/2*60+1,0)+ROUNDDOWN($H1200*60+1,0)+1,0))/60+If(DPS_ATK_TYPE="挥砍",1/60)+If(DPS_ATK_TYPE="挥砍/刺击",1/120))+DPS_Weapon_Randomization/60</f>
        <v>0.105</v>
      </c>
      <c r="C1200" s="104" t="str">
        <f>IF(DPS_Graph_True_Speed=TRUE,IF($A1200&lt;=DPS_Graph_Max,IF($A1200&gt;=DPS_Graph_Speed_Min,1/B1200,),),)</f>
        <v/>
      </c>
      <c r="D1200" s="115" t="str">
        <f>IF(DPS_Graph_True_Speed=TRUE,IF($E$8=$A1200,DPS_Attacks_P_Sec,),)</f>
        <v/>
      </c>
      <c r="E1200" s="222">
        <f>ROUNDDOWN(MAX(2,IF(A1200&gt;=0, DPS_Base_Wpn_Spd/(1+A1200),DPS_Base_Wpn_Spd*(1+ABS(A1200)))),0)</f>
        <v>2</v>
      </c>
      <c r="F1200" s="232">
        <f>IF(A1200&gt;=0, DPS_Base_Recoil/(1+A1200),DPS_Base_Recoil)</f>
        <v>0.004730368969</v>
      </c>
      <c r="G1200" s="377">
        <f t="shared" si="7"/>
        <v>0.51</v>
      </c>
      <c r="H1200" s="377">
        <f t="shared" si="8"/>
        <v>0.006731740155</v>
      </c>
      <c r="I1200" s="104"/>
      <c r="J1200" s="377">
        <f>MAX(0, Max(25,(DPS_Base_Range + ((DPS_Range_Stat) / 2))) / MIN(MAX(70, (70 * (1 + ($A1200 / 3)))), 120))</f>
        <v>3.333333333</v>
      </c>
      <c r="K1200" s="115" t="str">
        <f>IF(A1200&lt;=DPS_Graph_Max,IF(A1200&gt;=DPS_Graph_Speed_Min,A1200,),)</f>
        <v/>
      </c>
      <c r="M1200" s="213">
        <f>If(DPS_Weapon_Type="远程",$E1200/60+$F1200*2,$E1200/60+$F1200+$G1200/2+$H1200)</f>
        <v>0.04279407127</v>
      </c>
      <c r="N1200" s="104" t="str">
        <f>IF(DPS_Graph_Tooltip_Speed=TRUE,IF($A1200&lt;=DPS_Graph_Max,IF($A1200&gt;=DPS_Graph_Speed_Min,1/M1200,),),)</f>
        <v/>
      </c>
      <c r="R1200" s="104" t="str">
        <f>IF(DPS_Graph_Tooltip_Speed=TRUE,IF($E$8=$A1200,1/$N$6,),)</f>
        <v/>
      </c>
    </row>
    <row r="1201">
      <c r="A1201" s="370">
        <v>9.58</v>
      </c>
      <c r="B1201" s="213">
        <f>If(DPS_Weapon_Type="远程",($E1201+1)/60+(ROUNDDOWN($F1201*60+1,0)/60)*2,(ROUNDDOWN(($E1201+1)+ROUNDDOWN($F1201*60+1,0)+ROUNDDOWN($G1201/2*60+1,0)+ROUNDDOWN($H1201*60+1,0)+1,0))/60+If(DPS_ATK_TYPE="挥砍",1/60)+If(DPS_ATK_TYPE="挥砍/刺击",1/120))+DPS_Weapon_Randomization/60</f>
        <v>0.105</v>
      </c>
      <c r="C1201" s="104" t="str">
        <f>IF(DPS_Graph_True_Speed=TRUE,IF($A1201&lt;=DPS_Graph_Max,IF($A1201&gt;=DPS_Graph_Speed_Min,1/B1201,),),)</f>
        <v/>
      </c>
      <c r="D1201" s="115" t="str">
        <f>IF(DPS_Graph_True_Speed=TRUE,IF($E$8=$A1201,DPS_Attacks_P_Sec,),)</f>
        <v/>
      </c>
      <c r="E1201" s="222">
        <f>ROUNDDOWN(MAX(2,IF(A1201&gt;=0, DPS_Base_Wpn_Spd/(1+A1201),DPS_Base_Wpn_Spd*(1+ABS(A1201)))),0)</f>
        <v>2</v>
      </c>
      <c r="F1201" s="232">
        <f>IF(A1201&gt;=0, DPS_Base_Recoil/(1+A1201),DPS_Base_Recoil)</f>
        <v>0.004725897921</v>
      </c>
      <c r="G1201" s="377">
        <f t="shared" si="7"/>
        <v>0.51</v>
      </c>
      <c r="H1201" s="377">
        <f t="shared" si="8"/>
        <v>0.006724949563</v>
      </c>
      <c r="I1201" s="104"/>
      <c r="J1201" s="377">
        <f>MAX(0, Max(25,(DPS_Base_Range + ((DPS_Range_Stat) / 2))) / MIN(MAX(70, (70 * (1 + ($A1201 / 3)))), 120))</f>
        <v>3.333333333</v>
      </c>
      <c r="K1201" s="115" t="str">
        <f>IF(A1201&lt;=DPS_Graph_Max,IF(A1201&gt;=DPS_Graph_Speed_Min,A1201,),)</f>
        <v/>
      </c>
      <c r="M1201" s="213">
        <f>If(DPS_Weapon_Type="远程",$E1201/60+$F1201*2,$E1201/60+$F1201+$G1201/2+$H1201)</f>
        <v>0.04278512917</v>
      </c>
      <c r="N1201" s="104" t="str">
        <f>IF(DPS_Graph_Tooltip_Speed=TRUE,IF($A1201&lt;=DPS_Graph_Max,IF($A1201&gt;=DPS_Graph_Speed_Min,1/M1201,),),)</f>
        <v/>
      </c>
      <c r="R1201" s="104" t="str">
        <f>IF(DPS_Graph_Tooltip_Speed=TRUE,IF($E$8=$A1201,1/$N$6,),)</f>
        <v/>
      </c>
    </row>
    <row r="1202">
      <c r="A1202" s="370">
        <v>9.59</v>
      </c>
      <c r="B1202" s="213">
        <f>If(DPS_Weapon_Type="远程",($E1202+1)/60+(ROUNDDOWN($F1202*60+1,0)/60)*2,(ROUNDDOWN(($E1202+1)+ROUNDDOWN($F1202*60+1,0)+ROUNDDOWN($G1202/2*60+1,0)+ROUNDDOWN($H1202*60+1,0)+1,0))/60+If(DPS_ATK_TYPE="挥砍",1/60)+If(DPS_ATK_TYPE="挥砍/刺击",1/120))+DPS_Weapon_Randomization/60</f>
        <v>0.105</v>
      </c>
      <c r="C1202" s="104" t="str">
        <f>IF(DPS_Graph_True_Speed=TRUE,IF($A1202&lt;=DPS_Graph_Max,IF($A1202&gt;=DPS_Graph_Speed_Min,1/B1202,),),)</f>
        <v/>
      </c>
      <c r="D1202" s="115" t="str">
        <f>IF(DPS_Graph_True_Speed=TRUE,IF($E$8=$A1202,DPS_Attacks_P_Sec,),)</f>
        <v/>
      </c>
      <c r="E1202" s="222">
        <f>ROUNDDOWN(MAX(2,IF(A1202&gt;=0, DPS_Base_Wpn_Spd/(1+A1202),DPS_Base_Wpn_Spd*(1+ABS(A1202)))),0)</f>
        <v>2</v>
      </c>
      <c r="F1202" s="232">
        <f>IF(A1202&gt;=0, DPS_Base_Recoil/(1+A1202),DPS_Base_Recoil)</f>
        <v>0.004721435316</v>
      </c>
      <c r="G1202" s="377">
        <f t="shared" si="7"/>
        <v>0.51</v>
      </c>
      <c r="H1202" s="377">
        <f t="shared" si="8"/>
        <v>0.006718172657</v>
      </c>
      <c r="I1202" s="104"/>
      <c r="J1202" s="377">
        <f>MAX(0, Max(25,(DPS_Base_Range + ((DPS_Range_Stat) / 2))) / MIN(MAX(70, (70 * (1 + ($A1202 / 3)))), 120))</f>
        <v>3.333333333</v>
      </c>
      <c r="K1202" s="115" t="str">
        <f>IF(A1202&lt;=DPS_Graph_Max,IF(A1202&gt;=DPS_Graph_Speed_Min,A1202,),)</f>
        <v/>
      </c>
      <c r="M1202" s="213">
        <f>If(DPS_Weapon_Type="远程",$E1202/60+$F1202*2,$E1202/60+$F1202+$G1202/2+$H1202)</f>
        <v>0.04277620397</v>
      </c>
      <c r="N1202" s="104" t="str">
        <f>IF(DPS_Graph_Tooltip_Speed=TRUE,IF($A1202&lt;=DPS_Graph_Max,IF($A1202&gt;=DPS_Graph_Speed_Min,1/M1202,),),)</f>
        <v/>
      </c>
      <c r="R1202" s="104" t="str">
        <f>IF(DPS_Graph_Tooltip_Speed=TRUE,IF($E$8=$A1202,1/$N$6,),)</f>
        <v/>
      </c>
    </row>
    <row r="1203">
      <c r="A1203" s="370">
        <v>9.6</v>
      </c>
      <c r="B1203" s="213">
        <f>If(DPS_Weapon_Type="远程",($E1203+1)/60+(ROUNDDOWN($F1203*60+1,0)/60)*2,(ROUNDDOWN(($E1203+1)+ROUNDDOWN($F1203*60+1,0)+ROUNDDOWN($G1203/2*60+1,0)+ROUNDDOWN($H1203*60+1,0)+1,0))/60+If(DPS_ATK_TYPE="挥砍",1/60)+If(DPS_ATK_TYPE="挥砍/刺击",1/120))+DPS_Weapon_Randomization/60</f>
        <v>0.105</v>
      </c>
      <c r="C1203" s="104" t="str">
        <f>IF(DPS_Graph_True_Speed=TRUE,IF($A1203&lt;=DPS_Graph_Max,IF($A1203&gt;=DPS_Graph_Speed_Min,1/B1203,),),)</f>
        <v/>
      </c>
      <c r="D1203" s="115" t="str">
        <f>IF(DPS_Graph_True_Speed=TRUE,IF($E$8=$A1203,DPS_Attacks_P_Sec,),)</f>
        <v/>
      </c>
      <c r="E1203" s="222">
        <f>ROUNDDOWN(MAX(2,IF(A1203&gt;=0, DPS_Base_Wpn_Spd/(1+A1203),DPS_Base_Wpn_Spd*(1+ABS(A1203)))),0)</f>
        <v>2</v>
      </c>
      <c r="F1203" s="232">
        <f>IF(A1203&gt;=0, DPS_Base_Recoil/(1+A1203),DPS_Base_Recoil)</f>
        <v>0.004716981132</v>
      </c>
      <c r="G1203" s="377">
        <f t="shared" si="7"/>
        <v>0.51</v>
      </c>
      <c r="H1203" s="377">
        <f t="shared" si="8"/>
        <v>0.006711409396</v>
      </c>
      <c r="I1203" s="104"/>
      <c r="J1203" s="377">
        <f>MAX(0, Max(25,(DPS_Base_Range + ((DPS_Range_Stat) / 2))) / MIN(MAX(70, (70 * (1 + ($A1203 / 3)))), 120))</f>
        <v>3.333333333</v>
      </c>
      <c r="K1203" s="115" t="str">
        <f>IF(A1203&lt;=DPS_Graph_Max,IF(A1203&gt;=DPS_Graph_Speed_Min,A1203,),)</f>
        <v/>
      </c>
      <c r="M1203" s="213">
        <f>If(DPS_Weapon_Type="远程",$E1203/60+$F1203*2,$E1203/60+$F1203+$G1203/2+$H1203)</f>
        <v>0.0427672956</v>
      </c>
      <c r="N1203" s="104" t="str">
        <f>IF(DPS_Graph_Tooltip_Speed=TRUE,IF($A1203&lt;=DPS_Graph_Max,IF($A1203&gt;=DPS_Graph_Speed_Min,1/M1203,),),)</f>
        <v/>
      </c>
      <c r="R1203" s="104" t="str">
        <f>IF(DPS_Graph_Tooltip_Speed=TRUE,IF($E$8=$A1203,1/$N$6,),)</f>
        <v/>
      </c>
    </row>
    <row r="1204">
      <c r="A1204" s="370">
        <v>9.61</v>
      </c>
      <c r="B1204" s="213">
        <f>If(DPS_Weapon_Type="远程",($E1204+1)/60+(ROUNDDOWN($F1204*60+1,0)/60)*2,(ROUNDDOWN(($E1204+1)+ROUNDDOWN($F1204*60+1,0)+ROUNDDOWN($G1204/2*60+1,0)+ROUNDDOWN($H1204*60+1,0)+1,0))/60+If(DPS_ATK_TYPE="挥砍",1/60)+If(DPS_ATK_TYPE="挥砍/刺击",1/120))+DPS_Weapon_Randomization/60</f>
        <v>0.105</v>
      </c>
      <c r="C1204" s="104" t="str">
        <f>IF(DPS_Graph_True_Speed=TRUE,IF($A1204&lt;=DPS_Graph_Max,IF($A1204&gt;=DPS_Graph_Speed_Min,1/B1204,),),)</f>
        <v/>
      </c>
      <c r="D1204" s="115" t="str">
        <f>IF(DPS_Graph_True_Speed=TRUE,IF($E$8=$A1204,DPS_Attacks_P_Sec,),)</f>
        <v/>
      </c>
      <c r="E1204" s="222">
        <f>ROUNDDOWN(MAX(2,IF(A1204&gt;=0, DPS_Base_Wpn_Spd/(1+A1204),DPS_Base_Wpn_Spd*(1+ABS(A1204)))),0)</f>
        <v>2</v>
      </c>
      <c r="F1204" s="232">
        <f>IF(A1204&gt;=0, DPS_Base_Recoil/(1+A1204),DPS_Base_Recoil)</f>
        <v>0.004712535344</v>
      </c>
      <c r="G1204" s="377">
        <f t="shared" si="7"/>
        <v>0.51</v>
      </c>
      <c r="H1204" s="377">
        <f t="shared" si="8"/>
        <v>0.006704659739</v>
      </c>
      <c r="I1204" s="104"/>
      <c r="J1204" s="377">
        <f>MAX(0, Max(25,(DPS_Base_Range + ((DPS_Range_Stat) / 2))) / MIN(MAX(70, (70 * (1 + ($A1204 / 3)))), 120))</f>
        <v>3.333333333</v>
      </c>
      <c r="K1204" s="115" t="str">
        <f>IF(A1204&lt;=DPS_Graph_Max,IF(A1204&gt;=DPS_Graph_Speed_Min,A1204,),)</f>
        <v/>
      </c>
      <c r="M1204" s="213">
        <f>If(DPS_Weapon_Type="远程",$E1204/60+$F1204*2,$E1204/60+$F1204+$G1204/2+$H1204)</f>
        <v>0.04275840402</v>
      </c>
      <c r="N1204" s="104" t="str">
        <f>IF(DPS_Graph_Tooltip_Speed=TRUE,IF($A1204&lt;=DPS_Graph_Max,IF($A1204&gt;=DPS_Graph_Speed_Min,1/M1204,),),)</f>
        <v/>
      </c>
      <c r="R1204" s="104" t="str">
        <f>IF(DPS_Graph_Tooltip_Speed=TRUE,IF($E$8=$A1204,1/$N$6,),)</f>
        <v/>
      </c>
    </row>
    <row r="1205">
      <c r="A1205" s="370">
        <v>9.62</v>
      </c>
      <c r="B1205" s="213">
        <f>If(DPS_Weapon_Type="远程",($E1205+1)/60+(ROUNDDOWN($F1205*60+1,0)/60)*2,(ROUNDDOWN(($E1205+1)+ROUNDDOWN($F1205*60+1,0)+ROUNDDOWN($G1205/2*60+1,0)+ROUNDDOWN($H1205*60+1,0)+1,0))/60+If(DPS_ATK_TYPE="挥砍",1/60)+If(DPS_ATK_TYPE="挥砍/刺击",1/120))+DPS_Weapon_Randomization/60</f>
        <v>0.105</v>
      </c>
      <c r="C1205" s="104" t="str">
        <f>IF(DPS_Graph_True_Speed=TRUE,IF($A1205&lt;=DPS_Graph_Max,IF($A1205&gt;=DPS_Graph_Speed_Min,1/B1205,),),)</f>
        <v/>
      </c>
      <c r="D1205" s="115" t="str">
        <f>IF(DPS_Graph_True_Speed=TRUE,IF($E$8=$A1205,DPS_Attacks_P_Sec,),)</f>
        <v/>
      </c>
      <c r="E1205" s="222">
        <f>ROUNDDOWN(MAX(2,IF(A1205&gt;=0, DPS_Base_Wpn_Spd/(1+A1205),DPS_Base_Wpn_Spd*(1+ABS(A1205)))),0)</f>
        <v>2</v>
      </c>
      <c r="F1205" s="232">
        <f>IF(A1205&gt;=0, DPS_Base_Recoil/(1+A1205),DPS_Base_Recoil)</f>
        <v>0.004708097928</v>
      </c>
      <c r="G1205" s="377">
        <f t="shared" si="7"/>
        <v>0.51</v>
      </c>
      <c r="H1205" s="377">
        <f t="shared" si="8"/>
        <v>0.006697923644</v>
      </c>
      <c r="I1205" s="104"/>
      <c r="J1205" s="377">
        <f>MAX(0, Max(25,(DPS_Base_Range + ((DPS_Range_Stat) / 2))) / MIN(MAX(70, (70 * (1 + ($A1205 / 3)))), 120))</f>
        <v>3.333333333</v>
      </c>
      <c r="K1205" s="115" t="str">
        <f>IF(A1205&lt;=DPS_Graph_Max,IF(A1205&gt;=DPS_Graph_Speed_Min,A1205,),)</f>
        <v/>
      </c>
      <c r="M1205" s="213">
        <f>If(DPS_Weapon_Type="远程",$E1205/60+$F1205*2,$E1205/60+$F1205+$G1205/2+$H1205)</f>
        <v>0.04274952919</v>
      </c>
      <c r="N1205" s="104" t="str">
        <f>IF(DPS_Graph_Tooltip_Speed=TRUE,IF($A1205&lt;=DPS_Graph_Max,IF($A1205&gt;=DPS_Graph_Speed_Min,1/M1205,),),)</f>
        <v/>
      </c>
      <c r="R1205" s="104" t="str">
        <f>IF(DPS_Graph_Tooltip_Speed=TRUE,IF($E$8=$A1205,1/$N$6,),)</f>
        <v/>
      </c>
    </row>
    <row r="1206">
      <c r="A1206" s="370">
        <v>9.63</v>
      </c>
      <c r="B1206" s="213">
        <f>If(DPS_Weapon_Type="远程",($E1206+1)/60+(ROUNDDOWN($F1206*60+1,0)/60)*2,(ROUNDDOWN(($E1206+1)+ROUNDDOWN($F1206*60+1,0)+ROUNDDOWN($G1206/2*60+1,0)+ROUNDDOWN($H1206*60+1,0)+1,0))/60+If(DPS_ATK_TYPE="挥砍",1/60)+If(DPS_ATK_TYPE="挥砍/刺击",1/120))+DPS_Weapon_Randomization/60</f>
        <v>0.105</v>
      </c>
      <c r="C1206" s="104" t="str">
        <f>IF(DPS_Graph_True_Speed=TRUE,IF($A1206&lt;=DPS_Graph_Max,IF($A1206&gt;=DPS_Graph_Speed_Min,1/B1206,),),)</f>
        <v/>
      </c>
      <c r="D1206" s="115" t="str">
        <f>IF(DPS_Graph_True_Speed=TRUE,IF($E$8=$A1206,DPS_Attacks_P_Sec,),)</f>
        <v/>
      </c>
      <c r="E1206" s="222">
        <f>ROUNDDOWN(MAX(2,IF(A1206&gt;=0, DPS_Base_Wpn_Spd/(1+A1206),DPS_Base_Wpn_Spd*(1+ABS(A1206)))),0)</f>
        <v>2</v>
      </c>
      <c r="F1206" s="232">
        <f>IF(A1206&gt;=0, DPS_Base_Recoil/(1+A1206),DPS_Base_Recoil)</f>
        <v>0.004703668862</v>
      </c>
      <c r="G1206" s="377">
        <f t="shared" si="7"/>
        <v>0.51</v>
      </c>
      <c r="H1206" s="377">
        <f t="shared" si="8"/>
        <v>0.006691201071</v>
      </c>
      <c r="I1206" s="104"/>
      <c r="J1206" s="377">
        <f>MAX(0, Max(25,(DPS_Base_Range + ((DPS_Range_Stat) / 2))) / MIN(MAX(70, (70 * (1 + ($A1206 / 3)))), 120))</f>
        <v>3.333333333</v>
      </c>
      <c r="K1206" s="115" t="str">
        <f>IF(A1206&lt;=DPS_Graph_Max,IF(A1206&gt;=DPS_Graph_Speed_Min,A1206,),)</f>
        <v/>
      </c>
      <c r="M1206" s="213">
        <f>If(DPS_Weapon_Type="远程",$E1206/60+$F1206*2,$E1206/60+$F1206+$G1206/2+$H1206)</f>
        <v>0.04274067106</v>
      </c>
      <c r="N1206" s="104" t="str">
        <f>IF(DPS_Graph_Tooltip_Speed=TRUE,IF($A1206&lt;=DPS_Graph_Max,IF($A1206&gt;=DPS_Graph_Speed_Min,1/M1206,),),)</f>
        <v/>
      </c>
      <c r="R1206" s="104" t="str">
        <f>IF(DPS_Graph_Tooltip_Speed=TRUE,IF($E$8=$A1206,1/$N$6,),)</f>
        <v/>
      </c>
    </row>
    <row r="1207">
      <c r="A1207" s="370">
        <v>9.64</v>
      </c>
      <c r="B1207" s="213">
        <f>If(DPS_Weapon_Type="远程",($E1207+1)/60+(ROUNDDOWN($F1207*60+1,0)/60)*2,(ROUNDDOWN(($E1207+1)+ROUNDDOWN($F1207*60+1,0)+ROUNDDOWN($G1207/2*60+1,0)+ROUNDDOWN($H1207*60+1,0)+1,0))/60+If(DPS_ATK_TYPE="挥砍",1/60)+If(DPS_ATK_TYPE="挥砍/刺击",1/120))+DPS_Weapon_Randomization/60</f>
        <v>0.105</v>
      </c>
      <c r="C1207" s="104" t="str">
        <f>IF(DPS_Graph_True_Speed=TRUE,IF($A1207&lt;=DPS_Graph_Max,IF($A1207&gt;=DPS_Graph_Speed_Min,1/B1207,),),)</f>
        <v/>
      </c>
      <c r="D1207" s="115" t="str">
        <f>IF(DPS_Graph_True_Speed=TRUE,IF($E$8=$A1207,DPS_Attacks_P_Sec,),)</f>
        <v/>
      </c>
      <c r="E1207" s="222">
        <f>ROUNDDOWN(MAX(2,IF(A1207&gt;=0, DPS_Base_Wpn_Spd/(1+A1207),DPS_Base_Wpn_Spd*(1+ABS(A1207)))),0)</f>
        <v>2</v>
      </c>
      <c r="F1207" s="232">
        <f>IF(A1207&gt;=0, DPS_Base_Recoil/(1+A1207),DPS_Base_Recoil)</f>
        <v>0.00469924812</v>
      </c>
      <c r="G1207" s="377">
        <f t="shared" si="7"/>
        <v>0.51</v>
      </c>
      <c r="H1207" s="377">
        <f t="shared" si="8"/>
        <v>0.006684491979</v>
      </c>
      <c r="I1207" s="104"/>
      <c r="J1207" s="377">
        <f>MAX(0, Max(25,(DPS_Base_Range + ((DPS_Range_Stat) / 2))) / MIN(MAX(70, (70 * (1 + ($A1207 / 3)))), 120))</f>
        <v>3.333333333</v>
      </c>
      <c r="K1207" s="115" t="str">
        <f>IF(A1207&lt;=DPS_Graph_Max,IF(A1207&gt;=DPS_Graph_Speed_Min,A1207,),)</f>
        <v/>
      </c>
      <c r="M1207" s="213">
        <f>If(DPS_Weapon_Type="远程",$E1207/60+$F1207*2,$E1207/60+$F1207+$G1207/2+$H1207)</f>
        <v>0.04273182957</v>
      </c>
      <c r="N1207" s="104" t="str">
        <f>IF(DPS_Graph_Tooltip_Speed=TRUE,IF($A1207&lt;=DPS_Graph_Max,IF($A1207&gt;=DPS_Graph_Speed_Min,1/M1207,),),)</f>
        <v/>
      </c>
      <c r="R1207" s="104" t="str">
        <f>IF(DPS_Graph_Tooltip_Speed=TRUE,IF($E$8=$A1207,1/$N$6,),)</f>
        <v/>
      </c>
    </row>
    <row r="1208">
      <c r="A1208" s="370">
        <v>9.65</v>
      </c>
      <c r="B1208" s="213">
        <f>If(DPS_Weapon_Type="远程",($E1208+1)/60+(ROUNDDOWN($F1208*60+1,0)/60)*2,(ROUNDDOWN(($E1208+1)+ROUNDDOWN($F1208*60+1,0)+ROUNDDOWN($G1208/2*60+1,0)+ROUNDDOWN($H1208*60+1,0)+1,0))/60+If(DPS_ATK_TYPE="挥砍",1/60)+If(DPS_ATK_TYPE="挥砍/刺击",1/120))+DPS_Weapon_Randomization/60</f>
        <v>0.105</v>
      </c>
      <c r="C1208" s="104" t="str">
        <f>IF(DPS_Graph_True_Speed=TRUE,IF($A1208&lt;=DPS_Graph_Max,IF($A1208&gt;=DPS_Graph_Speed_Min,1/B1208,),),)</f>
        <v/>
      </c>
      <c r="D1208" s="115" t="str">
        <f>IF(DPS_Graph_True_Speed=TRUE,IF($E$8=$A1208,DPS_Attacks_P_Sec,),)</f>
        <v/>
      </c>
      <c r="E1208" s="222">
        <f>ROUNDDOWN(MAX(2,IF(A1208&gt;=0, DPS_Base_Wpn_Spd/(1+A1208),DPS_Base_Wpn_Spd*(1+ABS(A1208)))),0)</f>
        <v>2</v>
      </c>
      <c r="F1208" s="232">
        <f>IF(A1208&gt;=0, DPS_Base_Recoil/(1+A1208),DPS_Base_Recoil)</f>
        <v>0.004694835681</v>
      </c>
      <c r="G1208" s="377">
        <f t="shared" si="7"/>
        <v>0.51</v>
      </c>
      <c r="H1208" s="377">
        <f t="shared" si="8"/>
        <v>0.006677796327</v>
      </c>
      <c r="I1208" s="104"/>
      <c r="J1208" s="377">
        <f>MAX(0, Max(25,(DPS_Base_Range + ((DPS_Range_Stat) / 2))) / MIN(MAX(70, (70 * (1 + ($A1208 / 3)))), 120))</f>
        <v>3.333333333</v>
      </c>
      <c r="K1208" s="115" t="str">
        <f>IF(A1208&lt;=DPS_Graph_Max,IF(A1208&gt;=DPS_Graph_Speed_Min,A1208,),)</f>
        <v/>
      </c>
      <c r="M1208" s="213">
        <f>If(DPS_Weapon_Type="远程",$E1208/60+$F1208*2,$E1208/60+$F1208+$G1208/2+$H1208)</f>
        <v>0.04272300469</v>
      </c>
      <c r="N1208" s="104" t="str">
        <f>IF(DPS_Graph_Tooltip_Speed=TRUE,IF($A1208&lt;=DPS_Graph_Max,IF($A1208&gt;=DPS_Graph_Speed_Min,1/M1208,),),)</f>
        <v/>
      </c>
      <c r="R1208" s="104" t="str">
        <f>IF(DPS_Graph_Tooltip_Speed=TRUE,IF($E$8=$A1208,1/$N$6,),)</f>
        <v/>
      </c>
    </row>
    <row r="1209">
      <c r="A1209" s="370">
        <v>9.66</v>
      </c>
      <c r="B1209" s="213">
        <f>If(DPS_Weapon_Type="远程",($E1209+1)/60+(ROUNDDOWN($F1209*60+1,0)/60)*2,(ROUNDDOWN(($E1209+1)+ROUNDDOWN($F1209*60+1,0)+ROUNDDOWN($G1209/2*60+1,0)+ROUNDDOWN($H1209*60+1,0)+1,0))/60+If(DPS_ATK_TYPE="挥砍",1/60)+If(DPS_ATK_TYPE="挥砍/刺击",1/120))+DPS_Weapon_Randomization/60</f>
        <v>0.105</v>
      </c>
      <c r="C1209" s="104" t="str">
        <f>IF(DPS_Graph_True_Speed=TRUE,IF($A1209&lt;=DPS_Graph_Max,IF($A1209&gt;=DPS_Graph_Speed_Min,1/B1209,),),)</f>
        <v/>
      </c>
      <c r="D1209" s="115" t="str">
        <f>IF(DPS_Graph_True_Speed=TRUE,IF($E$8=$A1209,DPS_Attacks_P_Sec,),)</f>
        <v/>
      </c>
      <c r="E1209" s="222">
        <f>ROUNDDOWN(MAX(2,IF(A1209&gt;=0, DPS_Base_Wpn_Spd/(1+A1209),DPS_Base_Wpn_Spd*(1+ABS(A1209)))),0)</f>
        <v>2</v>
      </c>
      <c r="F1209" s="232">
        <f>IF(A1209&gt;=0, DPS_Base_Recoil/(1+A1209),DPS_Base_Recoil)</f>
        <v>0.00469043152</v>
      </c>
      <c r="G1209" s="377">
        <f t="shared" si="7"/>
        <v>0.51</v>
      </c>
      <c r="H1209" s="377">
        <f t="shared" si="8"/>
        <v>0.006671114076</v>
      </c>
      <c r="I1209" s="104"/>
      <c r="J1209" s="377">
        <f>MAX(0, Max(25,(DPS_Base_Range + ((DPS_Range_Stat) / 2))) / MIN(MAX(70, (70 * (1 + ($A1209 / 3)))), 120))</f>
        <v>3.333333333</v>
      </c>
      <c r="K1209" s="115" t="str">
        <f>IF(A1209&lt;=DPS_Graph_Max,IF(A1209&gt;=DPS_Graph_Speed_Min,A1209,),)</f>
        <v/>
      </c>
      <c r="M1209" s="213">
        <f>If(DPS_Weapon_Type="远程",$E1209/60+$F1209*2,$E1209/60+$F1209+$G1209/2+$H1209)</f>
        <v>0.04271419637</v>
      </c>
      <c r="N1209" s="104" t="str">
        <f>IF(DPS_Graph_Tooltip_Speed=TRUE,IF($A1209&lt;=DPS_Graph_Max,IF($A1209&gt;=DPS_Graph_Speed_Min,1/M1209,),),)</f>
        <v/>
      </c>
      <c r="R1209" s="104" t="str">
        <f>IF(DPS_Graph_Tooltip_Speed=TRUE,IF($E$8=$A1209,1/$N$6,),)</f>
        <v/>
      </c>
    </row>
    <row r="1210">
      <c r="A1210" s="370">
        <v>9.67</v>
      </c>
      <c r="B1210" s="213">
        <f>If(DPS_Weapon_Type="远程",($E1210+1)/60+(ROUNDDOWN($F1210*60+1,0)/60)*2,(ROUNDDOWN(($E1210+1)+ROUNDDOWN($F1210*60+1,0)+ROUNDDOWN($G1210/2*60+1,0)+ROUNDDOWN($H1210*60+1,0)+1,0))/60+If(DPS_ATK_TYPE="挥砍",1/60)+If(DPS_ATK_TYPE="挥砍/刺击",1/120))+DPS_Weapon_Randomization/60</f>
        <v>0.105</v>
      </c>
      <c r="C1210" s="104" t="str">
        <f>IF(DPS_Graph_True_Speed=TRUE,IF($A1210&lt;=DPS_Graph_Max,IF($A1210&gt;=DPS_Graph_Speed_Min,1/B1210,),),)</f>
        <v/>
      </c>
      <c r="D1210" s="115" t="str">
        <f>IF(DPS_Graph_True_Speed=TRUE,IF($E$8=$A1210,DPS_Attacks_P_Sec,),)</f>
        <v/>
      </c>
      <c r="E1210" s="222">
        <f>ROUNDDOWN(MAX(2,IF(A1210&gt;=0, DPS_Base_Wpn_Spd/(1+A1210),DPS_Base_Wpn_Spd*(1+ABS(A1210)))),0)</f>
        <v>2</v>
      </c>
      <c r="F1210" s="232">
        <f>IF(A1210&gt;=0, DPS_Base_Recoil/(1+A1210),DPS_Base_Recoil)</f>
        <v>0.004686035614</v>
      </c>
      <c r="G1210" s="377">
        <f t="shared" si="7"/>
        <v>0.51</v>
      </c>
      <c r="H1210" s="377">
        <f t="shared" si="8"/>
        <v>0.006664445185</v>
      </c>
      <c r="I1210" s="104"/>
      <c r="J1210" s="377">
        <f>MAX(0, Max(25,(DPS_Base_Range + ((DPS_Range_Stat) / 2))) / MIN(MAX(70, (70 * (1 + ($A1210 / 3)))), 120))</f>
        <v>3.333333333</v>
      </c>
      <c r="K1210" s="115" t="str">
        <f>IF(A1210&lt;=DPS_Graph_Max,IF(A1210&gt;=DPS_Graph_Speed_Min,A1210,),)</f>
        <v/>
      </c>
      <c r="M1210" s="213">
        <f>If(DPS_Weapon_Type="远程",$E1210/60+$F1210*2,$E1210/60+$F1210+$G1210/2+$H1210)</f>
        <v>0.04270540456</v>
      </c>
      <c r="N1210" s="104" t="str">
        <f>IF(DPS_Graph_Tooltip_Speed=TRUE,IF($A1210&lt;=DPS_Graph_Max,IF($A1210&gt;=DPS_Graph_Speed_Min,1/M1210,),),)</f>
        <v/>
      </c>
      <c r="R1210" s="104" t="str">
        <f>IF(DPS_Graph_Tooltip_Speed=TRUE,IF($E$8=$A1210,1/$N$6,),)</f>
        <v/>
      </c>
    </row>
    <row r="1211">
      <c r="A1211" s="370">
        <v>9.68</v>
      </c>
      <c r="B1211" s="213">
        <f>If(DPS_Weapon_Type="远程",($E1211+1)/60+(ROUNDDOWN($F1211*60+1,0)/60)*2,(ROUNDDOWN(($E1211+1)+ROUNDDOWN($F1211*60+1,0)+ROUNDDOWN($G1211/2*60+1,0)+ROUNDDOWN($H1211*60+1,0)+1,0))/60+If(DPS_ATK_TYPE="挥砍",1/60)+If(DPS_ATK_TYPE="挥砍/刺击",1/120))+DPS_Weapon_Randomization/60</f>
        <v>0.105</v>
      </c>
      <c r="C1211" s="104" t="str">
        <f>IF(DPS_Graph_True_Speed=TRUE,IF($A1211&lt;=DPS_Graph_Max,IF($A1211&gt;=DPS_Graph_Speed_Min,1/B1211,),),)</f>
        <v/>
      </c>
      <c r="D1211" s="115" t="str">
        <f>IF(DPS_Graph_True_Speed=TRUE,IF($E$8=$A1211,DPS_Attacks_P_Sec,),)</f>
        <v/>
      </c>
      <c r="E1211" s="222">
        <f>ROUNDDOWN(MAX(2,IF(A1211&gt;=0, DPS_Base_Wpn_Spd/(1+A1211),DPS_Base_Wpn_Spd*(1+ABS(A1211)))),0)</f>
        <v>2</v>
      </c>
      <c r="F1211" s="232">
        <f>IF(A1211&gt;=0, DPS_Base_Recoil/(1+A1211),DPS_Base_Recoil)</f>
        <v>0.00468164794</v>
      </c>
      <c r="G1211" s="377">
        <f t="shared" si="7"/>
        <v>0.51</v>
      </c>
      <c r="H1211" s="377">
        <f t="shared" si="8"/>
        <v>0.006657789614</v>
      </c>
      <c r="I1211" s="104"/>
      <c r="J1211" s="377">
        <f>MAX(0, Max(25,(DPS_Base_Range + ((DPS_Range_Stat) / 2))) / MIN(MAX(70, (70 * (1 + ($A1211 / 3)))), 120))</f>
        <v>3.333333333</v>
      </c>
      <c r="K1211" s="115" t="str">
        <f>IF(A1211&lt;=DPS_Graph_Max,IF(A1211&gt;=DPS_Graph_Speed_Min,A1211,),)</f>
        <v/>
      </c>
      <c r="M1211" s="213">
        <f>If(DPS_Weapon_Type="远程",$E1211/60+$F1211*2,$E1211/60+$F1211+$G1211/2+$H1211)</f>
        <v>0.04269662921</v>
      </c>
      <c r="N1211" s="104" t="str">
        <f>IF(DPS_Graph_Tooltip_Speed=TRUE,IF($A1211&lt;=DPS_Graph_Max,IF($A1211&gt;=DPS_Graph_Speed_Min,1/M1211,),),)</f>
        <v/>
      </c>
      <c r="R1211" s="104" t="str">
        <f>IF(DPS_Graph_Tooltip_Speed=TRUE,IF($E$8=$A1211,1/$N$6,),)</f>
        <v/>
      </c>
    </row>
    <row r="1212">
      <c r="A1212" s="370">
        <v>9.69</v>
      </c>
      <c r="B1212" s="213">
        <f>If(DPS_Weapon_Type="远程",($E1212+1)/60+(ROUNDDOWN($F1212*60+1,0)/60)*2,(ROUNDDOWN(($E1212+1)+ROUNDDOWN($F1212*60+1,0)+ROUNDDOWN($G1212/2*60+1,0)+ROUNDDOWN($H1212*60+1,0)+1,0))/60+If(DPS_ATK_TYPE="挥砍",1/60)+If(DPS_ATK_TYPE="挥砍/刺击",1/120))+DPS_Weapon_Randomization/60</f>
        <v>0.105</v>
      </c>
      <c r="C1212" s="104" t="str">
        <f>IF(DPS_Graph_True_Speed=TRUE,IF($A1212&lt;=DPS_Graph_Max,IF($A1212&gt;=DPS_Graph_Speed_Min,1/B1212,),),)</f>
        <v/>
      </c>
      <c r="D1212" s="115" t="str">
        <f>IF(DPS_Graph_True_Speed=TRUE,IF($E$8=$A1212,DPS_Attacks_P_Sec,),)</f>
        <v/>
      </c>
      <c r="E1212" s="222">
        <f>ROUNDDOWN(MAX(2,IF(A1212&gt;=0, DPS_Base_Wpn_Spd/(1+A1212),DPS_Base_Wpn_Spd*(1+ABS(A1212)))),0)</f>
        <v>2</v>
      </c>
      <c r="F1212" s="232">
        <f>IF(A1212&gt;=0, DPS_Base_Recoil/(1+A1212),DPS_Base_Recoil)</f>
        <v>0.004677268475</v>
      </c>
      <c r="G1212" s="377">
        <f t="shared" si="7"/>
        <v>0.51</v>
      </c>
      <c r="H1212" s="377">
        <f t="shared" si="8"/>
        <v>0.006651147323</v>
      </c>
      <c r="I1212" s="104"/>
      <c r="J1212" s="377">
        <f>MAX(0, Max(25,(DPS_Base_Range + ((DPS_Range_Stat) / 2))) / MIN(MAX(70, (70 * (1 + ($A1212 / 3)))), 120))</f>
        <v>3.333333333</v>
      </c>
      <c r="K1212" s="115" t="str">
        <f>IF(A1212&lt;=DPS_Graph_Max,IF(A1212&gt;=DPS_Graph_Speed_Min,A1212,),)</f>
        <v/>
      </c>
      <c r="M1212" s="213">
        <f>If(DPS_Weapon_Type="远程",$E1212/60+$F1212*2,$E1212/60+$F1212+$G1212/2+$H1212)</f>
        <v>0.04268787028</v>
      </c>
      <c r="N1212" s="104" t="str">
        <f>IF(DPS_Graph_Tooltip_Speed=TRUE,IF($A1212&lt;=DPS_Graph_Max,IF($A1212&gt;=DPS_Graph_Speed_Min,1/M1212,),),)</f>
        <v/>
      </c>
      <c r="R1212" s="104" t="str">
        <f>IF(DPS_Graph_Tooltip_Speed=TRUE,IF($E$8=$A1212,1/$N$6,),)</f>
        <v/>
      </c>
    </row>
    <row r="1213">
      <c r="A1213" s="370">
        <v>9.7</v>
      </c>
      <c r="B1213" s="213">
        <f>If(DPS_Weapon_Type="远程",($E1213+1)/60+(ROUNDDOWN($F1213*60+1,0)/60)*2,(ROUNDDOWN(($E1213+1)+ROUNDDOWN($F1213*60+1,0)+ROUNDDOWN($G1213/2*60+1,0)+ROUNDDOWN($H1213*60+1,0)+1,0))/60+If(DPS_ATK_TYPE="挥砍",1/60)+If(DPS_ATK_TYPE="挥砍/刺击",1/120))+DPS_Weapon_Randomization/60</f>
        <v>0.105</v>
      </c>
      <c r="C1213" s="104" t="str">
        <f>IF(DPS_Graph_True_Speed=TRUE,IF($A1213&lt;=DPS_Graph_Max,IF($A1213&gt;=DPS_Graph_Speed_Min,1/B1213,),),)</f>
        <v/>
      </c>
      <c r="D1213" s="115" t="str">
        <f>IF(DPS_Graph_True_Speed=TRUE,IF($E$8=$A1213,DPS_Attacks_P_Sec,),)</f>
        <v/>
      </c>
      <c r="E1213" s="222">
        <f>ROUNDDOWN(MAX(2,IF(A1213&gt;=0, DPS_Base_Wpn_Spd/(1+A1213),DPS_Base_Wpn_Spd*(1+ABS(A1213)))),0)</f>
        <v>2</v>
      </c>
      <c r="F1213" s="232">
        <f>IF(A1213&gt;=0, DPS_Base_Recoil/(1+A1213),DPS_Base_Recoil)</f>
        <v>0.004672897196</v>
      </c>
      <c r="G1213" s="377">
        <f t="shared" si="7"/>
        <v>0.51</v>
      </c>
      <c r="H1213" s="377">
        <f t="shared" si="8"/>
        <v>0.006644518272</v>
      </c>
      <c r="I1213" s="104"/>
      <c r="J1213" s="377">
        <f>MAX(0, Max(25,(DPS_Base_Range + ((DPS_Range_Stat) / 2))) / MIN(MAX(70, (70 * (1 + ($A1213 / 3)))), 120))</f>
        <v>3.333333333</v>
      </c>
      <c r="K1213" s="115" t="str">
        <f>IF(A1213&lt;=DPS_Graph_Max,IF(A1213&gt;=DPS_Graph_Speed_Min,A1213,),)</f>
        <v/>
      </c>
      <c r="M1213" s="213">
        <f>If(DPS_Weapon_Type="远程",$E1213/60+$F1213*2,$E1213/60+$F1213+$G1213/2+$H1213)</f>
        <v>0.04267912773</v>
      </c>
      <c r="N1213" s="104" t="str">
        <f>IF(DPS_Graph_Tooltip_Speed=TRUE,IF($A1213&lt;=DPS_Graph_Max,IF($A1213&gt;=DPS_Graph_Speed_Min,1/M1213,),),)</f>
        <v/>
      </c>
      <c r="R1213" s="104" t="str">
        <f>IF(DPS_Graph_Tooltip_Speed=TRUE,IF($E$8=$A1213,1/$N$6,),)</f>
        <v/>
      </c>
    </row>
    <row r="1214">
      <c r="A1214" s="370">
        <v>9.71</v>
      </c>
      <c r="B1214" s="213">
        <f>If(DPS_Weapon_Type="远程",($E1214+1)/60+(ROUNDDOWN($F1214*60+1,0)/60)*2,(ROUNDDOWN(($E1214+1)+ROUNDDOWN($F1214*60+1,0)+ROUNDDOWN($G1214/2*60+1,0)+ROUNDDOWN($H1214*60+1,0)+1,0))/60+If(DPS_ATK_TYPE="挥砍",1/60)+If(DPS_ATK_TYPE="挥砍/刺击",1/120))+DPS_Weapon_Randomization/60</f>
        <v>0.105</v>
      </c>
      <c r="C1214" s="104" t="str">
        <f>IF(DPS_Graph_True_Speed=TRUE,IF($A1214&lt;=DPS_Graph_Max,IF($A1214&gt;=DPS_Graph_Speed_Min,1/B1214,),),)</f>
        <v/>
      </c>
      <c r="D1214" s="115" t="str">
        <f>IF(DPS_Graph_True_Speed=TRUE,IF($E$8=$A1214,DPS_Attacks_P_Sec,),)</f>
        <v/>
      </c>
      <c r="E1214" s="222">
        <f>ROUNDDOWN(MAX(2,IF(A1214&gt;=0, DPS_Base_Wpn_Spd/(1+A1214),DPS_Base_Wpn_Spd*(1+ABS(A1214)))),0)</f>
        <v>2</v>
      </c>
      <c r="F1214" s="232">
        <f>IF(A1214&gt;=0, DPS_Base_Recoil/(1+A1214),DPS_Base_Recoil)</f>
        <v>0.00466853408</v>
      </c>
      <c r="G1214" s="377">
        <f t="shared" si="7"/>
        <v>0.51</v>
      </c>
      <c r="H1214" s="377">
        <f t="shared" si="8"/>
        <v>0.006637902423</v>
      </c>
      <c r="I1214" s="104"/>
      <c r="J1214" s="377">
        <f>MAX(0, Max(25,(DPS_Base_Range + ((DPS_Range_Stat) / 2))) / MIN(MAX(70, (70 * (1 + ($A1214 / 3)))), 120))</f>
        <v>3.333333333</v>
      </c>
      <c r="K1214" s="115" t="str">
        <f>IF(A1214&lt;=DPS_Graph_Max,IF(A1214&gt;=DPS_Graph_Speed_Min,A1214,),)</f>
        <v/>
      </c>
      <c r="M1214" s="213">
        <f>If(DPS_Weapon_Type="远程",$E1214/60+$F1214*2,$E1214/60+$F1214+$G1214/2+$H1214)</f>
        <v>0.04267040149</v>
      </c>
      <c r="N1214" s="104" t="str">
        <f>IF(DPS_Graph_Tooltip_Speed=TRUE,IF($A1214&lt;=DPS_Graph_Max,IF($A1214&gt;=DPS_Graph_Speed_Min,1/M1214,),),)</f>
        <v/>
      </c>
      <c r="R1214" s="104" t="str">
        <f>IF(DPS_Graph_Tooltip_Speed=TRUE,IF($E$8=$A1214,1/$N$6,),)</f>
        <v/>
      </c>
    </row>
    <row r="1215">
      <c r="A1215" s="370">
        <v>9.72</v>
      </c>
      <c r="B1215" s="213">
        <f>If(DPS_Weapon_Type="远程",($E1215+1)/60+(ROUNDDOWN($F1215*60+1,0)/60)*2,(ROUNDDOWN(($E1215+1)+ROUNDDOWN($F1215*60+1,0)+ROUNDDOWN($G1215/2*60+1,0)+ROUNDDOWN($H1215*60+1,0)+1,0))/60+If(DPS_ATK_TYPE="挥砍",1/60)+If(DPS_ATK_TYPE="挥砍/刺击",1/120))+DPS_Weapon_Randomization/60</f>
        <v>0.105</v>
      </c>
      <c r="C1215" s="104" t="str">
        <f>IF(DPS_Graph_True_Speed=TRUE,IF($A1215&lt;=DPS_Graph_Max,IF($A1215&gt;=DPS_Graph_Speed_Min,1/B1215,),),)</f>
        <v/>
      </c>
      <c r="D1215" s="115" t="str">
        <f>IF(DPS_Graph_True_Speed=TRUE,IF($E$8=$A1215,DPS_Attacks_P_Sec,),)</f>
        <v/>
      </c>
      <c r="E1215" s="222">
        <f>ROUNDDOWN(MAX(2,IF(A1215&gt;=0, DPS_Base_Wpn_Spd/(1+A1215),DPS_Base_Wpn_Spd*(1+ABS(A1215)))),0)</f>
        <v>2</v>
      </c>
      <c r="F1215" s="232">
        <f>IF(A1215&gt;=0, DPS_Base_Recoil/(1+A1215),DPS_Base_Recoil)</f>
        <v>0.004664179104</v>
      </c>
      <c r="G1215" s="377">
        <f t="shared" si="7"/>
        <v>0.51</v>
      </c>
      <c r="H1215" s="377">
        <f t="shared" si="8"/>
        <v>0.006631299735</v>
      </c>
      <c r="I1215" s="104"/>
      <c r="J1215" s="377">
        <f>MAX(0, Max(25,(DPS_Base_Range + ((DPS_Range_Stat) / 2))) / MIN(MAX(70, (70 * (1 + ($A1215 / 3)))), 120))</f>
        <v>3.333333333</v>
      </c>
      <c r="K1215" s="115" t="str">
        <f>IF(A1215&lt;=DPS_Graph_Max,IF(A1215&gt;=DPS_Graph_Speed_Min,A1215,),)</f>
        <v/>
      </c>
      <c r="M1215" s="213">
        <f>If(DPS_Weapon_Type="远程",$E1215/60+$F1215*2,$E1215/60+$F1215+$G1215/2+$H1215)</f>
        <v>0.04266169154</v>
      </c>
      <c r="N1215" s="104" t="str">
        <f>IF(DPS_Graph_Tooltip_Speed=TRUE,IF($A1215&lt;=DPS_Graph_Max,IF($A1215&gt;=DPS_Graph_Speed_Min,1/M1215,),),)</f>
        <v/>
      </c>
      <c r="R1215" s="104" t="str">
        <f>IF(DPS_Graph_Tooltip_Speed=TRUE,IF($E$8=$A1215,1/$N$6,),)</f>
        <v/>
      </c>
    </row>
    <row r="1216">
      <c r="A1216" s="370">
        <v>9.73</v>
      </c>
      <c r="B1216" s="213">
        <f>If(DPS_Weapon_Type="远程",($E1216+1)/60+(ROUNDDOWN($F1216*60+1,0)/60)*2,(ROUNDDOWN(($E1216+1)+ROUNDDOWN($F1216*60+1,0)+ROUNDDOWN($G1216/2*60+1,0)+ROUNDDOWN($H1216*60+1,0)+1,0))/60+If(DPS_ATK_TYPE="挥砍",1/60)+If(DPS_ATK_TYPE="挥砍/刺击",1/120))+DPS_Weapon_Randomization/60</f>
        <v>0.105</v>
      </c>
      <c r="C1216" s="104" t="str">
        <f>IF(DPS_Graph_True_Speed=TRUE,IF($A1216&lt;=DPS_Graph_Max,IF($A1216&gt;=DPS_Graph_Speed_Min,1/B1216,),),)</f>
        <v/>
      </c>
      <c r="D1216" s="115" t="str">
        <f>IF(DPS_Graph_True_Speed=TRUE,IF($E$8=$A1216,DPS_Attacks_P_Sec,),)</f>
        <v/>
      </c>
      <c r="E1216" s="222">
        <f>ROUNDDOWN(MAX(2,IF(A1216&gt;=0, DPS_Base_Wpn_Spd/(1+A1216),DPS_Base_Wpn_Spd*(1+ABS(A1216)))),0)</f>
        <v>2</v>
      </c>
      <c r="F1216" s="232">
        <f>IF(A1216&gt;=0, DPS_Base_Recoil/(1+A1216),DPS_Base_Recoil)</f>
        <v>0.004659832246</v>
      </c>
      <c r="G1216" s="377">
        <f t="shared" si="7"/>
        <v>0.51</v>
      </c>
      <c r="H1216" s="377">
        <f t="shared" si="8"/>
        <v>0.006624710169</v>
      </c>
      <c r="I1216" s="104"/>
      <c r="J1216" s="377">
        <f>MAX(0, Max(25,(DPS_Base_Range + ((DPS_Range_Stat) / 2))) / MIN(MAX(70, (70 * (1 + ($A1216 / 3)))), 120))</f>
        <v>3.333333333</v>
      </c>
      <c r="K1216" s="115" t="str">
        <f>IF(A1216&lt;=DPS_Graph_Max,IF(A1216&gt;=DPS_Graph_Speed_Min,A1216,),)</f>
        <v/>
      </c>
      <c r="M1216" s="213">
        <f>If(DPS_Weapon_Type="远程",$E1216/60+$F1216*2,$E1216/60+$F1216+$G1216/2+$H1216)</f>
        <v>0.04265299783</v>
      </c>
      <c r="N1216" s="104" t="str">
        <f>IF(DPS_Graph_Tooltip_Speed=TRUE,IF($A1216&lt;=DPS_Graph_Max,IF($A1216&gt;=DPS_Graph_Speed_Min,1/M1216,),),)</f>
        <v/>
      </c>
      <c r="R1216" s="104" t="str">
        <f>IF(DPS_Graph_Tooltip_Speed=TRUE,IF($E$8=$A1216,1/$N$6,),)</f>
        <v/>
      </c>
    </row>
    <row r="1217">
      <c r="A1217" s="370">
        <v>9.74</v>
      </c>
      <c r="B1217" s="213">
        <f>If(DPS_Weapon_Type="远程",($E1217+1)/60+(ROUNDDOWN($F1217*60+1,0)/60)*2,(ROUNDDOWN(($E1217+1)+ROUNDDOWN($F1217*60+1,0)+ROUNDDOWN($G1217/2*60+1,0)+ROUNDDOWN($H1217*60+1,0)+1,0))/60+If(DPS_ATK_TYPE="挥砍",1/60)+If(DPS_ATK_TYPE="挥砍/刺击",1/120))+DPS_Weapon_Randomization/60</f>
        <v>0.105</v>
      </c>
      <c r="C1217" s="104" t="str">
        <f>IF(DPS_Graph_True_Speed=TRUE,IF($A1217&lt;=DPS_Graph_Max,IF($A1217&gt;=DPS_Graph_Speed_Min,1/B1217,),),)</f>
        <v/>
      </c>
      <c r="D1217" s="115" t="str">
        <f>IF(DPS_Graph_True_Speed=TRUE,IF($E$8=$A1217,DPS_Attacks_P_Sec,),)</f>
        <v/>
      </c>
      <c r="E1217" s="222">
        <f>ROUNDDOWN(MAX(2,IF(A1217&gt;=0, DPS_Base_Wpn_Spd/(1+A1217),DPS_Base_Wpn_Spd*(1+ABS(A1217)))),0)</f>
        <v>2</v>
      </c>
      <c r="F1217" s="232">
        <f>IF(A1217&gt;=0, DPS_Base_Recoil/(1+A1217),DPS_Base_Recoil)</f>
        <v>0.004655493482</v>
      </c>
      <c r="G1217" s="377">
        <f t="shared" si="7"/>
        <v>0.51</v>
      </c>
      <c r="H1217" s="377">
        <f t="shared" si="8"/>
        <v>0.006618133686</v>
      </c>
      <c r="I1217" s="104"/>
      <c r="J1217" s="377">
        <f>MAX(0, Max(25,(DPS_Base_Range + ((DPS_Range_Stat) / 2))) / MIN(MAX(70, (70 * (1 + ($A1217 / 3)))), 120))</f>
        <v>3.333333333</v>
      </c>
      <c r="K1217" s="115" t="str">
        <f>IF(A1217&lt;=DPS_Graph_Max,IF(A1217&gt;=DPS_Graph_Speed_Min,A1217,),)</f>
        <v/>
      </c>
      <c r="M1217" s="213">
        <f>If(DPS_Weapon_Type="远程",$E1217/60+$F1217*2,$E1217/60+$F1217+$G1217/2+$H1217)</f>
        <v>0.0426443203</v>
      </c>
      <c r="N1217" s="104" t="str">
        <f>IF(DPS_Graph_Tooltip_Speed=TRUE,IF($A1217&lt;=DPS_Graph_Max,IF($A1217&gt;=DPS_Graph_Speed_Min,1/M1217,),),)</f>
        <v/>
      </c>
      <c r="R1217" s="104" t="str">
        <f>IF(DPS_Graph_Tooltip_Speed=TRUE,IF($E$8=$A1217,1/$N$6,),)</f>
        <v/>
      </c>
    </row>
    <row r="1218">
      <c r="A1218" s="370">
        <v>9.75</v>
      </c>
      <c r="B1218" s="213">
        <f>If(DPS_Weapon_Type="远程",($E1218+1)/60+(ROUNDDOWN($F1218*60+1,0)/60)*2,(ROUNDDOWN(($E1218+1)+ROUNDDOWN($F1218*60+1,0)+ROUNDDOWN($G1218/2*60+1,0)+ROUNDDOWN($H1218*60+1,0)+1,0))/60+If(DPS_ATK_TYPE="挥砍",1/60)+If(DPS_ATK_TYPE="挥砍/刺击",1/120))+DPS_Weapon_Randomization/60</f>
        <v>0.105</v>
      </c>
      <c r="C1218" s="104" t="str">
        <f>IF(DPS_Graph_True_Speed=TRUE,IF($A1218&lt;=DPS_Graph_Max,IF($A1218&gt;=DPS_Graph_Speed_Min,1/B1218,),),)</f>
        <v/>
      </c>
      <c r="D1218" s="115" t="str">
        <f>IF(DPS_Graph_True_Speed=TRUE,IF($E$8=$A1218,DPS_Attacks_P_Sec,),)</f>
        <v/>
      </c>
      <c r="E1218" s="222">
        <f>ROUNDDOWN(MAX(2,IF(A1218&gt;=0, DPS_Base_Wpn_Spd/(1+A1218),DPS_Base_Wpn_Spd*(1+ABS(A1218)))),0)</f>
        <v>2</v>
      </c>
      <c r="F1218" s="232">
        <f>IF(A1218&gt;=0, DPS_Base_Recoil/(1+A1218),DPS_Base_Recoil)</f>
        <v>0.004651162791</v>
      </c>
      <c r="G1218" s="377">
        <f t="shared" si="7"/>
        <v>0.51</v>
      </c>
      <c r="H1218" s="377">
        <f t="shared" si="8"/>
        <v>0.006611570248</v>
      </c>
      <c r="I1218" s="104"/>
      <c r="J1218" s="377">
        <f>MAX(0, Max(25,(DPS_Base_Range + ((DPS_Range_Stat) / 2))) / MIN(MAX(70, (70 * (1 + ($A1218 / 3)))), 120))</f>
        <v>3.333333333</v>
      </c>
      <c r="K1218" s="115" t="str">
        <f>IF(A1218&lt;=DPS_Graph_Max,IF(A1218&gt;=DPS_Graph_Speed_Min,A1218,),)</f>
        <v/>
      </c>
      <c r="M1218" s="213">
        <f>If(DPS_Weapon_Type="远程",$E1218/60+$F1218*2,$E1218/60+$F1218+$G1218/2+$H1218)</f>
        <v>0.04263565891</v>
      </c>
      <c r="N1218" s="104" t="str">
        <f>IF(DPS_Graph_Tooltip_Speed=TRUE,IF($A1218&lt;=DPS_Graph_Max,IF($A1218&gt;=DPS_Graph_Speed_Min,1/M1218,),),)</f>
        <v/>
      </c>
      <c r="R1218" s="104" t="str">
        <f>IF(DPS_Graph_Tooltip_Speed=TRUE,IF($E$8=$A1218,1/$N$6,),)</f>
        <v/>
      </c>
    </row>
    <row r="1219">
      <c r="A1219" s="370">
        <v>9.76</v>
      </c>
      <c r="B1219" s="213">
        <f>If(DPS_Weapon_Type="远程",($E1219+1)/60+(ROUNDDOWN($F1219*60+1,0)/60)*2,(ROUNDDOWN(($E1219+1)+ROUNDDOWN($F1219*60+1,0)+ROUNDDOWN($G1219/2*60+1,0)+ROUNDDOWN($H1219*60+1,0)+1,0))/60+If(DPS_ATK_TYPE="挥砍",1/60)+If(DPS_ATK_TYPE="挥砍/刺击",1/120))+DPS_Weapon_Randomization/60</f>
        <v>0.105</v>
      </c>
      <c r="C1219" s="104" t="str">
        <f>IF(DPS_Graph_True_Speed=TRUE,IF($A1219&lt;=DPS_Graph_Max,IF($A1219&gt;=DPS_Graph_Speed_Min,1/B1219,),),)</f>
        <v/>
      </c>
      <c r="D1219" s="115" t="str">
        <f>IF(DPS_Graph_True_Speed=TRUE,IF($E$8=$A1219,DPS_Attacks_P_Sec,),)</f>
        <v/>
      </c>
      <c r="E1219" s="222">
        <f>ROUNDDOWN(MAX(2,IF(A1219&gt;=0, DPS_Base_Wpn_Spd/(1+A1219),DPS_Base_Wpn_Spd*(1+ABS(A1219)))),0)</f>
        <v>2</v>
      </c>
      <c r="F1219" s="232">
        <f>IF(A1219&gt;=0, DPS_Base_Recoil/(1+A1219),DPS_Base_Recoil)</f>
        <v>0.004646840149</v>
      </c>
      <c r="G1219" s="377">
        <f t="shared" si="7"/>
        <v>0.51</v>
      </c>
      <c r="H1219" s="377">
        <f t="shared" si="8"/>
        <v>0.006605019815</v>
      </c>
      <c r="I1219" s="104"/>
      <c r="J1219" s="377">
        <f>MAX(0, Max(25,(DPS_Base_Range + ((DPS_Range_Stat) / 2))) / MIN(MAX(70, (70 * (1 + ($A1219 / 3)))), 120))</f>
        <v>3.333333333</v>
      </c>
      <c r="K1219" s="115" t="str">
        <f>IF(A1219&lt;=DPS_Graph_Max,IF(A1219&gt;=DPS_Graph_Speed_Min,A1219,),)</f>
        <v/>
      </c>
      <c r="M1219" s="213">
        <f>If(DPS_Weapon_Type="远程",$E1219/60+$F1219*2,$E1219/60+$F1219+$G1219/2+$H1219)</f>
        <v>0.04262701363</v>
      </c>
      <c r="N1219" s="104" t="str">
        <f>IF(DPS_Graph_Tooltip_Speed=TRUE,IF($A1219&lt;=DPS_Graph_Max,IF($A1219&gt;=DPS_Graph_Speed_Min,1/M1219,),),)</f>
        <v/>
      </c>
      <c r="R1219" s="104" t="str">
        <f>IF(DPS_Graph_Tooltip_Speed=TRUE,IF($E$8=$A1219,1/$N$6,),)</f>
        <v/>
      </c>
    </row>
    <row r="1220">
      <c r="A1220" s="370">
        <v>9.77</v>
      </c>
      <c r="B1220" s="213">
        <f>If(DPS_Weapon_Type="远程",($E1220+1)/60+(ROUNDDOWN($F1220*60+1,0)/60)*2,(ROUNDDOWN(($E1220+1)+ROUNDDOWN($F1220*60+1,0)+ROUNDDOWN($G1220/2*60+1,0)+ROUNDDOWN($H1220*60+1,0)+1,0))/60+If(DPS_ATK_TYPE="挥砍",1/60)+If(DPS_ATK_TYPE="挥砍/刺击",1/120))+DPS_Weapon_Randomization/60</f>
        <v>0.105</v>
      </c>
      <c r="C1220" s="104" t="str">
        <f>IF(DPS_Graph_True_Speed=TRUE,IF($A1220&lt;=DPS_Graph_Max,IF($A1220&gt;=DPS_Graph_Speed_Min,1/B1220,),),)</f>
        <v/>
      </c>
      <c r="D1220" s="115" t="str">
        <f>IF(DPS_Graph_True_Speed=TRUE,IF($E$8=$A1220,DPS_Attacks_P_Sec,),)</f>
        <v/>
      </c>
      <c r="E1220" s="222">
        <f>ROUNDDOWN(MAX(2,IF(A1220&gt;=0, DPS_Base_Wpn_Spd/(1+A1220),DPS_Base_Wpn_Spd*(1+ABS(A1220)))),0)</f>
        <v>2</v>
      </c>
      <c r="F1220" s="232">
        <f>IF(A1220&gt;=0, DPS_Base_Recoil/(1+A1220),DPS_Base_Recoil)</f>
        <v>0.004642525534</v>
      </c>
      <c r="G1220" s="377">
        <f t="shared" si="7"/>
        <v>0.51</v>
      </c>
      <c r="H1220" s="377">
        <f t="shared" si="8"/>
        <v>0.006598482349</v>
      </c>
      <c r="I1220" s="104"/>
      <c r="J1220" s="377">
        <f>MAX(0, Max(25,(DPS_Base_Range + ((DPS_Range_Stat) / 2))) / MIN(MAX(70, (70 * (1 + ($A1220 / 3)))), 120))</f>
        <v>3.333333333</v>
      </c>
      <c r="K1220" s="115" t="str">
        <f>IF(A1220&lt;=DPS_Graph_Max,IF(A1220&gt;=DPS_Graph_Speed_Min,A1220,),)</f>
        <v/>
      </c>
      <c r="M1220" s="213">
        <f>If(DPS_Weapon_Type="远程",$E1220/60+$F1220*2,$E1220/60+$F1220+$G1220/2+$H1220)</f>
        <v>0.0426183844</v>
      </c>
      <c r="N1220" s="104" t="str">
        <f>IF(DPS_Graph_Tooltip_Speed=TRUE,IF($A1220&lt;=DPS_Graph_Max,IF($A1220&gt;=DPS_Graph_Speed_Min,1/M1220,),),)</f>
        <v/>
      </c>
      <c r="R1220" s="104" t="str">
        <f>IF(DPS_Graph_Tooltip_Speed=TRUE,IF($E$8=$A1220,1/$N$6,),)</f>
        <v/>
      </c>
    </row>
    <row r="1221">
      <c r="A1221" s="370">
        <v>9.78</v>
      </c>
      <c r="B1221" s="213">
        <f>If(DPS_Weapon_Type="远程",($E1221+1)/60+(ROUNDDOWN($F1221*60+1,0)/60)*2,(ROUNDDOWN(($E1221+1)+ROUNDDOWN($F1221*60+1,0)+ROUNDDOWN($G1221/2*60+1,0)+ROUNDDOWN($H1221*60+1,0)+1,0))/60+If(DPS_ATK_TYPE="挥砍",1/60)+If(DPS_ATK_TYPE="挥砍/刺击",1/120))+DPS_Weapon_Randomization/60</f>
        <v>0.105</v>
      </c>
      <c r="C1221" s="104" t="str">
        <f>IF(DPS_Graph_True_Speed=TRUE,IF($A1221&lt;=DPS_Graph_Max,IF($A1221&gt;=DPS_Graph_Speed_Min,1/B1221,),),)</f>
        <v/>
      </c>
      <c r="D1221" s="115" t="str">
        <f>IF(DPS_Graph_True_Speed=TRUE,IF($E$8=$A1221,DPS_Attacks_P_Sec,),)</f>
        <v/>
      </c>
      <c r="E1221" s="222">
        <f>ROUNDDOWN(MAX(2,IF(A1221&gt;=0, DPS_Base_Wpn_Spd/(1+A1221),DPS_Base_Wpn_Spd*(1+ABS(A1221)))),0)</f>
        <v>2</v>
      </c>
      <c r="F1221" s="232">
        <f>IF(A1221&gt;=0, DPS_Base_Recoil/(1+A1221),DPS_Base_Recoil)</f>
        <v>0.004638218924</v>
      </c>
      <c r="G1221" s="377">
        <f t="shared" si="7"/>
        <v>0.51</v>
      </c>
      <c r="H1221" s="377">
        <f t="shared" si="8"/>
        <v>0.006591957811</v>
      </c>
      <c r="I1221" s="104"/>
      <c r="J1221" s="377">
        <f>MAX(0, Max(25,(DPS_Base_Range + ((DPS_Range_Stat) / 2))) / MIN(MAX(70, (70 * (1 + ($A1221 / 3)))), 120))</f>
        <v>3.333333333</v>
      </c>
      <c r="K1221" s="115" t="str">
        <f>IF(A1221&lt;=DPS_Graph_Max,IF(A1221&gt;=DPS_Graph_Speed_Min,A1221,),)</f>
        <v/>
      </c>
      <c r="M1221" s="213">
        <f>If(DPS_Weapon_Type="远程",$E1221/60+$F1221*2,$E1221/60+$F1221+$G1221/2+$H1221)</f>
        <v>0.04260977118</v>
      </c>
      <c r="N1221" s="104" t="str">
        <f>IF(DPS_Graph_Tooltip_Speed=TRUE,IF($A1221&lt;=DPS_Graph_Max,IF($A1221&gt;=DPS_Graph_Speed_Min,1/M1221,),),)</f>
        <v/>
      </c>
      <c r="R1221" s="104" t="str">
        <f>IF(DPS_Graph_Tooltip_Speed=TRUE,IF($E$8=$A1221,1/$N$6,),)</f>
        <v/>
      </c>
    </row>
    <row r="1222">
      <c r="A1222" s="370">
        <v>9.79</v>
      </c>
      <c r="B1222" s="213">
        <f>If(DPS_Weapon_Type="远程",($E1222+1)/60+(ROUNDDOWN($F1222*60+1,0)/60)*2,(ROUNDDOWN(($E1222+1)+ROUNDDOWN($F1222*60+1,0)+ROUNDDOWN($G1222/2*60+1,0)+ROUNDDOWN($H1222*60+1,0)+1,0))/60+If(DPS_ATK_TYPE="挥砍",1/60)+If(DPS_ATK_TYPE="挥砍/刺击",1/120))+DPS_Weapon_Randomization/60</f>
        <v>0.105</v>
      </c>
      <c r="C1222" s="104" t="str">
        <f>IF(DPS_Graph_True_Speed=TRUE,IF($A1222&lt;=DPS_Graph_Max,IF($A1222&gt;=DPS_Graph_Speed_Min,1/B1222,),),)</f>
        <v/>
      </c>
      <c r="D1222" s="115" t="str">
        <f>IF(DPS_Graph_True_Speed=TRUE,IF($E$8=$A1222,DPS_Attacks_P_Sec,),)</f>
        <v/>
      </c>
      <c r="E1222" s="222">
        <f>ROUNDDOWN(MAX(2,IF(A1222&gt;=0, DPS_Base_Wpn_Spd/(1+A1222),DPS_Base_Wpn_Spd*(1+ABS(A1222)))),0)</f>
        <v>2</v>
      </c>
      <c r="F1222" s="232">
        <f>IF(A1222&gt;=0, DPS_Base_Recoil/(1+A1222),DPS_Base_Recoil)</f>
        <v>0.004633920297</v>
      </c>
      <c r="G1222" s="377">
        <f t="shared" si="7"/>
        <v>0.51</v>
      </c>
      <c r="H1222" s="377">
        <f t="shared" si="8"/>
        <v>0.006585446164</v>
      </c>
      <c r="I1222" s="104"/>
      <c r="J1222" s="377">
        <f>MAX(0, Max(25,(DPS_Base_Range + ((DPS_Range_Stat) / 2))) / MIN(MAX(70, (70 * (1 + ($A1222 / 3)))), 120))</f>
        <v>3.333333333</v>
      </c>
      <c r="K1222" s="115" t="str">
        <f>IF(A1222&lt;=DPS_Graph_Max,IF(A1222&gt;=DPS_Graph_Speed_Min,A1222,),)</f>
        <v/>
      </c>
      <c r="M1222" s="213">
        <f>If(DPS_Weapon_Type="远程",$E1222/60+$F1222*2,$E1222/60+$F1222+$G1222/2+$H1222)</f>
        <v>0.04260117393</v>
      </c>
      <c r="N1222" s="104" t="str">
        <f>IF(DPS_Graph_Tooltip_Speed=TRUE,IF($A1222&lt;=DPS_Graph_Max,IF($A1222&gt;=DPS_Graph_Speed_Min,1/M1222,),),)</f>
        <v/>
      </c>
      <c r="R1222" s="104" t="str">
        <f>IF(DPS_Graph_Tooltip_Speed=TRUE,IF($E$8=$A1222,1/$N$6,),)</f>
        <v/>
      </c>
    </row>
    <row r="1223">
      <c r="A1223" s="370">
        <v>9.8</v>
      </c>
      <c r="B1223" s="213">
        <f>If(DPS_Weapon_Type="远程",($E1223+1)/60+(ROUNDDOWN($F1223*60+1,0)/60)*2,(ROUNDDOWN(($E1223+1)+ROUNDDOWN($F1223*60+1,0)+ROUNDDOWN($G1223/2*60+1,0)+ROUNDDOWN($H1223*60+1,0)+1,0))/60+If(DPS_ATK_TYPE="挥砍",1/60)+If(DPS_ATK_TYPE="挥砍/刺击",1/120))+DPS_Weapon_Randomization/60</f>
        <v>0.105</v>
      </c>
      <c r="C1223" s="104" t="str">
        <f>IF(DPS_Graph_True_Speed=TRUE,IF($A1223&lt;=DPS_Graph_Max,IF($A1223&gt;=DPS_Graph_Speed_Min,1/B1223,),),)</f>
        <v/>
      </c>
      <c r="D1223" s="115" t="str">
        <f>IF(DPS_Graph_True_Speed=TRUE,IF($E$8=$A1223,DPS_Attacks_P_Sec,),)</f>
        <v/>
      </c>
      <c r="E1223" s="222">
        <f>ROUNDDOWN(MAX(2,IF(A1223&gt;=0, DPS_Base_Wpn_Spd/(1+A1223),DPS_Base_Wpn_Spd*(1+ABS(A1223)))),0)</f>
        <v>2</v>
      </c>
      <c r="F1223" s="232">
        <f>IF(A1223&gt;=0, DPS_Base_Recoil/(1+A1223),DPS_Base_Recoil)</f>
        <v>0.00462962963</v>
      </c>
      <c r="G1223" s="377">
        <f t="shared" si="7"/>
        <v>0.51</v>
      </c>
      <c r="H1223" s="377">
        <f t="shared" si="8"/>
        <v>0.006578947368</v>
      </c>
      <c r="I1223" s="104"/>
      <c r="J1223" s="377">
        <f>MAX(0, Max(25,(DPS_Base_Range + ((DPS_Range_Stat) / 2))) / MIN(MAX(70, (70 * (1 + ($A1223 / 3)))), 120))</f>
        <v>3.333333333</v>
      </c>
      <c r="K1223" s="115" t="str">
        <f>IF(A1223&lt;=DPS_Graph_Max,IF(A1223&gt;=DPS_Graph_Speed_Min,A1223,),)</f>
        <v/>
      </c>
      <c r="M1223" s="213">
        <f>If(DPS_Weapon_Type="远程",$E1223/60+$F1223*2,$E1223/60+$F1223+$G1223/2+$H1223)</f>
        <v>0.04259259259</v>
      </c>
      <c r="N1223" s="104" t="str">
        <f>IF(DPS_Graph_Tooltip_Speed=TRUE,IF($A1223&lt;=DPS_Graph_Max,IF($A1223&gt;=DPS_Graph_Speed_Min,1/M1223,),),)</f>
        <v/>
      </c>
      <c r="R1223" s="104" t="str">
        <f>IF(DPS_Graph_Tooltip_Speed=TRUE,IF($E$8=$A1223,1/$N$6,),)</f>
        <v/>
      </c>
    </row>
    <row r="1224">
      <c r="A1224" s="370">
        <v>9.81</v>
      </c>
      <c r="B1224" s="213">
        <f>If(DPS_Weapon_Type="远程",($E1224+1)/60+(ROUNDDOWN($F1224*60+1,0)/60)*2,(ROUNDDOWN(($E1224+1)+ROUNDDOWN($F1224*60+1,0)+ROUNDDOWN($G1224/2*60+1,0)+ROUNDDOWN($H1224*60+1,0)+1,0))/60+If(DPS_ATK_TYPE="挥砍",1/60)+If(DPS_ATK_TYPE="挥砍/刺击",1/120))+DPS_Weapon_Randomization/60</f>
        <v>0.105</v>
      </c>
      <c r="C1224" s="104" t="str">
        <f>IF(DPS_Graph_True_Speed=TRUE,IF($A1224&lt;=DPS_Graph_Max,IF($A1224&gt;=DPS_Graph_Speed_Min,1/B1224,),),)</f>
        <v/>
      </c>
      <c r="D1224" s="115" t="str">
        <f>IF(DPS_Graph_True_Speed=TRUE,IF($E$8=$A1224,DPS_Attacks_P_Sec,),)</f>
        <v/>
      </c>
      <c r="E1224" s="222">
        <f>ROUNDDOWN(MAX(2,IF(A1224&gt;=0, DPS_Base_Wpn_Spd/(1+A1224),DPS_Base_Wpn_Spd*(1+ABS(A1224)))),0)</f>
        <v>2</v>
      </c>
      <c r="F1224" s="232">
        <f>IF(A1224&gt;=0, DPS_Base_Recoil/(1+A1224),DPS_Base_Recoil)</f>
        <v>0.004625346901</v>
      </c>
      <c r="G1224" s="377">
        <f t="shared" si="7"/>
        <v>0.51</v>
      </c>
      <c r="H1224" s="377">
        <f t="shared" si="8"/>
        <v>0.006572461387</v>
      </c>
      <c r="I1224" s="104"/>
      <c r="J1224" s="377">
        <f>MAX(0, Max(25,(DPS_Base_Range + ((DPS_Range_Stat) / 2))) / MIN(MAX(70, (70 * (1 + ($A1224 / 3)))), 120))</f>
        <v>3.333333333</v>
      </c>
      <c r="K1224" s="115" t="str">
        <f>IF(A1224&lt;=DPS_Graph_Max,IF(A1224&gt;=DPS_Graph_Speed_Min,A1224,),)</f>
        <v/>
      </c>
      <c r="M1224" s="213">
        <f>If(DPS_Weapon_Type="远程",$E1224/60+$F1224*2,$E1224/60+$F1224+$G1224/2+$H1224)</f>
        <v>0.04258402714</v>
      </c>
      <c r="N1224" s="104" t="str">
        <f>IF(DPS_Graph_Tooltip_Speed=TRUE,IF($A1224&lt;=DPS_Graph_Max,IF($A1224&gt;=DPS_Graph_Speed_Min,1/M1224,),),)</f>
        <v/>
      </c>
      <c r="R1224" s="104" t="str">
        <f>IF(DPS_Graph_Tooltip_Speed=TRUE,IF($E$8=$A1224,1/$N$6,),)</f>
        <v/>
      </c>
    </row>
    <row r="1225">
      <c r="A1225" s="370">
        <v>9.82</v>
      </c>
      <c r="B1225" s="213">
        <f>If(DPS_Weapon_Type="远程",($E1225+1)/60+(ROUNDDOWN($F1225*60+1,0)/60)*2,(ROUNDDOWN(($E1225+1)+ROUNDDOWN($F1225*60+1,0)+ROUNDDOWN($G1225/2*60+1,0)+ROUNDDOWN($H1225*60+1,0)+1,0))/60+If(DPS_ATK_TYPE="挥砍",1/60)+If(DPS_ATK_TYPE="挥砍/刺击",1/120))+DPS_Weapon_Randomization/60</f>
        <v>0.105</v>
      </c>
      <c r="C1225" s="104" t="str">
        <f>IF(DPS_Graph_True_Speed=TRUE,IF($A1225&lt;=DPS_Graph_Max,IF($A1225&gt;=DPS_Graph_Speed_Min,1/B1225,),),)</f>
        <v/>
      </c>
      <c r="D1225" s="115" t="str">
        <f>IF(DPS_Graph_True_Speed=TRUE,IF($E$8=$A1225,DPS_Attacks_P_Sec,),)</f>
        <v/>
      </c>
      <c r="E1225" s="222">
        <f>ROUNDDOWN(MAX(2,IF(A1225&gt;=0, DPS_Base_Wpn_Spd/(1+A1225),DPS_Base_Wpn_Spd*(1+ABS(A1225)))),0)</f>
        <v>2</v>
      </c>
      <c r="F1225" s="232">
        <f>IF(A1225&gt;=0, DPS_Base_Recoil/(1+A1225),DPS_Base_Recoil)</f>
        <v>0.004621072089</v>
      </c>
      <c r="G1225" s="377">
        <f t="shared" si="7"/>
        <v>0.51</v>
      </c>
      <c r="H1225" s="377">
        <f t="shared" si="8"/>
        <v>0.006565988181</v>
      </c>
      <c r="I1225" s="104"/>
      <c r="J1225" s="377">
        <f>MAX(0, Max(25,(DPS_Base_Range + ((DPS_Range_Stat) / 2))) / MIN(MAX(70, (70 * (1 + ($A1225 / 3)))), 120))</f>
        <v>3.333333333</v>
      </c>
      <c r="K1225" s="115" t="str">
        <f>IF(A1225&lt;=DPS_Graph_Max,IF(A1225&gt;=DPS_Graph_Speed_Min,A1225,),)</f>
        <v/>
      </c>
      <c r="M1225" s="213">
        <f>If(DPS_Weapon_Type="远程",$E1225/60+$F1225*2,$E1225/60+$F1225+$G1225/2+$H1225)</f>
        <v>0.04257547751</v>
      </c>
      <c r="N1225" s="104" t="str">
        <f>IF(DPS_Graph_Tooltip_Speed=TRUE,IF($A1225&lt;=DPS_Graph_Max,IF($A1225&gt;=DPS_Graph_Speed_Min,1/M1225,),),)</f>
        <v/>
      </c>
      <c r="R1225" s="104" t="str">
        <f>IF(DPS_Graph_Tooltip_Speed=TRUE,IF($E$8=$A1225,1/$N$6,),)</f>
        <v/>
      </c>
    </row>
    <row r="1226">
      <c r="A1226" s="370">
        <v>9.83</v>
      </c>
      <c r="B1226" s="213">
        <f>If(DPS_Weapon_Type="远程",($E1226+1)/60+(ROUNDDOWN($F1226*60+1,0)/60)*2,(ROUNDDOWN(($E1226+1)+ROUNDDOWN($F1226*60+1,0)+ROUNDDOWN($G1226/2*60+1,0)+ROUNDDOWN($H1226*60+1,0)+1,0))/60+If(DPS_ATK_TYPE="挥砍",1/60)+If(DPS_ATK_TYPE="挥砍/刺击",1/120))+DPS_Weapon_Randomization/60</f>
        <v>0.105</v>
      </c>
      <c r="C1226" s="104" t="str">
        <f>IF(DPS_Graph_True_Speed=TRUE,IF($A1226&lt;=DPS_Graph_Max,IF($A1226&gt;=DPS_Graph_Speed_Min,1/B1226,),),)</f>
        <v/>
      </c>
      <c r="D1226" s="115" t="str">
        <f>IF(DPS_Graph_True_Speed=TRUE,IF($E$8=$A1226,DPS_Attacks_P_Sec,),)</f>
        <v/>
      </c>
      <c r="E1226" s="222">
        <f>ROUNDDOWN(MAX(2,IF(A1226&gt;=0, DPS_Base_Wpn_Spd/(1+A1226),DPS_Base_Wpn_Spd*(1+ABS(A1226)))),0)</f>
        <v>2</v>
      </c>
      <c r="F1226" s="232">
        <f>IF(A1226&gt;=0, DPS_Base_Recoil/(1+A1226),DPS_Base_Recoil)</f>
        <v>0.004616805171</v>
      </c>
      <c r="G1226" s="377">
        <f t="shared" si="7"/>
        <v>0.51</v>
      </c>
      <c r="H1226" s="377">
        <f t="shared" si="8"/>
        <v>0.006559527714</v>
      </c>
      <c r="I1226" s="104"/>
      <c r="J1226" s="377">
        <f>MAX(0, Max(25,(DPS_Base_Range + ((DPS_Range_Stat) / 2))) / MIN(MAX(70, (70 * (1 + ($A1226 / 3)))), 120))</f>
        <v>3.333333333</v>
      </c>
      <c r="K1226" s="115" t="str">
        <f>IF(A1226&lt;=DPS_Graph_Max,IF(A1226&gt;=DPS_Graph_Speed_Min,A1226,),)</f>
        <v/>
      </c>
      <c r="M1226" s="213">
        <f>If(DPS_Weapon_Type="远程",$E1226/60+$F1226*2,$E1226/60+$F1226+$G1226/2+$H1226)</f>
        <v>0.04256694367</v>
      </c>
      <c r="N1226" s="104" t="str">
        <f>IF(DPS_Graph_Tooltip_Speed=TRUE,IF($A1226&lt;=DPS_Graph_Max,IF($A1226&gt;=DPS_Graph_Speed_Min,1/M1226,),),)</f>
        <v/>
      </c>
      <c r="R1226" s="104" t="str">
        <f>IF(DPS_Graph_Tooltip_Speed=TRUE,IF($E$8=$A1226,1/$N$6,),)</f>
        <v/>
      </c>
    </row>
    <row r="1227">
      <c r="A1227" s="370">
        <v>9.84</v>
      </c>
      <c r="B1227" s="213">
        <f>If(DPS_Weapon_Type="远程",($E1227+1)/60+(ROUNDDOWN($F1227*60+1,0)/60)*2,(ROUNDDOWN(($E1227+1)+ROUNDDOWN($F1227*60+1,0)+ROUNDDOWN($G1227/2*60+1,0)+ROUNDDOWN($H1227*60+1,0)+1,0))/60+If(DPS_ATK_TYPE="挥砍",1/60)+If(DPS_ATK_TYPE="挥砍/刺击",1/120))+DPS_Weapon_Randomization/60</f>
        <v>0.105</v>
      </c>
      <c r="C1227" s="104" t="str">
        <f>IF(DPS_Graph_True_Speed=TRUE,IF($A1227&lt;=DPS_Graph_Max,IF($A1227&gt;=DPS_Graph_Speed_Min,1/B1227,),),)</f>
        <v/>
      </c>
      <c r="D1227" s="115" t="str">
        <f>IF(DPS_Graph_True_Speed=TRUE,IF($E$8=$A1227,DPS_Attacks_P_Sec,),)</f>
        <v/>
      </c>
      <c r="E1227" s="222">
        <f>ROUNDDOWN(MAX(2,IF(A1227&gt;=0, DPS_Base_Wpn_Spd/(1+A1227),DPS_Base_Wpn_Spd*(1+ABS(A1227)))),0)</f>
        <v>2</v>
      </c>
      <c r="F1227" s="232">
        <f>IF(A1227&gt;=0, DPS_Base_Recoil/(1+A1227),DPS_Base_Recoil)</f>
        <v>0.004612546125</v>
      </c>
      <c r="G1227" s="377">
        <f t="shared" si="7"/>
        <v>0.51</v>
      </c>
      <c r="H1227" s="377">
        <f t="shared" si="8"/>
        <v>0.006553079948</v>
      </c>
      <c r="I1227" s="104"/>
      <c r="J1227" s="377">
        <f>MAX(0, Max(25,(DPS_Base_Range + ((DPS_Range_Stat) / 2))) / MIN(MAX(70, (70 * (1 + ($A1227 / 3)))), 120))</f>
        <v>3.333333333</v>
      </c>
      <c r="K1227" s="115" t="str">
        <f>IF(A1227&lt;=DPS_Graph_Max,IF(A1227&gt;=DPS_Graph_Speed_Min,A1227,),)</f>
        <v/>
      </c>
      <c r="M1227" s="213">
        <f>If(DPS_Weapon_Type="远程",$E1227/60+$F1227*2,$E1227/60+$F1227+$G1227/2+$H1227)</f>
        <v>0.04255842558</v>
      </c>
      <c r="N1227" s="104" t="str">
        <f>IF(DPS_Graph_Tooltip_Speed=TRUE,IF($A1227&lt;=DPS_Graph_Max,IF($A1227&gt;=DPS_Graph_Speed_Min,1/M1227,),),)</f>
        <v/>
      </c>
      <c r="R1227" s="104" t="str">
        <f>IF(DPS_Graph_Tooltip_Speed=TRUE,IF($E$8=$A1227,1/$N$6,),)</f>
        <v/>
      </c>
    </row>
    <row r="1228">
      <c r="A1228" s="370">
        <v>9.85</v>
      </c>
      <c r="B1228" s="213">
        <f>If(DPS_Weapon_Type="远程",($E1228+1)/60+(ROUNDDOWN($F1228*60+1,0)/60)*2,(ROUNDDOWN(($E1228+1)+ROUNDDOWN($F1228*60+1,0)+ROUNDDOWN($G1228/2*60+1,0)+ROUNDDOWN($H1228*60+1,0)+1,0))/60+If(DPS_ATK_TYPE="挥砍",1/60)+If(DPS_ATK_TYPE="挥砍/刺击",1/120))+DPS_Weapon_Randomization/60</f>
        <v>0.105</v>
      </c>
      <c r="C1228" s="104" t="str">
        <f>IF(DPS_Graph_True_Speed=TRUE,IF($A1228&lt;=DPS_Graph_Max,IF($A1228&gt;=DPS_Graph_Speed_Min,1/B1228,),),)</f>
        <v/>
      </c>
      <c r="D1228" s="115" t="str">
        <f>IF(DPS_Graph_True_Speed=TRUE,IF($E$8=$A1228,DPS_Attacks_P_Sec,),)</f>
        <v/>
      </c>
      <c r="E1228" s="222">
        <f>ROUNDDOWN(MAX(2,IF(A1228&gt;=0, DPS_Base_Wpn_Spd/(1+A1228),DPS_Base_Wpn_Spd*(1+ABS(A1228)))),0)</f>
        <v>2</v>
      </c>
      <c r="F1228" s="232">
        <f>IF(A1228&gt;=0, DPS_Base_Recoil/(1+A1228),DPS_Base_Recoil)</f>
        <v>0.004608294931</v>
      </c>
      <c r="G1228" s="377">
        <f t="shared" si="7"/>
        <v>0.51</v>
      </c>
      <c r="H1228" s="377">
        <f t="shared" si="8"/>
        <v>0.006546644845</v>
      </c>
      <c r="I1228" s="104"/>
      <c r="J1228" s="377">
        <f>MAX(0, Max(25,(DPS_Base_Range + ((DPS_Range_Stat) / 2))) / MIN(MAX(70, (70 * (1 + ($A1228 / 3)))), 120))</f>
        <v>3.333333333</v>
      </c>
      <c r="K1228" s="115" t="str">
        <f>IF(A1228&lt;=DPS_Graph_Max,IF(A1228&gt;=DPS_Graph_Speed_Min,A1228,),)</f>
        <v/>
      </c>
      <c r="M1228" s="213">
        <f>If(DPS_Weapon_Type="远程",$E1228/60+$F1228*2,$E1228/60+$F1228+$G1228/2+$H1228)</f>
        <v>0.0425499232</v>
      </c>
      <c r="N1228" s="104" t="str">
        <f>IF(DPS_Graph_Tooltip_Speed=TRUE,IF($A1228&lt;=DPS_Graph_Max,IF($A1228&gt;=DPS_Graph_Speed_Min,1/M1228,),),)</f>
        <v/>
      </c>
      <c r="R1228" s="104" t="str">
        <f>IF(DPS_Graph_Tooltip_Speed=TRUE,IF($E$8=$A1228,1/$N$6,),)</f>
        <v/>
      </c>
    </row>
    <row r="1229">
      <c r="A1229" s="370">
        <v>9.86</v>
      </c>
      <c r="B1229" s="213">
        <f>If(DPS_Weapon_Type="远程",($E1229+1)/60+(ROUNDDOWN($F1229*60+1,0)/60)*2,(ROUNDDOWN(($E1229+1)+ROUNDDOWN($F1229*60+1,0)+ROUNDDOWN($G1229/2*60+1,0)+ROUNDDOWN($H1229*60+1,0)+1,0))/60+If(DPS_ATK_TYPE="挥砍",1/60)+If(DPS_ATK_TYPE="挥砍/刺击",1/120))+DPS_Weapon_Randomization/60</f>
        <v>0.105</v>
      </c>
      <c r="C1229" s="104" t="str">
        <f>IF(DPS_Graph_True_Speed=TRUE,IF($A1229&lt;=DPS_Graph_Max,IF($A1229&gt;=DPS_Graph_Speed_Min,1/B1229,),),)</f>
        <v/>
      </c>
      <c r="D1229" s="115" t="str">
        <f>IF(DPS_Graph_True_Speed=TRUE,IF($E$8=$A1229,DPS_Attacks_P_Sec,),)</f>
        <v/>
      </c>
      <c r="E1229" s="222">
        <f>ROUNDDOWN(MAX(2,IF(A1229&gt;=0, DPS_Base_Wpn_Spd/(1+A1229),DPS_Base_Wpn_Spd*(1+ABS(A1229)))),0)</f>
        <v>2</v>
      </c>
      <c r="F1229" s="232">
        <f>IF(A1229&gt;=0, DPS_Base_Recoil/(1+A1229),DPS_Base_Recoil)</f>
        <v>0.004604051565</v>
      </c>
      <c r="G1229" s="377">
        <f t="shared" si="7"/>
        <v>0.51</v>
      </c>
      <c r="H1229" s="377">
        <f t="shared" si="8"/>
        <v>0.006540222368</v>
      </c>
      <c r="I1229" s="104"/>
      <c r="J1229" s="377">
        <f>MAX(0, Max(25,(DPS_Base_Range + ((DPS_Range_Stat) / 2))) / MIN(MAX(70, (70 * (1 + ($A1229 / 3)))), 120))</f>
        <v>3.333333333</v>
      </c>
      <c r="K1229" s="115" t="str">
        <f>IF(A1229&lt;=DPS_Graph_Max,IF(A1229&gt;=DPS_Graph_Speed_Min,A1229,),)</f>
        <v/>
      </c>
      <c r="M1229" s="213">
        <f>If(DPS_Weapon_Type="远程",$E1229/60+$F1229*2,$E1229/60+$F1229+$G1229/2+$H1229)</f>
        <v>0.04254143646</v>
      </c>
      <c r="N1229" s="104" t="str">
        <f>IF(DPS_Graph_Tooltip_Speed=TRUE,IF($A1229&lt;=DPS_Graph_Max,IF($A1229&gt;=DPS_Graph_Speed_Min,1/M1229,),),)</f>
        <v/>
      </c>
      <c r="R1229" s="104" t="str">
        <f>IF(DPS_Graph_Tooltip_Speed=TRUE,IF($E$8=$A1229,1/$N$6,),)</f>
        <v/>
      </c>
    </row>
    <row r="1230">
      <c r="A1230" s="370">
        <v>9.87</v>
      </c>
      <c r="B1230" s="213">
        <f>If(DPS_Weapon_Type="远程",($E1230+1)/60+(ROUNDDOWN($F1230*60+1,0)/60)*2,(ROUNDDOWN(($E1230+1)+ROUNDDOWN($F1230*60+1,0)+ROUNDDOWN($G1230/2*60+1,0)+ROUNDDOWN($H1230*60+1,0)+1,0))/60+If(DPS_ATK_TYPE="挥砍",1/60)+If(DPS_ATK_TYPE="挥砍/刺击",1/120))+DPS_Weapon_Randomization/60</f>
        <v>0.105</v>
      </c>
      <c r="C1230" s="104" t="str">
        <f>IF(DPS_Graph_True_Speed=TRUE,IF($A1230&lt;=DPS_Graph_Max,IF($A1230&gt;=DPS_Graph_Speed_Min,1/B1230,),),)</f>
        <v/>
      </c>
      <c r="D1230" s="115" t="str">
        <f>IF(DPS_Graph_True_Speed=TRUE,IF($E$8=$A1230,DPS_Attacks_P_Sec,),)</f>
        <v/>
      </c>
      <c r="E1230" s="222">
        <f>ROUNDDOWN(MAX(2,IF(A1230&gt;=0, DPS_Base_Wpn_Spd/(1+A1230),DPS_Base_Wpn_Spd*(1+ABS(A1230)))),0)</f>
        <v>2</v>
      </c>
      <c r="F1230" s="232">
        <f>IF(A1230&gt;=0, DPS_Base_Recoil/(1+A1230),DPS_Base_Recoil)</f>
        <v>0.004599816007</v>
      </c>
      <c r="G1230" s="377">
        <f t="shared" si="7"/>
        <v>0.51</v>
      </c>
      <c r="H1230" s="377">
        <f t="shared" si="8"/>
        <v>0.00653381248</v>
      </c>
      <c r="I1230" s="104"/>
      <c r="J1230" s="377">
        <f>MAX(0, Max(25,(DPS_Base_Range + ((DPS_Range_Stat) / 2))) / MIN(MAX(70, (70 * (1 + ($A1230 / 3)))), 120))</f>
        <v>3.333333333</v>
      </c>
      <c r="K1230" s="115" t="str">
        <f>IF(A1230&lt;=DPS_Graph_Max,IF(A1230&gt;=DPS_Graph_Speed_Min,A1230,),)</f>
        <v/>
      </c>
      <c r="M1230" s="213">
        <f>If(DPS_Weapon_Type="远程",$E1230/60+$F1230*2,$E1230/60+$F1230+$G1230/2+$H1230)</f>
        <v>0.04253296535</v>
      </c>
      <c r="N1230" s="104" t="str">
        <f>IF(DPS_Graph_Tooltip_Speed=TRUE,IF($A1230&lt;=DPS_Graph_Max,IF($A1230&gt;=DPS_Graph_Speed_Min,1/M1230,),),)</f>
        <v/>
      </c>
      <c r="R1230" s="104" t="str">
        <f>IF(DPS_Graph_Tooltip_Speed=TRUE,IF($E$8=$A1230,1/$N$6,),)</f>
        <v/>
      </c>
    </row>
    <row r="1231">
      <c r="A1231" s="370">
        <v>9.88</v>
      </c>
      <c r="B1231" s="213">
        <f>If(DPS_Weapon_Type="远程",($E1231+1)/60+(ROUNDDOWN($F1231*60+1,0)/60)*2,(ROUNDDOWN(($E1231+1)+ROUNDDOWN($F1231*60+1,0)+ROUNDDOWN($G1231/2*60+1,0)+ROUNDDOWN($H1231*60+1,0)+1,0))/60+If(DPS_ATK_TYPE="挥砍",1/60)+If(DPS_ATK_TYPE="挥砍/刺击",1/120))+DPS_Weapon_Randomization/60</f>
        <v>0.105</v>
      </c>
      <c r="C1231" s="104" t="str">
        <f>IF(DPS_Graph_True_Speed=TRUE,IF($A1231&lt;=DPS_Graph_Max,IF($A1231&gt;=DPS_Graph_Speed_Min,1/B1231,),),)</f>
        <v/>
      </c>
      <c r="D1231" s="115" t="str">
        <f>IF(DPS_Graph_True_Speed=TRUE,IF($E$8=$A1231,DPS_Attacks_P_Sec,),)</f>
        <v/>
      </c>
      <c r="E1231" s="222">
        <f>ROUNDDOWN(MAX(2,IF(A1231&gt;=0, DPS_Base_Wpn_Spd/(1+A1231),DPS_Base_Wpn_Spd*(1+ABS(A1231)))),0)</f>
        <v>2</v>
      </c>
      <c r="F1231" s="232">
        <f>IF(A1231&gt;=0, DPS_Base_Recoil/(1+A1231),DPS_Base_Recoil)</f>
        <v>0.004595588235</v>
      </c>
      <c r="G1231" s="377">
        <f t="shared" si="7"/>
        <v>0.51</v>
      </c>
      <c r="H1231" s="377">
        <f t="shared" si="8"/>
        <v>0.006527415144</v>
      </c>
      <c r="I1231" s="104"/>
      <c r="J1231" s="377">
        <f>MAX(0, Max(25,(DPS_Base_Range + ((DPS_Range_Stat) / 2))) / MIN(MAX(70, (70 * (1 + ($A1231 / 3)))), 120))</f>
        <v>3.333333333</v>
      </c>
      <c r="K1231" s="115" t="str">
        <f>IF(A1231&lt;=DPS_Graph_Max,IF(A1231&gt;=DPS_Graph_Speed_Min,A1231,),)</f>
        <v/>
      </c>
      <c r="M1231" s="213">
        <f>If(DPS_Weapon_Type="远程",$E1231/60+$F1231*2,$E1231/60+$F1231+$G1231/2+$H1231)</f>
        <v>0.0425245098</v>
      </c>
      <c r="N1231" s="104" t="str">
        <f>IF(DPS_Graph_Tooltip_Speed=TRUE,IF($A1231&lt;=DPS_Graph_Max,IF($A1231&gt;=DPS_Graph_Speed_Min,1/M1231,),),)</f>
        <v/>
      </c>
      <c r="R1231" s="104" t="str">
        <f>IF(DPS_Graph_Tooltip_Speed=TRUE,IF($E$8=$A1231,1/$N$6,),)</f>
        <v/>
      </c>
    </row>
    <row r="1232">
      <c r="A1232" s="370">
        <v>9.89</v>
      </c>
      <c r="B1232" s="213">
        <f>If(DPS_Weapon_Type="远程",($E1232+1)/60+(ROUNDDOWN($F1232*60+1,0)/60)*2,(ROUNDDOWN(($E1232+1)+ROUNDDOWN($F1232*60+1,0)+ROUNDDOWN($G1232/2*60+1,0)+ROUNDDOWN($H1232*60+1,0)+1,0))/60+If(DPS_ATK_TYPE="挥砍",1/60)+If(DPS_ATK_TYPE="挥砍/刺击",1/120))+DPS_Weapon_Randomization/60</f>
        <v>0.105</v>
      </c>
      <c r="C1232" s="104" t="str">
        <f>IF(DPS_Graph_True_Speed=TRUE,IF($A1232&lt;=DPS_Graph_Max,IF($A1232&gt;=DPS_Graph_Speed_Min,1/B1232,),),)</f>
        <v/>
      </c>
      <c r="D1232" s="115" t="str">
        <f>IF(DPS_Graph_True_Speed=TRUE,IF($E$8=$A1232,DPS_Attacks_P_Sec,),)</f>
        <v/>
      </c>
      <c r="E1232" s="222">
        <f>ROUNDDOWN(MAX(2,IF(A1232&gt;=0, DPS_Base_Wpn_Spd/(1+A1232),DPS_Base_Wpn_Spd*(1+ABS(A1232)))),0)</f>
        <v>2</v>
      </c>
      <c r="F1232" s="232">
        <f>IF(A1232&gt;=0, DPS_Base_Recoil/(1+A1232),DPS_Base_Recoil)</f>
        <v>0.004591368228</v>
      </c>
      <c r="G1232" s="377">
        <f t="shared" si="7"/>
        <v>0.51</v>
      </c>
      <c r="H1232" s="377">
        <f t="shared" si="8"/>
        <v>0.006521030323</v>
      </c>
      <c r="I1232" s="104"/>
      <c r="J1232" s="377">
        <f>MAX(0, Max(25,(DPS_Base_Range + ((DPS_Range_Stat) / 2))) / MIN(MAX(70, (70 * (1 + ($A1232 / 3)))), 120))</f>
        <v>3.333333333</v>
      </c>
      <c r="K1232" s="115" t="str">
        <f>IF(A1232&lt;=DPS_Graph_Max,IF(A1232&gt;=DPS_Graph_Speed_Min,A1232,),)</f>
        <v/>
      </c>
      <c r="M1232" s="213">
        <f>If(DPS_Weapon_Type="远程",$E1232/60+$F1232*2,$E1232/60+$F1232+$G1232/2+$H1232)</f>
        <v>0.04251606979</v>
      </c>
      <c r="N1232" s="104" t="str">
        <f>IF(DPS_Graph_Tooltip_Speed=TRUE,IF($A1232&lt;=DPS_Graph_Max,IF($A1232&gt;=DPS_Graph_Speed_Min,1/M1232,),),)</f>
        <v/>
      </c>
      <c r="R1232" s="104" t="str">
        <f>IF(DPS_Graph_Tooltip_Speed=TRUE,IF($E$8=$A1232,1/$N$6,),)</f>
        <v/>
      </c>
    </row>
    <row r="1233">
      <c r="A1233" s="370">
        <v>9.9</v>
      </c>
      <c r="B1233" s="213">
        <f>If(DPS_Weapon_Type="远程",($E1233+1)/60+(ROUNDDOWN($F1233*60+1,0)/60)*2,(ROUNDDOWN(($E1233+1)+ROUNDDOWN($F1233*60+1,0)+ROUNDDOWN($G1233/2*60+1,0)+ROUNDDOWN($H1233*60+1,0)+1,0))/60+If(DPS_ATK_TYPE="挥砍",1/60)+If(DPS_ATK_TYPE="挥砍/刺击",1/120))+DPS_Weapon_Randomization/60</f>
        <v>0.105</v>
      </c>
      <c r="C1233" s="104" t="str">
        <f>IF(DPS_Graph_True_Speed=TRUE,IF($A1233&lt;=DPS_Graph_Max,IF($A1233&gt;=DPS_Graph_Speed_Min,1/B1233,),),)</f>
        <v/>
      </c>
      <c r="D1233" s="115" t="str">
        <f>IF(DPS_Graph_True_Speed=TRUE,IF($E$8=$A1233,DPS_Attacks_P_Sec,),)</f>
        <v/>
      </c>
      <c r="E1233" s="222">
        <f>ROUNDDOWN(MAX(2,IF(A1233&gt;=0, DPS_Base_Wpn_Spd/(1+A1233),DPS_Base_Wpn_Spd*(1+ABS(A1233)))),0)</f>
        <v>2</v>
      </c>
      <c r="F1233" s="232">
        <f>IF(A1233&gt;=0, DPS_Base_Recoil/(1+A1233),DPS_Base_Recoil)</f>
        <v>0.004587155963</v>
      </c>
      <c r="G1233" s="377">
        <f t="shared" si="7"/>
        <v>0.51</v>
      </c>
      <c r="H1233" s="377">
        <f t="shared" si="8"/>
        <v>0.00651465798</v>
      </c>
      <c r="I1233" s="104"/>
      <c r="J1233" s="377">
        <f>MAX(0, Max(25,(DPS_Base_Range + ((DPS_Range_Stat) / 2))) / MIN(MAX(70, (70 * (1 + ($A1233 / 3)))), 120))</f>
        <v>3.333333333</v>
      </c>
      <c r="K1233" s="115" t="str">
        <f>IF(A1233&lt;=DPS_Graph_Max,IF(A1233&gt;=DPS_Graph_Speed_Min,A1233,),)</f>
        <v/>
      </c>
      <c r="M1233" s="213">
        <f>If(DPS_Weapon_Type="远程",$E1233/60+$F1233*2,$E1233/60+$F1233+$G1233/2+$H1233)</f>
        <v>0.04250764526</v>
      </c>
      <c r="N1233" s="104" t="str">
        <f>IF(DPS_Graph_Tooltip_Speed=TRUE,IF($A1233&lt;=DPS_Graph_Max,IF($A1233&gt;=DPS_Graph_Speed_Min,1/M1233,),),)</f>
        <v/>
      </c>
      <c r="R1233" s="104" t="str">
        <f>IF(DPS_Graph_Tooltip_Speed=TRUE,IF($E$8=$A1233,1/$N$6,),)</f>
        <v/>
      </c>
    </row>
    <row r="1234">
      <c r="A1234" s="370">
        <v>9.91</v>
      </c>
      <c r="B1234" s="213">
        <f>If(DPS_Weapon_Type="远程",($E1234+1)/60+(ROUNDDOWN($F1234*60+1,0)/60)*2,(ROUNDDOWN(($E1234+1)+ROUNDDOWN($F1234*60+1,0)+ROUNDDOWN($G1234/2*60+1,0)+ROUNDDOWN($H1234*60+1,0)+1,0))/60+If(DPS_ATK_TYPE="挥砍",1/60)+If(DPS_ATK_TYPE="挥砍/刺击",1/120))+DPS_Weapon_Randomization/60</f>
        <v>0.105</v>
      </c>
      <c r="C1234" s="104" t="str">
        <f>IF(DPS_Graph_True_Speed=TRUE,IF($A1234&lt;=DPS_Graph_Max,IF($A1234&gt;=DPS_Graph_Speed_Min,1/B1234,),),)</f>
        <v/>
      </c>
      <c r="D1234" s="115" t="str">
        <f>IF(DPS_Graph_True_Speed=TRUE,IF($E$8=$A1234,DPS_Attacks_P_Sec,),)</f>
        <v/>
      </c>
      <c r="E1234" s="222">
        <f>ROUNDDOWN(MAX(2,IF(A1234&gt;=0, DPS_Base_Wpn_Spd/(1+A1234),DPS_Base_Wpn_Spd*(1+ABS(A1234)))),0)</f>
        <v>2</v>
      </c>
      <c r="F1234" s="232">
        <f>IF(A1234&gt;=0, DPS_Base_Recoil/(1+A1234),DPS_Base_Recoil)</f>
        <v>0.004582951421</v>
      </c>
      <c r="G1234" s="377">
        <f t="shared" si="7"/>
        <v>0.51</v>
      </c>
      <c r="H1234" s="377">
        <f t="shared" si="8"/>
        <v>0.00650829808</v>
      </c>
      <c r="I1234" s="104"/>
      <c r="J1234" s="377">
        <f>MAX(0, Max(25,(DPS_Base_Range + ((DPS_Range_Stat) / 2))) / MIN(MAX(70, (70 * (1 + ($A1234 / 3)))), 120))</f>
        <v>3.333333333</v>
      </c>
      <c r="K1234" s="115" t="str">
        <f>IF(A1234&lt;=DPS_Graph_Max,IF(A1234&gt;=DPS_Graph_Speed_Min,A1234,),)</f>
        <v/>
      </c>
      <c r="M1234" s="213">
        <f>If(DPS_Weapon_Type="远程",$E1234/60+$F1234*2,$E1234/60+$F1234+$G1234/2+$H1234)</f>
        <v>0.04249923617</v>
      </c>
      <c r="N1234" s="104" t="str">
        <f>IF(DPS_Graph_Tooltip_Speed=TRUE,IF($A1234&lt;=DPS_Graph_Max,IF($A1234&gt;=DPS_Graph_Speed_Min,1/M1234,),),)</f>
        <v/>
      </c>
      <c r="R1234" s="104" t="str">
        <f>IF(DPS_Graph_Tooltip_Speed=TRUE,IF($E$8=$A1234,1/$N$6,),)</f>
        <v/>
      </c>
    </row>
    <row r="1235">
      <c r="A1235" s="370">
        <v>9.92</v>
      </c>
      <c r="B1235" s="213">
        <f>If(DPS_Weapon_Type="远程",($E1235+1)/60+(ROUNDDOWN($F1235*60+1,0)/60)*2,(ROUNDDOWN(($E1235+1)+ROUNDDOWN($F1235*60+1,0)+ROUNDDOWN($G1235/2*60+1,0)+ROUNDDOWN($H1235*60+1,0)+1,0))/60+If(DPS_ATK_TYPE="挥砍",1/60)+If(DPS_ATK_TYPE="挥砍/刺击",1/120))+DPS_Weapon_Randomization/60</f>
        <v>0.105</v>
      </c>
      <c r="C1235" s="104" t="str">
        <f>IF(DPS_Graph_True_Speed=TRUE,IF($A1235&lt;=DPS_Graph_Max,IF($A1235&gt;=DPS_Graph_Speed_Min,1/B1235,),),)</f>
        <v/>
      </c>
      <c r="D1235" s="115" t="str">
        <f>IF(DPS_Graph_True_Speed=TRUE,IF($E$8=$A1235,DPS_Attacks_P_Sec,),)</f>
        <v/>
      </c>
      <c r="E1235" s="222">
        <f>ROUNDDOWN(MAX(2,IF(A1235&gt;=0, DPS_Base_Wpn_Spd/(1+A1235),DPS_Base_Wpn_Spd*(1+ABS(A1235)))),0)</f>
        <v>2</v>
      </c>
      <c r="F1235" s="232">
        <f>IF(A1235&gt;=0, DPS_Base_Recoil/(1+A1235),DPS_Base_Recoil)</f>
        <v>0.004578754579</v>
      </c>
      <c r="G1235" s="377">
        <f t="shared" si="7"/>
        <v>0.51</v>
      </c>
      <c r="H1235" s="377">
        <f t="shared" si="8"/>
        <v>0.006501950585</v>
      </c>
      <c r="I1235" s="104"/>
      <c r="J1235" s="377">
        <f>MAX(0, Max(25,(DPS_Base_Range + ((DPS_Range_Stat) / 2))) / MIN(MAX(70, (70 * (1 + ($A1235 / 3)))), 120))</f>
        <v>3.333333333</v>
      </c>
      <c r="K1235" s="115" t="str">
        <f>IF(A1235&lt;=DPS_Graph_Max,IF(A1235&gt;=DPS_Graph_Speed_Min,A1235,),)</f>
        <v/>
      </c>
      <c r="M1235" s="213">
        <f>If(DPS_Weapon_Type="远程",$E1235/60+$F1235*2,$E1235/60+$F1235+$G1235/2+$H1235)</f>
        <v>0.04249084249</v>
      </c>
      <c r="N1235" s="104" t="str">
        <f>IF(DPS_Graph_Tooltip_Speed=TRUE,IF($A1235&lt;=DPS_Graph_Max,IF($A1235&gt;=DPS_Graph_Speed_Min,1/M1235,),),)</f>
        <v/>
      </c>
      <c r="R1235" s="104" t="str">
        <f>IF(DPS_Graph_Tooltip_Speed=TRUE,IF($E$8=$A1235,1/$N$6,),)</f>
        <v/>
      </c>
    </row>
    <row r="1236">
      <c r="A1236" s="370">
        <v>9.93</v>
      </c>
      <c r="B1236" s="213">
        <f>If(DPS_Weapon_Type="远程",($E1236+1)/60+(ROUNDDOWN($F1236*60+1,0)/60)*2,(ROUNDDOWN(($E1236+1)+ROUNDDOWN($F1236*60+1,0)+ROUNDDOWN($G1236/2*60+1,0)+ROUNDDOWN($H1236*60+1,0)+1,0))/60+If(DPS_ATK_TYPE="挥砍",1/60)+If(DPS_ATK_TYPE="挥砍/刺击",1/120))+DPS_Weapon_Randomization/60</f>
        <v>0.105</v>
      </c>
      <c r="C1236" s="104" t="str">
        <f>IF(DPS_Graph_True_Speed=TRUE,IF($A1236&lt;=DPS_Graph_Max,IF($A1236&gt;=DPS_Graph_Speed_Min,1/B1236,),),)</f>
        <v/>
      </c>
      <c r="D1236" s="115" t="str">
        <f>IF(DPS_Graph_True_Speed=TRUE,IF($E$8=$A1236,DPS_Attacks_P_Sec,),)</f>
        <v/>
      </c>
      <c r="E1236" s="222">
        <f>ROUNDDOWN(MAX(2,IF(A1236&gt;=0, DPS_Base_Wpn_Spd/(1+A1236),DPS_Base_Wpn_Spd*(1+ABS(A1236)))),0)</f>
        <v>2</v>
      </c>
      <c r="F1236" s="232">
        <f>IF(A1236&gt;=0, DPS_Base_Recoil/(1+A1236),DPS_Base_Recoil)</f>
        <v>0.004574565416</v>
      </c>
      <c r="G1236" s="377">
        <f t="shared" si="7"/>
        <v>0.51</v>
      </c>
      <c r="H1236" s="377">
        <f t="shared" si="8"/>
        <v>0.00649561546</v>
      </c>
      <c r="I1236" s="104"/>
      <c r="J1236" s="377">
        <f>MAX(0, Max(25,(DPS_Base_Range + ((DPS_Range_Stat) / 2))) / MIN(MAX(70, (70 * (1 + ($A1236 / 3)))), 120))</f>
        <v>3.333333333</v>
      </c>
      <c r="K1236" s="115" t="str">
        <f>IF(A1236&lt;=DPS_Graph_Max,IF(A1236&gt;=DPS_Graph_Speed_Min,A1236,),)</f>
        <v/>
      </c>
      <c r="M1236" s="213">
        <f>If(DPS_Weapon_Type="远程",$E1236/60+$F1236*2,$E1236/60+$F1236+$G1236/2+$H1236)</f>
        <v>0.04248246417</v>
      </c>
      <c r="N1236" s="104" t="str">
        <f>IF(DPS_Graph_Tooltip_Speed=TRUE,IF($A1236&lt;=DPS_Graph_Max,IF($A1236&gt;=DPS_Graph_Speed_Min,1/M1236,),),)</f>
        <v/>
      </c>
      <c r="R1236" s="104" t="str">
        <f>IF(DPS_Graph_Tooltip_Speed=TRUE,IF($E$8=$A1236,1/$N$6,),)</f>
        <v/>
      </c>
    </row>
    <row r="1237">
      <c r="A1237" s="370">
        <v>9.94</v>
      </c>
      <c r="B1237" s="213">
        <f>If(DPS_Weapon_Type="远程",($E1237+1)/60+(ROUNDDOWN($F1237*60+1,0)/60)*2,(ROUNDDOWN(($E1237+1)+ROUNDDOWN($F1237*60+1,0)+ROUNDDOWN($G1237/2*60+1,0)+ROUNDDOWN($H1237*60+1,0)+1,0))/60+If(DPS_ATK_TYPE="挥砍",1/60)+If(DPS_ATK_TYPE="挥砍/刺击",1/120))+DPS_Weapon_Randomization/60</f>
        <v>0.105</v>
      </c>
      <c r="C1237" s="104" t="str">
        <f>IF(DPS_Graph_True_Speed=TRUE,IF($A1237&lt;=DPS_Graph_Max,IF($A1237&gt;=DPS_Graph_Speed_Min,1/B1237,),),)</f>
        <v/>
      </c>
      <c r="D1237" s="115" t="str">
        <f>IF(DPS_Graph_True_Speed=TRUE,IF($E$8=$A1237,DPS_Attacks_P_Sec,),)</f>
        <v/>
      </c>
      <c r="E1237" s="222">
        <f>ROUNDDOWN(MAX(2,IF(A1237&gt;=0, DPS_Base_Wpn_Spd/(1+A1237),DPS_Base_Wpn_Spd*(1+ABS(A1237)))),0)</f>
        <v>2</v>
      </c>
      <c r="F1237" s="232">
        <f>IF(A1237&gt;=0, DPS_Base_Recoil/(1+A1237),DPS_Base_Recoil)</f>
        <v>0.004570383912</v>
      </c>
      <c r="G1237" s="377">
        <f t="shared" si="7"/>
        <v>0.51</v>
      </c>
      <c r="H1237" s="377">
        <f t="shared" si="8"/>
        <v>0.006489292667</v>
      </c>
      <c r="I1237" s="104"/>
      <c r="J1237" s="377">
        <f>MAX(0, Max(25,(DPS_Base_Range + ((DPS_Range_Stat) / 2))) / MIN(MAX(70, (70 * (1 + ($A1237 / 3)))), 120))</f>
        <v>3.333333333</v>
      </c>
      <c r="K1237" s="115" t="str">
        <f>IF(A1237&lt;=DPS_Graph_Max,IF(A1237&gt;=DPS_Graph_Speed_Min,A1237,),)</f>
        <v/>
      </c>
      <c r="M1237" s="213">
        <f>If(DPS_Weapon_Type="远程",$E1237/60+$F1237*2,$E1237/60+$F1237+$G1237/2+$H1237)</f>
        <v>0.04247410116</v>
      </c>
      <c r="N1237" s="104" t="str">
        <f>IF(DPS_Graph_Tooltip_Speed=TRUE,IF($A1237&lt;=DPS_Graph_Max,IF($A1237&gt;=DPS_Graph_Speed_Min,1/M1237,),),)</f>
        <v/>
      </c>
      <c r="R1237" s="104" t="str">
        <f>IF(DPS_Graph_Tooltip_Speed=TRUE,IF($E$8=$A1237,1/$N$6,),)</f>
        <v/>
      </c>
    </row>
    <row r="1238">
      <c r="A1238" s="370">
        <v>9.95</v>
      </c>
      <c r="B1238" s="213">
        <f>If(DPS_Weapon_Type="远程",($E1238+1)/60+(ROUNDDOWN($F1238*60+1,0)/60)*2,(ROUNDDOWN(($E1238+1)+ROUNDDOWN($F1238*60+1,0)+ROUNDDOWN($G1238/2*60+1,0)+ROUNDDOWN($H1238*60+1,0)+1,0))/60+If(DPS_ATK_TYPE="挥砍",1/60)+If(DPS_ATK_TYPE="挥砍/刺击",1/120))+DPS_Weapon_Randomization/60</f>
        <v>0.105</v>
      </c>
      <c r="C1238" s="104" t="str">
        <f>IF(DPS_Graph_True_Speed=TRUE,IF($A1238&lt;=DPS_Graph_Max,IF($A1238&gt;=DPS_Graph_Speed_Min,1/B1238,),),)</f>
        <v/>
      </c>
      <c r="D1238" s="115" t="str">
        <f>IF(DPS_Graph_True_Speed=TRUE,IF($E$8=$A1238,DPS_Attacks_P_Sec,),)</f>
        <v/>
      </c>
      <c r="E1238" s="222">
        <f>ROUNDDOWN(MAX(2,IF(A1238&gt;=0, DPS_Base_Wpn_Spd/(1+A1238),DPS_Base_Wpn_Spd*(1+ABS(A1238)))),0)</f>
        <v>2</v>
      </c>
      <c r="F1238" s="232">
        <f>IF(A1238&gt;=0, DPS_Base_Recoil/(1+A1238),DPS_Base_Recoil)</f>
        <v>0.004566210046</v>
      </c>
      <c r="G1238" s="377">
        <f t="shared" si="7"/>
        <v>0.51</v>
      </c>
      <c r="H1238" s="377">
        <f t="shared" si="8"/>
        <v>0.006482982172</v>
      </c>
      <c r="I1238" s="104"/>
      <c r="J1238" s="377">
        <f>MAX(0, Max(25,(DPS_Base_Range + ((DPS_Range_Stat) / 2))) / MIN(MAX(70, (70 * (1 + ($A1238 / 3)))), 120))</f>
        <v>3.333333333</v>
      </c>
      <c r="K1238" s="115" t="str">
        <f>IF(A1238&lt;=DPS_Graph_Max,IF(A1238&gt;=DPS_Graph_Speed_Min,A1238,),)</f>
        <v/>
      </c>
      <c r="M1238" s="213">
        <f>If(DPS_Weapon_Type="远程",$E1238/60+$F1238*2,$E1238/60+$F1238+$G1238/2+$H1238)</f>
        <v>0.04246575342</v>
      </c>
      <c r="N1238" s="104" t="str">
        <f>IF(DPS_Graph_Tooltip_Speed=TRUE,IF($A1238&lt;=DPS_Graph_Max,IF($A1238&gt;=DPS_Graph_Speed_Min,1/M1238,),),)</f>
        <v/>
      </c>
      <c r="R1238" s="104" t="str">
        <f>IF(DPS_Graph_Tooltip_Speed=TRUE,IF($E$8=$A1238,1/$N$6,),)</f>
        <v/>
      </c>
    </row>
    <row r="1239">
      <c r="A1239" s="370">
        <v>9.96</v>
      </c>
      <c r="B1239" s="213">
        <f>If(DPS_Weapon_Type="远程",($E1239+1)/60+(ROUNDDOWN($F1239*60+1,0)/60)*2,(ROUNDDOWN(($E1239+1)+ROUNDDOWN($F1239*60+1,0)+ROUNDDOWN($G1239/2*60+1,0)+ROUNDDOWN($H1239*60+1,0)+1,0))/60+If(DPS_ATK_TYPE="挥砍",1/60)+If(DPS_ATK_TYPE="挥砍/刺击",1/120))+DPS_Weapon_Randomization/60</f>
        <v>0.105</v>
      </c>
      <c r="C1239" s="104" t="str">
        <f>IF(DPS_Graph_True_Speed=TRUE,IF($A1239&lt;=DPS_Graph_Max,IF($A1239&gt;=DPS_Graph_Speed_Min,1/B1239,),),)</f>
        <v/>
      </c>
      <c r="D1239" s="115" t="str">
        <f>IF(DPS_Graph_True_Speed=TRUE,IF($E$8=$A1239,DPS_Attacks_P_Sec,),)</f>
        <v/>
      </c>
      <c r="E1239" s="222">
        <f>ROUNDDOWN(MAX(2,IF(A1239&gt;=0, DPS_Base_Wpn_Spd/(1+A1239),DPS_Base_Wpn_Spd*(1+ABS(A1239)))),0)</f>
        <v>2</v>
      </c>
      <c r="F1239" s="232">
        <f>IF(A1239&gt;=0, DPS_Base_Recoil/(1+A1239),DPS_Base_Recoil)</f>
        <v>0.004562043796</v>
      </c>
      <c r="G1239" s="377">
        <f t="shared" si="7"/>
        <v>0.51</v>
      </c>
      <c r="H1239" s="377">
        <f t="shared" si="8"/>
        <v>0.006476683938</v>
      </c>
      <c r="I1239" s="104"/>
      <c r="J1239" s="377">
        <f>MAX(0, Max(25,(DPS_Base_Range + ((DPS_Range_Stat) / 2))) / MIN(MAX(70, (70 * (1 + ($A1239 / 3)))), 120))</f>
        <v>3.333333333</v>
      </c>
      <c r="K1239" s="115" t="str">
        <f>IF(A1239&lt;=DPS_Graph_Max,IF(A1239&gt;=DPS_Graph_Speed_Min,A1239,),)</f>
        <v/>
      </c>
      <c r="M1239" s="213">
        <f>If(DPS_Weapon_Type="远程",$E1239/60+$F1239*2,$E1239/60+$F1239+$G1239/2+$H1239)</f>
        <v>0.04245742092</v>
      </c>
      <c r="N1239" s="104" t="str">
        <f>IF(DPS_Graph_Tooltip_Speed=TRUE,IF($A1239&lt;=DPS_Graph_Max,IF($A1239&gt;=DPS_Graph_Speed_Min,1/M1239,),),)</f>
        <v/>
      </c>
      <c r="R1239" s="104" t="str">
        <f>IF(DPS_Graph_Tooltip_Speed=TRUE,IF($E$8=$A1239,1/$N$6,),)</f>
        <v/>
      </c>
    </row>
    <row r="1240">
      <c r="A1240" s="370">
        <v>9.97</v>
      </c>
      <c r="B1240" s="213">
        <f>If(DPS_Weapon_Type="远程",($E1240+1)/60+(ROUNDDOWN($F1240*60+1,0)/60)*2,(ROUNDDOWN(($E1240+1)+ROUNDDOWN($F1240*60+1,0)+ROUNDDOWN($G1240/2*60+1,0)+ROUNDDOWN($H1240*60+1,0)+1,0))/60+If(DPS_ATK_TYPE="挥砍",1/60)+If(DPS_ATK_TYPE="挥砍/刺击",1/120))+DPS_Weapon_Randomization/60</f>
        <v>0.105</v>
      </c>
      <c r="C1240" s="104" t="str">
        <f>IF(DPS_Graph_True_Speed=TRUE,IF($A1240&lt;=DPS_Graph_Max,IF($A1240&gt;=DPS_Graph_Speed_Min,1/B1240,),),)</f>
        <v/>
      </c>
      <c r="D1240" s="115" t="str">
        <f>IF(DPS_Graph_True_Speed=TRUE,IF($E$8=$A1240,DPS_Attacks_P_Sec,),)</f>
        <v/>
      </c>
      <c r="E1240" s="222">
        <f>ROUNDDOWN(MAX(2,IF(A1240&gt;=0, DPS_Base_Wpn_Spd/(1+A1240),DPS_Base_Wpn_Spd*(1+ABS(A1240)))),0)</f>
        <v>2</v>
      </c>
      <c r="F1240" s="232">
        <f>IF(A1240&gt;=0, DPS_Base_Recoil/(1+A1240),DPS_Base_Recoil)</f>
        <v>0.004557885141</v>
      </c>
      <c r="G1240" s="377">
        <f t="shared" si="7"/>
        <v>0.51</v>
      </c>
      <c r="H1240" s="377">
        <f t="shared" si="8"/>
        <v>0.006470397929</v>
      </c>
      <c r="I1240" s="104"/>
      <c r="J1240" s="377">
        <f>MAX(0, Max(25,(DPS_Base_Range + ((DPS_Range_Stat) / 2))) / MIN(MAX(70, (70 * (1 + ($A1240 / 3)))), 120))</f>
        <v>3.333333333</v>
      </c>
      <c r="K1240" s="115" t="str">
        <f>IF(A1240&lt;=DPS_Graph_Max,IF(A1240&gt;=DPS_Graph_Speed_Min,A1240,),)</f>
        <v/>
      </c>
      <c r="M1240" s="213">
        <f>If(DPS_Weapon_Type="远程",$E1240/60+$F1240*2,$E1240/60+$F1240+$G1240/2+$H1240)</f>
        <v>0.04244910362</v>
      </c>
      <c r="N1240" s="104" t="str">
        <f>IF(DPS_Graph_Tooltip_Speed=TRUE,IF($A1240&lt;=DPS_Graph_Max,IF($A1240&gt;=DPS_Graph_Speed_Min,1/M1240,),),)</f>
        <v/>
      </c>
      <c r="R1240" s="104" t="str">
        <f>IF(DPS_Graph_Tooltip_Speed=TRUE,IF($E$8=$A1240,1/$N$6,),)</f>
        <v/>
      </c>
    </row>
    <row r="1241">
      <c r="A1241" s="370">
        <v>9.98</v>
      </c>
      <c r="B1241" s="213">
        <f>If(DPS_Weapon_Type="远程",($E1241+1)/60+(ROUNDDOWN($F1241*60+1,0)/60)*2,(ROUNDDOWN(($E1241+1)+ROUNDDOWN($F1241*60+1,0)+ROUNDDOWN($G1241/2*60+1,0)+ROUNDDOWN($H1241*60+1,0)+1,0))/60+If(DPS_ATK_TYPE="挥砍",1/60)+If(DPS_ATK_TYPE="挥砍/刺击",1/120))+DPS_Weapon_Randomization/60</f>
        <v>0.105</v>
      </c>
      <c r="C1241" s="104" t="str">
        <f>IF(DPS_Graph_True_Speed=TRUE,IF($A1241&lt;=DPS_Graph_Max,IF($A1241&gt;=DPS_Graph_Speed_Min,1/B1241,),),)</f>
        <v/>
      </c>
      <c r="D1241" s="115" t="str">
        <f>IF(DPS_Graph_True_Speed=TRUE,IF($E$8=$A1241,DPS_Attacks_P_Sec,),)</f>
        <v/>
      </c>
      <c r="E1241" s="222">
        <f>ROUNDDOWN(MAX(2,IF(A1241&gt;=0, DPS_Base_Wpn_Spd/(1+A1241),DPS_Base_Wpn_Spd*(1+ABS(A1241)))),0)</f>
        <v>2</v>
      </c>
      <c r="F1241" s="232">
        <f>IF(A1241&gt;=0, DPS_Base_Recoil/(1+A1241),DPS_Base_Recoil)</f>
        <v>0.004553734062</v>
      </c>
      <c r="G1241" s="377">
        <f t="shared" si="7"/>
        <v>0.51</v>
      </c>
      <c r="H1241" s="377">
        <f t="shared" si="8"/>
        <v>0.006464124111</v>
      </c>
      <c r="I1241" s="104"/>
      <c r="J1241" s="377">
        <f>MAX(0, Max(25,(DPS_Base_Range + ((DPS_Range_Stat) / 2))) / MIN(MAX(70, (70 * (1 + ($A1241 / 3)))), 120))</f>
        <v>3.333333333</v>
      </c>
      <c r="K1241" s="115" t="str">
        <f>IF(A1241&lt;=DPS_Graph_Max,IF(A1241&gt;=DPS_Graph_Speed_Min,A1241,),)</f>
        <v/>
      </c>
      <c r="M1241" s="213">
        <f>If(DPS_Weapon_Type="远程",$E1241/60+$F1241*2,$E1241/60+$F1241+$G1241/2+$H1241)</f>
        <v>0.04244080146</v>
      </c>
      <c r="N1241" s="104" t="str">
        <f>IF(DPS_Graph_Tooltip_Speed=TRUE,IF($A1241&lt;=DPS_Graph_Max,IF($A1241&gt;=DPS_Graph_Speed_Min,1/M1241,),),)</f>
        <v/>
      </c>
      <c r="R1241" s="104" t="str">
        <f>IF(DPS_Graph_Tooltip_Speed=TRUE,IF($E$8=$A1241,1/$N$6,),)</f>
        <v/>
      </c>
    </row>
    <row r="1242">
      <c r="A1242" s="370">
        <v>9.99</v>
      </c>
      <c r="B1242" s="213">
        <f>If(DPS_Weapon_Type="远程",($E1242+1)/60+(ROUNDDOWN($F1242*60+1,0)/60)*2,(ROUNDDOWN(($E1242+1)+ROUNDDOWN($F1242*60+1,0)+ROUNDDOWN($G1242/2*60+1,0)+ROUNDDOWN($H1242*60+1,0)+1,0))/60+If(DPS_ATK_TYPE="挥砍",1/60)+If(DPS_ATK_TYPE="挥砍/刺击",1/120))+DPS_Weapon_Randomization/60</f>
        <v>0.105</v>
      </c>
      <c r="C1242" s="104" t="str">
        <f>IF(DPS_Graph_True_Speed=TRUE,IF($A1242&lt;=DPS_Graph_Max,IF($A1242&gt;=DPS_Graph_Speed_Min,1/B1242,),),)</f>
        <v/>
      </c>
      <c r="D1242" s="115" t="str">
        <f>IF(DPS_Graph_True_Speed=TRUE,IF($E$8=$A1242,DPS_Attacks_P_Sec,),)</f>
        <v/>
      </c>
      <c r="E1242" s="222">
        <f>ROUNDDOWN(MAX(2,IF(A1242&gt;=0, DPS_Base_Wpn_Spd/(1+A1242),DPS_Base_Wpn_Spd*(1+ABS(A1242)))),0)</f>
        <v>2</v>
      </c>
      <c r="F1242" s="232">
        <f>IF(A1242&gt;=0, DPS_Base_Recoil/(1+A1242),DPS_Base_Recoil)</f>
        <v>0.004549590537</v>
      </c>
      <c r="G1242" s="377">
        <f t="shared" si="7"/>
        <v>0.51</v>
      </c>
      <c r="H1242" s="377">
        <f t="shared" si="8"/>
        <v>0.006457862448</v>
      </c>
      <c r="I1242" s="104"/>
      <c r="J1242" s="377">
        <f>MAX(0, Max(25,(DPS_Base_Range + ((DPS_Range_Stat) / 2))) / MIN(MAX(70, (70 * (1 + ($A1242 / 3)))), 120))</f>
        <v>3.333333333</v>
      </c>
      <c r="K1242" s="115" t="str">
        <f>IF(A1242&lt;=DPS_Graph_Max,IF(A1242&gt;=DPS_Graph_Speed_Min,A1242,),)</f>
        <v/>
      </c>
      <c r="M1242" s="213">
        <f>If(DPS_Weapon_Type="远程",$E1242/60+$F1242*2,$E1242/60+$F1242+$G1242/2+$H1242)</f>
        <v>0.04243251441</v>
      </c>
      <c r="N1242" s="104" t="str">
        <f>IF(DPS_Graph_Tooltip_Speed=TRUE,IF($A1242&lt;=DPS_Graph_Max,IF($A1242&gt;=DPS_Graph_Speed_Min,1/M1242,),),)</f>
        <v/>
      </c>
      <c r="R1242" s="104" t="str">
        <f>IF(DPS_Graph_Tooltip_Speed=TRUE,IF($E$8=$A1242,1/$N$6,),)</f>
        <v/>
      </c>
    </row>
    <row r="1243">
      <c r="A1243" s="370">
        <v>10.0</v>
      </c>
      <c r="B1243" s="213">
        <f>If(DPS_Weapon_Type="远程",($E1243+1)/60+(ROUNDDOWN($F1243*60+1,0)/60)*2,(ROUNDDOWN(($E1243+1)+ROUNDDOWN($F1243*60+1,0)+ROUNDDOWN($G1243/2*60+1,0)+ROUNDDOWN($H1243*60+1,0)+1,0))/60+If(DPS_ATK_TYPE="挥砍",1/60)+If(DPS_ATK_TYPE="挥砍/刺击",1/120))+DPS_Weapon_Randomization/60</f>
        <v>0.105</v>
      </c>
      <c r="C1243" s="104" t="str">
        <f>IF(DPS_Graph_True_Speed=TRUE,IF($A1243&lt;=DPS_Graph_Max,IF($A1243&gt;=DPS_Graph_Speed_Min,1/B1243,),),)</f>
        <v/>
      </c>
      <c r="D1243" s="115" t="str">
        <f>IF(DPS_Graph_True_Speed=TRUE,IF($E$8=$A1243,DPS_Attacks_P_Sec,),)</f>
        <v/>
      </c>
      <c r="E1243" s="222">
        <f>ROUNDDOWN(MAX(2,IF(A1243&gt;=0, DPS_Base_Wpn_Spd/(1+A1243),DPS_Base_Wpn_Spd*(1+ABS(A1243)))),0)</f>
        <v>2</v>
      </c>
      <c r="F1243" s="232">
        <f>IF(A1243&gt;=0, DPS_Base_Recoil/(1+A1243),DPS_Base_Recoil)</f>
        <v>0.004545454545</v>
      </c>
      <c r="G1243" s="377">
        <f t="shared" si="7"/>
        <v>0.51</v>
      </c>
      <c r="H1243" s="377">
        <f t="shared" si="8"/>
        <v>0.006451612903</v>
      </c>
      <c r="I1243" s="104"/>
      <c r="J1243" s="377">
        <f>MAX(0, Max(25,(DPS_Base_Range + ((DPS_Range_Stat) / 2))) / MIN(MAX(70, (70 * (1 + ($A1243 / 3)))), 120))</f>
        <v>3.333333333</v>
      </c>
      <c r="K1243" s="115" t="str">
        <f>IF(A1243&lt;=DPS_Graph_Max,IF(A1243&gt;=DPS_Graph_Speed_Min,A1243,),)</f>
        <v/>
      </c>
      <c r="M1243" s="213">
        <f>If(DPS_Weapon_Type="远程",$E1243/60+$F1243*2,$E1243/60+$F1243+$G1243/2+$H1243)</f>
        <v>0.04242424242</v>
      </c>
      <c r="N1243" s="104" t="str">
        <f>IF(DPS_Graph_Tooltip_Speed=TRUE,IF($A1243&lt;=DPS_Graph_Max,IF($A1243&gt;=DPS_Graph_Speed_Min,1/M1243,),),)</f>
        <v/>
      </c>
      <c r="R1243" s="104" t="str">
        <f>IF(DPS_Graph_Tooltip_Speed=TRUE,IF($E$8=$A1243,1/$N$6,),)</f>
        <v/>
      </c>
    </row>
    <row r="1244">
      <c r="A1244" s="370"/>
      <c r="B1244" s="370"/>
      <c r="C1244" s="370"/>
      <c r="D1244" s="370"/>
      <c r="E1244" s="213"/>
      <c r="F1244" s="104"/>
      <c r="H1244" s="213"/>
      <c r="I1244" s="104"/>
    </row>
    <row r="1245">
      <c r="A1245" s="370"/>
      <c r="B1245" s="370"/>
      <c r="C1245" s="370"/>
      <c r="D1245" s="370"/>
      <c r="E1245" s="213"/>
      <c r="F1245" s="104"/>
      <c r="H1245" s="213"/>
      <c r="I1245" s="104"/>
    </row>
    <row r="1246">
      <c r="A1246" s="370"/>
      <c r="B1246" s="370"/>
      <c r="C1246" s="370"/>
      <c r="D1246" s="370"/>
      <c r="E1246" s="213"/>
      <c r="F1246" s="104"/>
      <c r="H1246" s="213"/>
      <c r="I1246" s="104"/>
    </row>
    <row r="1247">
      <c r="A1247" s="370"/>
      <c r="B1247" s="370"/>
      <c r="C1247" s="370"/>
      <c r="D1247" s="370"/>
      <c r="E1247" s="213"/>
      <c r="F1247" s="104"/>
      <c r="H1247" s="213"/>
      <c r="I1247" s="104"/>
    </row>
    <row r="1248">
      <c r="A1248" s="370"/>
      <c r="B1248" s="370"/>
      <c r="C1248" s="370"/>
      <c r="D1248" s="370"/>
      <c r="E1248" s="213"/>
      <c r="F1248" s="104"/>
      <c r="H1248" s="213"/>
      <c r="I1248" s="104"/>
    </row>
    <row r="1249">
      <c r="A1249" s="370"/>
      <c r="B1249" s="370"/>
      <c r="C1249" s="370"/>
      <c r="D1249" s="370"/>
      <c r="E1249" s="213"/>
      <c r="F1249" s="104"/>
      <c r="H1249" s="213"/>
      <c r="I1249" s="104"/>
    </row>
    <row r="1250">
      <c r="A1250" s="370"/>
      <c r="B1250" s="370"/>
      <c r="C1250" s="370"/>
      <c r="D1250" s="370"/>
      <c r="E1250" s="213"/>
      <c r="F1250" s="104"/>
      <c r="H1250" s="213"/>
      <c r="I1250" s="104"/>
    </row>
    <row r="1251">
      <c r="A1251" s="370"/>
      <c r="B1251" s="370"/>
      <c r="C1251" s="370"/>
      <c r="D1251" s="370"/>
      <c r="E1251" s="213"/>
      <c r="F1251" s="104"/>
      <c r="H1251" s="213"/>
      <c r="I1251" s="104"/>
    </row>
    <row r="1252">
      <c r="A1252" s="370"/>
      <c r="B1252" s="370"/>
      <c r="C1252" s="370"/>
      <c r="D1252" s="370"/>
      <c r="E1252" s="213"/>
      <c r="F1252" s="104"/>
      <c r="H1252" s="213"/>
      <c r="I1252" s="104"/>
    </row>
    <row r="1253">
      <c r="A1253" s="370"/>
      <c r="B1253" s="370"/>
      <c r="C1253" s="370"/>
      <c r="D1253" s="370"/>
      <c r="E1253" s="213"/>
      <c r="F1253" s="104"/>
      <c r="H1253" s="213"/>
      <c r="I1253" s="104"/>
    </row>
    <row r="1254">
      <c r="A1254" s="370"/>
      <c r="B1254" s="370"/>
      <c r="C1254" s="370"/>
      <c r="D1254" s="370"/>
      <c r="E1254" s="213"/>
      <c r="F1254" s="104"/>
      <c r="H1254" s="213"/>
      <c r="I1254" s="104"/>
    </row>
    <row r="1255">
      <c r="A1255" s="370"/>
      <c r="B1255" s="370"/>
      <c r="C1255" s="370"/>
      <c r="D1255" s="370"/>
      <c r="E1255" s="213"/>
      <c r="F1255" s="104"/>
      <c r="H1255" s="213"/>
      <c r="I1255" s="104"/>
    </row>
    <row r="1256">
      <c r="A1256" s="370"/>
      <c r="B1256" s="370"/>
      <c r="C1256" s="370"/>
      <c r="D1256" s="370"/>
      <c r="E1256" s="213"/>
      <c r="F1256" s="104"/>
      <c r="H1256" s="213"/>
      <c r="I1256" s="104"/>
    </row>
    <row r="1257">
      <c r="A1257" s="370"/>
      <c r="B1257" s="370"/>
      <c r="C1257" s="370"/>
      <c r="D1257" s="370"/>
      <c r="E1257" s="213"/>
      <c r="F1257" s="104"/>
      <c r="H1257" s="213"/>
      <c r="I1257" s="104"/>
    </row>
    <row r="1258">
      <c r="A1258" s="370"/>
      <c r="B1258" s="370"/>
      <c r="C1258" s="370"/>
      <c r="D1258" s="370"/>
      <c r="E1258" s="213"/>
      <c r="F1258" s="104"/>
      <c r="H1258" s="213"/>
      <c r="I1258" s="104"/>
    </row>
    <row r="1259">
      <c r="A1259" s="370"/>
      <c r="B1259" s="370"/>
      <c r="C1259" s="370"/>
      <c r="D1259" s="370"/>
      <c r="E1259" s="213"/>
      <c r="F1259" s="104"/>
      <c r="H1259" s="213"/>
      <c r="I1259" s="104"/>
    </row>
    <row r="1260">
      <c r="A1260" s="370"/>
      <c r="B1260" s="370"/>
      <c r="C1260" s="370"/>
      <c r="D1260" s="370"/>
      <c r="E1260" s="213"/>
      <c r="F1260" s="104"/>
      <c r="H1260" s="213"/>
      <c r="I1260" s="104"/>
    </row>
    <row r="1261">
      <c r="A1261" s="370"/>
      <c r="B1261" s="370"/>
      <c r="C1261" s="370"/>
      <c r="D1261" s="370"/>
      <c r="E1261" s="213"/>
      <c r="F1261" s="104"/>
      <c r="H1261" s="213"/>
      <c r="I1261" s="104"/>
    </row>
    <row r="1262">
      <c r="A1262" s="370"/>
      <c r="B1262" s="370"/>
      <c r="C1262" s="370"/>
      <c r="D1262" s="370"/>
      <c r="E1262" s="213"/>
      <c r="F1262" s="104"/>
      <c r="H1262" s="213"/>
      <c r="I1262" s="104"/>
    </row>
    <row r="1263">
      <c r="A1263" s="370"/>
      <c r="B1263" s="370"/>
      <c r="C1263" s="370"/>
      <c r="D1263" s="370"/>
      <c r="E1263" s="213"/>
      <c r="F1263" s="104"/>
      <c r="H1263" s="213"/>
      <c r="I1263" s="104"/>
    </row>
    <row r="1264">
      <c r="A1264" s="370"/>
      <c r="B1264" s="370"/>
      <c r="C1264" s="370"/>
      <c r="D1264" s="370"/>
      <c r="E1264" s="213"/>
      <c r="F1264" s="104"/>
      <c r="H1264" s="213"/>
      <c r="I1264" s="104"/>
    </row>
    <row r="1265">
      <c r="A1265" s="370"/>
      <c r="B1265" s="370"/>
      <c r="C1265" s="370"/>
      <c r="D1265" s="370"/>
      <c r="E1265" s="213"/>
      <c r="F1265" s="104"/>
      <c r="H1265" s="213"/>
      <c r="I1265" s="104"/>
    </row>
    <row r="1266">
      <c r="A1266" s="370"/>
      <c r="B1266" s="370"/>
      <c r="C1266" s="370"/>
      <c r="D1266" s="370"/>
      <c r="E1266" s="213"/>
      <c r="F1266" s="104"/>
      <c r="H1266" s="213"/>
      <c r="I1266" s="104"/>
    </row>
    <row r="1267">
      <c r="A1267" s="370"/>
      <c r="B1267" s="370"/>
      <c r="C1267" s="370"/>
      <c r="D1267" s="370"/>
      <c r="E1267" s="213"/>
      <c r="F1267" s="104"/>
      <c r="H1267" s="213"/>
      <c r="I1267" s="104"/>
    </row>
    <row r="1268">
      <c r="A1268" s="370"/>
      <c r="B1268" s="370"/>
      <c r="C1268" s="370"/>
      <c r="D1268" s="370"/>
      <c r="E1268" s="213"/>
      <c r="F1268" s="104"/>
      <c r="H1268" s="213"/>
      <c r="I1268" s="104"/>
    </row>
    <row r="1269">
      <c r="A1269" s="370"/>
      <c r="B1269" s="370"/>
      <c r="C1269" s="370"/>
      <c r="D1269" s="370"/>
      <c r="E1269" s="213"/>
      <c r="F1269" s="104"/>
      <c r="H1269" s="213"/>
      <c r="I1269" s="104"/>
    </row>
    <row r="1270">
      <c r="A1270" s="370"/>
      <c r="B1270" s="370"/>
      <c r="C1270" s="370"/>
      <c r="D1270" s="370"/>
      <c r="E1270" s="213"/>
      <c r="F1270" s="104"/>
      <c r="H1270" s="213"/>
      <c r="I1270" s="104"/>
    </row>
    <row r="1271">
      <c r="A1271" s="370"/>
      <c r="B1271" s="370"/>
      <c r="C1271" s="370"/>
      <c r="D1271" s="370"/>
      <c r="E1271" s="213"/>
      <c r="F1271" s="104"/>
      <c r="H1271" s="213"/>
      <c r="I1271" s="104"/>
    </row>
    <row r="1272">
      <c r="A1272" s="370"/>
      <c r="B1272" s="370"/>
      <c r="C1272" s="370"/>
      <c r="D1272" s="370"/>
      <c r="E1272" s="213"/>
      <c r="F1272" s="104"/>
      <c r="H1272" s="213"/>
      <c r="I1272" s="104"/>
    </row>
    <row r="1273">
      <c r="A1273" s="370"/>
      <c r="B1273" s="370"/>
      <c r="C1273" s="370"/>
      <c r="D1273" s="370"/>
      <c r="E1273" s="213"/>
      <c r="F1273" s="104"/>
      <c r="H1273" s="213"/>
      <c r="I1273" s="104"/>
    </row>
    <row r="1274">
      <c r="A1274" s="370"/>
      <c r="B1274" s="370"/>
      <c r="C1274" s="370"/>
      <c r="D1274" s="370"/>
      <c r="E1274" s="213"/>
      <c r="F1274" s="104"/>
      <c r="H1274" s="213"/>
      <c r="I1274" s="104"/>
    </row>
    <row r="1275">
      <c r="A1275" s="370"/>
      <c r="B1275" s="370"/>
      <c r="C1275" s="370"/>
      <c r="D1275" s="370"/>
      <c r="E1275" s="213"/>
      <c r="F1275" s="104"/>
      <c r="H1275" s="213"/>
      <c r="I1275" s="104"/>
    </row>
    <row r="1276">
      <c r="A1276" s="370"/>
      <c r="B1276" s="370"/>
      <c r="C1276" s="370"/>
      <c r="D1276" s="370"/>
      <c r="E1276" s="213"/>
      <c r="F1276" s="104"/>
      <c r="H1276" s="213"/>
      <c r="I1276" s="104"/>
    </row>
    <row r="1277">
      <c r="A1277" s="370"/>
      <c r="B1277" s="370"/>
      <c r="C1277" s="370"/>
      <c r="D1277" s="370"/>
      <c r="E1277" s="213"/>
      <c r="F1277" s="104"/>
      <c r="H1277" s="213"/>
      <c r="I1277" s="104"/>
    </row>
    <row r="1278">
      <c r="A1278" s="370"/>
      <c r="B1278" s="370"/>
      <c r="C1278" s="370"/>
      <c r="D1278" s="370"/>
      <c r="E1278" s="213"/>
      <c r="F1278" s="104"/>
      <c r="H1278" s="213"/>
      <c r="I1278" s="104"/>
    </row>
    <row r="1279">
      <c r="A1279" s="370"/>
      <c r="B1279" s="370"/>
      <c r="C1279" s="370"/>
      <c r="D1279" s="370"/>
      <c r="E1279" s="213"/>
      <c r="F1279" s="104"/>
      <c r="H1279" s="213"/>
      <c r="I1279" s="104"/>
    </row>
    <row r="1280">
      <c r="A1280" s="370"/>
      <c r="B1280" s="370"/>
      <c r="C1280" s="370"/>
      <c r="D1280" s="370"/>
      <c r="E1280" s="213"/>
      <c r="F1280" s="104"/>
      <c r="H1280" s="213"/>
      <c r="I1280" s="104"/>
    </row>
    <row r="1281">
      <c r="A1281" s="370"/>
      <c r="B1281" s="370"/>
      <c r="C1281" s="370"/>
      <c r="D1281" s="370"/>
      <c r="E1281" s="213"/>
      <c r="F1281" s="104"/>
      <c r="H1281" s="213"/>
      <c r="I1281" s="104"/>
    </row>
    <row r="1282">
      <c r="A1282" s="370"/>
      <c r="B1282" s="370"/>
      <c r="C1282" s="370"/>
      <c r="D1282" s="370"/>
      <c r="E1282" s="213"/>
      <c r="F1282" s="104"/>
      <c r="H1282" s="213"/>
      <c r="I1282" s="104"/>
    </row>
    <row r="1283">
      <c r="A1283" s="370"/>
      <c r="B1283" s="370"/>
      <c r="C1283" s="370"/>
      <c r="D1283" s="370"/>
      <c r="E1283" s="213"/>
      <c r="F1283" s="104"/>
      <c r="H1283" s="213"/>
      <c r="I1283" s="104"/>
    </row>
    <row r="1284">
      <c r="A1284" s="370"/>
      <c r="B1284" s="370"/>
      <c r="C1284" s="370"/>
      <c r="D1284" s="370"/>
      <c r="E1284" s="213"/>
      <c r="F1284" s="104"/>
      <c r="H1284" s="213"/>
      <c r="I1284" s="104"/>
    </row>
    <row r="1285">
      <c r="A1285" s="370"/>
      <c r="B1285" s="370"/>
      <c r="C1285" s="370"/>
      <c r="D1285" s="370"/>
      <c r="E1285" s="213"/>
      <c r="F1285" s="104"/>
      <c r="H1285" s="213"/>
      <c r="I1285" s="104"/>
    </row>
    <row r="1286">
      <c r="A1286" s="370"/>
      <c r="B1286" s="370"/>
      <c r="C1286" s="370"/>
      <c r="D1286" s="370"/>
      <c r="E1286" s="213"/>
      <c r="F1286" s="104"/>
      <c r="H1286" s="213"/>
      <c r="I1286" s="104"/>
    </row>
    <row r="1287">
      <c r="A1287" s="370"/>
      <c r="B1287" s="370"/>
      <c r="C1287" s="370"/>
      <c r="D1287" s="370"/>
      <c r="E1287" s="213"/>
      <c r="F1287" s="104"/>
      <c r="H1287" s="213"/>
      <c r="I1287" s="104"/>
    </row>
    <row r="1288">
      <c r="A1288" s="370"/>
      <c r="B1288" s="370"/>
      <c r="C1288" s="370"/>
      <c r="D1288" s="370"/>
      <c r="E1288" s="213"/>
      <c r="F1288" s="104"/>
      <c r="H1288" s="213"/>
      <c r="I1288" s="104"/>
    </row>
    <row r="1289">
      <c r="A1289" s="370"/>
      <c r="B1289" s="370"/>
      <c r="C1289" s="370"/>
      <c r="D1289" s="370"/>
      <c r="E1289" s="213"/>
      <c r="F1289" s="104"/>
      <c r="H1289" s="213"/>
      <c r="I1289" s="104"/>
    </row>
    <row r="1290">
      <c r="A1290" s="370"/>
      <c r="B1290" s="370"/>
      <c r="C1290" s="370"/>
      <c r="D1290" s="370"/>
      <c r="E1290" s="213"/>
      <c r="F1290" s="104"/>
      <c r="H1290" s="213"/>
      <c r="I1290" s="104"/>
    </row>
    <row r="1291">
      <c r="A1291" s="370"/>
      <c r="B1291" s="370"/>
      <c r="C1291" s="370"/>
      <c r="D1291" s="370"/>
      <c r="E1291" s="213"/>
      <c r="F1291" s="104"/>
      <c r="H1291" s="213"/>
      <c r="I1291" s="104"/>
    </row>
    <row r="1292">
      <c r="A1292" s="370"/>
      <c r="B1292" s="370"/>
      <c r="C1292" s="370"/>
      <c r="D1292" s="370"/>
      <c r="E1292" s="213"/>
      <c r="F1292" s="104"/>
      <c r="H1292" s="213"/>
      <c r="I1292" s="104"/>
    </row>
    <row r="1293">
      <c r="A1293" s="370"/>
      <c r="B1293" s="370"/>
      <c r="C1293" s="370"/>
      <c r="D1293" s="370"/>
      <c r="E1293" s="213"/>
      <c r="F1293" s="104"/>
      <c r="H1293" s="213"/>
      <c r="I1293" s="104"/>
    </row>
    <row r="1294">
      <c r="A1294" s="370"/>
      <c r="B1294" s="370"/>
      <c r="C1294" s="370"/>
      <c r="D1294" s="370"/>
      <c r="E1294" s="213"/>
      <c r="F1294" s="104"/>
      <c r="H1294" s="213"/>
      <c r="I1294" s="104"/>
    </row>
    <row r="1295">
      <c r="A1295" s="370"/>
      <c r="B1295" s="370"/>
      <c r="C1295" s="370"/>
      <c r="D1295" s="370"/>
      <c r="E1295" s="213"/>
      <c r="F1295" s="104"/>
      <c r="H1295" s="213"/>
      <c r="I1295" s="104"/>
    </row>
    <row r="1296">
      <c r="A1296" s="370"/>
      <c r="B1296" s="370"/>
      <c r="C1296" s="370"/>
      <c r="D1296" s="370"/>
      <c r="E1296" s="213"/>
      <c r="F1296" s="104"/>
      <c r="H1296" s="213"/>
      <c r="I1296" s="104"/>
    </row>
    <row r="1297">
      <c r="A1297" s="370"/>
      <c r="B1297" s="370"/>
      <c r="C1297" s="370"/>
      <c r="D1297" s="370"/>
      <c r="E1297" s="213"/>
      <c r="F1297" s="104"/>
      <c r="H1297" s="213"/>
      <c r="I1297" s="104"/>
    </row>
    <row r="1298">
      <c r="A1298" s="370"/>
      <c r="B1298" s="370"/>
      <c r="C1298" s="370"/>
      <c r="D1298" s="370"/>
      <c r="E1298" s="213"/>
      <c r="F1298" s="104"/>
      <c r="H1298" s="213"/>
      <c r="I1298" s="104"/>
    </row>
    <row r="1299">
      <c r="A1299" s="370"/>
      <c r="B1299" s="370"/>
      <c r="C1299" s="370"/>
      <c r="D1299" s="370"/>
      <c r="E1299" s="213"/>
      <c r="F1299" s="104"/>
      <c r="H1299" s="213"/>
      <c r="I1299" s="104"/>
    </row>
    <row r="1300">
      <c r="A1300" s="370"/>
      <c r="B1300" s="370"/>
      <c r="C1300" s="370"/>
      <c r="D1300" s="370"/>
      <c r="E1300" s="213"/>
      <c r="F1300" s="104"/>
      <c r="H1300" s="213"/>
      <c r="I1300" s="104"/>
    </row>
    <row r="1301">
      <c r="A1301" s="370"/>
      <c r="B1301" s="370"/>
      <c r="C1301" s="370"/>
      <c r="D1301" s="370"/>
      <c r="E1301" s="213"/>
      <c r="F1301" s="104"/>
      <c r="H1301" s="213"/>
      <c r="I1301" s="104"/>
    </row>
    <row r="1302">
      <c r="A1302" s="370"/>
      <c r="B1302" s="370"/>
      <c r="C1302" s="370"/>
      <c r="D1302" s="370"/>
      <c r="E1302" s="213"/>
      <c r="F1302" s="104"/>
      <c r="H1302" s="213"/>
      <c r="I1302" s="104"/>
    </row>
    <row r="1303">
      <c r="A1303" s="370"/>
      <c r="B1303" s="370"/>
      <c r="C1303" s="370"/>
      <c r="D1303" s="370"/>
      <c r="E1303" s="213"/>
      <c r="F1303" s="104"/>
      <c r="H1303" s="213"/>
      <c r="I1303" s="104"/>
    </row>
  </sheetData>
  <mergeCells count="34">
    <mergeCell ref="A1:J1"/>
    <mergeCell ref="K1:P1"/>
    <mergeCell ref="A2:B4"/>
    <mergeCell ref="C2:E4"/>
    <mergeCell ref="F2:G4"/>
    <mergeCell ref="H2:J5"/>
    <mergeCell ref="K2:P4"/>
    <mergeCell ref="A5:G5"/>
    <mergeCell ref="A6:J6"/>
    <mergeCell ref="U6:X6"/>
    <mergeCell ref="W7:X7"/>
    <mergeCell ref="W8:X8"/>
    <mergeCell ref="Q10:R10"/>
    <mergeCell ref="Q11:R11"/>
    <mergeCell ref="N16:O16"/>
    <mergeCell ref="N17:O17"/>
    <mergeCell ref="P17:Q17"/>
    <mergeCell ref="S17:T17"/>
    <mergeCell ref="S32:X32"/>
    <mergeCell ref="A19:D19"/>
    <mergeCell ref="A28:H29"/>
    <mergeCell ref="F30:H30"/>
    <mergeCell ref="I30:J30"/>
    <mergeCell ref="F31:H31"/>
    <mergeCell ref="I31:J31"/>
    <mergeCell ref="B142:C142"/>
    <mergeCell ref="M142:N142"/>
    <mergeCell ref="A9:J9"/>
    <mergeCell ref="A12:H12"/>
    <mergeCell ref="P13:Q13"/>
    <mergeCell ref="P14:Q14"/>
    <mergeCell ref="A15:H15"/>
    <mergeCell ref="P16:Q16"/>
    <mergeCell ref="S16:T16"/>
  </mergeCells>
  <dataValidations>
    <dataValidation type="list" allowBlank="1" showErrorMessage="1" sqref="A5">
      <formula1>"仙人掌棍 1,仙人掌棍 2,仙人掌棍 3,仙人掌棍 4,利爪 1,利爪 2,利爪 3,利爪 4,菜刀 1,菜刀 2,菜刀 3,菜刀 4,圆锯 2,圆锯 3,圆锯 4,DEX毁灭者 4,钻头 4,石中剑 4,拳套 1,拳套 2,拳套 3,拳套 4,燃烧指虎 2,Flam"&amp;"ing Brass Knuckles 3,燃烧指虎 4,幽灵斧 1,幽灵斧 2,幽灵斧 3,幽灵斧 4,幽灵燧发枪 1,幽灵燧发枪 2,幽灵燧发枪 3,幽灵燧发枪 4,锤子 2,锤子 3,锤子 4,手 1,手 2,手 3,手 4,短柄斧 1,短柄斧 2,短柄斧 3,短柄斧 4,Jousting L"&amp;"ance 1,骑枪 2,骑枪 3,骑枪 4,匕首 1,匕首 2,匕首 3,匕首 4,闪电短刃 1,闪电短刃 2,闪电短刃 3,闪电短刃 4,木板 1,木板 2,木板 3,木板 4,等离子大锤 3,等离子大锤 4,重拳套 3,Power Fi"&amp;"st 4,修枝刀 1,修枝刀 2,修枝刀 3,修枝刀 4,长棍 1,长棍 2,长棍 3,长棍 4,石头 1,石头 2,石头 3,石头 4,剪刀 1,剪刀 2,剪刀 3,剪刀 4,螺丝刀 1,螺丝刀 2,螺丝刀 3,螺丝刀 4,镰刀 4,利齿 1,Sha"&amp;"rp Tooth 2,利齿 3,利齿 4,长矛 1,长矛 2,长矛 3,长矛 4,尖刺盾 1,尖刺盾 2,尖刺盾 3,尖刺盾 4,木棍 1,木棍 2,木棍 3,木棍 4,剑 2,剑 3,剑 4,盗贼匕首 1,盗贼匕首 2,盗贼匕首 3,盗贼匕首 4,Thunder "&amp;"剑 3,雷霆之剑 4,火把 1,火把 2,火把 3,火把 4,扳手 1,扳手 2,扳手 3,扳手 4,加特林机枪 4,十字弓 1,十字弓 2,十字弓 3,十字弓 4,双管霰弹枪 1,双管霰弹枪 2,双管霰弹枪 3,双管霰弹枪 4,火球 2,"&amp;"火球 3,火球 4,火焰喷射器 2,火焰喷射器 3,火焰喷射器 4,激光加特林 4,幽灵权杖 1,幽灵权杖 2,幽灵权杖 3,幽灵权杖 4,冰锥 1,冰锥 2,冰锥 3,冰锥 4,激光枪 1,激光枪 2,激光枪 3,激光枪 4,医疗枪 1,Medical Gu"&amp;"n 2,医疗枪 3,医疗枪 4,迷你机枪 3,迷你机枪 4,核弹发射器 3,核弹发射器 4,湮灭者 3,湮灭者 4,粒子加速器 3,粒子加速器 4,手枪 1,手枪 2,手枪 3,手枪 4,土豆投掷器 2,土豆投掷器 3,土豆投掷器 4,Revo"&amp;"lver 1,左轮手枪 2,左轮手枪 3,左轮手枪 4,火箭发射器 2,火箭发射器 3,火箭发射器 4,粉碎者 1,粉碎者 2,粉碎者 3,粉碎者 4,手里剑 1,手里剑 2,手里剑 3,手里剑 4,弹弓 1,弹弓 2,弹弓 3,弹弓 4,冲锋枪 1,冲锋枪 2,冲锋枪 3,冲锋枪 4,S"&amp;"niper Gun 3,狙击枪 4,电击枪 1,电击枪 2,电击枪 3,电击枪 4,法杖 1,法杖 2,法杖 3,法杖 4,船锚 2,船锚 3,船锚 4,砖头 1,砖头 2,砖头 3,砖头 4,船长之剑 3,船长之剑 4,电锯 3,电锯 4,登山杖 1,登山杖 2,登山杖 3,登山杖"&amp;" 4,鲁特琴 1,鲁特琴 2,鲁特琴 3,鲁特琴 4,钉头锤 2,钉头锤 3,钉头锤 4,镰刃 1,镰刃 2,镰刃 3,镰刃 4,勺子 1,勺子 2,勺子 3,勺子 4,三叉戟 2,三叉戟 3,三叉戟 4,战锤 3,战锤 4,喇叭枪 2,喇叭枪 3,喇叭枪 4,长笛 1,长笛 2,长笛 3,长笛 4,Grena"&amp;"de Launcher 2,榴弹发射器 3,榴弹发射器 4,鱼叉枪 2,鱼叉枪 3,鱼叉枪 4,标枪 1,标枪 2,标枪 3,标枪 4,斩首剑 2,斩首剑 3,斩首剑 4"</formula1>
    </dataValidation>
    <dataValidation type="list" allowBlank="1" showErrorMessage="1" sqref="J14">
      <formula1>"0,1,2,3,4,5,6"</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0"/>
    <col customWidth="1" min="2" max="3" width="20.13"/>
    <col customWidth="1" min="6" max="6" width="22.5"/>
    <col customWidth="1" min="7" max="7" width="18.25"/>
    <col customWidth="1" min="8" max="8" width="16.5"/>
  </cols>
  <sheetData>
    <row r="1">
      <c r="A1" s="4" t="s">
        <v>5</v>
      </c>
      <c r="B1" s="6" t="s">
        <v>8</v>
      </c>
      <c r="C1" s="6" t="s">
        <v>10</v>
      </c>
      <c r="D1" s="9" t="s">
        <v>12</v>
      </c>
      <c r="G1" s="12" t="s">
        <v>15</v>
      </c>
    </row>
    <row r="2">
      <c r="A2" s="15" t="s">
        <v>27</v>
      </c>
      <c r="B2" s="34">
        <f>(IF($D$2="一级、二、三级升级的平均值",3)+IF($D$2="一级升级",3)+IF($D$2="ArosRising 数值",3))*IF($D$4="疯子",0,1)*IF($D$4="胖墩",0,1)</f>
        <v>3</v>
      </c>
      <c r="C2" s="35">
        <f t="shared" ref="C2:C17" si="1">3/B2</f>
        <v>1</v>
      </c>
      <c r="D2" s="36" t="s">
        <v>49</v>
      </c>
      <c r="G2" s="21"/>
      <c r="H2" s="38" t="s">
        <v>51</v>
      </c>
      <c r="I2" s="38" t="s">
        <v>54</v>
      </c>
      <c r="J2" s="38" t="s">
        <v>55</v>
      </c>
      <c r="K2" s="38" t="s">
        <v>56</v>
      </c>
    </row>
    <row r="3">
      <c r="A3" s="15" t="s">
        <v>57</v>
      </c>
      <c r="B3" s="46">
        <f>(IF($D$2="一级、二、三级升级的平均值",1)+IF($D$2="一级升级",1)+IF($D$2="ArosRising 数值",1))*IF($D$4="公牛",2,1)*IF($D$4="和平主义者",0,1)*IF($D$4="近战流派",0,1)*IF($D$4="远程流派",0,1)*IF($D$4="工程师",0,1)</f>
        <v>1</v>
      </c>
      <c r="C3" s="35">
        <f t="shared" si="1"/>
        <v>3</v>
      </c>
      <c r="G3" s="48" t="s">
        <v>27</v>
      </c>
      <c r="H3" s="49">
        <f>IFERROR(3/$B$2,0)</f>
        <v>1</v>
      </c>
      <c r="I3" s="49">
        <f t="shared" ref="I3:K3" si="2">IFERROR($B$2/3,0)</f>
        <v>1</v>
      </c>
      <c r="J3" s="49">
        <f t="shared" si="2"/>
        <v>1</v>
      </c>
      <c r="K3" s="49">
        <f t="shared" si="2"/>
        <v>1</v>
      </c>
    </row>
    <row r="4">
      <c r="A4" s="15" t="s">
        <v>65</v>
      </c>
      <c r="B4" s="46">
        <f>(IF($D$2="一级、二、三级升级的平均值",1)+IF($D$2="一级升级",1)+IF($D$2="ArosRising 数值",1))*IF($D$4="幽灵",0,1)</f>
        <v>1</v>
      </c>
      <c r="C4" s="35">
        <f t="shared" si="1"/>
        <v>3</v>
      </c>
      <c r="D4" s="36" t="s">
        <v>68</v>
      </c>
      <c r="G4" s="48" t="s">
        <v>57</v>
      </c>
      <c r="H4" s="49">
        <f t="shared" ref="H4:K4" si="3">IFERROR(1/$B$3,0)</f>
        <v>1</v>
      </c>
      <c r="I4" s="49">
        <f t="shared" si="3"/>
        <v>1</v>
      </c>
      <c r="J4" s="49">
        <f t="shared" si="3"/>
        <v>1</v>
      </c>
      <c r="K4" s="49">
        <f t="shared" si="3"/>
        <v>1</v>
      </c>
    </row>
    <row r="5">
      <c r="A5" s="15" t="s">
        <v>73</v>
      </c>
      <c r="B5" s="46">
        <f>(IF($D$2="一级、二、三级升级的平均值",15)+IF($D$2="一级升级",15)+IF($D$2="ArosRising 数值",20))*IF($D$4="公牛",0,1)*IF($D$4="疯子",3,1)*IF($D$4="工程师",0,1)</f>
        <v>20</v>
      </c>
      <c r="C5" s="35">
        <f t="shared" si="1"/>
        <v>0.15</v>
      </c>
      <c r="G5" s="48" t="s">
        <v>65</v>
      </c>
      <c r="H5" s="49">
        <f t="shared" ref="H5:K5" si="4">IFERROR(1/$B$4,0)</f>
        <v>1</v>
      </c>
      <c r="I5" s="49">
        <f t="shared" si="4"/>
        <v>1</v>
      </c>
      <c r="J5" s="49">
        <f t="shared" si="4"/>
        <v>1</v>
      </c>
      <c r="K5" s="49">
        <f t="shared" si="4"/>
        <v>1</v>
      </c>
    </row>
    <row r="6">
      <c r="A6" s="15" t="s">
        <v>78</v>
      </c>
      <c r="B6" s="46">
        <f>(IF($D$2="一级、二、三级升级的平均值",(3+5+7)/6)+IF($D$2="一级升级",3)+IF($D$2="ArosRising 数值",3))*IF($D$4="公牛",3,1)*IF($D$4="法师",0,1)*IF($D$4="和平主义者",0,1)*IF($D$4="工程师",0,1)</f>
        <v>3</v>
      </c>
      <c r="C6" s="35">
        <f t="shared" si="1"/>
        <v>1</v>
      </c>
      <c r="D6" s="57" t="s">
        <v>85</v>
      </c>
      <c r="G6" s="48" t="s">
        <v>73</v>
      </c>
      <c r="H6" s="49">
        <f>IFERROR(15/$B$5,0)</f>
        <v>0.75</v>
      </c>
      <c r="I6" s="49">
        <f>IF($B$5=0,0,(30/(2*$B$5)))</f>
        <v>0.75</v>
      </c>
      <c r="J6" s="49">
        <f>IF($B$5=0,0,(45/(3*$B$5)))</f>
        <v>0.75</v>
      </c>
      <c r="K6" s="49">
        <f>IF($B$5=0,0,(60/(4*$B$5)))</f>
        <v>0.75</v>
      </c>
    </row>
    <row r="7">
      <c r="A7" s="15" t="s">
        <v>95</v>
      </c>
      <c r="B7" s="46">
        <f>(IF($D$2="一级、二、三级升级的平均值",2)+IF($D$2="一级升级",2)+IF($D$2="ArosRising 数值",2))*IF($D$4="和平主义者",0,1)*IF($D$4="法师",0,1)*IF($D$4="远程流派",0,1)*IF($D$4="工程师",0,1)</f>
        <v>2</v>
      </c>
      <c r="C7" s="35">
        <f t="shared" si="1"/>
        <v>1.5</v>
      </c>
      <c r="G7" s="48" t="s">
        <v>78</v>
      </c>
      <c r="H7" s="49">
        <f>IFERROR(3/$B$6,0)</f>
        <v>1</v>
      </c>
      <c r="I7" s="49">
        <f>IFERROR(5/(2*$B$6),0)</f>
        <v>0.8333333333</v>
      </c>
      <c r="J7" s="49">
        <f>IFERROR(7/(3*$B$6),0)</f>
        <v>0.7777777778</v>
      </c>
      <c r="K7" s="49">
        <f>IFERROR(9/(4*$B$6),0)</f>
        <v>0.75</v>
      </c>
    </row>
    <row r="8">
      <c r="A8" s="15" t="s">
        <v>104</v>
      </c>
      <c r="B8" s="46">
        <f>(IF($D$2="一级、二、三级升级的平均值",(5+8+10)/6)+IF($D$2="一级升级",5)+IF($D$2="ArosRising 数值",4))*IF($D$4="猎人",0,1)</f>
        <v>4</v>
      </c>
      <c r="C8" s="35">
        <f t="shared" si="1"/>
        <v>0.75</v>
      </c>
      <c r="D8" s="71" t="s">
        <v>107</v>
      </c>
      <c r="E8" s="72"/>
      <c r="F8" s="73" t="s">
        <v>110</v>
      </c>
      <c r="G8" s="48" t="s">
        <v>95</v>
      </c>
      <c r="H8" s="49">
        <f t="shared" ref="H8:K8" si="5">IFERROR(2/$B$7,0)</f>
        <v>1</v>
      </c>
      <c r="I8" s="49">
        <f t="shared" si="5"/>
        <v>1</v>
      </c>
      <c r="J8" s="49">
        <f t="shared" si="5"/>
        <v>1</v>
      </c>
      <c r="K8" s="49">
        <f t="shared" si="5"/>
        <v>1</v>
      </c>
    </row>
    <row r="9">
      <c r="A9" s="15" t="s">
        <v>113</v>
      </c>
      <c r="B9" s="46">
        <f>(IF($D$2="一级、二、三级升级的平均值",3)+IF($D$2="一级升级",3)+IF($D$2="ArosRising 数值",3))*IF($D$4="公牛",1/0.75,1)</f>
        <v>3</v>
      </c>
      <c r="C9" s="35">
        <f t="shared" si="1"/>
        <v>1</v>
      </c>
      <c r="D9" s="79">
        <v>10.0</v>
      </c>
      <c r="E9" s="80"/>
      <c r="F9" s="81">
        <v>1.0</v>
      </c>
      <c r="G9" s="48" t="s">
        <v>104</v>
      </c>
      <c r="H9" s="49">
        <f>IFERROR(5/(1*$B$8),0)</f>
        <v>1.25</v>
      </c>
      <c r="I9" s="49">
        <f>IFERROR(8/(2*$B$8),0)</f>
        <v>1</v>
      </c>
      <c r="J9" s="49">
        <f>IFERROR(10/(3*$B$8),0)</f>
        <v>0.8333333333</v>
      </c>
      <c r="K9" s="49">
        <f>IFERROR(12/(4*$B$8),0)</f>
        <v>0.75</v>
      </c>
    </row>
    <row r="10">
      <c r="A10" s="15" t="s">
        <v>123</v>
      </c>
      <c r="B10" s="46">
        <f>(IF($D$2="一级、二、三级升级的平均值",3)+IF($D$2="一级升级",3)+IF($D$2="ArosRising 数值",3))*IF($D$4="胖墩",0,1)</f>
        <v>3</v>
      </c>
      <c r="C10" s="35">
        <f t="shared" si="1"/>
        <v>1</v>
      </c>
      <c r="D10" s="71" t="s">
        <v>127</v>
      </c>
      <c r="E10" s="72"/>
      <c r="F10" s="73" t="s">
        <v>128</v>
      </c>
      <c r="G10" s="48" t="s">
        <v>113</v>
      </c>
      <c r="H10" s="49">
        <f t="shared" ref="H10:K10" si="6">IFERROR(3/$B$9,0)</f>
        <v>1</v>
      </c>
      <c r="I10" s="49">
        <f t="shared" si="6"/>
        <v>1</v>
      </c>
      <c r="J10" s="49">
        <f t="shared" si="6"/>
        <v>1</v>
      </c>
      <c r="K10" s="49">
        <f t="shared" si="6"/>
        <v>1</v>
      </c>
    </row>
    <row r="11">
      <c r="A11" s="15" t="s">
        <v>130</v>
      </c>
      <c r="B11" s="46">
        <f>(IF($D$2="一级、二、三级升级的平均值",(2+3+4)/6)+IF($D$2="一级升级",2)+IF($D$2="ArosRising 数值",2))*IF($D$4="胖墩",2,1)</f>
        <v>2</v>
      </c>
      <c r="C11" s="35">
        <f t="shared" si="1"/>
        <v>1.5</v>
      </c>
      <c r="D11" s="85">
        <f>1+(Max(0,((max(D9-20,0)*((D9-20)+1))/2)/100)*(2+Max(0,(D9-35)*0.2)))/5</f>
        <v>1</v>
      </c>
      <c r="E11" s="80"/>
      <c r="F11" s="81">
        <v>1.0</v>
      </c>
      <c r="G11" s="48" t="s">
        <v>123</v>
      </c>
      <c r="H11" s="49">
        <f t="shared" ref="H11:K11" si="7">IFERROR(3/$B$10,0)</f>
        <v>1</v>
      </c>
      <c r="I11" s="49">
        <f t="shared" si="7"/>
        <v>1</v>
      </c>
      <c r="J11" s="49">
        <f t="shared" si="7"/>
        <v>1</v>
      </c>
      <c r="K11" s="49">
        <f t="shared" si="7"/>
        <v>1</v>
      </c>
    </row>
    <row r="12">
      <c r="A12" s="15" t="s">
        <v>138</v>
      </c>
      <c r="B12" s="46">
        <f>(IF($D$2="一级、二、三级升级的平均值",5)+IF($D$2="一级升级",5)+IF($D$2="ArosRising 数值",7.5))*IF($D$4="Graverobber",0,1)</f>
        <v>7.5</v>
      </c>
      <c r="C12" s="35">
        <f t="shared" si="1"/>
        <v>0.4</v>
      </c>
      <c r="D12" s="88" t="s">
        <v>141</v>
      </c>
      <c r="G12" s="48" t="s">
        <v>130</v>
      </c>
      <c r="H12" s="49">
        <f>IFERROR(2/(1*$B$11),0)</f>
        <v>1</v>
      </c>
      <c r="I12" s="49">
        <f>IFERROR(3/(2*$B$11),0)</f>
        <v>0.75</v>
      </c>
      <c r="J12" s="49">
        <f>IFERROR(4/(3*$B$11),0)</f>
        <v>0.6666666667</v>
      </c>
      <c r="K12" s="49">
        <f>IFERROR(5/(4*$B$11),0)</f>
        <v>0.625</v>
      </c>
    </row>
    <row r="13">
      <c r="A13" s="15" t="s">
        <v>143</v>
      </c>
      <c r="B13" s="46">
        <f>(IF($D$2="一级、二、三级升级的平均值",5)+IF($D$2="一级升级",5)+IF($D$2="ArosRising 数值",5))*IF($D$4="公牛",0,1)*IF($D$4="独臂",2.5,1)*IF($D$4="工程师",0,1)</f>
        <v>5</v>
      </c>
      <c r="C13" s="35">
        <f t="shared" si="1"/>
        <v>0.6</v>
      </c>
      <c r="G13" s="48" t="s">
        <v>138</v>
      </c>
      <c r="H13" s="49">
        <f t="shared" ref="H13:K13" si="8">IFERROR(5/$B$12,0)</f>
        <v>0.6666666667</v>
      </c>
      <c r="I13" s="49">
        <f t="shared" si="8"/>
        <v>0.6666666667</v>
      </c>
      <c r="J13" s="49">
        <f t="shared" si="8"/>
        <v>0.6666666667</v>
      </c>
      <c r="K13" s="49">
        <f t="shared" si="8"/>
        <v>0.6666666667</v>
      </c>
    </row>
    <row r="14">
      <c r="A14" s="15" t="s">
        <v>147</v>
      </c>
      <c r="B14" s="46">
        <f>(IF($D$2="一级、二、三级升级的平均值",1)+IF($D$2="一级升级",1)+IF($D$2="ArosRising 数值",1))*IF($D$4="疯子",0,1)*IF($D$4="和平主义者",0,1)*IF($D$4="法师",0,1)*IF($D$4="公牛",2,1)*IF($D$4="近战流派",0,1)*IF($D$4="工程师",0,1)</f>
        <v>1</v>
      </c>
      <c r="C14" s="35">
        <f t="shared" si="1"/>
        <v>3</v>
      </c>
      <c r="G14" s="48" t="s">
        <v>143</v>
      </c>
      <c r="H14" s="49">
        <f t="shared" ref="H14:K14" si="9">IFERROR(5/$B$13,0)</f>
        <v>1</v>
      </c>
      <c r="I14" s="49">
        <f t="shared" si="9"/>
        <v>1</v>
      </c>
      <c r="J14" s="49">
        <f t="shared" si="9"/>
        <v>1</v>
      </c>
      <c r="K14" s="49">
        <f t="shared" si="9"/>
        <v>1</v>
      </c>
    </row>
    <row r="15">
      <c r="A15" s="15" t="s">
        <v>149</v>
      </c>
      <c r="B15" s="46">
        <f>(IF($D$2="一级、二、三级升级的平均值",(2+3+4)/6)+IF($D$2="一级升级",2)+IF($D$2="ArosRising 数值",1.5))*IF($D$4="公牛",0,1)*IF($D$4="疯子",0,1)*IF($D$4="胖墩",0,1)*IF($D$4="和平主义者",0,1)*IF($D$4="独臂",0,1)*IF($D$4="法师",0,1)*IF($D$4="猎人",0,1)*IF($D$4="近战流派",0,1)*IF($D$4="远程流派",0,1)</f>
        <v>1.5</v>
      </c>
      <c r="C15" s="35">
        <f t="shared" si="1"/>
        <v>2</v>
      </c>
      <c r="G15" s="48" t="s">
        <v>147</v>
      </c>
      <c r="H15" s="49">
        <f t="shared" ref="H15:K15" si="10">IFERROR(1/$B$14,0)</f>
        <v>1</v>
      </c>
      <c r="I15" s="49">
        <f t="shared" si="10"/>
        <v>1</v>
      </c>
      <c r="J15" s="49">
        <f t="shared" si="10"/>
        <v>1</v>
      </c>
      <c r="K15" s="49">
        <f t="shared" si="10"/>
        <v>1</v>
      </c>
    </row>
    <row r="16">
      <c r="A16" s="15" t="s">
        <v>154</v>
      </c>
      <c r="B16" s="46">
        <f>(IF($D$2="一级、二、三级升级的平均值",1)+IF($D$2="一级升级",1)+IF($D$2="ArosRising 数值",1.5))*IF($D$4="公牛",0,1)*IF($D$4="胖墩",0,1)*IF($D$4="工程师",2,1)</f>
        <v>1.5</v>
      </c>
      <c r="C16" s="35">
        <f t="shared" si="1"/>
        <v>2</v>
      </c>
      <c r="G16" s="48" t="s">
        <v>149</v>
      </c>
      <c r="H16" s="49">
        <f>IFERROR(2/(1*$B$15),0)</f>
        <v>1.333333333</v>
      </c>
      <c r="I16" s="49">
        <f>IFERROR(3/(2*$B$15),0)</f>
        <v>1</v>
      </c>
      <c r="J16" s="49">
        <f>IFERROR(4/(3*$B$15),0)</f>
        <v>0.8888888889</v>
      </c>
      <c r="K16" s="49">
        <f>IFERROR(5/(4*$B$15),0)</f>
        <v>0.8333333333</v>
      </c>
    </row>
    <row r="17">
      <c r="A17" s="15" t="s">
        <v>157</v>
      </c>
      <c r="B17" s="46">
        <f>(IF($D$2="一级、二、三级升级的平均值",(5+8+12)/6)+IF($D$2="一级升级",5)+IF($D$2="ArosRising 数值",4))*IF($D$4="和平主义者",0,1)*IF($D$4="工程师",0,1)</f>
        <v>4</v>
      </c>
      <c r="C17" s="35">
        <f t="shared" si="1"/>
        <v>0.75</v>
      </c>
      <c r="G17" s="48" t="s">
        <v>154</v>
      </c>
      <c r="H17" s="49">
        <f t="shared" ref="H17:K17" si="11">IFERROR(1/$B$16,0)</f>
        <v>0.6666666667</v>
      </c>
      <c r="I17" s="49">
        <f t="shared" si="11"/>
        <v>0.6666666667</v>
      </c>
      <c r="J17" s="49">
        <f t="shared" si="11"/>
        <v>0.6666666667</v>
      </c>
      <c r="K17" s="49">
        <f t="shared" si="11"/>
        <v>0.6666666667</v>
      </c>
    </row>
    <row r="18">
      <c r="A18" s="89" t="s">
        <v>160</v>
      </c>
      <c r="B18" s="90">
        <f>AVERAGE('道具性价比'!D2:D300)</f>
        <v>54.37688442</v>
      </c>
      <c r="C18" s="35"/>
      <c r="G18" s="48" t="s">
        <v>157</v>
      </c>
      <c r="H18" s="49">
        <f>IFERROR(5/(1*$B$17),0)</f>
        <v>1.25</v>
      </c>
      <c r="I18" s="49">
        <f>IFERROR(8/(2*$B$17),0)</f>
        <v>1</v>
      </c>
      <c r="J18" s="49">
        <f>IFERROR(12/(3*$B$17),0)</f>
        <v>1</v>
      </c>
      <c r="K18" s="49">
        <f>IFERROR(16/(4*$B$17),0)</f>
        <v>1</v>
      </c>
    </row>
    <row r="19">
      <c r="A19" s="92" t="s">
        <v>7</v>
      </c>
      <c r="B19" s="93">
        <f>IF(D6="相比100%定价的效率", AVERAGE('道具性价比'!E2:E300)/B18/F9,AVERAGE('道具性价比'!E2:E300)/B18)</f>
        <v>2.183901673</v>
      </c>
      <c r="C19" s="35"/>
      <c r="I19" s="21"/>
      <c r="J19" s="21"/>
      <c r="K19" s="21"/>
    </row>
    <row r="20">
      <c r="A20" s="66"/>
      <c r="B20" s="66"/>
      <c r="C20" s="66"/>
    </row>
    <row r="21">
      <c r="A21" s="66"/>
      <c r="B21" s="66"/>
      <c r="C21" s="66"/>
    </row>
    <row r="22">
      <c r="A22" s="66"/>
      <c r="B22" s="66"/>
      <c r="C22" s="66"/>
    </row>
    <row r="23">
      <c r="A23" s="66"/>
      <c r="B23" s="66"/>
      <c r="C23" s="66"/>
    </row>
    <row r="24">
      <c r="A24" s="66"/>
      <c r="B24" s="66"/>
      <c r="C24" s="66"/>
    </row>
    <row r="25">
      <c r="A25" s="66"/>
      <c r="B25" s="66"/>
      <c r="C25" s="66"/>
    </row>
    <row r="26">
      <c r="A26" s="66"/>
      <c r="B26" s="66"/>
      <c r="C26" s="66"/>
    </row>
    <row r="27">
      <c r="A27" s="66"/>
      <c r="B27" s="66"/>
      <c r="C27" s="66"/>
    </row>
    <row r="28">
      <c r="A28" s="66"/>
      <c r="B28" s="66"/>
      <c r="C28" s="66"/>
    </row>
    <row r="29">
      <c r="A29" s="66"/>
      <c r="B29" s="66"/>
      <c r="C29" s="66"/>
    </row>
    <row r="30">
      <c r="A30" s="66"/>
      <c r="B30" s="66"/>
      <c r="C30" s="66"/>
    </row>
    <row r="31">
      <c r="A31" s="66"/>
      <c r="B31" s="66"/>
      <c r="C31" s="66"/>
    </row>
    <row r="32">
      <c r="A32" s="66"/>
      <c r="B32" s="66"/>
      <c r="C32" s="66"/>
      <c r="D32" s="66"/>
    </row>
    <row r="33">
      <c r="D33" s="66"/>
    </row>
    <row r="34">
      <c r="D34" s="66"/>
    </row>
    <row r="35">
      <c r="D35" s="66"/>
    </row>
    <row r="36">
      <c r="D36" s="66"/>
    </row>
    <row r="37">
      <c r="D37" s="66"/>
    </row>
    <row r="38">
      <c r="D38" s="66"/>
    </row>
    <row r="72">
      <c r="A72" s="21"/>
      <c r="B72" s="21"/>
      <c r="C72" s="21"/>
    </row>
    <row r="73">
      <c r="A73" s="21"/>
      <c r="B73" s="21"/>
      <c r="C73" s="21"/>
    </row>
    <row r="74">
      <c r="A74" s="21"/>
      <c r="B74" s="21"/>
      <c r="C74" s="21"/>
    </row>
    <row r="75">
      <c r="A75" s="21"/>
      <c r="B75" s="21"/>
      <c r="C75" s="21"/>
    </row>
    <row r="76">
      <c r="A76" s="21"/>
      <c r="B76" s="21"/>
      <c r="C76" s="21"/>
    </row>
    <row r="77">
      <c r="A77" s="21"/>
      <c r="B77" s="21"/>
      <c r="C77" s="21"/>
    </row>
    <row r="78">
      <c r="A78" s="21"/>
      <c r="B78" s="21"/>
      <c r="C78" s="21"/>
    </row>
    <row r="79">
      <c r="A79" s="21"/>
      <c r="B79" s="21"/>
      <c r="C79" s="21"/>
    </row>
    <row r="80">
      <c r="A80" s="21"/>
      <c r="B80" s="21"/>
      <c r="C80" s="21"/>
    </row>
    <row r="81">
      <c r="A81" s="21"/>
      <c r="B81" s="21"/>
      <c r="C81" s="21"/>
    </row>
    <row r="82">
      <c r="A82" s="21"/>
      <c r="B82" s="21"/>
      <c r="C82" s="21"/>
    </row>
    <row r="83">
      <c r="A83" s="21"/>
      <c r="B83" s="21"/>
      <c r="C83" s="21"/>
    </row>
    <row r="84">
      <c r="A84" s="21"/>
      <c r="B84" s="21"/>
      <c r="C84" s="21"/>
    </row>
    <row r="85">
      <c r="A85" s="21"/>
      <c r="B85" s="21"/>
      <c r="C85" s="21"/>
    </row>
    <row r="86">
      <c r="A86" s="21"/>
      <c r="B86" s="21"/>
      <c r="C86" s="21"/>
    </row>
    <row r="87">
      <c r="A87" s="21"/>
      <c r="B87" s="21"/>
      <c r="C87" s="21"/>
    </row>
    <row r="88">
      <c r="A88" s="21"/>
      <c r="B88" s="21"/>
      <c r="C88" s="21"/>
    </row>
    <row r="89">
      <c r="A89" s="21"/>
      <c r="B89" s="21"/>
      <c r="C89" s="21"/>
    </row>
    <row r="90">
      <c r="A90" s="21"/>
      <c r="B90" s="21"/>
      <c r="C90" s="21"/>
    </row>
    <row r="91">
      <c r="A91" s="21"/>
      <c r="B91" s="21"/>
      <c r="C91" s="21"/>
    </row>
    <row r="92">
      <c r="A92" s="21"/>
      <c r="B92" s="21"/>
      <c r="C92" s="21"/>
    </row>
    <row r="93">
      <c r="A93" s="21"/>
      <c r="B93" s="21"/>
      <c r="C93" s="21"/>
    </row>
    <row r="94">
      <c r="A94" s="21"/>
      <c r="B94" s="21"/>
      <c r="C94" s="21"/>
    </row>
    <row r="95">
      <c r="A95" s="21"/>
      <c r="B95" s="21"/>
      <c r="C95" s="21"/>
    </row>
    <row r="96">
      <c r="A96" s="21"/>
      <c r="B96" s="21"/>
      <c r="C96" s="21"/>
    </row>
    <row r="97">
      <c r="A97" s="21"/>
      <c r="B97" s="21"/>
      <c r="C97" s="21"/>
    </row>
    <row r="98">
      <c r="A98" s="21"/>
      <c r="B98" s="21"/>
      <c r="C98" s="21"/>
    </row>
    <row r="99">
      <c r="A99" s="21"/>
      <c r="B99" s="21"/>
      <c r="C99" s="21"/>
    </row>
    <row r="100">
      <c r="A100" s="21"/>
      <c r="B100" s="21"/>
      <c r="C100" s="21"/>
    </row>
    <row r="101">
      <c r="A101" s="21"/>
      <c r="B101" s="21"/>
      <c r="C101" s="21"/>
    </row>
    <row r="102">
      <c r="A102" s="21"/>
      <c r="B102" s="21"/>
      <c r="C102" s="21"/>
    </row>
    <row r="103">
      <c r="A103" s="21"/>
      <c r="B103" s="21"/>
      <c r="C103" s="21"/>
    </row>
    <row r="104">
      <c r="A104" s="21"/>
      <c r="B104" s="21"/>
      <c r="C104" s="21"/>
    </row>
    <row r="105">
      <c r="A105" s="21"/>
      <c r="B105" s="21"/>
      <c r="C105" s="21"/>
    </row>
    <row r="106">
      <c r="A106" s="21"/>
      <c r="B106" s="21"/>
      <c r="C106" s="21"/>
    </row>
    <row r="107">
      <c r="A107" s="21"/>
      <c r="B107" s="21"/>
      <c r="C107" s="21"/>
    </row>
    <row r="108">
      <c r="A108" s="21"/>
      <c r="B108" s="21"/>
      <c r="C108" s="21"/>
    </row>
    <row r="109">
      <c r="A109" s="21"/>
      <c r="B109" s="21"/>
      <c r="C109" s="21"/>
    </row>
    <row r="110">
      <c r="A110" s="21"/>
      <c r="B110" s="21"/>
      <c r="C110" s="21"/>
    </row>
    <row r="111">
      <c r="A111" s="21"/>
      <c r="B111" s="21"/>
      <c r="C111" s="21"/>
    </row>
    <row r="112">
      <c r="A112" s="21"/>
      <c r="B112" s="21"/>
      <c r="C112" s="21"/>
    </row>
    <row r="113">
      <c r="A113" s="21"/>
      <c r="B113" s="21"/>
      <c r="C113" s="21"/>
    </row>
    <row r="114">
      <c r="A114" s="21"/>
      <c r="B114" s="21"/>
      <c r="C114" s="21"/>
    </row>
    <row r="115">
      <c r="A115" s="21"/>
      <c r="B115" s="21"/>
      <c r="C115" s="21"/>
    </row>
    <row r="116">
      <c r="A116" s="21"/>
      <c r="B116" s="21"/>
      <c r="C116" s="21"/>
    </row>
    <row r="117">
      <c r="A117" s="21"/>
      <c r="B117" s="21"/>
      <c r="C117" s="21"/>
    </row>
    <row r="118">
      <c r="A118" s="21"/>
      <c r="B118" s="21"/>
      <c r="C118" s="21"/>
    </row>
    <row r="119">
      <c r="A119" s="21"/>
      <c r="B119" s="21"/>
      <c r="C119" s="21"/>
    </row>
    <row r="120">
      <c r="A120" s="21"/>
      <c r="B120" s="21"/>
      <c r="C120" s="21"/>
    </row>
    <row r="121">
      <c r="A121" s="21"/>
      <c r="B121" s="21"/>
      <c r="C121" s="21"/>
    </row>
    <row r="122">
      <c r="A122" s="21"/>
      <c r="B122" s="21"/>
      <c r="C122" s="21"/>
    </row>
    <row r="123">
      <c r="A123" s="21"/>
      <c r="B123" s="21"/>
      <c r="C123" s="21"/>
    </row>
    <row r="124">
      <c r="A124" s="21"/>
      <c r="B124" s="21"/>
      <c r="C124" s="21"/>
    </row>
    <row r="125">
      <c r="A125" s="21"/>
      <c r="B125" s="21"/>
      <c r="C125" s="21"/>
    </row>
    <row r="126">
      <c r="A126" s="21"/>
      <c r="B126" s="21"/>
      <c r="C126" s="21"/>
    </row>
    <row r="127">
      <c r="A127" s="21"/>
      <c r="B127" s="21"/>
      <c r="C127" s="21"/>
    </row>
    <row r="128">
      <c r="A128" s="21"/>
      <c r="B128" s="21"/>
      <c r="C128" s="21"/>
    </row>
    <row r="129">
      <c r="A129" s="21"/>
      <c r="B129" s="21"/>
      <c r="C129" s="21"/>
    </row>
    <row r="130">
      <c r="A130" s="21"/>
      <c r="B130" s="21"/>
      <c r="C130" s="21"/>
    </row>
    <row r="131">
      <c r="A131" s="21"/>
      <c r="B131" s="21"/>
      <c r="C131" s="21"/>
    </row>
    <row r="132">
      <c r="A132" s="21"/>
      <c r="B132" s="21"/>
      <c r="C132" s="21"/>
    </row>
    <row r="133">
      <c r="A133" s="21"/>
      <c r="B133" s="21"/>
      <c r="C133" s="21"/>
    </row>
    <row r="134">
      <c r="A134" s="21"/>
      <c r="B134" s="21"/>
      <c r="C134" s="21"/>
    </row>
    <row r="135">
      <c r="A135" s="21"/>
      <c r="B135" s="21"/>
      <c r="C135" s="21"/>
    </row>
    <row r="136">
      <c r="A136" s="21"/>
      <c r="B136" s="21"/>
      <c r="C136" s="21"/>
    </row>
    <row r="137">
      <c r="A137" s="21"/>
      <c r="B137" s="21"/>
      <c r="C137" s="21"/>
    </row>
    <row r="138">
      <c r="A138" s="21"/>
      <c r="B138" s="21"/>
      <c r="C138" s="21"/>
    </row>
    <row r="139">
      <c r="A139" s="21"/>
      <c r="B139" s="21"/>
      <c r="C139" s="21"/>
    </row>
    <row r="140">
      <c r="A140" s="21"/>
      <c r="B140" s="21"/>
      <c r="C140" s="21"/>
    </row>
    <row r="141">
      <c r="A141" s="21"/>
      <c r="B141" s="21"/>
      <c r="C141" s="21"/>
    </row>
    <row r="142">
      <c r="A142" s="21"/>
      <c r="B142" s="21"/>
      <c r="C142" s="21"/>
    </row>
    <row r="143">
      <c r="A143" s="21"/>
      <c r="B143" s="21"/>
      <c r="C143" s="21"/>
    </row>
    <row r="144">
      <c r="A144" s="21"/>
      <c r="B144" s="21"/>
      <c r="C144" s="21"/>
    </row>
    <row r="145">
      <c r="A145" s="21"/>
      <c r="B145" s="21"/>
      <c r="C145" s="21"/>
    </row>
    <row r="146">
      <c r="A146" s="21"/>
      <c r="B146" s="21"/>
      <c r="C146" s="21"/>
    </row>
    <row r="147">
      <c r="A147" s="21"/>
      <c r="B147" s="21"/>
      <c r="C147" s="21"/>
    </row>
    <row r="148">
      <c r="A148" s="21"/>
      <c r="B148" s="21"/>
      <c r="C148" s="21"/>
    </row>
    <row r="149">
      <c r="A149" s="21"/>
      <c r="B149" s="21"/>
      <c r="C149" s="21"/>
    </row>
    <row r="150">
      <c r="A150" s="21"/>
      <c r="B150" s="21"/>
      <c r="C150" s="21"/>
    </row>
    <row r="151">
      <c r="A151" s="21"/>
      <c r="B151" s="21"/>
      <c r="C151" s="21"/>
    </row>
    <row r="152">
      <c r="A152" s="21"/>
      <c r="B152" s="21"/>
      <c r="C152" s="21"/>
    </row>
    <row r="153">
      <c r="A153" s="21"/>
      <c r="B153" s="21"/>
      <c r="C153" s="21"/>
    </row>
    <row r="154">
      <c r="A154" s="21"/>
      <c r="B154" s="21"/>
      <c r="C154" s="21"/>
    </row>
    <row r="155">
      <c r="A155" s="21"/>
      <c r="B155" s="21"/>
      <c r="C155" s="21"/>
    </row>
    <row r="156">
      <c r="A156" s="21"/>
      <c r="B156" s="21"/>
      <c r="C156" s="21"/>
    </row>
    <row r="157">
      <c r="A157" s="21"/>
      <c r="B157" s="21"/>
      <c r="C157" s="21"/>
    </row>
    <row r="158">
      <c r="A158" s="21"/>
      <c r="B158" s="21"/>
      <c r="C158" s="21"/>
    </row>
    <row r="159">
      <c r="A159" s="21"/>
      <c r="B159" s="21"/>
      <c r="C159" s="21"/>
    </row>
    <row r="160">
      <c r="A160" s="21"/>
      <c r="B160" s="21"/>
      <c r="C160" s="21"/>
    </row>
    <row r="161">
      <c r="A161" s="21"/>
      <c r="B161" s="21"/>
      <c r="C161" s="21"/>
    </row>
    <row r="162">
      <c r="A162" s="21"/>
      <c r="B162" s="21"/>
      <c r="C162" s="21"/>
    </row>
    <row r="163">
      <c r="A163" s="21"/>
      <c r="B163" s="21"/>
      <c r="C163" s="21"/>
    </row>
    <row r="164">
      <c r="A164" s="21"/>
      <c r="B164" s="21"/>
      <c r="C164" s="21"/>
    </row>
    <row r="165">
      <c r="A165" s="21"/>
      <c r="B165" s="21"/>
      <c r="C165" s="21"/>
    </row>
    <row r="166">
      <c r="A166" s="21"/>
      <c r="B166" s="21"/>
      <c r="C166" s="21"/>
    </row>
    <row r="167">
      <c r="A167" s="21"/>
      <c r="B167" s="21"/>
      <c r="C167" s="21"/>
    </row>
    <row r="168">
      <c r="A168" s="21"/>
      <c r="B168" s="21"/>
      <c r="C168" s="21"/>
    </row>
    <row r="169">
      <c r="A169" s="21"/>
      <c r="B169" s="21"/>
      <c r="C169" s="21"/>
    </row>
    <row r="170">
      <c r="A170" s="21"/>
      <c r="B170" s="21"/>
      <c r="C170" s="21"/>
    </row>
    <row r="171">
      <c r="A171" s="21"/>
      <c r="B171" s="21"/>
      <c r="C171" s="21"/>
    </row>
    <row r="172">
      <c r="A172" s="21"/>
      <c r="B172" s="21"/>
      <c r="C172" s="21"/>
    </row>
    <row r="173">
      <c r="A173" s="21"/>
      <c r="B173" s="21"/>
      <c r="C173" s="21"/>
    </row>
    <row r="174">
      <c r="A174" s="21"/>
      <c r="B174" s="21"/>
      <c r="C174" s="21"/>
    </row>
    <row r="175">
      <c r="A175" s="21"/>
      <c r="B175" s="21"/>
      <c r="C175" s="21"/>
    </row>
    <row r="176">
      <c r="A176" s="21"/>
      <c r="B176" s="21"/>
      <c r="C176" s="21"/>
    </row>
    <row r="177">
      <c r="A177" s="21"/>
      <c r="B177" s="21"/>
      <c r="C177" s="21"/>
    </row>
    <row r="178">
      <c r="A178" s="21"/>
      <c r="B178" s="21"/>
      <c r="C178" s="21"/>
    </row>
    <row r="179">
      <c r="A179" s="21"/>
      <c r="B179" s="21"/>
      <c r="C179" s="21"/>
    </row>
    <row r="180">
      <c r="A180" s="21"/>
      <c r="B180" s="21"/>
      <c r="C180" s="21"/>
    </row>
    <row r="181">
      <c r="A181" s="21"/>
      <c r="B181" s="21"/>
      <c r="C181" s="21"/>
    </row>
    <row r="182">
      <c r="A182" s="21"/>
      <c r="B182" s="21"/>
      <c r="C182" s="21"/>
    </row>
    <row r="183">
      <c r="A183" s="21"/>
      <c r="B183" s="21"/>
      <c r="C183" s="21"/>
    </row>
    <row r="184">
      <c r="A184" s="21"/>
      <c r="B184" s="21"/>
      <c r="C184" s="21"/>
    </row>
    <row r="185">
      <c r="A185" s="21"/>
      <c r="B185" s="21"/>
      <c r="C185" s="21"/>
    </row>
    <row r="186">
      <c r="A186" s="21"/>
      <c r="B186" s="21"/>
      <c r="C186" s="21"/>
    </row>
    <row r="187">
      <c r="A187" s="21"/>
      <c r="B187" s="21"/>
      <c r="C187" s="21"/>
    </row>
    <row r="188">
      <c r="A188" s="21"/>
      <c r="B188" s="21"/>
      <c r="C188" s="21"/>
    </row>
    <row r="189">
      <c r="A189" s="21"/>
      <c r="B189" s="21"/>
      <c r="C189" s="21"/>
    </row>
    <row r="190">
      <c r="A190" s="21"/>
      <c r="B190" s="21"/>
      <c r="C190" s="21"/>
    </row>
    <row r="191">
      <c r="A191" s="21"/>
      <c r="B191" s="21"/>
      <c r="C191" s="21"/>
    </row>
    <row r="192">
      <c r="A192" s="21"/>
      <c r="B192" s="21"/>
      <c r="C192" s="21"/>
    </row>
    <row r="193">
      <c r="A193" s="21"/>
      <c r="B193" s="21"/>
      <c r="C193" s="21"/>
    </row>
    <row r="194">
      <c r="A194" s="21"/>
      <c r="B194" s="21"/>
      <c r="C194" s="21"/>
    </row>
    <row r="195">
      <c r="A195" s="21"/>
      <c r="B195" s="21"/>
      <c r="C195" s="21"/>
    </row>
    <row r="196">
      <c r="A196" s="21"/>
      <c r="B196" s="21"/>
      <c r="C196" s="21"/>
    </row>
    <row r="197">
      <c r="A197" s="21"/>
      <c r="B197" s="21"/>
      <c r="C197" s="21"/>
    </row>
    <row r="198">
      <c r="A198" s="21"/>
      <c r="B198" s="21"/>
      <c r="C198" s="21"/>
    </row>
    <row r="199">
      <c r="A199" s="21"/>
      <c r="B199" s="21"/>
      <c r="C199" s="21"/>
    </row>
    <row r="200">
      <c r="A200" s="21"/>
      <c r="B200" s="21"/>
      <c r="C200" s="21"/>
    </row>
    <row r="201">
      <c r="A201" s="21"/>
      <c r="B201" s="21"/>
      <c r="C201" s="21"/>
    </row>
    <row r="202">
      <c r="A202" s="21"/>
      <c r="B202" s="21"/>
      <c r="C202" s="21"/>
    </row>
    <row r="203">
      <c r="A203" s="21"/>
      <c r="B203" s="21"/>
      <c r="C203" s="21"/>
    </row>
    <row r="204">
      <c r="A204" s="21"/>
      <c r="B204" s="21"/>
      <c r="C204" s="21"/>
    </row>
    <row r="205">
      <c r="A205" s="21"/>
      <c r="B205" s="21"/>
      <c r="C205" s="21"/>
    </row>
    <row r="206">
      <c r="A206" s="21"/>
      <c r="B206" s="21"/>
      <c r="C206" s="21"/>
    </row>
    <row r="207">
      <c r="A207" s="21"/>
      <c r="B207" s="21"/>
      <c r="C207" s="21"/>
    </row>
    <row r="208">
      <c r="A208" s="21"/>
      <c r="B208" s="21"/>
      <c r="C208" s="21"/>
    </row>
    <row r="209">
      <c r="A209" s="21"/>
      <c r="B209" s="21"/>
      <c r="C209" s="21"/>
    </row>
    <row r="210">
      <c r="A210" s="21"/>
      <c r="B210" s="21"/>
      <c r="C210" s="21"/>
    </row>
    <row r="211">
      <c r="A211" s="21"/>
      <c r="B211" s="21"/>
      <c r="C211" s="21"/>
    </row>
    <row r="212">
      <c r="A212" s="21"/>
      <c r="B212" s="21"/>
      <c r="C212" s="21"/>
    </row>
    <row r="213">
      <c r="A213" s="21"/>
      <c r="B213" s="21"/>
      <c r="C213" s="21"/>
    </row>
    <row r="214">
      <c r="A214" s="21"/>
      <c r="B214" s="21"/>
      <c r="C214" s="21"/>
    </row>
    <row r="215">
      <c r="A215" s="21"/>
      <c r="B215" s="21"/>
      <c r="C215" s="21"/>
    </row>
    <row r="216">
      <c r="A216" s="21"/>
      <c r="B216" s="21"/>
      <c r="C216" s="21"/>
    </row>
    <row r="217">
      <c r="A217" s="21"/>
      <c r="B217" s="21"/>
      <c r="C217" s="21"/>
    </row>
    <row r="218">
      <c r="A218" s="21"/>
      <c r="B218" s="21"/>
      <c r="C218" s="21"/>
    </row>
    <row r="219">
      <c r="A219" s="21"/>
      <c r="B219" s="21"/>
      <c r="C219" s="21"/>
    </row>
    <row r="220">
      <c r="A220" s="21"/>
      <c r="B220" s="21"/>
      <c r="C220" s="21"/>
    </row>
    <row r="221">
      <c r="A221" s="21"/>
      <c r="B221" s="21"/>
      <c r="C221" s="21"/>
    </row>
    <row r="222">
      <c r="A222" s="21"/>
      <c r="B222" s="21"/>
      <c r="C222" s="21"/>
    </row>
    <row r="223">
      <c r="A223" s="21"/>
      <c r="B223" s="21"/>
      <c r="C223" s="21"/>
    </row>
    <row r="224">
      <c r="A224" s="21"/>
      <c r="B224" s="21"/>
      <c r="C224" s="21"/>
    </row>
    <row r="225">
      <c r="A225" s="21"/>
      <c r="B225" s="21"/>
      <c r="C225" s="21"/>
    </row>
    <row r="226">
      <c r="A226" s="21"/>
      <c r="B226" s="21"/>
      <c r="C226" s="21"/>
    </row>
    <row r="227">
      <c r="A227" s="21"/>
      <c r="B227" s="21"/>
      <c r="C227" s="21"/>
    </row>
    <row r="228">
      <c r="A228" s="21"/>
      <c r="B228" s="21"/>
      <c r="C228" s="21"/>
    </row>
    <row r="229">
      <c r="A229" s="21"/>
      <c r="B229" s="21"/>
      <c r="C229" s="21"/>
    </row>
    <row r="230">
      <c r="A230" s="21"/>
      <c r="B230" s="21"/>
      <c r="C230" s="21"/>
    </row>
    <row r="231">
      <c r="A231" s="21"/>
      <c r="B231" s="21"/>
      <c r="C231" s="21"/>
    </row>
    <row r="232">
      <c r="A232" s="21"/>
      <c r="B232" s="21"/>
      <c r="C232" s="21"/>
    </row>
    <row r="233">
      <c r="A233" s="21"/>
      <c r="B233" s="21"/>
      <c r="C233" s="21"/>
    </row>
    <row r="234">
      <c r="A234" s="21"/>
      <c r="B234" s="21"/>
      <c r="C234" s="21"/>
    </row>
    <row r="235">
      <c r="A235" s="21"/>
      <c r="B235" s="21"/>
      <c r="C235" s="21"/>
    </row>
    <row r="236">
      <c r="A236" s="21"/>
      <c r="B236" s="21"/>
      <c r="C236" s="21"/>
    </row>
    <row r="237">
      <c r="A237" s="21"/>
      <c r="B237" s="21"/>
      <c r="C237" s="21"/>
    </row>
    <row r="238">
      <c r="A238" s="21"/>
      <c r="B238" s="21"/>
      <c r="C238" s="21"/>
    </row>
    <row r="239">
      <c r="A239" s="21"/>
      <c r="B239" s="21"/>
      <c r="C239" s="21"/>
    </row>
    <row r="240">
      <c r="A240" s="21"/>
      <c r="B240" s="21"/>
      <c r="C240" s="21"/>
    </row>
    <row r="241">
      <c r="A241" s="21"/>
      <c r="B241" s="21"/>
      <c r="C241" s="21"/>
    </row>
    <row r="242">
      <c r="A242" s="21"/>
      <c r="B242" s="21"/>
      <c r="C242" s="21"/>
    </row>
    <row r="243">
      <c r="A243" s="21"/>
      <c r="B243" s="21"/>
      <c r="C243" s="21"/>
    </row>
    <row r="244">
      <c r="A244" s="21"/>
      <c r="B244" s="21"/>
      <c r="C244" s="21"/>
    </row>
    <row r="245">
      <c r="A245" s="21"/>
      <c r="B245" s="21"/>
      <c r="C245" s="21"/>
    </row>
    <row r="246">
      <c r="A246" s="21"/>
      <c r="B246" s="21"/>
      <c r="C246" s="21"/>
    </row>
    <row r="247">
      <c r="A247" s="21"/>
      <c r="B247" s="21"/>
      <c r="C247" s="21"/>
    </row>
    <row r="248">
      <c r="A248" s="21"/>
      <c r="B248" s="21"/>
      <c r="C248" s="21"/>
    </row>
    <row r="249">
      <c r="A249" s="21"/>
      <c r="B249" s="21"/>
      <c r="C249" s="21"/>
    </row>
    <row r="250">
      <c r="A250" s="21"/>
      <c r="B250" s="21"/>
      <c r="C250" s="21"/>
    </row>
    <row r="251">
      <c r="A251" s="21"/>
      <c r="B251" s="21"/>
      <c r="C251" s="21"/>
    </row>
    <row r="252">
      <c r="A252" s="21"/>
      <c r="B252" s="21"/>
      <c r="C252" s="21"/>
    </row>
    <row r="253">
      <c r="A253" s="21"/>
      <c r="B253" s="21"/>
      <c r="C253" s="21"/>
    </row>
    <row r="254">
      <c r="A254" s="21"/>
      <c r="B254" s="21"/>
      <c r="C254" s="21"/>
    </row>
    <row r="255">
      <c r="A255" s="21"/>
      <c r="B255" s="21"/>
      <c r="C255" s="21"/>
    </row>
    <row r="256">
      <c r="A256" s="21"/>
      <c r="B256" s="21"/>
      <c r="C256" s="21"/>
    </row>
    <row r="257">
      <c r="A257" s="21"/>
      <c r="B257" s="21"/>
      <c r="C257" s="21"/>
    </row>
    <row r="258">
      <c r="A258" s="21"/>
      <c r="B258" s="21"/>
      <c r="C258" s="21"/>
    </row>
    <row r="259">
      <c r="A259" s="21"/>
      <c r="B259" s="21"/>
      <c r="C259" s="21"/>
    </row>
    <row r="260">
      <c r="A260" s="21"/>
      <c r="B260" s="21"/>
      <c r="C260" s="21"/>
    </row>
    <row r="261">
      <c r="A261" s="21"/>
      <c r="B261" s="21"/>
      <c r="C261" s="21"/>
    </row>
    <row r="262">
      <c r="A262" s="21"/>
      <c r="B262" s="21"/>
      <c r="C262" s="21"/>
    </row>
    <row r="263">
      <c r="A263" s="21"/>
      <c r="B263" s="21"/>
      <c r="C263" s="21"/>
    </row>
    <row r="264">
      <c r="A264" s="21"/>
      <c r="B264" s="21"/>
      <c r="C264" s="21"/>
    </row>
    <row r="265">
      <c r="A265" s="21"/>
      <c r="B265" s="21"/>
      <c r="C265" s="21"/>
    </row>
    <row r="266">
      <c r="A266" s="21"/>
      <c r="B266" s="21"/>
      <c r="C266" s="21"/>
    </row>
    <row r="267">
      <c r="A267" s="21"/>
      <c r="B267" s="21"/>
      <c r="C267" s="21"/>
    </row>
    <row r="268">
      <c r="A268" s="21"/>
      <c r="B268" s="21"/>
      <c r="C268" s="21"/>
    </row>
    <row r="269">
      <c r="A269" s="21"/>
      <c r="B269" s="21"/>
      <c r="C269" s="21"/>
    </row>
    <row r="270">
      <c r="A270" s="21"/>
      <c r="B270" s="21"/>
      <c r="C270" s="21"/>
    </row>
    <row r="271">
      <c r="A271" s="21"/>
      <c r="B271" s="21"/>
      <c r="C271" s="21"/>
    </row>
    <row r="272">
      <c r="A272" s="21"/>
      <c r="B272" s="21"/>
      <c r="C272" s="21"/>
    </row>
    <row r="273">
      <c r="A273" s="21"/>
      <c r="B273" s="21"/>
      <c r="C273" s="21"/>
    </row>
    <row r="274">
      <c r="A274" s="21"/>
      <c r="B274" s="21"/>
      <c r="C274" s="21"/>
    </row>
    <row r="275">
      <c r="A275" s="21"/>
      <c r="B275" s="21"/>
      <c r="C275" s="21"/>
    </row>
    <row r="276">
      <c r="A276" s="21"/>
      <c r="B276" s="21"/>
      <c r="C276" s="21"/>
    </row>
    <row r="277">
      <c r="A277" s="21"/>
      <c r="B277" s="21"/>
      <c r="C277" s="21"/>
    </row>
    <row r="278">
      <c r="A278" s="21"/>
      <c r="B278" s="21"/>
      <c r="C278" s="21"/>
    </row>
    <row r="279">
      <c r="A279" s="21"/>
      <c r="B279" s="21"/>
      <c r="C279" s="21"/>
    </row>
    <row r="280">
      <c r="A280" s="21"/>
      <c r="B280" s="21"/>
      <c r="C280" s="21"/>
    </row>
    <row r="281">
      <c r="A281" s="21"/>
      <c r="B281" s="21"/>
      <c r="C281" s="21"/>
    </row>
    <row r="282">
      <c r="A282" s="21"/>
      <c r="B282" s="21"/>
      <c r="C282" s="21"/>
    </row>
    <row r="283">
      <c r="A283" s="21"/>
      <c r="B283" s="21"/>
      <c r="C283" s="21"/>
    </row>
    <row r="284">
      <c r="A284" s="21"/>
      <c r="B284" s="21"/>
      <c r="C284" s="21"/>
    </row>
    <row r="285">
      <c r="A285" s="21"/>
      <c r="B285" s="21"/>
      <c r="C285" s="21"/>
    </row>
    <row r="286">
      <c r="A286" s="21"/>
      <c r="B286" s="21"/>
      <c r="C286" s="21"/>
    </row>
    <row r="287">
      <c r="A287" s="21"/>
      <c r="B287" s="21"/>
      <c r="C287" s="21"/>
    </row>
    <row r="288">
      <c r="A288" s="21"/>
      <c r="B288" s="21"/>
      <c r="C288" s="21"/>
    </row>
    <row r="289">
      <c r="A289" s="21"/>
      <c r="B289" s="21"/>
      <c r="C289" s="21"/>
    </row>
    <row r="290">
      <c r="A290" s="21"/>
      <c r="B290" s="21"/>
      <c r="C290" s="21"/>
    </row>
    <row r="291">
      <c r="A291" s="21"/>
      <c r="B291" s="21"/>
      <c r="C291" s="21"/>
    </row>
    <row r="292">
      <c r="A292" s="21"/>
      <c r="B292" s="21"/>
      <c r="C292" s="21"/>
    </row>
    <row r="293">
      <c r="A293" s="21"/>
      <c r="B293" s="21"/>
      <c r="C293" s="21"/>
    </row>
    <row r="294">
      <c r="A294" s="21"/>
      <c r="B294" s="21"/>
      <c r="C294" s="21"/>
    </row>
    <row r="295">
      <c r="A295" s="21"/>
      <c r="B295" s="21"/>
      <c r="C295" s="21"/>
    </row>
    <row r="296">
      <c r="A296" s="21"/>
      <c r="B296" s="21"/>
      <c r="C296" s="21"/>
    </row>
    <row r="297">
      <c r="A297" s="21"/>
      <c r="B297" s="21"/>
      <c r="C297" s="21"/>
    </row>
    <row r="298">
      <c r="A298" s="21"/>
      <c r="B298" s="21"/>
      <c r="C298" s="21"/>
    </row>
    <row r="299">
      <c r="A299" s="21"/>
      <c r="B299" s="21"/>
      <c r="C299" s="21"/>
    </row>
    <row r="300">
      <c r="A300" s="21"/>
      <c r="B300" s="21"/>
      <c r="C300" s="21"/>
    </row>
    <row r="301">
      <c r="A301" s="21"/>
      <c r="B301" s="21"/>
      <c r="C301" s="21"/>
    </row>
    <row r="302">
      <c r="A302" s="21"/>
      <c r="B302" s="21"/>
      <c r="C302" s="21"/>
    </row>
    <row r="303">
      <c r="A303" s="21"/>
      <c r="B303" s="21"/>
      <c r="C303" s="21"/>
    </row>
    <row r="304">
      <c r="A304" s="21"/>
      <c r="B304" s="21"/>
      <c r="C304" s="21"/>
    </row>
    <row r="305">
      <c r="A305" s="21"/>
      <c r="B305" s="21"/>
      <c r="C305" s="21"/>
    </row>
    <row r="306">
      <c r="A306" s="21"/>
      <c r="B306" s="21"/>
      <c r="C306" s="21"/>
    </row>
    <row r="307">
      <c r="A307" s="21"/>
      <c r="B307" s="21"/>
      <c r="C307" s="21"/>
    </row>
    <row r="308">
      <c r="A308" s="21"/>
      <c r="B308" s="21"/>
      <c r="C308" s="21"/>
    </row>
    <row r="309">
      <c r="A309" s="21"/>
      <c r="B309" s="21"/>
      <c r="C309" s="21"/>
    </row>
    <row r="310">
      <c r="A310" s="21"/>
      <c r="B310" s="21"/>
      <c r="C310" s="21"/>
    </row>
    <row r="311">
      <c r="A311" s="21"/>
      <c r="B311" s="21"/>
      <c r="C311" s="21"/>
    </row>
    <row r="312">
      <c r="A312" s="21"/>
      <c r="B312" s="21"/>
      <c r="C312" s="21"/>
    </row>
    <row r="313">
      <c r="A313" s="21"/>
      <c r="B313" s="21"/>
      <c r="C313" s="21"/>
    </row>
    <row r="314">
      <c r="A314" s="21"/>
      <c r="B314" s="21"/>
      <c r="C314" s="21"/>
    </row>
    <row r="315">
      <c r="A315" s="21"/>
      <c r="B315" s="21"/>
      <c r="C315" s="21"/>
    </row>
    <row r="316">
      <c r="A316" s="21"/>
      <c r="B316" s="21"/>
      <c r="C316" s="21"/>
    </row>
    <row r="317">
      <c r="A317" s="21"/>
      <c r="B317" s="21"/>
      <c r="C317" s="21"/>
    </row>
    <row r="318">
      <c r="A318" s="21"/>
      <c r="B318" s="21"/>
      <c r="C318" s="21"/>
    </row>
    <row r="319">
      <c r="A319" s="21"/>
      <c r="B319" s="21"/>
      <c r="C319" s="21"/>
    </row>
    <row r="320">
      <c r="A320" s="21"/>
      <c r="B320" s="21"/>
      <c r="C320" s="21"/>
    </row>
    <row r="321">
      <c r="A321" s="21"/>
      <c r="B321" s="21"/>
      <c r="C321" s="21"/>
    </row>
    <row r="322">
      <c r="A322" s="21"/>
      <c r="B322" s="21"/>
      <c r="C322" s="21"/>
    </row>
    <row r="323">
      <c r="A323" s="21"/>
      <c r="B323" s="21"/>
      <c r="C323" s="21"/>
    </row>
    <row r="324">
      <c r="A324" s="21"/>
      <c r="B324" s="21"/>
      <c r="C324" s="21"/>
    </row>
    <row r="325">
      <c r="A325" s="21"/>
      <c r="B325" s="21"/>
      <c r="C325" s="21"/>
    </row>
    <row r="326">
      <c r="A326" s="21"/>
      <c r="B326" s="21"/>
      <c r="C326" s="21"/>
    </row>
    <row r="327">
      <c r="A327" s="21"/>
      <c r="B327" s="21"/>
      <c r="C327" s="21"/>
    </row>
    <row r="328">
      <c r="A328" s="21"/>
      <c r="B328" s="21"/>
      <c r="C328" s="21"/>
    </row>
    <row r="329">
      <c r="A329" s="21"/>
      <c r="B329" s="21"/>
      <c r="C329" s="21"/>
    </row>
    <row r="330">
      <c r="A330" s="21"/>
      <c r="B330" s="21"/>
      <c r="C330" s="21"/>
    </row>
    <row r="331">
      <c r="A331" s="21"/>
      <c r="B331" s="21"/>
      <c r="C331" s="21"/>
    </row>
    <row r="332">
      <c r="A332" s="21"/>
      <c r="B332" s="21"/>
      <c r="C332" s="21"/>
    </row>
    <row r="333">
      <c r="A333" s="21"/>
      <c r="B333" s="21"/>
      <c r="C333" s="21"/>
    </row>
    <row r="334">
      <c r="A334" s="21"/>
      <c r="B334" s="21"/>
      <c r="C334" s="21"/>
    </row>
    <row r="335">
      <c r="A335" s="21"/>
      <c r="B335" s="21"/>
      <c r="C335" s="21"/>
    </row>
    <row r="336">
      <c r="A336" s="21"/>
      <c r="B336" s="21"/>
      <c r="C336" s="21"/>
    </row>
    <row r="337">
      <c r="A337" s="21"/>
      <c r="B337" s="21"/>
      <c r="C337" s="21"/>
    </row>
    <row r="338">
      <c r="A338" s="21"/>
      <c r="B338" s="21"/>
      <c r="C338" s="21"/>
    </row>
    <row r="339">
      <c r="A339" s="21"/>
      <c r="B339" s="21"/>
      <c r="C339" s="21"/>
    </row>
    <row r="340">
      <c r="A340" s="21"/>
      <c r="B340" s="21"/>
      <c r="C340" s="21"/>
    </row>
    <row r="341">
      <c r="A341" s="21"/>
      <c r="B341" s="21"/>
      <c r="C341" s="21"/>
    </row>
    <row r="342">
      <c r="A342" s="21"/>
      <c r="B342" s="21"/>
      <c r="C342" s="21"/>
    </row>
    <row r="343">
      <c r="A343" s="21"/>
      <c r="B343" s="21"/>
      <c r="C343" s="21"/>
    </row>
    <row r="344">
      <c r="A344" s="21"/>
      <c r="B344" s="21"/>
      <c r="C344" s="21"/>
    </row>
    <row r="345">
      <c r="A345" s="21"/>
      <c r="B345" s="21"/>
      <c r="C345" s="21"/>
    </row>
    <row r="346">
      <c r="A346" s="21"/>
      <c r="B346" s="21"/>
      <c r="C346" s="21"/>
    </row>
    <row r="347">
      <c r="A347" s="21"/>
      <c r="B347" s="21"/>
      <c r="C347" s="21"/>
    </row>
    <row r="348">
      <c r="A348" s="21"/>
      <c r="B348" s="21"/>
      <c r="C348" s="21"/>
    </row>
    <row r="349">
      <c r="A349" s="21"/>
      <c r="B349" s="21"/>
      <c r="C349" s="21"/>
    </row>
    <row r="350">
      <c r="A350" s="21"/>
      <c r="B350" s="21"/>
      <c r="C350" s="21"/>
    </row>
    <row r="351">
      <c r="A351" s="21"/>
      <c r="B351" s="21"/>
      <c r="C351" s="21"/>
    </row>
    <row r="352">
      <c r="A352" s="21"/>
      <c r="B352" s="21"/>
      <c r="C352" s="21"/>
    </row>
    <row r="353">
      <c r="A353" s="21"/>
      <c r="B353" s="21"/>
      <c r="C353" s="21"/>
    </row>
    <row r="354">
      <c r="A354" s="21"/>
      <c r="B354" s="21"/>
      <c r="C354" s="21"/>
    </row>
    <row r="355">
      <c r="A355" s="21"/>
      <c r="B355" s="21"/>
      <c r="C355" s="21"/>
    </row>
    <row r="356">
      <c r="A356" s="21"/>
      <c r="B356" s="21"/>
      <c r="C356" s="21"/>
    </row>
    <row r="357">
      <c r="A357" s="21"/>
      <c r="B357" s="21"/>
      <c r="C357" s="21"/>
    </row>
    <row r="358">
      <c r="A358" s="21"/>
      <c r="B358" s="21"/>
      <c r="C358" s="21"/>
    </row>
    <row r="359">
      <c r="A359" s="21"/>
      <c r="B359" s="21"/>
      <c r="C359" s="21"/>
    </row>
    <row r="360">
      <c r="A360" s="21"/>
      <c r="B360" s="21"/>
      <c r="C360" s="21"/>
    </row>
    <row r="361">
      <c r="A361" s="21"/>
      <c r="B361" s="21"/>
      <c r="C361" s="21"/>
    </row>
    <row r="362">
      <c r="A362" s="21"/>
      <c r="B362" s="21"/>
      <c r="C362" s="21"/>
    </row>
    <row r="363">
      <c r="A363" s="21"/>
      <c r="B363" s="21"/>
      <c r="C363" s="21"/>
    </row>
    <row r="364">
      <c r="A364" s="21"/>
      <c r="B364" s="21"/>
      <c r="C364" s="21"/>
    </row>
    <row r="365">
      <c r="A365" s="21"/>
      <c r="B365" s="21"/>
      <c r="C365" s="21"/>
    </row>
    <row r="366">
      <c r="A366" s="21"/>
      <c r="B366" s="21"/>
      <c r="C366" s="21"/>
    </row>
    <row r="367">
      <c r="A367" s="21"/>
      <c r="B367" s="21"/>
      <c r="C367" s="21"/>
    </row>
    <row r="368">
      <c r="A368" s="21"/>
      <c r="B368" s="21"/>
      <c r="C368" s="21"/>
    </row>
    <row r="369">
      <c r="A369" s="21"/>
      <c r="B369" s="21"/>
      <c r="C369" s="21"/>
    </row>
    <row r="370">
      <c r="A370" s="21"/>
      <c r="B370" s="21"/>
      <c r="C370" s="21"/>
    </row>
    <row r="371">
      <c r="A371" s="21"/>
      <c r="B371" s="21"/>
      <c r="C371" s="21"/>
    </row>
    <row r="372">
      <c r="A372" s="21"/>
      <c r="B372" s="21"/>
      <c r="C372" s="21"/>
    </row>
    <row r="373">
      <c r="A373" s="21"/>
      <c r="B373" s="21"/>
      <c r="C373" s="21"/>
    </row>
    <row r="374">
      <c r="A374" s="21"/>
      <c r="B374" s="21"/>
      <c r="C374" s="21"/>
    </row>
    <row r="375">
      <c r="A375" s="21"/>
      <c r="B375" s="21"/>
      <c r="C375" s="21"/>
    </row>
    <row r="376">
      <c r="A376" s="21"/>
      <c r="B376" s="21"/>
      <c r="C376" s="21"/>
    </row>
    <row r="377">
      <c r="A377" s="21"/>
      <c r="B377" s="21"/>
      <c r="C377" s="21"/>
    </row>
    <row r="378">
      <c r="A378" s="21"/>
      <c r="B378" s="21"/>
      <c r="C378" s="21"/>
    </row>
    <row r="379">
      <c r="A379" s="21"/>
      <c r="B379" s="21"/>
      <c r="C379" s="21"/>
    </row>
    <row r="380">
      <c r="A380" s="21"/>
      <c r="B380" s="21"/>
      <c r="C380" s="21"/>
    </row>
    <row r="381">
      <c r="A381" s="21"/>
      <c r="B381" s="21"/>
      <c r="C381" s="21"/>
    </row>
    <row r="382">
      <c r="A382" s="21"/>
      <c r="B382" s="21"/>
      <c r="C382" s="21"/>
    </row>
    <row r="383">
      <c r="A383" s="21"/>
      <c r="B383" s="21"/>
      <c r="C383" s="21"/>
    </row>
    <row r="384">
      <c r="A384" s="21"/>
      <c r="B384" s="21"/>
      <c r="C384" s="21"/>
    </row>
    <row r="385">
      <c r="A385" s="21"/>
      <c r="B385" s="21"/>
      <c r="C385" s="21"/>
    </row>
    <row r="386">
      <c r="A386" s="21"/>
      <c r="B386" s="21"/>
      <c r="C386" s="21"/>
    </row>
    <row r="387">
      <c r="A387" s="21"/>
      <c r="B387" s="21"/>
      <c r="C387" s="21"/>
    </row>
    <row r="388">
      <c r="A388" s="21"/>
      <c r="B388" s="21"/>
      <c r="C388" s="21"/>
    </row>
    <row r="389">
      <c r="A389" s="21"/>
      <c r="B389" s="21"/>
      <c r="C389" s="21"/>
    </row>
    <row r="390">
      <c r="A390" s="21"/>
      <c r="B390" s="21"/>
      <c r="C390" s="21"/>
    </row>
    <row r="391">
      <c r="A391" s="21"/>
      <c r="B391" s="21"/>
      <c r="C391" s="21"/>
    </row>
    <row r="392">
      <c r="A392" s="21"/>
      <c r="B392" s="21"/>
      <c r="C392" s="21"/>
    </row>
    <row r="393">
      <c r="A393" s="21"/>
      <c r="B393" s="21"/>
      <c r="C393" s="21"/>
    </row>
    <row r="394">
      <c r="A394" s="21"/>
      <c r="B394" s="21"/>
      <c r="C394" s="21"/>
    </row>
    <row r="395">
      <c r="A395" s="21"/>
      <c r="B395" s="21"/>
      <c r="C395" s="21"/>
    </row>
    <row r="396">
      <c r="A396" s="21"/>
      <c r="B396" s="21"/>
      <c r="C396" s="21"/>
    </row>
    <row r="397">
      <c r="A397" s="21"/>
      <c r="B397" s="21"/>
      <c r="C397" s="21"/>
    </row>
    <row r="398">
      <c r="A398" s="21"/>
      <c r="B398" s="21"/>
      <c r="C398" s="21"/>
    </row>
    <row r="399">
      <c r="A399" s="21"/>
      <c r="B399" s="21"/>
      <c r="C399" s="21"/>
    </row>
    <row r="400">
      <c r="A400" s="21"/>
      <c r="B400" s="21"/>
      <c r="C400" s="21"/>
    </row>
    <row r="401">
      <c r="A401" s="21"/>
      <c r="B401" s="21"/>
      <c r="C401" s="21"/>
    </row>
    <row r="402">
      <c r="A402" s="21"/>
      <c r="B402" s="21"/>
      <c r="C402" s="21"/>
    </row>
    <row r="403">
      <c r="A403" s="21"/>
      <c r="B403" s="21"/>
      <c r="C403" s="21"/>
    </row>
    <row r="404">
      <c r="A404" s="21"/>
      <c r="B404" s="21"/>
      <c r="C404" s="21"/>
    </row>
    <row r="405">
      <c r="A405" s="21"/>
      <c r="B405" s="21"/>
      <c r="C405" s="21"/>
    </row>
    <row r="406">
      <c r="A406" s="21"/>
      <c r="B406" s="21"/>
      <c r="C406" s="21"/>
    </row>
    <row r="407">
      <c r="A407" s="21"/>
      <c r="B407" s="21"/>
      <c r="C407" s="21"/>
    </row>
    <row r="408">
      <c r="A408" s="21"/>
      <c r="B408" s="21"/>
      <c r="C408" s="21"/>
    </row>
    <row r="409">
      <c r="A409" s="21"/>
      <c r="B409" s="21"/>
      <c r="C409" s="21"/>
    </row>
    <row r="410">
      <c r="A410" s="21"/>
      <c r="B410" s="21"/>
      <c r="C410" s="21"/>
    </row>
    <row r="411">
      <c r="A411" s="21"/>
      <c r="B411" s="21"/>
      <c r="C411" s="21"/>
    </row>
    <row r="412">
      <c r="A412" s="21"/>
      <c r="B412" s="21"/>
      <c r="C412" s="21"/>
    </row>
    <row r="413">
      <c r="A413" s="21"/>
      <c r="B413" s="21"/>
      <c r="C413" s="21"/>
    </row>
    <row r="414">
      <c r="A414" s="21"/>
      <c r="B414" s="21"/>
      <c r="C414" s="21"/>
    </row>
    <row r="415">
      <c r="A415" s="21"/>
      <c r="B415" s="21"/>
      <c r="C415" s="21"/>
    </row>
    <row r="416">
      <c r="A416" s="21"/>
      <c r="B416" s="21"/>
      <c r="C416" s="21"/>
    </row>
    <row r="417">
      <c r="A417" s="21"/>
      <c r="B417" s="21"/>
      <c r="C417" s="21"/>
    </row>
    <row r="418">
      <c r="A418" s="21"/>
      <c r="B418" s="21"/>
      <c r="C418" s="21"/>
    </row>
    <row r="419">
      <c r="A419" s="21"/>
      <c r="B419" s="21"/>
      <c r="C419" s="21"/>
    </row>
    <row r="420">
      <c r="A420" s="21"/>
      <c r="B420" s="21"/>
      <c r="C420" s="21"/>
    </row>
    <row r="421">
      <c r="A421" s="21"/>
      <c r="B421" s="21"/>
      <c r="C421" s="21"/>
    </row>
    <row r="422">
      <c r="A422" s="21"/>
      <c r="B422" s="21"/>
      <c r="C422" s="21"/>
    </row>
    <row r="423">
      <c r="A423" s="21"/>
      <c r="B423" s="21"/>
      <c r="C423" s="21"/>
    </row>
    <row r="424">
      <c r="A424" s="21"/>
      <c r="B424" s="21"/>
      <c r="C424" s="21"/>
    </row>
    <row r="425">
      <c r="A425" s="21"/>
      <c r="B425" s="21"/>
      <c r="C425" s="21"/>
    </row>
    <row r="426">
      <c r="A426" s="21"/>
      <c r="B426" s="21"/>
      <c r="C426" s="21"/>
    </row>
    <row r="427">
      <c r="A427" s="21"/>
      <c r="B427" s="21"/>
      <c r="C427" s="21"/>
    </row>
    <row r="428">
      <c r="A428" s="21"/>
      <c r="B428" s="21"/>
      <c r="C428" s="21"/>
    </row>
    <row r="429">
      <c r="A429" s="21"/>
      <c r="B429" s="21"/>
      <c r="C429" s="21"/>
    </row>
    <row r="430">
      <c r="A430" s="21"/>
      <c r="B430" s="21"/>
      <c r="C430" s="21"/>
    </row>
    <row r="431">
      <c r="A431" s="21"/>
      <c r="B431" s="21"/>
      <c r="C431" s="21"/>
    </row>
    <row r="432">
      <c r="A432" s="21"/>
      <c r="B432" s="21"/>
      <c r="C432" s="21"/>
    </row>
    <row r="433">
      <c r="A433" s="21"/>
      <c r="B433" s="21"/>
      <c r="C433" s="21"/>
    </row>
    <row r="434">
      <c r="A434" s="21"/>
      <c r="B434" s="21"/>
      <c r="C434" s="21"/>
    </row>
    <row r="435">
      <c r="A435" s="21"/>
      <c r="B435" s="21"/>
      <c r="C435" s="21"/>
    </row>
    <row r="436">
      <c r="A436" s="21"/>
      <c r="B436" s="21"/>
      <c r="C436" s="21"/>
    </row>
    <row r="437">
      <c r="A437" s="21"/>
      <c r="B437" s="21"/>
      <c r="C437" s="21"/>
    </row>
    <row r="438">
      <c r="A438" s="21"/>
      <c r="B438" s="21"/>
      <c r="C438" s="21"/>
    </row>
    <row r="439">
      <c r="A439" s="21"/>
      <c r="B439" s="21"/>
      <c r="C439" s="21"/>
    </row>
    <row r="440">
      <c r="A440" s="21"/>
      <c r="B440" s="21"/>
      <c r="C440" s="21"/>
    </row>
    <row r="441">
      <c r="A441" s="21"/>
      <c r="B441" s="21"/>
      <c r="C441" s="21"/>
    </row>
    <row r="442">
      <c r="A442" s="21"/>
      <c r="B442" s="21"/>
      <c r="C442" s="21"/>
    </row>
    <row r="443">
      <c r="A443" s="21"/>
      <c r="B443" s="21"/>
      <c r="C443" s="21"/>
    </row>
    <row r="444">
      <c r="A444" s="21"/>
      <c r="B444" s="21"/>
      <c r="C444" s="21"/>
    </row>
    <row r="445">
      <c r="A445" s="21"/>
      <c r="B445" s="21"/>
      <c r="C445" s="21"/>
    </row>
    <row r="446">
      <c r="A446" s="21"/>
      <c r="B446" s="21"/>
      <c r="C446" s="21"/>
    </row>
    <row r="447">
      <c r="A447" s="21"/>
      <c r="B447" s="21"/>
      <c r="C447" s="21"/>
    </row>
    <row r="448">
      <c r="A448" s="21"/>
      <c r="B448" s="21"/>
      <c r="C448" s="21"/>
    </row>
    <row r="449">
      <c r="A449" s="21"/>
      <c r="B449" s="21"/>
      <c r="C449" s="21"/>
    </row>
    <row r="450">
      <c r="A450" s="21"/>
      <c r="B450" s="21"/>
      <c r="C450" s="21"/>
    </row>
    <row r="451">
      <c r="A451" s="21"/>
      <c r="B451" s="21"/>
      <c r="C451" s="21"/>
    </row>
    <row r="452">
      <c r="A452" s="21"/>
      <c r="B452" s="21"/>
      <c r="C452" s="21"/>
    </row>
    <row r="453">
      <c r="A453" s="21"/>
      <c r="B453" s="21"/>
      <c r="C453" s="21"/>
    </row>
    <row r="454">
      <c r="A454" s="21"/>
      <c r="B454" s="21"/>
      <c r="C454" s="21"/>
    </row>
    <row r="455">
      <c r="A455" s="21"/>
      <c r="B455" s="21"/>
      <c r="C455" s="21"/>
    </row>
    <row r="456">
      <c r="A456" s="21"/>
      <c r="B456" s="21"/>
      <c r="C456" s="21"/>
    </row>
    <row r="457">
      <c r="A457" s="21"/>
      <c r="B457" s="21"/>
      <c r="C457" s="21"/>
    </row>
    <row r="458">
      <c r="A458" s="21"/>
      <c r="B458" s="21"/>
      <c r="C458" s="21"/>
    </row>
    <row r="459">
      <c r="A459" s="21"/>
      <c r="B459" s="21"/>
      <c r="C459" s="21"/>
    </row>
    <row r="460">
      <c r="A460" s="21"/>
      <c r="B460" s="21"/>
      <c r="C460" s="21"/>
    </row>
    <row r="461">
      <c r="A461" s="21"/>
      <c r="B461" s="21"/>
      <c r="C461" s="21"/>
    </row>
    <row r="462">
      <c r="A462" s="21"/>
      <c r="B462" s="21"/>
      <c r="C462" s="21"/>
    </row>
    <row r="463">
      <c r="A463" s="21"/>
      <c r="B463" s="21"/>
      <c r="C463" s="21"/>
    </row>
    <row r="464">
      <c r="A464" s="21"/>
      <c r="B464" s="21"/>
      <c r="C464" s="21"/>
    </row>
    <row r="465">
      <c r="A465" s="21"/>
      <c r="B465" s="21"/>
      <c r="C465" s="21"/>
    </row>
    <row r="466">
      <c r="A466" s="21"/>
      <c r="B466" s="21"/>
      <c r="C466" s="21"/>
    </row>
    <row r="467">
      <c r="A467" s="21"/>
      <c r="B467" s="21"/>
      <c r="C467" s="21"/>
    </row>
    <row r="468">
      <c r="A468" s="21"/>
      <c r="B468" s="21"/>
      <c r="C468" s="21"/>
    </row>
    <row r="469">
      <c r="A469" s="21"/>
      <c r="B469" s="21"/>
      <c r="C469" s="21"/>
    </row>
    <row r="470">
      <c r="A470" s="21"/>
      <c r="B470" s="21"/>
      <c r="C470" s="21"/>
    </row>
    <row r="471">
      <c r="A471" s="21"/>
      <c r="B471" s="21"/>
      <c r="C471" s="21"/>
    </row>
    <row r="472">
      <c r="A472" s="21"/>
      <c r="B472" s="21"/>
      <c r="C472" s="21"/>
    </row>
    <row r="473">
      <c r="A473" s="21"/>
      <c r="B473" s="21"/>
      <c r="C473" s="21"/>
    </row>
    <row r="474">
      <c r="A474" s="21"/>
      <c r="B474" s="21"/>
      <c r="C474" s="21"/>
    </row>
    <row r="475">
      <c r="A475" s="21"/>
      <c r="B475" s="21"/>
      <c r="C475" s="21"/>
    </row>
    <row r="476">
      <c r="A476" s="21"/>
      <c r="B476" s="21"/>
      <c r="C476" s="21"/>
    </row>
    <row r="477">
      <c r="A477" s="21"/>
      <c r="B477" s="21"/>
      <c r="C477" s="21"/>
    </row>
    <row r="478">
      <c r="A478" s="21"/>
      <c r="B478" s="21"/>
      <c r="C478" s="21"/>
    </row>
    <row r="479">
      <c r="A479" s="21"/>
      <c r="B479" s="21"/>
      <c r="C479" s="21"/>
    </row>
    <row r="480">
      <c r="A480" s="21"/>
      <c r="B480" s="21"/>
      <c r="C480" s="21"/>
    </row>
    <row r="481">
      <c r="A481" s="21"/>
      <c r="B481" s="21"/>
      <c r="C481" s="21"/>
    </row>
    <row r="482">
      <c r="A482" s="21"/>
      <c r="B482" s="21"/>
      <c r="C482" s="21"/>
    </row>
    <row r="483">
      <c r="A483" s="21"/>
      <c r="B483" s="21"/>
      <c r="C483" s="21"/>
    </row>
    <row r="484">
      <c r="A484" s="21"/>
      <c r="B484" s="21"/>
      <c r="C484" s="21"/>
    </row>
    <row r="485">
      <c r="A485" s="21"/>
      <c r="B485" s="21"/>
      <c r="C485" s="21"/>
    </row>
    <row r="486">
      <c r="A486" s="21"/>
      <c r="B486" s="21"/>
      <c r="C486" s="21"/>
    </row>
    <row r="487">
      <c r="A487" s="21"/>
      <c r="B487" s="21"/>
      <c r="C487" s="21"/>
    </row>
    <row r="488">
      <c r="A488" s="21"/>
      <c r="B488" s="21"/>
      <c r="C488" s="21"/>
    </row>
    <row r="489">
      <c r="A489" s="21"/>
      <c r="B489" s="21"/>
      <c r="C489" s="21"/>
    </row>
    <row r="490">
      <c r="A490" s="21"/>
      <c r="B490" s="21"/>
      <c r="C490" s="21"/>
    </row>
    <row r="491">
      <c r="A491" s="21"/>
      <c r="B491" s="21"/>
      <c r="C491" s="21"/>
    </row>
    <row r="492">
      <c r="A492" s="21"/>
      <c r="B492" s="21"/>
      <c r="C492" s="21"/>
    </row>
    <row r="493">
      <c r="A493" s="21"/>
      <c r="B493" s="21"/>
      <c r="C493" s="21"/>
    </row>
    <row r="494">
      <c r="A494" s="21"/>
      <c r="B494" s="21"/>
      <c r="C494" s="21"/>
    </row>
    <row r="495">
      <c r="A495" s="21"/>
      <c r="B495" s="21"/>
      <c r="C495" s="21"/>
    </row>
    <row r="496">
      <c r="A496" s="21"/>
      <c r="B496" s="21"/>
      <c r="C496" s="21"/>
    </row>
    <row r="497">
      <c r="A497" s="21"/>
      <c r="B497" s="21"/>
      <c r="C497" s="21"/>
    </row>
    <row r="498">
      <c r="A498" s="21"/>
      <c r="B498" s="21"/>
      <c r="C498" s="21"/>
    </row>
    <row r="499">
      <c r="A499" s="21"/>
      <c r="B499" s="21"/>
      <c r="C499" s="21"/>
    </row>
    <row r="500">
      <c r="A500" s="21"/>
      <c r="B500" s="21"/>
      <c r="C500" s="21"/>
    </row>
    <row r="501">
      <c r="A501" s="21"/>
      <c r="B501" s="21"/>
      <c r="C501" s="21"/>
    </row>
    <row r="502">
      <c r="A502" s="21"/>
      <c r="B502" s="21"/>
      <c r="C502" s="21"/>
    </row>
    <row r="503">
      <c r="A503" s="21"/>
      <c r="B503" s="21"/>
      <c r="C503" s="21"/>
    </row>
    <row r="504">
      <c r="A504" s="21"/>
      <c r="B504" s="21"/>
      <c r="C504" s="21"/>
    </row>
    <row r="505">
      <c r="A505" s="21"/>
      <c r="B505" s="21"/>
      <c r="C505" s="21"/>
    </row>
    <row r="506">
      <c r="A506" s="21"/>
      <c r="B506" s="21"/>
      <c r="C506" s="21"/>
    </row>
    <row r="507">
      <c r="A507" s="21"/>
      <c r="B507" s="21"/>
      <c r="C507" s="21"/>
    </row>
    <row r="508">
      <c r="A508" s="21"/>
      <c r="B508" s="21"/>
      <c r="C508" s="21"/>
    </row>
    <row r="509">
      <c r="A509" s="21"/>
      <c r="B509" s="21"/>
      <c r="C509" s="21"/>
    </row>
    <row r="510">
      <c r="A510" s="21"/>
      <c r="B510" s="21"/>
      <c r="C510" s="21"/>
    </row>
    <row r="511">
      <c r="A511" s="21"/>
      <c r="B511" s="21"/>
      <c r="C511" s="21"/>
    </row>
    <row r="512">
      <c r="A512" s="21"/>
      <c r="B512" s="21"/>
      <c r="C512" s="21"/>
    </row>
    <row r="513">
      <c r="A513" s="21"/>
      <c r="B513" s="21"/>
      <c r="C513" s="21"/>
    </row>
    <row r="514">
      <c r="A514" s="21"/>
      <c r="B514" s="21"/>
      <c r="C514" s="21"/>
    </row>
    <row r="515">
      <c r="A515" s="21"/>
      <c r="B515" s="21"/>
      <c r="C515" s="21"/>
    </row>
    <row r="516">
      <c r="A516" s="21"/>
      <c r="B516" s="21"/>
      <c r="C516" s="21"/>
    </row>
    <row r="517">
      <c r="A517" s="21"/>
      <c r="B517" s="21"/>
      <c r="C517" s="21"/>
    </row>
    <row r="518">
      <c r="A518" s="21"/>
      <c r="B518" s="21"/>
      <c r="C518" s="21"/>
    </row>
    <row r="519">
      <c r="A519" s="21"/>
      <c r="B519" s="21"/>
      <c r="C519" s="21"/>
    </row>
    <row r="520">
      <c r="A520" s="21"/>
      <c r="B520" s="21"/>
      <c r="C520" s="21"/>
    </row>
    <row r="521">
      <c r="A521" s="21"/>
      <c r="B521" s="21"/>
      <c r="C521" s="21"/>
    </row>
    <row r="522">
      <c r="A522" s="21"/>
      <c r="B522" s="21"/>
      <c r="C522" s="21"/>
    </row>
    <row r="523">
      <c r="A523" s="21"/>
      <c r="B523" s="21"/>
      <c r="C523" s="21"/>
    </row>
    <row r="524">
      <c r="A524" s="21"/>
      <c r="B524" s="21"/>
      <c r="C524" s="21"/>
    </row>
    <row r="525">
      <c r="A525" s="21"/>
      <c r="B525" s="21"/>
      <c r="C525" s="21"/>
    </row>
    <row r="526">
      <c r="A526" s="21"/>
      <c r="B526" s="21"/>
      <c r="C526" s="21"/>
    </row>
    <row r="527">
      <c r="A527" s="21"/>
      <c r="B527" s="21"/>
      <c r="C527" s="21"/>
    </row>
    <row r="528">
      <c r="A528" s="21"/>
      <c r="B528" s="21"/>
      <c r="C528" s="21"/>
    </row>
    <row r="529">
      <c r="A529" s="21"/>
      <c r="B529" s="21"/>
      <c r="C529" s="21"/>
    </row>
    <row r="530">
      <c r="A530" s="21"/>
      <c r="B530" s="21"/>
      <c r="C530" s="21"/>
    </row>
    <row r="531">
      <c r="A531" s="21"/>
      <c r="B531" s="21"/>
      <c r="C531" s="21"/>
    </row>
    <row r="532">
      <c r="A532" s="21"/>
      <c r="B532" s="21"/>
      <c r="C532" s="21"/>
    </row>
    <row r="533">
      <c r="A533" s="21"/>
      <c r="B533" s="21"/>
      <c r="C533" s="21"/>
    </row>
    <row r="534">
      <c r="A534" s="21"/>
      <c r="B534" s="21"/>
      <c r="C534" s="21"/>
    </row>
    <row r="535">
      <c r="A535" s="21"/>
      <c r="B535" s="21"/>
      <c r="C535" s="21"/>
    </row>
    <row r="536">
      <c r="A536" s="21"/>
      <c r="B536" s="21"/>
      <c r="C536" s="21"/>
    </row>
    <row r="537">
      <c r="A537" s="21"/>
      <c r="B537" s="21"/>
      <c r="C537" s="21"/>
    </row>
    <row r="538">
      <c r="A538" s="21"/>
      <c r="B538" s="21"/>
      <c r="C538" s="21"/>
    </row>
    <row r="539">
      <c r="A539" s="21"/>
      <c r="B539" s="21"/>
      <c r="C539" s="21"/>
    </row>
    <row r="540">
      <c r="A540" s="21"/>
      <c r="B540" s="21"/>
      <c r="C540" s="21"/>
    </row>
    <row r="541">
      <c r="A541" s="21"/>
      <c r="B541" s="21"/>
      <c r="C541" s="21"/>
    </row>
    <row r="542">
      <c r="A542" s="21"/>
      <c r="B542" s="21"/>
      <c r="C542" s="21"/>
    </row>
    <row r="543">
      <c r="A543" s="21"/>
      <c r="B543" s="21"/>
      <c r="C543" s="21"/>
    </row>
    <row r="544">
      <c r="A544" s="21"/>
      <c r="B544" s="21"/>
      <c r="C544" s="21"/>
    </row>
    <row r="545">
      <c r="A545" s="21"/>
      <c r="B545" s="21"/>
      <c r="C545" s="21"/>
    </row>
    <row r="546">
      <c r="A546" s="21"/>
      <c r="B546" s="21"/>
      <c r="C546" s="21"/>
    </row>
    <row r="547">
      <c r="A547" s="21"/>
      <c r="B547" s="21"/>
      <c r="C547" s="21"/>
    </row>
    <row r="548">
      <c r="A548" s="21"/>
      <c r="B548" s="21"/>
      <c r="C548" s="21"/>
    </row>
    <row r="549">
      <c r="A549" s="21"/>
      <c r="B549" s="21"/>
      <c r="C549" s="21"/>
    </row>
    <row r="550">
      <c r="A550" s="21"/>
      <c r="B550" s="21"/>
      <c r="C550" s="21"/>
    </row>
    <row r="551">
      <c r="A551" s="21"/>
      <c r="B551" s="21"/>
      <c r="C551" s="21"/>
    </row>
    <row r="552">
      <c r="A552" s="21"/>
      <c r="B552" s="21"/>
      <c r="C552" s="21"/>
    </row>
    <row r="553">
      <c r="A553" s="21"/>
      <c r="B553" s="21"/>
      <c r="C553" s="21"/>
    </row>
    <row r="554">
      <c r="A554" s="21"/>
      <c r="B554" s="21"/>
      <c r="C554" s="21"/>
    </row>
    <row r="555">
      <c r="A555" s="21"/>
      <c r="B555" s="21"/>
      <c r="C555" s="21"/>
    </row>
    <row r="556">
      <c r="A556" s="21"/>
      <c r="B556" s="21"/>
      <c r="C556" s="21"/>
    </row>
    <row r="557">
      <c r="A557" s="21"/>
      <c r="B557" s="21"/>
      <c r="C557" s="21"/>
    </row>
    <row r="558">
      <c r="A558" s="21"/>
      <c r="B558" s="21"/>
      <c r="C558" s="21"/>
    </row>
    <row r="559">
      <c r="A559" s="21"/>
      <c r="B559" s="21"/>
      <c r="C559" s="21"/>
    </row>
    <row r="560">
      <c r="A560" s="21"/>
      <c r="B560" s="21"/>
      <c r="C560" s="21"/>
    </row>
    <row r="561">
      <c r="A561" s="21"/>
      <c r="B561" s="21"/>
      <c r="C561" s="21"/>
    </row>
    <row r="562">
      <c r="A562" s="21"/>
      <c r="B562" s="21"/>
      <c r="C562" s="21"/>
    </row>
    <row r="563">
      <c r="A563" s="21"/>
      <c r="B563" s="21"/>
      <c r="C563" s="21"/>
    </row>
    <row r="564">
      <c r="A564" s="21"/>
      <c r="B564" s="21"/>
      <c r="C564" s="21"/>
    </row>
    <row r="565">
      <c r="A565" s="21"/>
      <c r="B565" s="21"/>
      <c r="C565" s="21"/>
    </row>
    <row r="566">
      <c r="A566" s="21"/>
      <c r="B566" s="21"/>
      <c r="C566" s="21"/>
    </row>
    <row r="567">
      <c r="A567" s="21"/>
      <c r="B567" s="21"/>
      <c r="C567" s="21"/>
    </row>
    <row r="568">
      <c r="A568" s="21"/>
      <c r="B568" s="21"/>
      <c r="C568" s="21"/>
    </row>
    <row r="569">
      <c r="A569" s="21"/>
      <c r="B569" s="21"/>
      <c r="C569" s="21"/>
    </row>
    <row r="570">
      <c r="A570" s="21"/>
      <c r="B570" s="21"/>
      <c r="C570" s="21"/>
    </row>
    <row r="571">
      <c r="A571" s="21"/>
      <c r="B571" s="21"/>
      <c r="C571" s="21"/>
    </row>
    <row r="572">
      <c r="A572" s="21"/>
      <c r="B572" s="21"/>
      <c r="C572" s="21"/>
    </row>
    <row r="573">
      <c r="A573" s="21"/>
      <c r="B573" s="21"/>
      <c r="C573" s="21"/>
    </row>
    <row r="574">
      <c r="A574" s="21"/>
      <c r="B574" s="21"/>
      <c r="C574" s="21"/>
    </row>
    <row r="575">
      <c r="A575" s="21"/>
      <c r="B575" s="21"/>
      <c r="C575" s="21"/>
    </row>
    <row r="576">
      <c r="A576" s="21"/>
      <c r="B576" s="21"/>
      <c r="C576" s="21"/>
    </row>
    <row r="577">
      <c r="A577" s="21"/>
      <c r="B577" s="21"/>
      <c r="C577" s="21"/>
    </row>
    <row r="578">
      <c r="A578" s="21"/>
      <c r="B578" s="21"/>
      <c r="C578" s="21"/>
    </row>
    <row r="579">
      <c r="A579" s="21"/>
      <c r="B579" s="21"/>
      <c r="C579" s="21"/>
    </row>
    <row r="580">
      <c r="A580" s="21"/>
      <c r="B580" s="21"/>
      <c r="C580" s="21"/>
    </row>
    <row r="581">
      <c r="A581" s="21"/>
      <c r="B581" s="21"/>
      <c r="C581" s="21"/>
    </row>
    <row r="582">
      <c r="A582" s="21"/>
      <c r="B582" s="21"/>
      <c r="C582" s="21"/>
    </row>
    <row r="583">
      <c r="A583" s="21"/>
      <c r="B583" s="21"/>
      <c r="C583" s="21"/>
    </row>
    <row r="584">
      <c r="A584" s="21"/>
      <c r="B584" s="21"/>
      <c r="C584" s="21"/>
    </row>
    <row r="585">
      <c r="A585" s="21"/>
      <c r="B585" s="21"/>
      <c r="C585" s="21"/>
    </row>
    <row r="586">
      <c r="A586" s="21"/>
      <c r="B586" s="21"/>
      <c r="C586" s="21"/>
    </row>
    <row r="587">
      <c r="A587" s="21"/>
      <c r="B587" s="21"/>
      <c r="C587" s="21"/>
    </row>
    <row r="588">
      <c r="A588" s="21"/>
      <c r="B588" s="21"/>
      <c r="C588" s="21"/>
    </row>
    <row r="589">
      <c r="A589" s="21"/>
      <c r="B589" s="21"/>
      <c r="C589" s="21"/>
    </row>
    <row r="590">
      <c r="A590" s="21"/>
      <c r="B590" s="21"/>
      <c r="C590" s="21"/>
    </row>
    <row r="591">
      <c r="A591" s="21"/>
      <c r="B591" s="21"/>
      <c r="C591" s="21"/>
    </row>
    <row r="592">
      <c r="A592" s="21"/>
      <c r="B592" s="21"/>
      <c r="C592" s="21"/>
    </row>
    <row r="593">
      <c r="A593" s="21"/>
      <c r="B593" s="21"/>
      <c r="C593" s="21"/>
    </row>
    <row r="594">
      <c r="A594" s="21"/>
      <c r="B594" s="21"/>
      <c r="C594" s="21"/>
    </row>
    <row r="595">
      <c r="A595" s="21"/>
      <c r="B595" s="21"/>
      <c r="C595" s="21"/>
    </row>
    <row r="596">
      <c r="A596" s="21"/>
      <c r="B596" s="21"/>
      <c r="C596" s="21"/>
    </row>
    <row r="597">
      <c r="A597" s="21"/>
      <c r="B597" s="21"/>
      <c r="C597" s="21"/>
    </row>
    <row r="598">
      <c r="A598" s="21"/>
      <c r="B598" s="21"/>
      <c r="C598" s="21"/>
    </row>
    <row r="599">
      <c r="A599" s="21"/>
      <c r="B599" s="21"/>
      <c r="C599" s="21"/>
    </row>
    <row r="600">
      <c r="A600" s="21"/>
      <c r="B600" s="21"/>
      <c r="C600" s="21"/>
    </row>
    <row r="601">
      <c r="A601" s="21"/>
      <c r="B601" s="21"/>
      <c r="C601" s="21"/>
    </row>
    <row r="602">
      <c r="A602" s="21"/>
      <c r="B602" s="21"/>
      <c r="C602" s="21"/>
    </row>
    <row r="603">
      <c r="A603" s="21"/>
      <c r="B603" s="21"/>
      <c r="C603" s="21"/>
    </row>
    <row r="604">
      <c r="A604" s="21"/>
      <c r="B604" s="21"/>
      <c r="C604" s="21"/>
    </row>
    <row r="605">
      <c r="A605" s="21"/>
      <c r="B605" s="21"/>
      <c r="C605" s="21"/>
    </row>
    <row r="606">
      <c r="A606" s="21"/>
      <c r="B606" s="21"/>
      <c r="C606" s="21"/>
    </row>
    <row r="607">
      <c r="A607" s="21"/>
      <c r="B607" s="21"/>
      <c r="C607" s="21"/>
    </row>
    <row r="608">
      <c r="A608" s="21"/>
      <c r="B608" s="21"/>
      <c r="C608" s="21"/>
    </row>
    <row r="609">
      <c r="A609" s="21"/>
      <c r="B609" s="21"/>
      <c r="C609" s="21"/>
    </row>
    <row r="610">
      <c r="A610" s="21"/>
      <c r="B610" s="21"/>
      <c r="C610" s="21"/>
    </row>
    <row r="611">
      <c r="A611" s="21"/>
      <c r="B611" s="21"/>
      <c r="C611" s="21"/>
    </row>
    <row r="612">
      <c r="A612" s="21"/>
      <c r="B612" s="21"/>
      <c r="C612" s="21"/>
    </row>
    <row r="613">
      <c r="A613" s="21"/>
      <c r="B613" s="21"/>
      <c r="C613" s="21"/>
    </row>
    <row r="614">
      <c r="A614" s="21"/>
      <c r="B614" s="21"/>
      <c r="C614" s="21"/>
    </row>
    <row r="615">
      <c r="A615" s="21"/>
      <c r="B615" s="21"/>
      <c r="C615" s="21"/>
    </row>
    <row r="616">
      <c r="A616" s="21"/>
      <c r="B616" s="21"/>
      <c r="C616" s="21"/>
    </row>
    <row r="617">
      <c r="A617" s="21"/>
      <c r="B617" s="21"/>
      <c r="C617" s="21"/>
    </row>
    <row r="618">
      <c r="A618" s="21"/>
      <c r="B618" s="21"/>
      <c r="C618" s="21"/>
    </row>
    <row r="619">
      <c r="A619" s="21"/>
      <c r="B619" s="21"/>
      <c r="C619" s="21"/>
    </row>
    <row r="620">
      <c r="A620" s="21"/>
      <c r="B620" s="21"/>
      <c r="C620" s="21"/>
    </row>
    <row r="621">
      <c r="A621" s="21"/>
      <c r="B621" s="21"/>
      <c r="C621" s="21"/>
    </row>
    <row r="622">
      <c r="A622" s="21"/>
      <c r="B622" s="21"/>
      <c r="C622" s="21"/>
    </row>
    <row r="623">
      <c r="A623" s="21"/>
      <c r="B623" s="21"/>
      <c r="C623" s="21"/>
    </row>
    <row r="624">
      <c r="A624" s="21"/>
      <c r="B624" s="21"/>
      <c r="C624" s="21"/>
    </row>
    <row r="625">
      <c r="A625" s="21"/>
      <c r="B625" s="21"/>
      <c r="C625" s="21"/>
    </row>
    <row r="626">
      <c r="A626" s="21"/>
      <c r="B626" s="21"/>
      <c r="C626" s="21"/>
    </row>
    <row r="627">
      <c r="A627" s="21"/>
      <c r="B627" s="21"/>
      <c r="C627" s="21"/>
    </row>
    <row r="628">
      <c r="A628" s="21"/>
      <c r="B628" s="21"/>
      <c r="C628" s="21"/>
    </row>
    <row r="629">
      <c r="A629" s="21"/>
      <c r="B629" s="21"/>
      <c r="C629" s="21"/>
    </row>
    <row r="630">
      <c r="A630" s="21"/>
      <c r="B630" s="21"/>
      <c r="C630" s="21"/>
    </row>
    <row r="631">
      <c r="A631" s="21"/>
      <c r="B631" s="21"/>
      <c r="C631" s="21"/>
    </row>
    <row r="632">
      <c r="A632" s="21"/>
      <c r="B632" s="21"/>
      <c r="C632" s="21"/>
    </row>
    <row r="633">
      <c r="A633" s="21"/>
      <c r="B633" s="21"/>
      <c r="C633" s="21"/>
    </row>
    <row r="634">
      <c r="A634" s="21"/>
      <c r="B634" s="21"/>
      <c r="C634" s="21"/>
    </row>
    <row r="635">
      <c r="A635" s="21"/>
      <c r="B635" s="21"/>
      <c r="C635" s="21"/>
    </row>
    <row r="636">
      <c r="A636" s="21"/>
      <c r="B636" s="21"/>
      <c r="C636" s="21"/>
    </row>
    <row r="637">
      <c r="A637" s="21"/>
      <c r="B637" s="21"/>
      <c r="C637" s="21"/>
    </row>
    <row r="638">
      <c r="A638" s="21"/>
      <c r="B638" s="21"/>
      <c r="C638" s="21"/>
    </row>
    <row r="639">
      <c r="A639" s="21"/>
      <c r="B639" s="21"/>
      <c r="C639" s="21"/>
    </row>
    <row r="640">
      <c r="A640" s="21"/>
      <c r="B640" s="21"/>
      <c r="C640" s="21"/>
    </row>
    <row r="641">
      <c r="A641" s="21"/>
      <c r="B641" s="21"/>
      <c r="C641" s="21"/>
    </row>
    <row r="642">
      <c r="A642" s="21"/>
      <c r="B642" s="21"/>
      <c r="C642" s="21"/>
    </row>
    <row r="643">
      <c r="A643" s="21"/>
      <c r="B643" s="21"/>
      <c r="C643" s="21"/>
    </row>
    <row r="644">
      <c r="A644" s="21"/>
      <c r="B644" s="21"/>
      <c r="C644" s="21"/>
    </row>
    <row r="645">
      <c r="A645" s="21"/>
      <c r="B645" s="21"/>
      <c r="C645" s="21"/>
    </row>
    <row r="646">
      <c r="A646" s="21"/>
      <c r="B646" s="21"/>
      <c r="C646" s="21"/>
    </row>
    <row r="647">
      <c r="A647" s="21"/>
      <c r="B647" s="21"/>
      <c r="C647" s="21"/>
    </row>
    <row r="648">
      <c r="A648" s="21"/>
      <c r="B648" s="21"/>
      <c r="C648" s="21"/>
    </row>
    <row r="649">
      <c r="A649" s="21"/>
      <c r="B649" s="21"/>
      <c r="C649" s="21"/>
    </row>
    <row r="650">
      <c r="A650" s="21"/>
      <c r="B650" s="21"/>
      <c r="C650" s="21"/>
    </row>
    <row r="651">
      <c r="A651" s="21"/>
      <c r="B651" s="21"/>
      <c r="C651" s="21"/>
    </row>
    <row r="652">
      <c r="A652" s="21"/>
      <c r="B652" s="21"/>
      <c r="C652" s="21"/>
    </row>
    <row r="653">
      <c r="A653" s="21"/>
      <c r="B653" s="21"/>
      <c r="C653" s="21"/>
    </row>
    <row r="654">
      <c r="A654" s="21"/>
      <c r="B654" s="21"/>
      <c r="C654" s="21"/>
    </row>
    <row r="655">
      <c r="A655" s="21"/>
      <c r="B655" s="21"/>
      <c r="C655" s="21"/>
    </row>
    <row r="656">
      <c r="A656" s="21"/>
      <c r="B656" s="21"/>
      <c r="C656" s="21"/>
    </row>
    <row r="657">
      <c r="A657" s="21"/>
      <c r="B657" s="21"/>
      <c r="C657" s="21"/>
    </row>
    <row r="658">
      <c r="A658" s="21"/>
      <c r="B658" s="21"/>
      <c r="C658" s="21"/>
    </row>
    <row r="659">
      <c r="A659" s="21"/>
      <c r="B659" s="21"/>
      <c r="C659" s="21"/>
    </row>
    <row r="660">
      <c r="A660" s="21"/>
      <c r="B660" s="21"/>
      <c r="C660" s="21"/>
    </row>
    <row r="661">
      <c r="A661" s="21"/>
      <c r="B661" s="21"/>
      <c r="C661" s="21"/>
    </row>
    <row r="662">
      <c r="A662" s="21"/>
      <c r="B662" s="21"/>
      <c r="C662" s="21"/>
    </row>
    <row r="663">
      <c r="A663" s="21"/>
      <c r="B663" s="21"/>
      <c r="C663" s="21"/>
    </row>
    <row r="664">
      <c r="A664" s="21"/>
      <c r="B664" s="21"/>
      <c r="C664" s="21"/>
    </row>
    <row r="665">
      <c r="A665" s="21"/>
      <c r="B665" s="21"/>
      <c r="C665" s="21"/>
    </row>
    <row r="666">
      <c r="A666" s="21"/>
      <c r="B666" s="21"/>
      <c r="C666" s="21"/>
    </row>
    <row r="667">
      <c r="A667" s="21"/>
      <c r="B667" s="21"/>
      <c r="C667" s="21"/>
    </row>
    <row r="668">
      <c r="A668" s="21"/>
      <c r="B668" s="21"/>
      <c r="C668" s="21"/>
    </row>
    <row r="669">
      <c r="A669" s="21"/>
      <c r="B669" s="21"/>
      <c r="C669" s="21"/>
    </row>
    <row r="670">
      <c r="A670" s="21"/>
      <c r="B670" s="21"/>
      <c r="C670" s="21"/>
    </row>
    <row r="671">
      <c r="A671" s="21"/>
      <c r="B671" s="21"/>
      <c r="C671" s="21"/>
    </row>
    <row r="672">
      <c r="A672" s="21"/>
      <c r="B672" s="21"/>
      <c r="C672" s="21"/>
    </row>
    <row r="673">
      <c r="A673" s="21"/>
      <c r="B673" s="21"/>
      <c r="C673" s="21"/>
    </row>
    <row r="674">
      <c r="A674" s="21"/>
      <c r="B674" s="21"/>
      <c r="C674" s="21"/>
    </row>
    <row r="675">
      <c r="A675" s="21"/>
      <c r="B675" s="21"/>
      <c r="C675" s="21"/>
    </row>
    <row r="676">
      <c r="A676" s="21"/>
      <c r="B676" s="21"/>
      <c r="C676" s="21"/>
    </row>
    <row r="677">
      <c r="A677" s="21"/>
      <c r="B677" s="21"/>
      <c r="C677" s="21"/>
    </row>
    <row r="678">
      <c r="A678" s="21"/>
      <c r="B678" s="21"/>
      <c r="C678" s="21"/>
    </row>
    <row r="679">
      <c r="A679" s="21"/>
      <c r="B679" s="21"/>
      <c r="C679" s="21"/>
    </row>
    <row r="680">
      <c r="A680" s="21"/>
      <c r="B680" s="21"/>
      <c r="C680" s="21"/>
    </row>
    <row r="681">
      <c r="A681" s="21"/>
      <c r="B681" s="21"/>
      <c r="C681" s="21"/>
    </row>
    <row r="682">
      <c r="A682" s="21"/>
      <c r="B682" s="21"/>
      <c r="C682" s="21"/>
    </row>
    <row r="683">
      <c r="A683" s="21"/>
      <c r="B683" s="21"/>
      <c r="C683" s="21"/>
    </row>
    <row r="684">
      <c r="A684" s="21"/>
      <c r="B684" s="21"/>
      <c r="C684" s="21"/>
    </row>
    <row r="685">
      <c r="A685" s="21"/>
      <c r="B685" s="21"/>
      <c r="C685" s="21"/>
    </row>
    <row r="686">
      <c r="A686" s="21"/>
      <c r="B686" s="21"/>
      <c r="C686" s="21"/>
    </row>
    <row r="687">
      <c r="A687" s="21"/>
      <c r="B687" s="21"/>
      <c r="C687" s="21"/>
    </row>
    <row r="688">
      <c r="A688" s="21"/>
      <c r="B688" s="21"/>
      <c r="C688" s="21"/>
    </row>
    <row r="689">
      <c r="A689" s="21"/>
      <c r="B689" s="21"/>
      <c r="C689" s="21"/>
    </row>
    <row r="690">
      <c r="A690" s="21"/>
      <c r="B690" s="21"/>
      <c r="C690" s="21"/>
    </row>
    <row r="691">
      <c r="A691" s="21"/>
      <c r="B691" s="21"/>
      <c r="C691" s="21"/>
    </row>
    <row r="692">
      <c r="A692" s="21"/>
      <c r="B692" s="21"/>
      <c r="C692" s="21"/>
    </row>
    <row r="693">
      <c r="A693" s="21"/>
      <c r="B693" s="21"/>
      <c r="C693" s="21"/>
    </row>
    <row r="694">
      <c r="A694" s="21"/>
      <c r="B694" s="21"/>
      <c r="C694" s="21"/>
    </row>
    <row r="695">
      <c r="A695" s="21"/>
      <c r="B695" s="21"/>
      <c r="C695" s="21"/>
    </row>
    <row r="696">
      <c r="A696" s="21"/>
      <c r="B696" s="21"/>
      <c r="C696" s="21"/>
    </row>
    <row r="697">
      <c r="A697" s="21"/>
      <c r="B697" s="21"/>
      <c r="C697" s="21"/>
    </row>
    <row r="698">
      <c r="A698" s="21"/>
      <c r="B698" s="21"/>
      <c r="C698" s="21"/>
    </row>
    <row r="699">
      <c r="A699" s="21"/>
      <c r="B699" s="21"/>
      <c r="C699" s="21"/>
    </row>
    <row r="700">
      <c r="A700" s="21"/>
      <c r="B700" s="21"/>
      <c r="C700" s="21"/>
    </row>
    <row r="701">
      <c r="A701" s="21"/>
      <c r="B701" s="21"/>
      <c r="C701" s="21"/>
    </row>
    <row r="702">
      <c r="A702" s="21"/>
      <c r="B702" s="21"/>
      <c r="C702" s="21"/>
    </row>
    <row r="703">
      <c r="A703" s="21"/>
      <c r="B703" s="21"/>
      <c r="C703" s="21"/>
    </row>
    <row r="704">
      <c r="A704" s="21"/>
      <c r="B704" s="21"/>
      <c r="C704" s="21"/>
    </row>
    <row r="705">
      <c r="A705" s="21"/>
      <c r="B705" s="21"/>
      <c r="C705" s="21"/>
    </row>
    <row r="706">
      <c r="A706" s="21"/>
      <c r="B706" s="21"/>
      <c r="C706" s="21"/>
    </row>
    <row r="707">
      <c r="A707" s="21"/>
      <c r="B707" s="21"/>
      <c r="C707" s="21"/>
    </row>
    <row r="708">
      <c r="A708" s="21"/>
      <c r="B708" s="21"/>
      <c r="C708" s="21"/>
    </row>
    <row r="709">
      <c r="A709" s="21"/>
      <c r="B709" s="21"/>
      <c r="C709" s="21"/>
    </row>
    <row r="710">
      <c r="A710" s="21"/>
      <c r="B710" s="21"/>
      <c r="C710" s="21"/>
    </row>
    <row r="711">
      <c r="A711" s="21"/>
      <c r="B711" s="21"/>
      <c r="C711" s="21"/>
    </row>
    <row r="712">
      <c r="A712" s="21"/>
      <c r="B712" s="21"/>
      <c r="C712" s="21"/>
    </row>
    <row r="713">
      <c r="A713" s="21"/>
      <c r="B713" s="21"/>
      <c r="C713" s="21"/>
    </row>
    <row r="714">
      <c r="A714" s="21"/>
      <c r="B714" s="21"/>
      <c r="C714" s="21"/>
    </row>
    <row r="715">
      <c r="A715" s="21"/>
      <c r="B715" s="21"/>
      <c r="C715" s="21"/>
    </row>
    <row r="716">
      <c r="A716" s="21"/>
      <c r="B716" s="21"/>
      <c r="C716" s="21"/>
    </row>
    <row r="717">
      <c r="A717" s="21"/>
      <c r="B717" s="21"/>
      <c r="C717" s="21"/>
    </row>
    <row r="718">
      <c r="A718" s="21"/>
      <c r="B718" s="21"/>
      <c r="C718" s="21"/>
    </row>
    <row r="719">
      <c r="A719" s="21"/>
      <c r="B719" s="21"/>
      <c r="C719" s="21"/>
    </row>
    <row r="720">
      <c r="A720" s="21"/>
      <c r="B720" s="21"/>
      <c r="C720" s="21"/>
    </row>
    <row r="721">
      <c r="A721" s="21"/>
      <c r="B721" s="21"/>
      <c r="C721" s="21"/>
    </row>
    <row r="722">
      <c r="A722" s="21"/>
      <c r="B722" s="21"/>
      <c r="C722" s="21"/>
    </row>
    <row r="723">
      <c r="A723" s="21"/>
      <c r="B723" s="21"/>
      <c r="C723" s="21"/>
    </row>
    <row r="724">
      <c r="A724" s="21"/>
      <c r="B724" s="21"/>
      <c r="C724" s="21"/>
    </row>
    <row r="725">
      <c r="A725" s="21"/>
      <c r="B725" s="21"/>
      <c r="C725" s="21"/>
    </row>
    <row r="726">
      <c r="A726" s="21"/>
      <c r="B726" s="21"/>
      <c r="C726" s="21"/>
    </row>
    <row r="727">
      <c r="A727" s="21"/>
      <c r="B727" s="21"/>
      <c r="C727" s="21"/>
    </row>
    <row r="728">
      <c r="A728" s="21"/>
      <c r="B728" s="21"/>
      <c r="C728" s="21"/>
    </row>
    <row r="729">
      <c r="A729" s="21"/>
      <c r="B729" s="21"/>
      <c r="C729" s="21"/>
    </row>
    <row r="730">
      <c r="A730" s="21"/>
      <c r="B730" s="21"/>
      <c r="C730" s="21"/>
    </row>
    <row r="731">
      <c r="A731" s="21"/>
      <c r="B731" s="21"/>
      <c r="C731" s="21"/>
    </row>
    <row r="732">
      <c r="A732" s="21"/>
      <c r="B732" s="21"/>
      <c r="C732" s="21"/>
    </row>
    <row r="733">
      <c r="A733" s="21"/>
      <c r="B733" s="21"/>
      <c r="C733" s="21"/>
    </row>
    <row r="734">
      <c r="A734" s="21"/>
      <c r="B734" s="21"/>
      <c r="C734" s="21"/>
    </row>
    <row r="735">
      <c r="A735" s="21"/>
      <c r="B735" s="21"/>
      <c r="C735" s="21"/>
    </row>
    <row r="736">
      <c r="A736" s="21"/>
      <c r="B736" s="21"/>
      <c r="C736" s="21"/>
    </row>
    <row r="737">
      <c r="A737" s="21"/>
      <c r="B737" s="21"/>
      <c r="C737" s="21"/>
    </row>
    <row r="738">
      <c r="A738" s="21"/>
      <c r="B738" s="21"/>
      <c r="C738" s="21"/>
    </row>
    <row r="739">
      <c r="A739" s="21"/>
      <c r="B739" s="21"/>
      <c r="C739" s="21"/>
    </row>
    <row r="740">
      <c r="A740" s="21"/>
      <c r="B740" s="21"/>
      <c r="C740" s="21"/>
    </row>
    <row r="741">
      <c r="A741" s="21"/>
      <c r="B741" s="21"/>
      <c r="C741" s="21"/>
    </row>
    <row r="742">
      <c r="A742" s="21"/>
      <c r="B742" s="21"/>
      <c r="C742" s="21"/>
    </row>
    <row r="743">
      <c r="A743" s="21"/>
      <c r="B743" s="21"/>
      <c r="C743" s="21"/>
    </row>
    <row r="744">
      <c r="A744" s="21"/>
      <c r="B744" s="21"/>
      <c r="C744" s="21"/>
    </row>
    <row r="745">
      <c r="A745" s="21"/>
      <c r="B745" s="21"/>
      <c r="C745" s="21"/>
    </row>
    <row r="746">
      <c r="A746" s="21"/>
      <c r="B746" s="21"/>
      <c r="C746" s="21"/>
    </row>
    <row r="747">
      <c r="A747" s="21"/>
      <c r="B747" s="21"/>
      <c r="C747" s="21"/>
    </row>
    <row r="748">
      <c r="A748" s="21"/>
      <c r="B748" s="21"/>
      <c r="C748" s="21"/>
    </row>
    <row r="749">
      <c r="A749" s="21"/>
      <c r="B749" s="21"/>
      <c r="C749" s="21"/>
    </row>
    <row r="750">
      <c r="A750" s="21"/>
      <c r="B750" s="21"/>
      <c r="C750" s="21"/>
    </row>
    <row r="751">
      <c r="A751" s="21"/>
      <c r="B751" s="21"/>
      <c r="C751" s="21"/>
    </row>
    <row r="752">
      <c r="A752" s="21"/>
      <c r="B752" s="21"/>
      <c r="C752" s="21"/>
    </row>
    <row r="753">
      <c r="A753" s="21"/>
      <c r="B753" s="21"/>
      <c r="C753" s="21"/>
    </row>
    <row r="754">
      <c r="A754" s="21"/>
      <c r="B754" s="21"/>
      <c r="C754" s="21"/>
    </row>
    <row r="755">
      <c r="A755" s="21"/>
      <c r="B755" s="21"/>
      <c r="C755" s="21"/>
    </row>
    <row r="756">
      <c r="A756" s="21"/>
      <c r="B756" s="21"/>
      <c r="C756" s="21"/>
    </row>
    <row r="757">
      <c r="A757" s="21"/>
      <c r="B757" s="21"/>
      <c r="C757" s="21"/>
    </row>
    <row r="758">
      <c r="A758" s="21"/>
      <c r="B758" s="21"/>
      <c r="C758" s="21"/>
    </row>
    <row r="759">
      <c r="A759" s="21"/>
      <c r="B759" s="21"/>
      <c r="C759" s="21"/>
    </row>
    <row r="760">
      <c r="A760" s="21"/>
      <c r="B760" s="21"/>
      <c r="C760" s="21"/>
    </row>
    <row r="761">
      <c r="A761" s="21"/>
      <c r="B761" s="21"/>
      <c r="C761" s="21"/>
    </row>
    <row r="762">
      <c r="A762" s="21"/>
      <c r="B762" s="21"/>
      <c r="C762" s="21"/>
    </row>
    <row r="763">
      <c r="A763" s="21"/>
      <c r="B763" s="21"/>
      <c r="C763" s="21"/>
    </row>
    <row r="764">
      <c r="A764" s="21"/>
      <c r="B764" s="21"/>
      <c r="C764" s="21"/>
    </row>
    <row r="765">
      <c r="A765" s="21"/>
      <c r="B765" s="21"/>
      <c r="C765" s="21"/>
    </row>
    <row r="766">
      <c r="A766" s="21"/>
      <c r="B766" s="21"/>
      <c r="C766" s="21"/>
    </row>
    <row r="767">
      <c r="A767" s="21"/>
      <c r="B767" s="21"/>
      <c r="C767" s="21"/>
    </row>
    <row r="768">
      <c r="A768" s="21"/>
      <c r="B768" s="21"/>
      <c r="C768" s="21"/>
    </row>
    <row r="769">
      <c r="A769" s="21"/>
      <c r="B769" s="21"/>
      <c r="C769" s="21"/>
    </row>
    <row r="770">
      <c r="A770" s="21"/>
      <c r="B770" s="21"/>
      <c r="C770" s="21"/>
    </row>
    <row r="771">
      <c r="A771" s="21"/>
      <c r="B771" s="21"/>
      <c r="C771" s="21"/>
    </row>
    <row r="772">
      <c r="A772" s="21"/>
      <c r="B772" s="21"/>
      <c r="C772" s="21"/>
    </row>
    <row r="773">
      <c r="A773" s="21"/>
      <c r="B773" s="21"/>
      <c r="C773" s="21"/>
    </row>
    <row r="774">
      <c r="A774" s="21"/>
      <c r="B774" s="21"/>
      <c r="C774" s="21"/>
    </row>
    <row r="775">
      <c r="A775" s="21"/>
      <c r="B775" s="21"/>
      <c r="C775" s="21"/>
    </row>
    <row r="776">
      <c r="A776" s="21"/>
      <c r="B776" s="21"/>
      <c r="C776" s="21"/>
    </row>
    <row r="777">
      <c r="A777" s="21"/>
      <c r="B777" s="21"/>
      <c r="C777" s="21"/>
    </row>
    <row r="778">
      <c r="A778" s="21"/>
      <c r="B778" s="21"/>
      <c r="C778" s="21"/>
    </row>
    <row r="779">
      <c r="A779" s="21"/>
      <c r="B779" s="21"/>
      <c r="C779" s="21"/>
    </row>
    <row r="780">
      <c r="A780" s="21"/>
      <c r="B780" s="21"/>
      <c r="C780" s="21"/>
    </row>
    <row r="781">
      <c r="A781" s="21"/>
      <c r="B781" s="21"/>
      <c r="C781" s="21"/>
    </row>
    <row r="782">
      <c r="A782" s="21"/>
      <c r="B782" s="21"/>
      <c r="C782" s="21"/>
    </row>
    <row r="783">
      <c r="A783" s="21"/>
      <c r="B783" s="21"/>
      <c r="C783" s="21"/>
    </row>
    <row r="784">
      <c r="A784" s="21"/>
      <c r="B784" s="21"/>
      <c r="C784" s="21"/>
    </row>
    <row r="785">
      <c r="A785" s="21"/>
      <c r="B785" s="21"/>
      <c r="C785" s="21"/>
    </row>
    <row r="786">
      <c r="A786" s="21"/>
      <c r="B786" s="21"/>
      <c r="C786" s="21"/>
    </row>
    <row r="787">
      <c r="A787" s="21"/>
      <c r="B787" s="21"/>
      <c r="C787" s="21"/>
    </row>
    <row r="788">
      <c r="A788" s="21"/>
      <c r="B788" s="21"/>
      <c r="C788" s="21"/>
    </row>
    <row r="789">
      <c r="A789" s="21"/>
      <c r="B789" s="21"/>
      <c r="C789" s="21"/>
    </row>
    <row r="790">
      <c r="A790" s="21"/>
      <c r="B790" s="21"/>
      <c r="C790" s="21"/>
    </row>
    <row r="791">
      <c r="A791" s="21"/>
      <c r="B791" s="21"/>
      <c r="C791" s="21"/>
    </row>
    <row r="792">
      <c r="A792" s="21"/>
      <c r="B792" s="21"/>
      <c r="C792" s="21"/>
    </row>
    <row r="793">
      <c r="A793" s="21"/>
      <c r="B793" s="21"/>
      <c r="C793" s="21"/>
    </row>
    <row r="794">
      <c r="A794" s="21"/>
      <c r="B794" s="21"/>
      <c r="C794" s="21"/>
    </row>
    <row r="795">
      <c r="A795" s="21"/>
      <c r="B795" s="21"/>
      <c r="C795" s="21"/>
    </row>
    <row r="796">
      <c r="A796" s="21"/>
      <c r="B796" s="21"/>
      <c r="C796" s="21"/>
    </row>
    <row r="797">
      <c r="A797" s="21"/>
      <c r="B797" s="21"/>
      <c r="C797" s="21"/>
    </row>
    <row r="798">
      <c r="A798" s="21"/>
      <c r="B798" s="21"/>
      <c r="C798" s="21"/>
    </row>
    <row r="799">
      <c r="A799" s="21"/>
      <c r="B799" s="21"/>
      <c r="C799" s="21"/>
    </row>
    <row r="800">
      <c r="A800" s="21"/>
      <c r="B800" s="21"/>
      <c r="C800" s="21"/>
    </row>
    <row r="801">
      <c r="A801" s="21"/>
      <c r="B801" s="21"/>
      <c r="C801" s="21"/>
    </row>
    <row r="802">
      <c r="A802" s="21"/>
      <c r="B802" s="21"/>
      <c r="C802" s="21"/>
    </row>
    <row r="803">
      <c r="A803" s="21"/>
      <c r="B803" s="21"/>
      <c r="C803" s="21"/>
    </row>
    <row r="804">
      <c r="A804" s="21"/>
      <c r="B804" s="21"/>
      <c r="C804" s="21"/>
    </row>
    <row r="805">
      <c r="A805" s="21"/>
      <c r="B805" s="21"/>
      <c r="C805" s="21"/>
    </row>
    <row r="806">
      <c r="A806" s="21"/>
      <c r="B806" s="21"/>
      <c r="C806" s="21"/>
    </row>
    <row r="807">
      <c r="A807" s="21"/>
      <c r="B807" s="21"/>
      <c r="C807" s="21"/>
    </row>
    <row r="808">
      <c r="A808" s="21"/>
      <c r="B808" s="21"/>
      <c r="C808" s="21"/>
    </row>
    <row r="809">
      <c r="A809" s="21"/>
      <c r="B809" s="21"/>
      <c r="C809" s="21"/>
    </row>
    <row r="810">
      <c r="A810" s="21"/>
      <c r="B810" s="21"/>
      <c r="C810" s="21"/>
    </row>
    <row r="811">
      <c r="A811" s="21"/>
      <c r="B811" s="21"/>
      <c r="C811" s="21"/>
    </row>
    <row r="812">
      <c r="A812" s="21"/>
      <c r="B812" s="21"/>
      <c r="C812" s="21"/>
    </row>
    <row r="813">
      <c r="A813" s="21"/>
      <c r="B813" s="21"/>
      <c r="C813" s="21"/>
    </row>
    <row r="814">
      <c r="A814" s="21"/>
      <c r="B814" s="21"/>
      <c r="C814" s="21"/>
    </row>
    <row r="815">
      <c r="A815" s="21"/>
      <c r="B815" s="21"/>
      <c r="C815" s="21"/>
    </row>
    <row r="816">
      <c r="A816" s="21"/>
      <c r="B816" s="21"/>
      <c r="C816" s="21"/>
    </row>
    <row r="817">
      <c r="A817" s="21"/>
      <c r="B817" s="21"/>
      <c r="C817" s="21"/>
    </row>
    <row r="818">
      <c r="A818" s="21"/>
      <c r="B818" s="21"/>
      <c r="C818" s="21"/>
    </row>
    <row r="819">
      <c r="A819" s="21"/>
      <c r="B819" s="21"/>
      <c r="C819" s="21"/>
    </row>
    <row r="820">
      <c r="A820" s="21"/>
      <c r="B820" s="21"/>
      <c r="C820" s="21"/>
    </row>
    <row r="821">
      <c r="A821" s="21"/>
      <c r="B821" s="21"/>
      <c r="C821" s="21"/>
    </row>
    <row r="822">
      <c r="A822" s="21"/>
      <c r="B822" s="21"/>
      <c r="C822" s="21"/>
    </row>
    <row r="823">
      <c r="A823" s="21"/>
      <c r="B823" s="21"/>
      <c r="C823" s="21"/>
    </row>
    <row r="824">
      <c r="A824" s="21"/>
      <c r="B824" s="21"/>
      <c r="C824" s="21"/>
    </row>
    <row r="825">
      <c r="A825" s="21"/>
      <c r="B825" s="21"/>
      <c r="C825" s="21"/>
    </row>
    <row r="826">
      <c r="A826" s="21"/>
      <c r="B826" s="21"/>
      <c r="C826" s="21"/>
    </row>
    <row r="827">
      <c r="A827" s="21"/>
      <c r="B827" s="21"/>
      <c r="C827" s="21"/>
    </row>
    <row r="828">
      <c r="A828" s="21"/>
      <c r="B828" s="21"/>
      <c r="C828" s="21"/>
    </row>
    <row r="829">
      <c r="A829" s="21"/>
      <c r="B829" s="21"/>
      <c r="C829" s="21"/>
    </row>
    <row r="830">
      <c r="A830" s="21"/>
      <c r="B830" s="21"/>
      <c r="C830" s="21"/>
    </row>
    <row r="831">
      <c r="A831" s="21"/>
      <c r="B831" s="21"/>
      <c r="C831" s="21"/>
    </row>
    <row r="832">
      <c r="A832" s="21"/>
      <c r="B832" s="21"/>
      <c r="C832" s="21"/>
    </row>
    <row r="833">
      <c r="A833" s="21"/>
      <c r="B833" s="21"/>
      <c r="C833" s="21"/>
    </row>
    <row r="834">
      <c r="A834" s="21"/>
      <c r="B834" s="21"/>
      <c r="C834" s="21"/>
    </row>
    <row r="835">
      <c r="A835" s="21"/>
      <c r="B835" s="21"/>
      <c r="C835" s="21"/>
    </row>
    <row r="836">
      <c r="A836" s="21"/>
      <c r="B836" s="21"/>
      <c r="C836" s="21"/>
    </row>
    <row r="837">
      <c r="A837" s="21"/>
      <c r="B837" s="21"/>
      <c r="C837" s="21"/>
    </row>
    <row r="838">
      <c r="A838" s="21"/>
      <c r="B838" s="21"/>
      <c r="C838" s="21"/>
    </row>
    <row r="839">
      <c r="A839" s="21"/>
      <c r="B839" s="21"/>
      <c r="C839" s="21"/>
    </row>
    <row r="840">
      <c r="A840" s="21"/>
      <c r="B840" s="21"/>
      <c r="C840" s="21"/>
    </row>
    <row r="841">
      <c r="A841" s="21"/>
      <c r="B841" s="21"/>
      <c r="C841" s="21"/>
    </row>
    <row r="842">
      <c r="A842" s="21"/>
      <c r="B842" s="21"/>
      <c r="C842" s="21"/>
    </row>
    <row r="843">
      <c r="A843" s="21"/>
      <c r="B843" s="21"/>
      <c r="C843" s="21"/>
    </row>
    <row r="844">
      <c r="A844" s="21"/>
      <c r="B844" s="21"/>
      <c r="C844" s="21"/>
    </row>
    <row r="845">
      <c r="A845" s="21"/>
      <c r="B845" s="21"/>
      <c r="C845" s="21"/>
    </row>
    <row r="846">
      <c r="A846" s="21"/>
      <c r="B846" s="21"/>
      <c r="C846" s="21"/>
    </row>
    <row r="847">
      <c r="A847" s="21"/>
      <c r="B847" s="21"/>
      <c r="C847" s="21"/>
    </row>
    <row r="848">
      <c r="A848" s="21"/>
      <c r="B848" s="21"/>
      <c r="C848" s="21"/>
    </row>
    <row r="849">
      <c r="A849" s="21"/>
      <c r="B849" s="21"/>
      <c r="C849" s="21"/>
    </row>
    <row r="850">
      <c r="A850" s="21"/>
      <c r="B850" s="21"/>
      <c r="C850" s="21"/>
    </row>
    <row r="851">
      <c r="A851" s="21"/>
      <c r="B851" s="21"/>
      <c r="C851" s="21"/>
    </row>
    <row r="852">
      <c r="A852" s="21"/>
      <c r="B852" s="21"/>
      <c r="C852" s="21"/>
    </row>
    <row r="853">
      <c r="A853" s="21"/>
      <c r="B853" s="21"/>
      <c r="C853" s="21"/>
    </row>
    <row r="854">
      <c r="A854" s="21"/>
      <c r="B854" s="21"/>
      <c r="C854" s="21"/>
    </row>
    <row r="855">
      <c r="A855" s="21"/>
      <c r="B855" s="21"/>
      <c r="C855" s="21"/>
    </row>
    <row r="856">
      <c r="A856" s="21"/>
      <c r="B856" s="21"/>
      <c r="C856" s="21"/>
    </row>
    <row r="857">
      <c r="A857" s="21"/>
      <c r="B857" s="21"/>
      <c r="C857" s="21"/>
    </row>
    <row r="858">
      <c r="A858" s="21"/>
      <c r="B858" s="21"/>
      <c r="C858" s="21"/>
    </row>
    <row r="859">
      <c r="A859" s="21"/>
      <c r="B859" s="21"/>
      <c r="C859" s="21"/>
    </row>
    <row r="860">
      <c r="A860" s="21"/>
      <c r="B860" s="21"/>
      <c r="C860" s="21"/>
    </row>
    <row r="861">
      <c r="A861" s="21"/>
      <c r="B861" s="21"/>
      <c r="C861" s="21"/>
    </row>
    <row r="862">
      <c r="A862" s="21"/>
      <c r="B862" s="21"/>
      <c r="C862" s="21"/>
    </row>
    <row r="863">
      <c r="A863" s="21"/>
      <c r="B863" s="21"/>
      <c r="C863" s="21"/>
    </row>
    <row r="864">
      <c r="A864" s="21"/>
      <c r="B864" s="21"/>
      <c r="C864" s="21"/>
    </row>
    <row r="865">
      <c r="A865" s="21"/>
      <c r="B865" s="21"/>
      <c r="C865" s="21"/>
    </row>
    <row r="866">
      <c r="A866" s="21"/>
      <c r="B866" s="21"/>
      <c r="C866" s="21"/>
    </row>
    <row r="867">
      <c r="A867" s="21"/>
      <c r="B867" s="21"/>
      <c r="C867" s="21"/>
    </row>
    <row r="868">
      <c r="A868" s="21"/>
      <c r="B868" s="21"/>
      <c r="C868" s="21"/>
    </row>
    <row r="869">
      <c r="A869" s="21"/>
      <c r="B869" s="21"/>
      <c r="C869" s="21"/>
    </row>
    <row r="870">
      <c r="A870" s="21"/>
      <c r="B870" s="21"/>
      <c r="C870" s="21"/>
    </row>
    <row r="871">
      <c r="A871" s="21"/>
      <c r="B871" s="21"/>
      <c r="C871" s="21"/>
    </row>
    <row r="872">
      <c r="A872" s="21"/>
      <c r="B872" s="21"/>
      <c r="C872" s="21"/>
    </row>
    <row r="873">
      <c r="A873" s="21"/>
      <c r="B873" s="21"/>
      <c r="C873" s="21"/>
    </row>
    <row r="874">
      <c r="A874" s="21"/>
      <c r="B874" s="21"/>
      <c r="C874" s="21"/>
    </row>
    <row r="875">
      <c r="A875" s="21"/>
      <c r="B875" s="21"/>
      <c r="C875" s="21"/>
    </row>
    <row r="876">
      <c r="A876" s="21"/>
      <c r="B876" s="21"/>
      <c r="C876" s="21"/>
    </row>
    <row r="877">
      <c r="A877" s="21"/>
      <c r="B877" s="21"/>
      <c r="C877" s="21"/>
    </row>
    <row r="878">
      <c r="A878" s="21"/>
      <c r="B878" s="21"/>
      <c r="C878" s="21"/>
    </row>
    <row r="879">
      <c r="A879" s="21"/>
      <c r="B879" s="21"/>
      <c r="C879" s="21"/>
    </row>
    <row r="880">
      <c r="A880" s="21"/>
      <c r="B880" s="21"/>
      <c r="C880" s="21"/>
    </row>
    <row r="881">
      <c r="A881" s="21"/>
      <c r="B881" s="21"/>
      <c r="C881" s="21"/>
    </row>
    <row r="882">
      <c r="A882" s="21"/>
      <c r="B882" s="21"/>
      <c r="C882" s="21"/>
    </row>
    <row r="883">
      <c r="A883" s="21"/>
      <c r="B883" s="21"/>
      <c r="C883" s="21"/>
    </row>
    <row r="884">
      <c r="A884" s="21"/>
      <c r="B884" s="21"/>
      <c r="C884" s="21"/>
    </row>
    <row r="885">
      <c r="A885" s="21"/>
      <c r="B885" s="21"/>
      <c r="C885" s="21"/>
    </row>
    <row r="886">
      <c r="A886" s="21"/>
      <c r="B886" s="21"/>
      <c r="C886" s="21"/>
    </row>
    <row r="887">
      <c r="A887" s="21"/>
      <c r="B887" s="21"/>
      <c r="C887" s="21"/>
    </row>
    <row r="888">
      <c r="A888" s="21"/>
      <c r="B888" s="21"/>
      <c r="C888" s="21"/>
    </row>
    <row r="889">
      <c r="A889" s="21"/>
      <c r="B889" s="21"/>
      <c r="C889" s="21"/>
    </row>
    <row r="890">
      <c r="A890" s="21"/>
      <c r="B890" s="21"/>
      <c r="C890" s="21"/>
    </row>
    <row r="891">
      <c r="A891" s="21"/>
      <c r="B891" s="21"/>
      <c r="C891" s="21"/>
    </row>
    <row r="892">
      <c r="A892" s="21"/>
      <c r="B892" s="21"/>
      <c r="C892" s="21"/>
    </row>
    <row r="893">
      <c r="A893" s="21"/>
      <c r="B893" s="21"/>
      <c r="C893" s="21"/>
    </row>
    <row r="894">
      <c r="A894" s="21"/>
      <c r="B894" s="21"/>
      <c r="C894" s="21"/>
    </row>
    <row r="895">
      <c r="A895" s="21"/>
      <c r="B895" s="21"/>
      <c r="C895" s="21"/>
    </row>
    <row r="896">
      <c r="A896" s="21"/>
      <c r="B896" s="21"/>
      <c r="C896" s="21"/>
    </row>
    <row r="897">
      <c r="A897" s="21"/>
      <c r="B897" s="21"/>
      <c r="C897" s="21"/>
    </row>
    <row r="898">
      <c r="A898" s="21"/>
      <c r="B898" s="21"/>
      <c r="C898" s="21"/>
    </row>
    <row r="899">
      <c r="A899" s="21"/>
      <c r="B899" s="21"/>
      <c r="C899" s="21"/>
    </row>
    <row r="900">
      <c r="A900" s="21"/>
      <c r="B900" s="21"/>
      <c r="C900" s="21"/>
    </row>
    <row r="901">
      <c r="A901" s="21"/>
      <c r="B901" s="21"/>
      <c r="C901" s="21"/>
    </row>
    <row r="902">
      <c r="A902" s="21"/>
      <c r="B902" s="21"/>
      <c r="C902" s="21"/>
    </row>
    <row r="903">
      <c r="A903" s="21"/>
      <c r="B903" s="21"/>
      <c r="C903" s="21"/>
    </row>
    <row r="904">
      <c r="A904" s="21"/>
      <c r="B904" s="21"/>
      <c r="C904" s="21"/>
    </row>
    <row r="905">
      <c r="A905" s="21"/>
      <c r="B905" s="21"/>
      <c r="C905" s="21"/>
    </row>
    <row r="906">
      <c r="A906" s="21"/>
      <c r="B906" s="21"/>
      <c r="C906" s="21"/>
    </row>
    <row r="907">
      <c r="A907" s="21"/>
      <c r="B907" s="21"/>
      <c r="C907" s="21"/>
    </row>
    <row r="908">
      <c r="A908" s="21"/>
      <c r="B908" s="21"/>
      <c r="C908" s="21"/>
    </row>
    <row r="909">
      <c r="A909" s="21"/>
      <c r="B909" s="21"/>
      <c r="C909" s="21"/>
    </row>
    <row r="910">
      <c r="A910" s="21"/>
      <c r="B910" s="21"/>
      <c r="C910" s="21"/>
    </row>
    <row r="911">
      <c r="A911" s="21"/>
      <c r="B911" s="21"/>
      <c r="C911" s="21"/>
    </row>
    <row r="912">
      <c r="A912" s="21"/>
      <c r="B912" s="21"/>
      <c r="C912" s="21"/>
    </row>
    <row r="913">
      <c r="A913" s="21"/>
      <c r="B913" s="21"/>
      <c r="C913" s="21"/>
    </row>
    <row r="914">
      <c r="A914" s="21"/>
      <c r="B914" s="21"/>
      <c r="C914" s="21"/>
    </row>
    <row r="915">
      <c r="A915" s="21"/>
      <c r="B915" s="21"/>
      <c r="C915" s="21"/>
    </row>
    <row r="916">
      <c r="A916" s="21"/>
      <c r="B916" s="21"/>
      <c r="C916" s="21"/>
    </row>
    <row r="917">
      <c r="A917" s="21"/>
      <c r="B917" s="21"/>
      <c r="C917" s="21"/>
    </row>
    <row r="918">
      <c r="A918" s="21"/>
      <c r="B918" s="21"/>
      <c r="C918" s="21"/>
    </row>
    <row r="919">
      <c r="A919" s="21"/>
      <c r="B919" s="21"/>
      <c r="C919" s="21"/>
    </row>
    <row r="920">
      <c r="A920" s="21"/>
      <c r="B920" s="21"/>
      <c r="C920" s="21"/>
    </row>
    <row r="921">
      <c r="A921" s="21"/>
      <c r="B921" s="21"/>
      <c r="C921" s="21"/>
    </row>
    <row r="922">
      <c r="A922" s="21"/>
      <c r="B922" s="21"/>
      <c r="C922" s="21"/>
    </row>
    <row r="923">
      <c r="A923" s="21"/>
      <c r="B923" s="21"/>
      <c r="C923" s="21"/>
    </row>
    <row r="924">
      <c r="A924" s="21"/>
      <c r="B924" s="21"/>
      <c r="C924" s="21"/>
    </row>
    <row r="925">
      <c r="A925" s="21"/>
      <c r="B925" s="21"/>
      <c r="C925" s="21"/>
    </row>
    <row r="926">
      <c r="A926" s="21"/>
      <c r="B926" s="21"/>
      <c r="C926" s="21"/>
    </row>
    <row r="927">
      <c r="A927" s="21"/>
      <c r="B927" s="21"/>
      <c r="C927" s="21"/>
    </row>
    <row r="928">
      <c r="A928" s="21"/>
      <c r="B928" s="21"/>
      <c r="C928" s="21"/>
    </row>
    <row r="929">
      <c r="A929" s="21"/>
      <c r="B929" s="21"/>
      <c r="C929" s="21"/>
    </row>
    <row r="930">
      <c r="A930" s="21"/>
      <c r="B930" s="21"/>
      <c r="C930" s="21"/>
    </row>
    <row r="931">
      <c r="A931" s="21"/>
      <c r="B931" s="21"/>
      <c r="C931" s="21"/>
    </row>
    <row r="932">
      <c r="A932" s="21"/>
      <c r="B932" s="21"/>
      <c r="C932" s="21"/>
    </row>
    <row r="933">
      <c r="A933" s="21"/>
      <c r="B933" s="21"/>
      <c r="C933" s="21"/>
    </row>
    <row r="934">
      <c r="A934" s="21"/>
      <c r="B934" s="21"/>
      <c r="C934" s="21"/>
    </row>
    <row r="935">
      <c r="A935" s="21"/>
      <c r="B935" s="21"/>
      <c r="C935" s="21"/>
    </row>
    <row r="936">
      <c r="A936" s="21"/>
      <c r="B936" s="21"/>
      <c r="C936" s="21"/>
    </row>
    <row r="937">
      <c r="A937" s="21"/>
      <c r="B937" s="21"/>
      <c r="C937" s="21"/>
    </row>
    <row r="938">
      <c r="A938" s="21"/>
      <c r="B938" s="21"/>
      <c r="C938" s="21"/>
    </row>
    <row r="939">
      <c r="A939" s="21"/>
      <c r="B939" s="21"/>
      <c r="C939" s="21"/>
    </row>
    <row r="940">
      <c r="A940" s="21"/>
      <c r="B940" s="21"/>
      <c r="C940" s="21"/>
    </row>
    <row r="941">
      <c r="A941" s="21"/>
      <c r="B941" s="21"/>
      <c r="C941" s="21"/>
    </row>
    <row r="942">
      <c r="A942" s="21"/>
      <c r="B942" s="21"/>
      <c r="C942" s="21"/>
    </row>
    <row r="943">
      <c r="A943" s="21"/>
      <c r="B943" s="21"/>
      <c r="C943" s="21"/>
    </row>
    <row r="944">
      <c r="A944" s="21"/>
      <c r="B944" s="21"/>
      <c r="C944" s="21"/>
    </row>
    <row r="945">
      <c r="A945" s="21"/>
      <c r="B945" s="21"/>
      <c r="C945" s="21"/>
    </row>
    <row r="946">
      <c r="A946" s="21"/>
      <c r="B946" s="21"/>
      <c r="C946" s="21"/>
    </row>
    <row r="947">
      <c r="A947" s="21"/>
      <c r="B947" s="21"/>
      <c r="C947" s="21"/>
    </row>
    <row r="948">
      <c r="A948" s="21"/>
      <c r="B948" s="21"/>
      <c r="C948" s="21"/>
    </row>
    <row r="949">
      <c r="A949" s="21"/>
      <c r="B949" s="21"/>
      <c r="C949" s="21"/>
    </row>
    <row r="950">
      <c r="A950" s="21"/>
      <c r="B950" s="21"/>
      <c r="C950" s="21"/>
    </row>
    <row r="951">
      <c r="A951" s="21"/>
      <c r="B951" s="21"/>
      <c r="C951" s="21"/>
    </row>
    <row r="952">
      <c r="A952" s="21"/>
      <c r="B952" s="21"/>
      <c r="C952" s="21"/>
    </row>
    <row r="953">
      <c r="A953" s="21"/>
      <c r="B953" s="21"/>
      <c r="C953" s="21"/>
    </row>
    <row r="954">
      <c r="A954" s="21"/>
      <c r="B954" s="21"/>
      <c r="C954" s="21"/>
    </row>
    <row r="955">
      <c r="A955" s="21"/>
      <c r="B955" s="21"/>
      <c r="C955" s="21"/>
    </row>
    <row r="956">
      <c r="A956" s="21"/>
      <c r="B956" s="21"/>
      <c r="C956" s="21"/>
    </row>
    <row r="957">
      <c r="A957" s="21"/>
      <c r="B957" s="21"/>
      <c r="C957" s="21"/>
    </row>
    <row r="958">
      <c r="A958" s="21"/>
      <c r="B958" s="21"/>
      <c r="C958" s="21"/>
    </row>
    <row r="959">
      <c r="A959" s="21"/>
      <c r="B959" s="21"/>
      <c r="C959" s="21"/>
    </row>
    <row r="960">
      <c r="A960" s="21"/>
      <c r="B960" s="21"/>
      <c r="C960" s="21"/>
    </row>
    <row r="961">
      <c r="A961" s="21"/>
      <c r="B961" s="21"/>
      <c r="C961" s="21"/>
    </row>
    <row r="962">
      <c r="A962" s="21"/>
      <c r="B962" s="21"/>
      <c r="C962" s="21"/>
    </row>
    <row r="963">
      <c r="A963" s="21"/>
      <c r="B963" s="21"/>
      <c r="C963" s="21"/>
    </row>
  </sheetData>
  <mergeCells count="10">
    <mergeCell ref="D10:E10"/>
    <mergeCell ref="D11:E11"/>
    <mergeCell ref="D12:F31"/>
    <mergeCell ref="D1:F1"/>
    <mergeCell ref="G1:K1"/>
    <mergeCell ref="D2:F3"/>
    <mergeCell ref="D4:F5"/>
    <mergeCell ref="D6:F7"/>
    <mergeCell ref="D8:E8"/>
    <mergeCell ref="D9:E9"/>
  </mergeCells>
  <conditionalFormatting sqref="H3:K18">
    <cfRule type="cellIs" dxfId="10" priority="1" operator="equal">
      <formula>"100%"</formula>
    </cfRule>
  </conditionalFormatting>
  <conditionalFormatting sqref="H3:K18">
    <cfRule type="cellIs" dxfId="11" priority="2" operator="greaterThan">
      <formula>"100%"</formula>
    </cfRule>
  </conditionalFormatting>
  <conditionalFormatting sqref="H3:K18">
    <cfRule type="cellIs" dxfId="12" priority="3" operator="between">
      <formula>"80%"</formula>
      <formula>"90%"</formula>
    </cfRule>
  </conditionalFormatting>
  <conditionalFormatting sqref="H3:K18">
    <cfRule type="cellIs" dxfId="13" priority="4" operator="between">
      <formula>"50%"</formula>
      <formula>"79.90%"</formula>
    </cfRule>
  </conditionalFormatting>
  <conditionalFormatting sqref="H3:K18">
    <cfRule type="cellIs" dxfId="14" priority="5" operator="lessThan">
      <formula>"50%"</formula>
    </cfRule>
  </conditionalFormatting>
  <conditionalFormatting sqref="H3:K18">
    <cfRule type="cellIs" dxfId="12" priority="6" operator="between">
      <formula>"90%"</formula>
      <formula>"99.50%"</formula>
    </cfRule>
  </conditionalFormatting>
  <dataValidations>
    <dataValidation type="list" allowBlank="1" showErrorMessage="1" sqref="D4">
      <formula1>"默认,疯子,法师,胖墩,和平主义者,幽灵,工程师,猎人,公牛,近战流派,远程流派,元素流派,独臂"</formula1>
    </dataValidation>
    <dataValidation type="list" allowBlank="1" showErrorMessage="1" sqref="D6">
      <formula1>"相比当前价格%的效率,相比100%定价的效率"</formula1>
    </dataValidation>
    <dataValidation type="list" allowBlank="1" showErrorMessage="1" sqref="D2">
      <formula1>"ArosRising 数值,一级、二、三级升级的平均值,一级升级"</formula1>
    </dataValidation>
  </dataValidations>
  <drawing r:id="rId2"/>
  <legacyDrawing r:id="rId3"/>
  <tableParts count="2">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6.0"/>
    <col customWidth="1" min="2" max="3" width="7.5"/>
    <col customWidth="1" min="4" max="4" width="14.0"/>
    <col customWidth="1" min="5" max="5" width="15.63"/>
    <col customWidth="1" min="6" max="6" width="13.88"/>
    <col customWidth="1" min="7" max="7" width="42.38"/>
    <col customWidth="1" min="8" max="8" width="11.88"/>
    <col customWidth="1" min="9" max="9" width="12.63"/>
    <col customWidth="1" min="10" max="10" width="12.0"/>
    <col customWidth="1" min="11" max="11" width="12.5"/>
    <col customWidth="1" min="12" max="12" width="9.13"/>
    <col customWidth="1" min="13" max="13" width="14.5"/>
    <col customWidth="1" min="14" max="14" width="8.0"/>
    <col customWidth="1" min="15" max="15" width="13.13"/>
    <col customWidth="1" min="16" max="16" width="9.75"/>
    <col customWidth="1" min="17" max="17" width="10.25"/>
    <col customWidth="1" min="18" max="18" width="9.75"/>
    <col customWidth="1" min="19" max="19" width="12.88"/>
    <col customWidth="1" min="20" max="20" width="15.88"/>
    <col customWidth="1" min="21" max="21" width="12.5"/>
    <col customWidth="1" min="22" max="22" width="52.63"/>
    <col customWidth="1" min="23" max="23" width="11.13"/>
    <col customWidth="1" min="24" max="24" width="13.5"/>
    <col customWidth="1" min="25" max="25" width="11.88"/>
    <col customWidth="1" min="26" max="26" width="14.0"/>
    <col customWidth="1" min="27" max="27" width="11.63"/>
    <col customWidth="1" min="28" max="32" width="7.63"/>
  </cols>
  <sheetData>
    <row r="1">
      <c r="A1" s="2" t="s">
        <v>1</v>
      </c>
      <c r="B1" s="2" t="s">
        <v>2</v>
      </c>
      <c r="C1" s="3" t="s">
        <v>4</v>
      </c>
      <c r="D1" s="5" t="s">
        <v>6</v>
      </c>
      <c r="E1" s="5" t="s">
        <v>7</v>
      </c>
      <c r="F1" s="7" t="s">
        <v>9</v>
      </c>
      <c r="G1" s="3" t="s">
        <v>11</v>
      </c>
      <c r="H1" s="10" t="s">
        <v>13</v>
      </c>
      <c r="I1" s="11" t="s">
        <v>16</v>
      </c>
      <c r="J1" s="13" t="s">
        <v>17</v>
      </c>
      <c r="K1" s="13" t="s">
        <v>18</v>
      </c>
      <c r="L1" s="13" t="s">
        <v>20</v>
      </c>
      <c r="M1" s="13" t="s">
        <v>21</v>
      </c>
      <c r="N1" s="13" t="s">
        <v>22</v>
      </c>
      <c r="O1" s="14" t="s">
        <v>23</v>
      </c>
      <c r="P1" s="13" t="s">
        <v>25</v>
      </c>
      <c r="Q1" s="14" t="s">
        <v>26</v>
      </c>
      <c r="R1" s="14" t="s">
        <v>28</v>
      </c>
      <c r="S1" s="13" t="s">
        <v>29</v>
      </c>
      <c r="T1" s="13" t="s">
        <v>30</v>
      </c>
      <c r="U1" s="13" t="s">
        <v>32</v>
      </c>
      <c r="V1" s="16" t="s">
        <v>33</v>
      </c>
      <c r="W1" s="17" t="s">
        <v>34</v>
      </c>
      <c r="X1" s="17" t="s">
        <v>36</v>
      </c>
      <c r="Y1" s="17" t="s">
        <v>37</v>
      </c>
      <c r="Z1" s="18"/>
      <c r="AA1" s="22"/>
      <c r="AB1" s="18"/>
      <c r="AC1" s="18"/>
      <c r="AD1" s="18"/>
      <c r="AE1" s="18"/>
      <c r="AF1" s="18"/>
    </row>
    <row r="2">
      <c r="A2" s="24" t="s">
        <v>39</v>
      </c>
      <c r="B2" s="25">
        <v>2.0</v>
      </c>
      <c r="C2" s="27" t="s">
        <v>41</v>
      </c>
      <c r="D2" s="28">
        <v>65.0</v>
      </c>
      <c r="E2" s="28">
        <f>ROUNDDOWN(Shop_Endless_Factor*Shop_Price_Modifier*(D2*Shop_Weapon_Price+(0.1*D2*Shop_Weapon_Price+1)*(Shop_Wave)),0)</f>
        <v>140</v>
      </c>
      <c r="F2" s="37">
        <f>IF('数值设定'!$D$4="默认",S2,S2)</f>
        <v>3.119859532</v>
      </c>
      <c r="G2" s="27" t="s">
        <v>50</v>
      </c>
      <c r="H2" s="35" t="s">
        <v>52</v>
      </c>
      <c r="I2" s="39" t="s">
        <v>53</v>
      </c>
      <c r="J2" s="17">
        <f>IFerror(8/Shop_Max_HP,0)</f>
        <v>2.666666667</v>
      </c>
      <c r="K2" s="35" t="s">
        <v>59</v>
      </c>
      <c r="L2" s="17">
        <f>IFERROR(-2/Shop_Dodge,0)</f>
        <v>-0.6666666667</v>
      </c>
      <c r="M2" s="17"/>
      <c r="N2" s="17"/>
      <c r="O2" s="17"/>
      <c r="P2" s="17"/>
      <c r="Q2" s="17"/>
      <c r="R2" s="17"/>
      <c r="S2" s="17">
        <f>Shop_Inflated_Price*W2/$E2*100</f>
        <v>3.119859532</v>
      </c>
      <c r="T2" s="17">
        <f>Shop_Inflated_Price*X2/$E2*100</f>
        <v>4.15981271</v>
      </c>
      <c r="U2" s="17"/>
      <c r="V2" s="47"/>
      <c r="W2" s="17">
        <f t="shared" ref="W2:W4" si="1">J2+L2+N2+P2</f>
        <v>2</v>
      </c>
      <c r="X2" s="17">
        <f>J2</f>
        <v>2.666666667</v>
      </c>
      <c r="Y2" s="17"/>
      <c r="Z2" s="18"/>
      <c r="AA2" s="22"/>
      <c r="AB2" s="18"/>
      <c r="AC2" s="18"/>
      <c r="AD2" s="18"/>
      <c r="AE2" s="18"/>
      <c r="AF2" s="18"/>
    </row>
    <row r="3">
      <c r="A3" s="50" t="s">
        <v>63</v>
      </c>
      <c r="B3" s="27">
        <v>3.0</v>
      </c>
      <c r="C3" s="27" t="s">
        <v>41</v>
      </c>
      <c r="D3" s="51">
        <v>60.0</v>
      </c>
      <c r="E3" s="28">
        <f>ROUNDDOWN(Shop_Endless_Factor*Shop_Price_Modifier*(D3*Shop_Weapon_Price+(0.1*D3*Shop_Weapon_Price+1)*(Shop_Wave)),0)</f>
        <v>130</v>
      </c>
      <c r="F3" s="53">
        <f>IF('数值设定'!$D$4="默认",T3,S3)</f>
        <v>2.799873939</v>
      </c>
      <c r="G3" s="27" t="s">
        <v>69</v>
      </c>
      <c r="H3" s="35" t="s">
        <v>70</v>
      </c>
      <c r="I3" s="35" t="s">
        <v>71</v>
      </c>
      <c r="J3" s="17">
        <f>IFERROR(5/Shop_Dodge,0)</f>
        <v>1.666666667</v>
      </c>
      <c r="K3" s="27"/>
      <c r="L3" s="17"/>
      <c r="M3" s="17"/>
      <c r="N3" s="17"/>
      <c r="O3" s="17"/>
      <c r="P3" s="17"/>
      <c r="Q3" s="17"/>
      <c r="R3" s="17"/>
      <c r="S3" s="17">
        <f>Shop_Inflated_Price*W3/$E3*100</f>
        <v>2.799873939</v>
      </c>
      <c r="T3" s="17">
        <f>Shop_Inflated_Price*X3/$E3*100</f>
        <v>2.799873939</v>
      </c>
      <c r="U3" s="17"/>
      <c r="V3" s="54"/>
      <c r="W3" s="17">
        <f t="shared" si="1"/>
        <v>1.666666667</v>
      </c>
      <c r="X3" s="17">
        <f>J3+L3</f>
        <v>1.666666667</v>
      </c>
      <c r="Y3" s="17"/>
      <c r="Z3" s="18"/>
      <c r="AA3" s="18"/>
      <c r="AB3" s="18"/>
      <c r="AC3" s="18"/>
      <c r="AD3" s="18"/>
      <c r="AE3" s="18"/>
      <c r="AF3" s="18"/>
    </row>
    <row r="4">
      <c r="A4" s="50" t="s">
        <v>76</v>
      </c>
      <c r="B4" s="27">
        <v>3.0</v>
      </c>
      <c r="C4" s="27" t="s">
        <v>41</v>
      </c>
      <c r="D4" s="51">
        <v>80.0</v>
      </c>
      <c r="E4" s="28">
        <f>ROUNDDOWN(Shop_Endless_Factor*Shop_Price_Modifier*(D4*Shop_Weapon_Price+(0.1*D4*Shop_Weapon_Price+1)*(Shop_Wave)),0)</f>
        <v>170</v>
      </c>
      <c r="F4" s="56">
        <f>IF('数值设定'!$D$4="默认",S4,S4)</f>
        <v>6.423240214</v>
      </c>
      <c r="G4" s="27" t="s">
        <v>79</v>
      </c>
      <c r="H4" s="35" t="s">
        <v>80</v>
      </c>
      <c r="I4" s="39" t="s">
        <v>81</v>
      </c>
      <c r="J4" s="17">
        <f>IFerror(15/Shop_Max_HP,0)</f>
        <v>5</v>
      </c>
      <c r="K4" s="17"/>
      <c r="L4" s="17"/>
      <c r="M4" s="17"/>
      <c r="N4" s="17"/>
      <c r="O4" s="17"/>
      <c r="P4" s="17"/>
      <c r="Q4" s="17"/>
      <c r="R4" s="17"/>
      <c r="S4" s="17">
        <f>Shop_Inflated_Price*W4/$E4*100</f>
        <v>6.423240214</v>
      </c>
      <c r="T4" s="17">
        <f>Shop_Inflated_Price*X4/$E4*100</f>
        <v>6.423240214</v>
      </c>
      <c r="U4" s="17"/>
      <c r="V4" s="47"/>
      <c r="W4" s="17">
        <f t="shared" si="1"/>
        <v>5</v>
      </c>
      <c r="X4" s="17">
        <f>J4+L4+N4</f>
        <v>5</v>
      </c>
      <c r="Y4" s="17"/>
      <c r="Z4" s="18"/>
      <c r="AA4" s="18"/>
      <c r="AB4" s="18"/>
      <c r="AC4" s="18"/>
      <c r="AD4" s="18"/>
      <c r="AE4" s="18"/>
      <c r="AF4" s="18"/>
    </row>
    <row r="5">
      <c r="A5" s="50" t="s">
        <v>87</v>
      </c>
      <c r="B5" s="27">
        <v>2.0</v>
      </c>
      <c r="C5" s="27" t="s">
        <v>41</v>
      </c>
      <c r="D5" s="51">
        <v>50.0</v>
      </c>
      <c r="E5" s="28">
        <f>ROUNDDOWN(Shop_Endless_Factor*Shop_Price_Modifier*(D5*Shop_Weapon_Price+(0.1*D5*Shop_Weapon_Price+1)*(Shop_Wave)),0)</f>
        <v>110</v>
      </c>
      <c r="F5" s="58" t="str">
        <f>S5</f>
        <v/>
      </c>
      <c r="G5" s="27" t="s">
        <v>88</v>
      </c>
      <c r="H5" s="35" t="s">
        <v>89</v>
      </c>
      <c r="I5" s="59"/>
      <c r="J5" s="17"/>
      <c r="K5" s="27"/>
      <c r="L5" s="17"/>
      <c r="M5" s="17"/>
      <c r="N5" s="17"/>
      <c r="O5" s="17"/>
      <c r="P5" s="17"/>
      <c r="Q5" s="17"/>
      <c r="R5" s="17"/>
      <c r="S5" s="17"/>
      <c r="T5" s="17"/>
      <c r="U5" s="17"/>
      <c r="V5" s="47"/>
      <c r="W5" s="17"/>
      <c r="X5" s="17"/>
      <c r="Y5" s="17"/>
      <c r="Z5" s="18"/>
      <c r="AA5" s="18"/>
      <c r="AB5" s="18"/>
      <c r="AC5" s="18"/>
      <c r="AD5" s="18"/>
      <c r="AE5" s="18"/>
      <c r="AF5" s="18"/>
    </row>
    <row r="6">
      <c r="A6" s="24" t="s">
        <v>92</v>
      </c>
      <c r="B6" s="25">
        <v>3.0</v>
      </c>
      <c r="C6" s="27" t="s">
        <v>41</v>
      </c>
      <c r="D6" s="28">
        <v>85.0</v>
      </c>
      <c r="E6" s="28">
        <f>ROUNDDOWN(Shop_Endless_Factor*Shop_Price_Modifier*(D6*Shop_Weapon_Price+(0.1*D6*Shop_Weapon_Price+1)*(Shop_Wave)),0)</f>
        <v>180</v>
      </c>
      <c r="F6" s="63">
        <f>IF('数值设定'!$D$4="默认",S6,S6)</f>
        <v>3.761163992</v>
      </c>
      <c r="G6" s="25"/>
      <c r="H6" s="35" t="s">
        <v>97</v>
      </c>
      <c r="I6" s="39" t="s">
        <v>53</v>
      </c>
      <c r="J6" s="17">
        <f>IFerror(8/Shop_Max_HP,0)</f>
        <v>2.666666667</v>
      </c>
      <c r="K6" s="64" t="s">
        <v>98</v>
      </c>
      <c r="L6" s="17">
        <f>IFERROR(3/Shop_HP_Regen,0)</f>
        <v>1.5</v>
      </c>
      <c r="M6" s="17" t="s">
        <v>102</v>
      </c>
      <c r="N6" s="17">
        <f>IFERROR(-8/Shop_Luck,0)</f>
        <v>-1.066666667</v>
      </c>
      <c r="O6" s="17"/>
      <c r="P6" s="17"/>
      <c r="Q6" s="17"/>
      <c r="R6" s="17"/>
      <c r="S6" s="17">
        <f>Shop_Inflated_Price*W6/$E6*100</f>
        <v>3.761163992</v>
      </c>
      <c r="T6" s="17">
        <f>Shop_Inflated_Price*X6/$E6*100</f>
        <v>5.055327946</v>
      </c>
      <c r="U6" s="17"/>
      <c r="V6" s="67"/>
      <c r="W6" s="17">
        <f>J6+L6+N6+P6</f>
        <v>3.1</v>
      </c>
      <c r="X6" s="17">
        <f>J6+L6</f>
        <v>4.166666667</v>
      </c>
      <c r="Y6" s="17"/>
      <c r="Z6" s="18"/>
      <c r="AA6" s="18"/>
      <c r="AB6" s="18"/>
      <c r="AC6" s="18"/>
      <c r="AD6" s="18"/>
      <c r="AE6" s="18"/>
      <c r="AF6" s="18"/>
    </row>
    <row r="7">
      <c r="A7" s="50" t="s">
        <v>108</v>
      </c>
      <c r="B7" s="27">
        <v>1.0</v>
      </c>
      <c r="C7" s="27" t="s">
        <v>41</v>
      </c>
      <c r="D7" s="51">
        <v>25.0</v>
      </c>
      <c r="E7" s="28">
        <f>ROUNDDOWN(Shop_Endless_Factor*Shop_Price_Modifier*(D7*Shop_Weapon_Price+(0.1*D7*Shop_Weapon_Price+1)*(Shop_Wave)),0)</f>
        <v>60</v>
      </c>
      <c r="F7" s="75"/>
      <c r="G7" s="27" t="s">
        <v>88</v>
      </c>
      <c r="H7" s="35" t="s">
        <v>89</v>
      </c>
      <c r="I7" s="59"/>
      <c r="J7" s="17"/>
      <c r="K7" s="27"/>
      <c r="L7" s="17"/>
      <c r="M7" s="17"/>
      <c r="N7" s="17"/>
      <c r="O7" s="17"/>
      <c r="P7" s="17"/>
      <c r="Q7" s="17"/>
      <c r="R7" s="17"/>
      <c r="S7" s="17"/>
      <c r="T7" s="17"/>
      <c r="U7" s="17"/>
      <c r="V7" s="47"/>
      <c r="W7" s="17"/>
      <c r="X7" s="17"/>
      <c r="Y7" s="17"/>
      <c r="Z7" s="18"/>
      <c r="AA7" s="18"/>
      <c r="AB7" s="18"/>
      <c r="AC7" s="18"/>
      <c r="AD7" s="18"/>
      <c r="AE7" s="18"/>
      <c r="AF7" s="18"/>
    </row>
    <row r="8">
      <c r="A8" s="50" t="s">
        <v>114</v>
      </c>
      <c r="B8" s="27">
        <v>1.0</v>
      </c>
      <c r="C8" s="27" t="s">
        <v>41</v>
      </c>
      <c r="D8" s="51">
        <v>15.0</v>
      </c>
      <c r="E8" s="28">
        <f>ROUNDDOWN(Shop_Endless_Factor*Shop_Price_Modifier*(D8*Shop_Weapon_Price+(0.1*D8*Shop_Weapon_Price+1)*(Shop_Wave)),0)</f>
        <v>40</v>
      </c>
      <c r="F8" s="53">
        <f>IF('数值设定'!$D$4="默认",T8,S8)</f>
        <v>10.91950836</v>
      </c>
      <c r="G8" s="27" t="s">
        <v>117</v>
      </c>
      <c r="H8" s="35" t="s">
        <v>80</v>
      </c>
      <c r="I8" s="39" t="s">
        <v>118</v>
      </c>
      <c r="J8" s="17">
        <f>IFerror(3/Shop_Max_HP,0)</f>
        <v>1</v>
      </c>
      <c r="K8" s="35" t="s">
        <v>119</v>
      </c>
      <c r="L8" s="17">
        <f>IFERROR(2/Shop_HP_Regen,0)</f>
        <v>1</v>
      </c>
      <c r="M8" s="17"/>
      <c r="N8" s="17"/>
      <c r="O8" s="17"/>
      <c r="P8" s="17"/>
      <c r="Q8" s="17"/>
      <c r="R8" s="17"/>
      <c r="S8" s="17">
        <f>Shop_Inflated_Price*W8/$E8*100</f>
        <v>10.91950836</v>
      </c>
      <c r="T8" s="17">
        <f>Shop_Inflated_Price*X8/$E8*100</f>
        <v>10.91950836</v>
      </c>
      <c r="U8" s="17"/>
      <c r="V8" s="54"/>
      <c r="W8" s="17">
        <f>J8+L8+N8+P8</f>
        <v>2</v>
      </c>
      <c r="X8" s="17">
        <f>J8+L8</f>
        <v>2</v>
      </c>
      <c r="Y8" s="17"/>
      <c r="Z8" s="18"/>
      <c r="AA8" s="18"/>
      <c r="AB8" s="18"/>
      <c r="AC8" s="18"/>
      <c r="AD8" s="18"/>
      <c r="AE8" s="18"/>
      <c r="AF8" s="18"/>
    </row>
    <row r="9">
      <c r="A9" s="50" t="s">
        <v>129</v>
      </c>
      <c r="B9" s="27">
        <v>3.0</v>
      </c>
      <c r="C9" s="27" t="s">
        <v>41</v>
      </c>
      <c r="D9" s="51">
        <v>80.0</v>
      </c>
      <c r="E9" s="28">
        <f>ROUNDDOWN(Shop_Endless_Factor*Shop_Price_Modifier*(D9*Shop_Weapon_Price+(0.1*D9*Shop_Weapon_Price+1)*(Shop_Wave)),0)</f>
        <v>170</v>
      </c>
      <c r="F9" s="63">
        <f>IF('数值设定'!$D$4="默认",U9,S9)</f>
        <v>3.425728114</v>
      </c>
      <c r="G9" s="27" t="s">
        <v>132</v>
      </c>
      <c r="H9" s="35" t="s">
        <v>97</v>
      </c>
      <c r="I9" s="39" t="s">
        <v>133</v>
      </c>
      <c r="J9" s="17">
        <f>IFerror(3/Shop_Melee_Dmg,0)</f>
        <v>1.5</v>
      </c>
      <c r="K9" s="64" t="s">
        <v>134</v>
      </c>
      <c r="L9" s="17">
        <f>IFERROR(3/Shop_Ranged_Dmg,0)</f>
        <v>3</v>
      </c>
      <c r="M9" s="64" t="s">
        <v>135</v>
      </c>
      <c r="N9" s="17">
        <f>IFERROR(-6/Shop_Dodge,0)</f>
        <v>-2</v>
      </c>
      <c r="O9" s="35" t="s">
        <v>136</v>
      </c>
      <c r="P9" s="17">
        <f>IFERROR(5/Shop_Crit,0)</f>
        <v>1.666666667</v>
      </c>
      <c r="Q9" s="35" t="s">
        <v>137</v>
      </c>
      <c r="R9" s="17">
        <f>IFERROR(3/Shop_Engineering+2/Shop_Elemental_DMG,0)</f>
        <v>4</v>
      </c>
      <c r="S9" s="17">
        <f>Shop_Inflated_Price*W9/$E9*100</f>
        <v>10.49129235</v>
      </c>
      <c r="T9" s="17">
        <f>Shop_Inflated_Price*X9/$E9*100</f>
        <v>13.06058843</v>
      </c>
      <c r="U9" s="17">
        <f>Shop_Inflated_Price*Y9/$E9*100</f>
        <v>3.425728114</v>
      </c>
      <c r="V9" s="87" t="s">
        <v>140</v>
      </c>
      <c r="W9" s="17">
        <f t="shared" ref="W9:W10" si="2">J9+L9+N9+P9+R9</f>
        <v>8.166666667</v>
      </c>
      <c r="X9" s="17">
        <f>J9+L9+R9+P9</f>
        <v>10.16666667</v>
      </c>
      <c r="Y9" s="17">
        <f>L9+P9+N9</f>
        <v>2.666666667</v>
      </c>
      <c r="Z9" s="18"/>
      <c r="AA9" s="18"/>
      <c r="AB9" s="18"/>
      <c r="AC9" s="18"/>
      <c r="AD9" s="18"/>
      <c r="AE9" s="18"/>
      <c r="AF9" s="18"/>
    </row>
    <row r="10">
      <c r="A10" s="50" t="s">
        <v>142</v>
      </c>
      <c r="B10" s="27">
        <v>4.0</v>
      </c>
      <c r="C10" s="27" t="s">
        <v>41</v>
      </c>
      <c r="D10" s="51">
        <v>120.0</v>
      </c>
      <c r="E10" s="28">
        <f>ROUNDDOWN(Shop_Endless_Factor*Shop_Price_Modifier*(D10*Shop_Weapon_Price+(0.1*D10*Shop_Weapon_Price+1)*(Shop_Wave)),0)</f>
        <v>250</v>
      </c>
      <c r="F10" s="63">
        <f>IF('数值设定'!$D$4="默认",S10,S10)</f>
        <v>17.47121338</v>
      </c>
      <c r="G10" s="27" t="s">
        <v>144</v>
      </c>
      <c r="H10" s="35" t="s">
        <v>145</v>
      </c>
      <c r="I10" s="39" t="s">
        <v>146</v>
      </c>
      <c r="J10" s="17">
        <f>IFerror(2*(20-'数值设定'!$D$9)/Shop_Armor,0)</f>
        <v>20</v>
      </c>
      <c r="K10" s="27"/>
      <c r="L10" s="17"/>
      <c r="M10" s="17"/>
      <c r="N10" s="17"/>
      <c r="O10" s="17"/>
      <c r="P10" s="17"/>
      <c r="Q10" s="17"/>
      <c r="R10" s="17"/>
      <c r="S10" s="17">
        <f>Shop_Inflated_Price*W10/$E10*100</f>
        <v>17.47121338</v>
      </c>
      <c r="T10" s="17">
        <f>Shop_Inflated_Price*X10/$E10*100</f>
        <v>17.47121338</v>
      </c>
      <c r="U10" s="17"/>
      <c r="V10" s="54"/>
      <c r="W10" s="17">
        <f t="shared" si="2"/>
        <v>20</v>
      </c>
      <c r="X10" s="17">
        <f>J10+L10+N10+P10</f>
        <v>20</v>
      </c>
      <c r="Y10" s="17"/>
      <c r="Z10" s="18"/>
      <c r="AA10" s="18"/>
      <c r="AB10" s="18"/>
      <c r="AC10" s="18"/>
      <c r="AD10" s="18"/>
      <c r="AE10" s="18"/>
      <c r="AF10" s="18"/>
    </row>
    <row r="11">
      <c r="A11" s="50" t="s">
        <v>148</v>
      </c>
      <c r="B11" s="27">
        <v>1.0</v>
      </c>
      <c r="C11" s="27" t="s">
        <v>41</v>
      </c>
      <c r="D11" s="51">
        <v>22.0</v>
      </c>
      <c r="E11" s="28">
        <f>ROUNDDOWN(Shop_Endless_Factor*Shop_Price_Modifier*(D11*Shop_Weapon_Price+(0.1*D11*Shop_Weapon_Price+1)*(Shop_Wave)),0)</f>
        <v>54</v>
      </c>
      <c r="F11" s="58"/>
      <c r="G11" s="27" t="s">
        <v>150</v>
      </c>
      <c r="H11" s="35" t="s">
        <v>89</v>
      </c>
      <c r="I11" s="59"/>
      <c r="J11" s="17"/>
      <c r="K11" s="27"/>
      <c r="L11" s="17"/>
      <c r="M11" s="35" t="s">
        <v>151</v>
      </c>
      <c r="N11" s="17">
        <f>IFERROR(3/Shop_Engineering,0)</f>
        <v>2</v>
      </c>
      <c r="O11" s="17"/>
      <c r="P11" s="17"/>
      <c r="Q11" s="17"/>
      <c r="R11" s="17"/>
      <c r="S11" s="17"/>
      <c r="T11" s="17"/>
      <c r="U11" s="17"/>
      <c r="V11" s="54"/>
      <c r="W11" s="17"/>
      <c r="X11" s="17"/>
      <c r="Y11" s="17"/>
      <c r="Z11" s="18"/>
      <c r="AA11" s="18"/>
      <c r="AB11" s="18"/>
      <c r="AC11" s="18"/>
      <c r="AD11" s="18"/>
      <c r="AE11" s="18"/>
      <c r="AF11" s="18"/>
    </row>
    <row r="12">
      <c r="A12" s="50" t="s">
        <v>152</v>
      </c>
      <c r="B12" s="27">
        <v>1.0</v>
      </c>
      <c r="C12" s="27" t="s">
        <v>41</v>
      </c>
      <c r="D12" s="51">
        <v>18.0</v>
      </c>
      <c r="E12" s="28">
        <f>ROUNDDOWN(Shop_Endless_Factor*Shop_Price_Modifier*(D12*Shop_Weapon_Price+(0.1*D12*Shop_Weapon_Price+1)*(Shop_Wave)),0)</f>
        <v>46</v>
      </c>
      <c r="F12" s="58"/>
      <c r="G12" s="27" t="s">
        <v>150</v>
      </c>
      <c r="H12" s="35" t="s">
        <v>89</v>
      </c>
      <c r="I12" s="59"/>
      <c r="J12" s="17"/>
      <c r="K12" s="27"/>
      <c r="L12" s="17"/>
      <c r="M12" s="17"/>
      <c r="N12" s="17"/>
      <c r="O12" s="17"/>
      <c r="P12" s="17"/>
      <c r="Q12" s="17"/>
      <c r="R12" s="17"/>
      <c r="S12" s="17"/>
      <c r="T12" s="17"/>
      <c r="U12" s="17"/>
      <c r="V12" s="47"/>
      <c r="W12" s="17"/>
      <c r="X12" s="17"/>
      <c r="Y12" s="17"/>
      <c r="Z12" s="18"/>
      <c r="AA12" s="18"/>
      <c r="AB12" s="18"/>
      <c r="AC12" s="18"/>
      <c r="AD12" s="18"/>
      <c r="AE12" s="18"/>
      <c r="AF12" s="18"/>
    </row>
    <row r="13">
      <c r="A13" s="50" t="s">
        <v>153</v>
      </c>
      <c r="B13" s="27">
        <v>3.0</v>
      </c>
      <c r="C13" s="27" t="s">
        <v>41</v>
      </c>
      <c r="D13" s="51">
        <v>100.0</v>
      </c>
      <c r="E13" s="28">
        <f>ROUNDDOWN(Shop_Endless_Factor*Shop_Price_Modifier*(D13*Shop_Weapon_Price+(0.1*D13*Shop_Weapon_Price+1)*(Shop_Wave)),0)</f>
        <v>210</v>
      </c>
      <c r="F13" s="58"/>
      <c r="G13" s="27" t="s">
        <v>150</v>
      </c>
      <c r="H13" s="35" t="s">
        <v>70</v>
      </c>
      <c r="I13" s="59"/>
      <c r="J13" s="17"/>
      <c r="K13" s="27"/>
      <c r="L13" s="17"/>
      <c r="M13" s="17"/>
      <c r="N13" s="17"/>
      <c r="O13" s="17"/>
      <c r="P13" s="17"/>
      <c r="Q13" s="17"/>
      <c r="R13" s="17"/>
      <c r="S13" s="17"/>
      <c r="T13" s="17"/>
      <c r="U13" s="17"/>
      <c r="V13" s="47"/>
      <c r="W13" s="17"/>
      <c r="X13" s="17"/>
      <c r="Y13" s="17"/>
      <c r="Z13" s="18"/>
      <c r="AA13" s="18"/>
      <c r="AB13" s="18"/>
      <c r="AC13" s="18"/>
      <c r="AD13" s="18"/>
      <c r="AE13" s="18"/>
      <c r="AF13" s="18"/>
    </row>
    <row r="14">
      <c r="A14" s="50" t="s">
        <v>155</v>
      </c>
      <c r="B14" s="27">
        <v>1.0</v>
      </c>
      <c r="C14" s="27" t="s">
        <v>41</v>
      </c>
      <c r="D14" s="51">
        <v>15.0</v>
      </c>
      <c r="E14" s="28">
        <f>ROUNDDOWN(Shop_Endless_Factor*Shop_Price_Modifier*(D14*Shop_Weapon_Price+(0.1*D14*Shop_Weapon_Price+1)*(Shop_Wave)),0)</f>
        <v>40</v>
      </c>
      <c r="F14" s="58"/>
      <c r="G14" s="27" t="s">
        <v>150</v>
      </c>
      <c r="H14" s="35" t="s">
        <v>145</v>
      </c>
      <c r="I14" s="59"/>
      <c r="J14" s="17"/>
      <c r="K14" s="27"/>
      <c r="L14" s="17"/>
      <c r="M14" s="17"/>
      <c r="N14" s="17"/>
      <c r="O14" s="17"/>
      <c r="P14" s="17"/>
      <c r="Q14" s="17"/>
      <c r="R14" s="17"/>
      <c r="S14" s="17"/>
      <c r="T14" s="17"/>
      <c r="U14" s="17"/>
      <c r="V14" s="47"/>
      <c r="W14" s="17"/>
      <c r="X14" s="17"/>
      <c r="Y14" s="17"/>
      <c r="Z14" s="18"/>
      <c r="AA14" s="18"/>
      <c r="AB14" s="18"/>
      <c r="AC14" s="18"/>
      <c r="AD14" s="18"/>
      <c r="AE14" s="18"/>
      <c r="AF14" s="18"/>
    </row>
    <row r="15">
      <c r="A15" s="50" t="s">
        <v>156</v>
      </c>
      <c r="B15" s="27">
        <v>2.0</v>
      </c>
      <c r="C15" s="27" t="s">
        <v>41</v>
      </c>
      <c r="D15" s="51">
        <v>25.0</v>
      </c>
      <c r="E15" s="28">
        <f>ROUNDDOWN(Shop_Endless_Factor*Shop_Price_Modifier*(D15*Shop_Weapon_Price+(0.1*D15*Shop_Weapon_Price+1)*(Shop_Wave)),0)</f>
        <v>60</v>
      </c>
      <c r="F15" s="53">
        <f>IF('数值设定'!$D$4="默认",T15,S15)</f>
        <v>7.279672242</v>
      </c>
      <c r="G15" s="27" t="s">
        <v>158</v>
      </c>
      <c r="H15" s="35" t="s">
        <v>97</v>
      </c>
      <c r="I15" s="59" t="s">
        <v>159</v>
      </c>
      <c r="J15" s="17">
        <f>IFerror(8/Shop_Dmg,0)</f>
        <v>2</v>
      </c>
      <c r="K15" s="27"/>
      <c r="L15" s="17"/>
      <c r="M15" s="17"/>
      <c r="N15" s="17"/>
      <c r="O15" s="17"/>
      <c r="P15" s="17"/>
      <c r="Q15" s="17"/>
      <c r="R15" s="17"/>
      <c r="S15" s="17">
        <f>Shop_Inflated_Price*W15/$E15*100</f>
        <v>7.279672242</v>
      </c>
      <c r="T15" s="17">
        <f>Shop_Inflated_Price*X15/$E15*100</f>
        <v>7.279672242</v>
      </c>
      <c r="U15" s="17"/>
      <c r="V15" s="54"/>
      <c r="W15" s="17">
        <f>J15+L15+N15+P15</f>
        <v>2</v>
      </c>
      <c r="X15" s="17">
        <f>J15+L15</f>
        <v>2</v>
      </c>
      <c r="Y15" s="17"/>
      <c r="Z15" s="18"/>
      <c r="AA15" s="18"/>
      <c r="AB15" s="18"/>
      <c r="AC15" s="18"/>
      <c r="AD15" s="18"/>
      <c r="AE15" s="18"/>
      <c r="AF15" s="18"/>
    </row>
    <row r="16">
      <c r="A16" s="50" t="s">
        <v>161</v>
      </c>
      <c r="B16" s="27">
        <v>3.0</v>
      </c>
      <c r="C16" s="27" t="s">
        <v>41</v>
      </c>
      <c r="D16" s="51">
        <v>75.0</v>
      </c>
      <c r="E16" s="28">
        <f>ROUNDDOWN(Shop_Endless_Factor*Shop_Price_Modifier*(D16*Shop_Weapon_Price+(0.1*D16*Shop_Weapon_Price+1)*(Shop_Wave)),0)</f>
        <v>160</v>
      </c>
      <c r="F16" s="91"/>
      <c r="G16" s="27" t="s">
        <v>150</v>
      </c>
      <c r="H16" s="35" t="s">
        <v>70</v>
      </c>
      <c r="I16" s="59"/>
      <c r="J16" s="17"/>
      <c r="K16" s="27"/>
      <c r="L16" s="17"/>
      <c r="M16" s="17"/>
      <c r="N16" s="17"/>
      <c r="O16" s="17"/>
      <c r="P16" s="17"/>
      <c r="Q16" s="17"/>
      <c r="R16" s="17"/>
      <c r="S16" s="17"/>
      <c r="T16" s="17"/>
      <c r="U16" s="17"/>
      <c r="V16" s="47"/>
      <c r="W16" s="17"/>
      <c r="X16" s="17"/>
      <c r="Y16" s="17"/>
      <c r="Z16" s="18"/>
      <c r="AA16" s="18"/>
      <c r="AB16" s="18"/>
      <c r="AC16" s="18"/>
      <c r="AD16" s="18"/>
      <c r="AE16" s="18"/>
      <c r="AF16" s="18"/>
    </row>
    <row r="17">
      <c r="A17" s="24" t="s">
        <v>162</v>
      </c>
      <c r="B17" s="25">
        <v>2.0</v>
      </c>
      <c r="C17" s="27" t="s">
        <v>41</v>
      </c>
      <c r="D17" s="28">
        <v>55.0</v>
      </c>
      <c r="E17" s="28">
        <f>ROUNDDOWN(Shop_Endless_Factor*Shop_Price_Modifier*(D17*Shop_Weapon_Price+(0.1*D17*Shop_Weapon_Price+1)*(Shop_Wave)),0)</f>
        <v>120</v>
      </c>
      <c r="F17" s="37">
        <f>IF('数值设定'!$D$4="默认",T17,S17)</f>
        <v>5.459754182</v>
      </c>
      <c r="G17" s="27" t="s">
        <v>163</v>
      </c>
      <c r="H17" s="35" t="s">
        <v>97</v>
      </c>
      <c r="I17" s="39" t="s">
        <v>164</v>
      </c>
      <c r="J17" s="17">
        <f>IFerror(20/Shop_Range,0)</f>
        <v>1</v>
      </c>
      <c r="K17" s="64" t="s">
        <v>165</v>
      </c>
      <c r="L17" s="17">
        <f>IFERROR(10/Shop_Atk_Spd,0)</f>
        <v>2</v>
      </c>
      <c r="M17" s="17"/>
      <c r="N17" s="17"/>
      <c r="O17" s="17"/>
      <c r="P17" s="17"/>
      <c r="Q17" s="17"/>
      <c r="R17" s="17"/>
      <c r="S17" s="17">
        <f>Shop_Inflated_Price*W17/$E17*100</f>
        <v>5.459754182</v>
      </c>
      <c r="T17" s="17">
        <f>Shop_Inflated_Price*X17/$E17*100</f>
        <v>5.459754182</v>
      </c>
      <c r="U17" s="17">
        <f>Shop_Inflated_Price*Y17/$E17*100</f>
        <v>3.639836121</v>
      </c>
      <c r="V17" s="47" t="s">
        <v>166</v>
      </c>
      <c r="W17" s="17">
        <f t="shared" ref="W17:W19" si="3">J17+L17+N17+P17</f>
        <v>3</v>
      </c>
      <c r="X17" s="17">
        <f>J17+L17</f>
        <v>3</v>
      </c>
      <c r="Y17" s="17">
        <f>L17</f>
        <v>2</v>
      </c>
      <c r="Z17" s="18"/>
      <c r="AA17" s="22"/>
      <c r="AB17" s="18"/>
      <c r="AC17" s="18"/>
      <c r="AD17" s="18"/>
      <c r="AE17" s="18"/>
      <c r="AF17" s="18"/>
    </row>
    <row r="18">
      <c r="A18" s="50" t="s">
        <v>167</v>
      </c>
      <c r="B18" s="27">
        <v>3.0</v>
      </c>
      <c r="C18" s="27" t="s">
        <v>41</v>
      </c>
      <c r="D18" s="51">
        <v>75.0</v>
      </c>
      <c r="E18" s="28">
        <f>ROUNDDOWN(Shop_Endless_Factor*Shop_Price_Modifier*(D18*Shop_Weapon_Price+(0.1*D18*Shop_Weapon_Price+1)*(Shop_Wave)),0)</f>
        <v>160</v>
      </c>
      <c r="F18" s="94">
        <f>IF('数值设定'!$D$4="默认",S18,S18)</f>
        <v>8.644610788</v>
      </c>
      <c r="G18" s="27" t="s">
        <v>168</v>
      </c>
      <c r="H18" s="35" t="s">
        <v>89</v>
      </c>
      <c r="I18" s="39" t="s">
        <v>169</v>
      </c>
      <c r="J18" s="17">
        <f>IFerror(8/Shop_Armor,0)</f>
        <v>8</v>
      </c>
      <c r="K18" s="35" t="s">
        <v>170</v>
      </c>
      <c r="L18" s="17">
        <f>IFERROR(-5/Shop_Speed,0)</f>
        <v>-1.666666667</v>
      </c>
      <c r="M18" s="17"/>
      <c r="N18" s="17"/>
      <c r="O18" s="17"/>
      <c r="P18" s="17"/>
      <c r="Q18" s="17"/>
      <c r="R18" s="17"/>
      <c r="S18" s="17">
        <f>Shop_Inflated_Price*W18/$E18*100</f>
        <v>8.644610788</v>
      </c>
      <c r="T18" s="17">
        <f>Shop_Inflated_Price*X18/$E18*100</f>
        <v>10.91950836</v>
      </c>
      <c r="U18" s="17"/>
      <c r="V18" s="67"/>
      <c r="W18" s="17">
        <f t="shared" si="3"/>
        <v>6.333333333</v>
      </c>
      <c r="X18" s="17">
        <f t="shared" ref="X18:X19" si="4">J18</f>
        <v>8</v>
      </c>
      <c r="Y18" s="17"/>
      <c r="Z18" s="18"/>
      <c r="AA18" s="18"/>
      <c r="AB18" s="18"/>
      <c r="AC18" s="18"/>
      <c r="AD18" s="18"/>
      <c r="AE18" s="18"/>
      <c r="AF18" s="18"/>
    </row>
    <row r="19">
      <c r="A19" s="24" t="s">
        <v>171</v>
      </c>
      <c r="B19" s="25">
        <v>1.0</v>
      </c>
      <c r="C19" s="27" t="s">
        <v>41</v>
      </c>
      <c r="D19" s="28">
        <v>20.0</v>
      </c>
      <c r="E19" s="28">
        <f>ROUNDDOWN(Shop_Endless_Factor*Shop_Price_Modifier*(D19*Shop_Weapon_Price+(0.1*D19*Shop_Weapon_Price+1)*(Shop_Wave)),0)</f>
        <v>50</v>
      </c>
      <c r="F19" s="56">
        <f>IF('数值设定'!$D$4="默认",S19,S19)</f>
        <v>3.639836121</v>
      </c>
      <c r="G19" s="25"/>
      <c r="H19" s="35" t="s">
        <v>97</v>
      </c>
      <c r="I19" s="39" t="s">
        <v>172</v>
      </c>
      <c r="J19" s="17">
        <f>IFerror(2/Shop_Life_Steal,0)</f>
        <v>1.333333333</v>
      </c>
      <c r="K19" s="17" t="s">
        <v>173</v>
      </c>
      <c r="L19" s="17">
        <f>IFERROR(-2/Shop_Harvesting,0)</f>
        <v>-0.5</v>
      </c>
      <c r="M19" s="17"/>
      <c r="N19" s="17"/>
      <c r="O19" s="17"/>
      <c r="P19" s="17"/>
      <c r="Q19" s="17"/>
      <c r="R19" s="17"/>
      <c r="S19" s="17">
        <f>Shop_Inflated_Price*W19/$E19*100</f>
        <v>3.639836121</v>
      </c>
      <c r="T19" s="17">
        <f>Shop_Inflated_Price*X19/$E19*100</f>
        <v>5.823737794</v>
      </c>
      <c r="U19" s="17"/>
      <c r="V19" s="67"/>
      <c r="W19" s="17">
        <f t="shared" si="3"/>
        <v>0.8333333333</v>
      </c>
      <c r="X19" s="17">
        <f t="shared" si="4"/>
        <v>1.333333333</v>
      </c>
      <c r="Y19" s="17"/>
      <c r="Z19" s="18"/>
      <c r="AA19" s="18"/>
      <c r="AB19" s="18"/>
      <c r="AC19" s="18"/>
      <c r="AD19" s="18"/>
      <c r="AE19" s="18"/>
      <c r="AF19" s="18"/>
    </row>
    <row r="20">
      <c r="A20" s="50" t="s">
        <v>174</v>
      </c>
      <c r="B20" s="27">
        <v>3.0</v>
      </c>
      <c r="C20" s="27" t="s">
        <v>41</v>
      </c>
      <c r="D20" s="51">
        <v>70.0</v>
      </c>
      <c r="E20" s="28">
        <f>ROUNDDOWN(Shop_Endless_Factor*Shop_Price_Modifier*(D20*Shop_Weapon_Price+(0.1*D20*Shop_Weapon_Price+1)*(Shop_Wave)),0)</f>
        <v>150</v>
      </c>
      <c r="F20" s="75"/>
      <c r="G20" s="27" t="s">
        <v>150</v>
      </c>
      <c r="H20" s="35" t="s">
        <v>97</v>
      </c>
      <c r="I20" s="59"/>
      <c r="J20" s="17"/>
      <c r="K20" s="27"/>
      <c r="L20" s="17"/>
      <c r="M20" s="17"/>
      <c r="N20" s="17"/>
      <c r="O20" s="17"/>
      <c r="P20" s="17"/>
      <c r="Q20" s="17"/>
      <c r="R20" s="17"/>
      <c r="S20" s="17"/>
      <c r="T20" s="17"/>
      <c r="U20" s="17"/>
      <c r="V20" s="47"/>
      <c r="W20" s="17"/>
      <c r="X20" s="17"/>
      <c r="Y20" s="17"/>
      <c r="Z20" s="18"/>
      <c r="AA20" s="18"/>
      <c r="AB20" s="18"/>
      <c r="AC20" s="18"/>
      <c r="AD20" s="18"/>
      <c r="AE20" s="18"/>
      <c r="AF20" s="18"/>
    </row>
    <row r="21" ht="15.75" customHeight="1">
      <c r="A21" s="24" t="s">
        <v>175</v>
      </c>
      <c r="B21" s="25">
        <v>1.0</v>
      </c>
      <c r="C21" s="27" t="s">
        <v>41</v>
      </c>
      <c r="D21" s="28">
        <v>20.0</v>
      </c>
      <c r="E21" s="28">
        <f>ROUNDDOWN(Shop_Endless_Factor*Shop_Price_Modifier*(D21*Shop_Weapon_Price+(0.1*D21*Shop_Weapon_Price+1)*(Shop_Wave)),0)</f>
        <v>50</v>
      </c>
      <c r="F21" s="63">
        <f>IF('数值设定'!$D$4="默认",S21,S21)</f>
        <v>4.51339679</v>
      </c>
      <c r="G21" s="25"/>
      <c r="H21" s="35" t="s">
        <v>97</v>
      </c>
      <c r="I21" s="39" t="s">
        <v>176</v>
      </c>
      <c r="J21" s="17">
        <f>IFerror(4/Shop_Speed,0)</f>
        <v>1.333333333</v>
      </c>
      <c r="K21" s="17" t="s">
        <v>177</v>
      </c>
      <c r="L21" s="17">
        <f>IFERROR(-6/Shop_Range,0)</f>
        <v>-0.3</v>
      </c>
      <c r="M21" s="17"/>
      <c r="N21" s="17"/>
      <c r="O21" s="17"/>
      <c r="P21" s="17"/>
      <c r="Q21" s="17"/>
      <c r="R21" s="17"/>
      <c r="S21" s="17">
        <f>Shop_Inflated_Price*W21/$E21*100</f>
        <v>4.51339679</v>
      </c>
      <c r="T21" s="17">
        <f>Shop_Inflated_Price*X21/$E21*100</f>
        <v>5.823737794</v>
      </c>
      <c r="U21" s="17"/>
      <c r="V21" s="47"/>
      <c r="W21" s="17">
        <f t="shared" ref="W21:W36" si="5">J21+L21+N21+P21</f>
        <v>1.033333333</v>
      </c>
      <c r="X21" s="17">
        <f>J21</f>
        <v>1.333333333</v>
      </c>
      <c r="Y21" s="17"/>
      <c r="Z21" s="18"/>
      <c r="AA21" s="18"/>
      <c r="AB21" s="18"/>
      <c r="AC21" s="18"/>
      <c r="AD21" s="18"/>
      <c r="AE21" s="18"/>
      <c r="AF21" s="18"/>
    </row>
    <row r="22" ht="15.75" customHeight="1">
      <c r="A22" s="24" t="s">
        <v>180</v>
      </c>
      <c r="B22" s="25">
        <v>4.0</v>
      </c>
      <c r="C22" s="27" t="s">
        <v>41</v>
      </c>
      <c r="D22" s="28">
        <v>105.0</v>
      </c>
      <c r="E22" s="28">
        <f>ROUNDDOWN(Shop_Endless_Factor*Shop_Price_Modifier*(D22*Shop_Weapon_Price+(0.1*D22*Shop_Weapon_Price+1)*(Shop_Wave)),0)</f>
        <v>220</v>
      </c>
      <c r="F22" s="37">
        <f>IF('数值设定'!$D$4="默认",U22,S22)</f>
        <v>4.367803345</v>
      </c>
      <c r="G22" s="27" t="s">
        <v>184</v>
      </c>
      <c r="H22" s="35" t="s">
        <v>70</v>
      </c>
      <c r="I22" s="39" t="s">
        <v>185</v>
      </c>
      <c r="J22" s="17">
        <f>IFerror(12/Shop_Melee_Dmg,0)</f>
        <v>6</v>
      </c>
      <c r="K22" s="64" t="s">
        <v>186</v>
      </c>
      <c r="L22" s="17">
        <f>IFERROR(6/Shop_Ranged_Dmg,0)</f>
        <v>6</v>
      </c>
      <c r="M22" s="35" t="s">
        <v>187</v>
      </c>
      <c r="N22" s="17">
        <f>IFERROR(-3/Shop_Atk_Spd,0)</f>
        <v>-0.6</v>
      </c>
      <c r="O22" s="35" t="s">
        <v>188</v>
      </c>
      <c r="P22" s="17">
        <f>IFERROR(-3/Shop_Speed,0)</f>
        <v>-1</v>
      </c>
      <c r="Q22" s="17"/>
      <c r="R22" s="17"/>
      <c r="S22" s="17">
        <f>Shop_Inflated_Price*W22/$E22*100</f>
        <v>10.32389882</v>
      </c>
      <c r="T22" s="17">
        <f>Shop_Inflated_Price*X22/$E22*100</f>
        <v>11.91219094</v>
      </c>
      <c r="U22" s="17">
        <f>Shop_Inflated_Price*Y22/$E22*100</f>
        <v>4.367803345</v>
      </c>
      <c r="V22" s="67" t="s">
        <v>189</v>
      </c>
      <c r="W22" s="17">
        <f t="shared" si="5"/>
        <v>10.4</v>
      </c>
      <c r="X22" s="17">
        <f>J22+L22</f>
        <v>12</v>
      </c>
      <c r="Y22" s="17">
        <f>J22+N22+P22</f>
        <v>4.4</v>
      </c>
      <c r="Z22" s="18"/>
      <c r="AA22" s="22"/>
      <c r="AB22" s="18"/>
      <c r="AC22" s="18"/>
      <c r="AD22" s="18"/>
      <c r="AE22" s="18"/>
      <c r="AF22" s="18"/>
    </row>
    <row r="23" ht="15.75" customHeight="1">
      <c r="A23" s="50" t="s">
        <v>190</v>
      </c>
      <c r="B23" s="27">
        <v>2.0</v>
      </c>
      <c r="C23" s="27" t="s">
        <v>41</v>
      </c>
      <c r="D23" s="51">
        <v>50.0</v>
      </c>
      <c r="E23" s="28">
        <f>ROUNDDOWN(Shop_Endless_Factor*Shop_Price_Modifier*(D23*Shop_Weapon_Price+(0.1*D23*Shop_Weapon_Price+1)*(Shop_Wave)),0)</f>
        <v>110</v>
      </c>
      <c r="F23" s="105">
        <f>IF('数值设定'!$D$4="默认",S23,S23)</f>
        <v>0.8603249014</v>
      </c>
      <c r="G23" s="27" t="s">
        <v>191</v>
      </c>
      <c r="H23" s="35" t="s">
        <v>80</v>
      </c>
      <c r="I23" s="39" t="s">
        <v>133</v>
      </c>
      <c r="J23" s="17">
        <f>IFerror(3/Shop_Melee_Dmg,0)</f>
        <v>1.5</v>
      </c>
      <c r="K23" s="17" t="s">
        <v>102</v>
      </c>
      <c r="L23" s="17">
        <f>IFERROR(-8/Shop_Luck,0)</f>
        <v>-1.066666667</v>
      </c>
      <c r="M23" s="17"/>
      <c r="N23" s="17"/>
      <c r="O23" s="17"/>
      <c r="P23" s="17"/>
      <c r="Q23" s="17"/>
      <c r="R23" s="17"/>
      <c r="S23" s="17">
        <f>Shop_Inflated_Price*W23/$E23*100</f>
        <v>0.8603249014</v>
      </c>
      <c r="T23" s="17">
        <f>Shop_Inflated_Price*X23/$E23*100</f>
        <v>2.978047735</v>
      </c>
      <c r="U23" s="17"/>
      <c r="V23" s="67"/>
      <c r="W23" s="17">
        <f t="shared" si="5"/>
        <v>0.4333333333</v>
      </c>
      <c r="X23" s="17">
        <f>J23</f>
        <v>1.5</v>
      </c>
      <c r="Y23" s="17"/>
      <c r="Z23" s="18"/>
      <c r="AA23" s="22"/>
      <c r="AB23" s="18"/>
      <c r="AC23" s="18"/>
      <c r="AD23" s="18"/>
      <c r="AE23" s="18"/>
      <c r="AF23" s="18"/>
    </row>
    <row r="24" ht="15.75" customHeight="1">
      <c r="A24" s="24" t="s">
        <v>193</v>
      </c>
      <c r="B24" s="25">
        <v>2.0</v>
      </c>
      <c r="C24" s="27" t="s">
        <v>41</v>
      </c>
      <c r="D24" s="28">
        <v>45.0</v>
      </c>
      <c r="E24" s="28">
        <f>ROUNDDOWN(Shop_Endless_Factor*Shop_Price_Modifier*(D24*Shop_Weapon_Price+(0.1*D24*Shop_Weapon_Price+1)*(Shop_Wave)),0)</f>
        <v>100</v>
      </c>
      <c r="F24" s="63">
        <f>IF('数值设定'!$D$4="默认",S24,S24)</f>
        <v>5.641745988</v>
      </c>
      <c r="G24" s="25"/>
      <c r="H24" s="35" t="s">
        <v>70</v>
      </c>
      <c r="I24" s="39" t="s">
        <v>198</v>
      </c>
      <c r="J24" s="17">
        <f>IFerror(5/Shop_Crit,0)</f>
        <v>1.666666667</v>
      </c>
      <c r="K24" s="64" t="s">
        <v>199</v>
      </c>
      <c r="L24" s="17">
        <f>IFERROR(5/Shop_Dodge,0)</f>
        <v>1.666666667</v>
      </c>
      <c r="M24" s="17" t="s">
        <v>200</v>
      </c>
      <c r="N24" s="17">
        <f>IFERROR(-15/Shop_Range,0)</f>
        <v>-0.75</v>
      </c>
      <c r="O24" s="17"/>
      <c r="P24" s="17"/>
      <c r="Q24" s="17"/>
      <c r="R24" s="17"/>
      <c r="S24" s="17">
        <f>Shop_Inflated_Price*W24/$E24*100</f>
        <v>5.641745988</v>
      </c>
      <c r="T24" s="17">
        <f>Shop_Inflated_Price*X24/$E24*100</f>
        <v>7.279672242</v>
      </c>
      <c r="U24" s="17"/>
      <c r="V24" s="47"/>
      <c r="W24" s="17">
        <f t="shared" si="5"/>
        <v>2.583333333</v>
      </c>
      <c r="X24" s="17">
        <f>J24+L24</f>
        <v>3.333333333</v>
      </c>
      <c r="Y24" s="17"/>
      <c r="Z24" s="18"/>
      <c r="AA24" s="18"/>
      <c r="AB24" s="18"/>
      <c r="AC24" s="18"/>
      <c r="AD24" s="18"/>
      <c r="AE24" s="18"/>
      <c r="AF24" s="18"/>
    </row>
    <row r="25" ht="15.75" customHeight="1">
      <c r="A25" s="50" t="s">
        <v>201</v>
      </c>
      <c r="B25" s="27">
        <v>3.0</v>
      </c>
      <c r="C25" s="27" t="s">
        <v>41</v>
      </c>
      <c r="D25" s="51">
        <v>50.0</v>
      </c>
      <c r="E25" s="28">
        <f>ROUNDDOWN(Shop_Endless_Factor*Shop_Price_Modifier*(D25*Shop_Weapon_Price+(0.1*D25*Shop_Weapon_Price+1)*(Shop_Wave)),0)</f>
        <v>110</v>
      </c>
      <c r="F25" s="56">
        <f>IF('数值设定'!$D$4="默认",S25,S25)</f>
        <v>8.695899388</v>
      </c>
      <c r="G25" s="27" t="s">
        <v>204</v>
      </c>
      <c r="H25" s="35" t="s">
        <v>89</v>
      </c>
      <c r="I25" s="39" t="s">
        <v>205</v>
      </c>
      <c r="J25" s="17">
        <f>IFerror(40/Shop_Harvesting,0)</f>
        <v>10</v>
      </c>
      <c r="K25" s="35" t="s">
        <v>208</v>
      </c>
      <c r="L25" s="17">
        <f>IFERROR(-11.24/Shop_HP_Regen,0)</f>
        <v>-5.62</v>
      </c>
      <c r="M25" s="17"/>
      <c r="N25" s="17"/>
      <c r="O25" s="17"/>
      <c r="P25" s="17"/>
      <c r="Q25" s="17"/>
      <c r="R25" s="17"/>
      <c r="S25" s="17">
        <f>Shop_Inflated_Price*W25/$E25*100</f>
        <v>8.695899388</v>
      </c>
      <c r="T25" s="17">
        <f>Shop_Inflated_Price*X25/$E25*100</f>
        <v>19.85365157</v>
      </c>
      <c r="U25" s="17"/>
      <c r="V25" s="47"/>
      <c r="W25" s="17">
        <f t="shared" si="5"/>
        <v>4.38</v>
      </c>
      <c r="X25" s="17">
        <f>J25</f>
        <v>10</v>
      </c>
      <c r="Y25" s="17"/>
      <c r="Z25" s="18"/>
      <c r="AA25" s="18"/>
      <c r="AB25" s="18"/>
      <c r="AC25" s="18"/>
      <c r="AD25" s="18"/>
      <c r="AE25" s="18"/>
      <c r="AF25" s="18"/>
    </row>
    <row r="26" ht="15.75" customHeight="1">
      <c r="A26" s="24" t="s">
        <v>218</v>
      </c>
      <c r="B26" s="25">
        <v>2.0</v>
      </c>
      <c r="C26" s="27" t="s">
        <v>41</v>
      </c>
      <c r="D26" s="51">
        <v>45.0</v>
      </c>
      <c r="E26" s="28">
        <f>ROUNDDOWN(Shop_Endless_Factor*Shop_Price_Modifier*(D26*Shop_Weapon_Price+(0.1*D26*Shop_Weapon_Price+1)*(Shop_Wave)),0)</f>
        <v>100</v>
      </c>
      <c r="F26" s="63">
        <f>IF('数值设定'!$D$4="默认",S26,S26)</f>
        <v>3.457844315</v>
      </c>
      <c r="G26" s="25"/>
      <c r="H26" s="35" t="s">
        <v>52</v>
      </c>
      <c r="I26" s="39" t="s">
        <v>172</v>
      </c>
      <c r="J26" s="17">
        <f>IFerror(2/Shop_Life_Steal,0)</f>
        <v>1.333333333</v>
      </c>
      <c r="K26" s="64" t="s">
        <v>219</v>
      </c>
      <c r="L26" s="17">
        <f>IFERROR(2/Shop_HP_Regen,0)</f>
        <v>1</v>
      </c>
      <c r="M26" s="35" t="s">
        <v>220</v>
      </c>
      <c r="N26" s="17">
        <f>IFERROR(-3/Shop_Harvesting,0)</f>
        <v>-0.75</v>
      </c>
      <c r="O26" s="17"/>
      <c r="P26" s="17"/>
      <c r="Q26" s="17"/>
      <c r="R26" s="17"/>
      <c r="S26" s="17">
        <f>Shop_Inflated_Price*W26/$E26*100</f>
        <v>3.457844315</v>
      </c>
      <c r="T26" s="17">
        <f>Shop_Inflated_Price*X26/$E26*100</f>
        <v>5.09577057</v>
      </c>
      <c r="U26" s="17">
        <f>Shop_Inflated_Price*Y26/$E26*100</f>
        <v>2.911868897</v>
      </c>
      <c r="V26" s="67" t="s">
        <v>221</v>
      </c>
      <c r="W26" s="17">
        <f t="shared" si="5"/>
        <v>1.583333333</v>
      </c>
      <c r="X26" s="17">
        <f t="shared" ref="X26:X27" si="6">J26+L26</f>
        <v>2.333333333</v>
      </c>
      <c r="Y26" s="17">
        <f>J26</f>
        <v>1.333333333</v>
      </c>
      <c r="Z26" s="18"/>
      <c r="AA26" s="22"/>
      <c r="AB26" s="18"/>
      <c r="AC26" s="18"/>
      <c r="AD26" s="18"/>
      <c r="AE26" s="18"/>
      <c r="AF26" s="18"/>
    </row>
    <row r="27" ht="15.75" customHeight="1">
      <c r="A27" s="50" t="s">
        <v>222</v>
      </c>
      <c r="B27" s="27">
        <v>4.0</v>
      </c>
      <c r="C27" s="27" t="s">
        <v>41</v>
      </c>
      <c r="D27" s="51">
        <v>110.0</v>
      </c>
      <c r="E27" s="28">
        <f>ROUNDDOWN(Shop_Endless_Factor*Shop_Price_Modifier*(D27*Shop_Weapon_Price+(0.1*D27*Shop_Weapon_Price+1)*(Shop_Wave)),0)</f>
        <v>230</v>
      </c>
      <c r="F27" s="56">
        <f>IF('数值设定'!$D$4="默认",S27,S27)</f>
        <v>5.741445847</v>
      </c>
      <c r="G27" s="27" t="s">
        <v>224</v>
      </c>
      <c r="H27" s="35" t="s">
        <v>145</v>
      </c>
      <c r="I27" s="59" t="s">
        <v>226</v>
      </c>
      <c r="J27" s="17">
        <f>IFerror(20/Shop_Dmg,0)</f>
        <v>5</v>
      </c>
      <c r="K27" s="39" t="s">
        <v>232</v>
      </c>
      <c r="L27" s="17">
        <f>IFerror(10/Shop_Life_Steal,0)</f>
        <v>6.666666667</v>
      </c>
      <c r="M27" s="35" t="s">
        <v>208</v>
      </c>
      <c r="N27" s="17">
        <f>IFERROR(-11.24/Shop_HP_Regen,0)</f>
        <v>-5.62</v>
      </c>
      <c r="O27" s="17"/>
      <c r="P27" s="17"/>
      <c r="Q27" s="17"/>
      <c r="R27" s="17"/>
      <c r="S27" s="17">
        <f>Shop_Inflated_Price*W27/$E27*100</f>
        <v>5.741445847</v>
      </c>
      <c r="T27" s="17">
        <f>Shop_Inflated_Price*X27/$E27*100</f>
        <v>11.07776211</v>
      </c>
      <c r="U27" s="17"/>
      <c r="V27" s="54"/>
      <c r="W27" s="17">
        <f t="shared" si="5"/>
        <v>6.046666667</v>
      </c>
      <c r="X27" s="17">
        <f t="shared" si="6"/>
        <v>11.66666667</v>
      </c>
      <c r="Y27" s="17"/>
      <c r="Z27" s="18"/>
      <c r="AA27" s="18"/>
      <c r="AB27" s="18"/>
      <c r="AC27" s="18"/>
      <c r="AD27" s="18"/>
      <c r="AE27" s="18"/>
      <c r="AF27" s="18"/>
    </row>
    <row r="28" ht="15.75" customHeight="1">
      <c r="A28" s="24" t="s">
        <v>242</v>
      </c>
      <c r="B28" s="25">
        <v>1.0</v>
      </c>
      <c r="C28" s="27" t="s">
        <v>41</v>
      </c>
      <c r="D28" s="28">
        <v>30.0</v>
      </c>
      <c r="E28" s="28">
        <f>ROUNDDOWN(Shop_Endless_Factor*Shop_Price_Modifier*(D28*Shop_Weapon_Price+(0.1*D28*Shop_Weapon_Price+1)*(Shop_Wave)),0)</f>
        <v>70</v>
      </c>
      <c r="F28" s="56">
        <f>IF('数值设定'!$D$4="默认",S28,S28)</f>
        <v>5.199765887</v>
      </c>
      <c r="G28" s="25"/>
      <c r="H28" s="35" t="s">
        <v>97</v>
      </c>
      <c r="I28" s="39" t="s">
        <v>243</v>
      </c>
      <c r="J28" s="17">
        <f>IFerror(2/Shop_Elemental_DMG,0)</f>
        <v>2</v>
      </c>
      <c r="K28" s="17" t="s">
        <v>245</v>
      </c>
      <c r="L28" s="17">
        <f>IFERROR(-1/Shop_Max_HP,0)</f>
        <v>-0.3333333333</v>
      </c>
      <c r="M28" s="17"/>
      <c r="N28" s="17"/>
      <c r="O28" s="17"/>
      <c r="P28" s="17"/>
      <c r="Q28" s="17"/>
      <c r="R28" s="17"/>
      <c r="S28" s="17">
        <f>Shop_Inflated_Price*W28/$E28*100</f>
        <v>5.199765887</v>
      </c>
      <c r="T28" s="17">
        <f>Shop_Inflated_Price*X28/$E28*100</f>
        <v>6.239719065</v>
      </c>
      <c r="U28" s="17"/>
      <c r="V28" s="47"/>
      <c r="W28" s="17">
        <f t="shared" si="5"/>
        <v>1.666666667</v>
      </c>
      <c r="X28" s="17">
        <f>J28</f>
        <v>2</v>
      </c>
      <c r="Y28" s="17"/>
      <c r="Z28" s="18"/>
      <c r="AA28" s="18"/>
      <c r="AB28" s="18"/>
      <c r="AC28" s="18"/>
      <c r="AD28" s="18"/>
      <c r="AE28" s="18"/>
      <c r="AF28" s="18"/>
    </row>
    <row r="29" ht="15.75" customHeight="1">
      <c r="A29" s="24" t="s">
        <v>266</v>
      </c>
      <c r="B29" s="25">
        <v>1.0</v>
      </c>
      <c r="C29" s="27" t="s">
        <v>41</v>
      </c>
      <c r="D29" s="28">
        <v>8.0</v>
      </c>
      <c r="E29" s="28">
        <f>ROUNDDOWN(Shop_Endless_Factor*Shop_Price_Modifier*(D29*Shop_Weapon_Price+(0.1*D29*Shop_Weapon_Price+1)*(Shop_Wave)),0)</f>
        <v>26</v>
      </c>
      <c r="F29" s="63">
        <f>IF('数值设定'!$D$4="默认",S29,S29)</f>
        <v>5.599747879</v>
      </c>
      <c r="G29" s="25"/>
      <c r="H29" s="35" t="s">
        <v>52</v>
      </c>
      <c r="I29" s="39" t="s">
        <v>267</v>
      </c>
      <c r="J29" s="17">
        <f>IFerror(1/Shop_Engineering,0)</f>
        <v>0.6666666667</v>
      </c>
      <c r="K29" s="17"/>
      <c r="L29" s="17"/>
      <c r="M29" s="17"/>
      <c r="N29" s="17"/>
      <c r="O29" s="17"/>
      <c r="P29" s="17"/>
      <c r="Q29" s="17"/>
      <c r="R29" s="17"/>
      <c r="S29" s="17">
        <f>Shop_Inflated_Price*W29/$E29*100</f>
        <v>5.599747879</v>
      </c>
      <c r="T29" s="17">
        <f>Shop_Inflated_Price*X29/$E29*100</f>
        <v>5.599747879</v>
      </c>
      <c r="U29" s="17"/>
      <c r="V29" s="67"/>
      <c r="W29" s="17">
        <f t="shared" si="5"/>
        <v>0.6666666667</v>
      </c>
      <c r="X29" s="17">
        <f>$J29+L29+M29+O29</f>
        <v>0.6666666667</v>
      </c>
      <c r="Y29" s="17"/>
      <c r="Z29" s="18"/>
      <c r="AA29" s="18"/>
      <c r="AB29" s="18"/>
      <c r="AC29" s="18"/>
      <c r="AD29" s="18"/>
      <c r="AE29" s="18"/>
      <c r="AF29" s="18"/>
    </row>
    <row r="30" ht="15.75" customHeight="1">
      <c r="A30" s="24" t="s">
        <v>268</v>
      </c>
      <c r="B30" s="25">
        <v>3.0</v>
      </c>
      <c r="C30" s="27" t="s">
        <v>41</v>
      </c>
      <c r="D30" s="28">
        <v>75.0</v>
      </c>
      <c r="E30" s="28">
        <f>ROUNDDOWN(Shop_Endless_Factor*Shop_Price_Modifier*(D30*Shop_Weapon_Price+(0.1*D30*Shop_Weapon_Price+1)*(Shop_Wave)),0)</f>
        <v>160</v>
      </c>
      <c r="F30" s="94">
        <f>IF('数值设定'!$D$4="默认",S30,S30)</f>
        <v>6.142223454</v>
      </c>
      <c r="G30" s="25"/>
      <c r="H30" s="35" t="s">
        <v>70</v>
      </c>
      <c r="I30" s="39" t="s">
        <v>269</v>
      </c>
      <c r="J30" s="17">
        <f>IFerror(15/Shop_Luck,0)</f>
        <v>2</v>
      </c>
      <c r="K30" s="64" t="s">
        <v>270</v>
      </c>
      <c r="L30" s="17">
        <f>IFERROR(18/Shop_Harvesting,0)</f>
        <v>4.5</v>
      </c>
      <c r="M30" s="17" t="s">
        <v>271</v>
      </c>
      <c r="N30" s="17">
        <f>IFERROR(-5/Shop_Atk_Spd,0)</f>
        <v>-1</v>
      </c>
      <c r="O30" s="17" t="s">
        <v>272</v>
      </c>
      <c r="P30" s="17">
        <f>IFERROR(-3/Shop_Crit,0)</f>
        <v>-1</v>
      </c>
      <c r="Q30" s="17"/>
      <c r="R30" s="17"/>
      <c r="S30" s="17">
        <f>Shop_Inflated_Price*W30/$E30*100</f>
        <v>6.142223454</v>
      </c>
      <c r="T30" s="17">
        <f>Shop_Inflated_Price*X30/$E30*100</f>
        <v>8.872100545</v>
      </c>
      <c r="U30" s="17">
        <f>Shop_Inflated_Price*Y30/$E30*100</f>
        <v>0</v>
      </c>
      <c r="V30" s="47" t="s">
        <v>273</v>
      </c>
      <c r="W30" s="17">
        <f t="shared" si="5"/>
        <v>4.5</v>
      </c>
      <c r="X30" s="17">
        <f t="shared" ref="X30:X31" si="7">J30+L30</f>
        <v>6.5</v>
      </c>
      <c r="Y30" s="17">
        <f>J30+N30+P30</f>
        <v>0</v>
      </c>
      <c r="Z30" s="18"/>
      <c r="AA30" s="18"/>
      <c r="AB30" s="18"/>
      <c r="AC30" s="18"/>
      <c r="AD30" s="18"/>
      <c r="AE30" s="18"/>
      <c r="AF30" s="18"/>
    </row>
    <row r="31" ht="15.75" customHeight="1">
      <c r="A31" s="50" t="s">
        <v>274</v>
      </c>
      <c r="B31" s="27">
        <v>1.0</v>
      </c>
      <c r="C31" s="27" t="s">
        <v>41</v>
      </c>
      <c r="D31" s="51">
        <v>18.0</v>
      </c>
      <c r="E31" s="28">
        <f>ROUNDDOWN(Shop_Endless_Factor*Shop_Price_Modifier*(D31*Shop_Weapon_Price+(0.1*D31*Shop_Weapon_Price+1)*(Shop_Wave)),0)</f>
        <v>46</v>
      </c>
      <c r="F31" s="94">
        <f>IF('数值设定'!$D$4="默认",S31,S31)</f>
        <v>2.373806166</v>
      </c>
      <c r="G31" s="27" t="s">
        <v>163</v>
      </c>
      <c r="H31" s="35" t="s">
        <v>89</v>
      </c>
      <c r="I31" s="39" t="s">
        <v>275</v>
      </c>
      <c r="J31" s="17">
        <f>IFerror(1/Shop_Melee_Dmg,0)</f>
        <v>0.5</v>
      </c>
      <c r="K31" s="27"/>
      <c r="L31" s="17"/>
      <c r="M31" s="17"/>
      <c r="N31" s="17"/>
      <c r="O31" s="17"/>
      <c r="P31" s="17"/>
      <c r="Q31" s="17"/>
      <c r="R31" s="17"/>
      <c r="S31" s="17">
        <f>Shop_Inflated_Price*W31/$E31*100</f>
        <v>2.373806166</v>
      </c>
      <c r="T31" s="17">
        <f>Shop_Inflated_Price*X31/$E31*100</f>
        <v>2.373806166</v>
      </c>
      <c r="U31" s="17"/>
      <c r="V31" s="47"/>
      <c r="W31" s="17">
        <f t="shared" si="5"/>
        <v>0.5</v>
      </c>
      <c r="X31" s="17">
        <f t="shared" si="7"/>
        <v>0.5</v>
      </c>
      <c r="Y31" s="17"/>
      <c r="Z31" s="18"/>
      <c r="AA31" s="18"/>
      <c r="AB31" s="18"/>
      <c r="AC31" s="18"/>
      <c r="AD31" s="18"/>
      <c r="AE31" s="18"/>
      <c r="AF31" s="18"/>
    </row>
    <row r="32" ht="15.75" customHeight="1">
      <c r="A32" s="24" t="s">
        <v>276</v>
      </c>
      <c r="B32" s="25">
        <v>1.0</v>
      </c>
      <c r="C32" s="27" t="s">
        <v>41</v>
      </c>
      <c r="D32" s="28">
        <v>25.0</v>
      </c>
      <c r="E32" s="28">
        <f>ROUNDDOWN(Shop_Endless_Factor*Shop_Price_Modifier*(D32*Shop_Weapon_Price+(0.1*D32*Shop_Weapon_Price+1)*(Shop_Wave)),0)</f>
        <v>60</v>
      </c>
      <c r="F32" s="56">
        <f>IF('数值设定'!$D$4="默认",S32,S32)</f>
        <v>4.246475475</v>
      </c>
      <c r="G32" s="27"/>
      <c r="H32" s="35" t="s">
        <v>70</v>
      </c>
      <c r="I32" s="39" t="s">
        <v>277</v>
      </c>
      <c r="J32" s="17">
        <f>IFerror(5/Shop_Max_HP,0)</f>
        <v>1.666666667</v>
      </c>
      <c r="K32" s="17" t="s">
        <v>278</v>
      </c>
      <c r="L32" s="17">
        <f>IFERROR(-1/Shop_HP_Regen,0)</f>
        <v>-0.5</v>
      </c>
      <c r="M32" s="17"/>
      <c r="N32" s="17"/>
      <c r="O32" s="17"/>
      <c r="P32" s="17"/>
      <c r="Q32" s="17"/>
      <c r="R32" s="17"/>
      <c r="S32" s="17">
        <f>Shop_Inflated_Price*W32/$E32*100</f>
        <v>4.246475475</v>
      </c>
      <c r="T32" s="17">
        <f>Shop_Inflated_Price*X32/$E32*100</f>
        <v>6.066393535</v>
      </c>
      <c r="U32" s="17"/>
      <c r="V32" s="67"/>
      <c r="W32" s="17">
        <f t="shared" si="5"/>
        <v>1.166666667</v>
      </c>
      <c r="X32" s="17">
        <f t="shared" ref="X32:X34" si="8">J32</f>
        <v>1.666666667</v>
      </c>
      <c r="Y32" s="17"/>
      <c r="Z32" s="18"/>
      <c r="AA32" s="18"/>
      <c r="AB32" s="18"/>
      <c r="AC32" s="18"/>
      <c r="AD32" s="18"/>
      <c r="AE32" s="18"/>
      <c r="AF32" s="18"/>
    </row>
    <row r="33" ht="15.75" customHeight="1">
      <c r="A33" s="24" t="s">
        <v>279</v>
      </c>
      <c r="B33" s="25">
        <v>1.0</v>
      </c>
      <c r="C33" s="27" t="s">
        <v>41</v>
      </c>
      <c r="D33" s="28">
        <v>30.0</v>
      </c>
      <c r="E33" s="28">
        <f>ROUNDDOWN(Shop_Endless_Factor*Shop_Price_Modifier*(D33*Shop_Weapon_Price+(0.1*D33*Shop_Weapon_Price+1)*(Shop_Wave)),0)</f>
        <v>70</v>
      </c>
      <c r="F33" s="56">
        <f>IF('数值设定'!$D$4="默认",T33,S33)</f>
        <v>4.15981271</v>
      </c>
      <c r="G33" s="27" t="s">
        <v>287</v>
      </c>
      <c r="H33" s="35" t="s">
        <v>97</v>
      </c>
      <c r="I33" s="39" t="s">
        <v>172</v>
      </c>
      <c r="J33" s="17">
        <f>IFerror(2/Shop_Life_Steal,0)</f>
        <v>1.333333333</v>
      </c>
      <c r="K33" s="17" t="s">
        <v>294</v>
      </c>
      <c r="L33" s="17">
        <f>IFERROR(-1/Shop_Elemental_DMG,0)</f>
        <v>-1</v>
      </c>
      <c r="M33" s="17"/>
      <c r="N33" s="17"/>
      <c r="O33" s="17"/>
      <c r="P33" s="17"/>
      <c r="Q33" s="17"/>
      <c r="R33" s="17"/>
      <c r="S33" s="17">
        <f>Shop_Inflated_Price*W33/$E33*100</f>
        <v>1.039953177</v>
      </c>
      <c r="T33" s="17">
        <f>Shop_Inflated_Price*X33/$E33*100</f>
        <v>4.15981271</v>
      </c>
      <c r="U33" s="17"/>
      <c r="V33" s="47"/>
      <c r="W33" s="17">
        <f t="shared" si="5"/>
        <v>0.3333333333</v>
      </c>
      <c r="X33" s="17">
        <f t="shared" si="8"/>
        <v>1.333333333</v>
      </c>
      <c r="Y33" s="17"/>
      <c r="Z33" s="18"/>
      <c r="AA33" s="18"/>
      <c r="AB33" s="18"/>
      <c r="AC33" s="18"/>
      <c r="AD33" s="18"/>
      <c r="AE33" s="18"/>
      <c r="AF33" s="18"/>
    </row>
    <row r="34" ht="15.75" customHeight="1">
      <c r="A34" s="24" t="s">
        <v>295</v>
      </c>
      <c r="B34" s="25">
        <v>1.0</v>
      </c>
      <c r="C34" s="27" t="s">
        <v>41</v>
      </c>
      <c r="D34" s="28">
        <v>15.0</v>
      </c>
      <c r="E34" s="28">
        <f>ROUNDDOWN(Shop_Endless_Factor*Shop_Price_Modifier*(D34*Shop_Weapon_Price+(0.1*D34*Shop_Weapon_Price+1)*(Shop_Wave)),0)</f>
        <v>40</v>
      </c>
      <c r="F34" s="63">
        <f>IF('数值设定'!$D$4="默认",S34,S34)</f>
        <v>4.094815636</v>
      </c>
      <c r="G34" s="25"/>
      <c r="H34" s="35" t="s">
        <v>97</v>
      </c>
      <c r="I34" s="39" t="s">
        <v>296</v>
      </c>
      <c r="J34" s="17">
        <f>IFerror(3/Shop_Max_HP,0)</f>
        <v>1</v>
      </c>
      <c r="K34" s="17" t="s">
        <v>297</v>
      </c>
      <c r="L34" s="17">
        <f>IFERROR(-1/Shop_Dmg,0)</f>
        <v>-0.25</v>
      </c>
      <c r="M34" s="17"/>
      <c r="N34" s="17"/>
      <c r="O34" s="17"/>
      <c r="P34" s="17"/>
      <c r="Q34" s="17"/>
      <c r="R34" s="17"/>
      <c r="S34" s="17">
        <f>Shop_Inflated_Price*W34/$E34*100</f>
        <v>4.094815636</v>
      </c>
      <c r="T34" s="17">
        <f>Shop_Inflated_Price*X34/$E34*100</f>
        <v>5.459754182</v>
      </c>
      <c r="U34" s="17"/>
      <c r="V34" s="67"/>
      <c r="W34" s="17">
        <f t="shared" si="5"/>
        <v>0.75</v>
      </c>
      <c r="X34" s="17">
        <f t="shared" si="8"/>
        <v>1</v>
      </c>
      <c r="Y34" s="17"/>
      <c r="Z34" s="18"/>
      <c r="AA34" s="18"/>
      <c r="AB34" s="18"/>
      <c r="AC34" s="18"/>
      <c r="AD34" s="18"/>
      <c r="AE34" s="18"/>
      <c r="AF34" s="18"/>
    </row>
    <row r="35" ht="15.75" customHeight="1">
      <c r="A35" s="24" t="s">
        <v>298</v>
      </c>
      <c r="B35" s="25">
        <v>2.0</v>
      </c>
      <c r="C35" s="27" t="s">
        <v>41</v>
      </c>
      <c r="D35" s="28">
        <v>40.0</v>
      </c>
      <c r="E35" s="28">
        <f>ROUNDDOWN(Shop_Endless_Factor*Shop_Price_Modifier*(D35*Shop_Weapon_Price+(0.1*D35*Shop_Weapon_Price+1)*(Shop_Wave)),0)</f>
        <v>90</v>
      </c>
      <c r="F35" s="56">
        <f>IF('数值设定'!$D$4="默认",S35,S35)</f>
        <v>5.6619673</v>
      </c>
      <c r="G35" s="25"/>
      <c r="H35" s="35" t="s">
        <v>52</v>
      </c>
      <c r="I35" s="39" t="s">
        <v>243</v>
      </c>
      <c r="J35" s="17">
        <f>IFerror(2/Shop_Elemental_DMG,0)</f>
        <v>2</v>
      </c>
      <c r="K35" s="64" t="s">
        <v>219</v>
      </c>
      <c r="L35" s="17">
        <f>IFERROR(2/Shop_HP_Regen,0)</f>
        <v>1</v>
      </c>
      <c r="M35" s="17" t="s">
        <v>300</v>
      </c>
      <c r="N35" s="17">
        <f>IFERROR(-2/Shop_Speed,0)</f>
        <v>-0.6666666667</v>
      </c>
      <c r="O35" s="17"/>
      <c r="P35" s="17"/>
      <c r="Q35" s="17"/>
      <c r="R35" s="17"/>
      <c r="S35" s="17">
        <f>Shop_Inflated_Price*W35/$E35*100</f>
        <v>5.6619673</v>
      </c>
      <c r="T35" s="17">
        <f>Shop_Inflated_Price*X35/$E35*100</f>
        <v>7.279672242</v>
      </c>
      <c r="U35" s="17">
        <f>Shop_Inflated_Price*Y35/$E35*100</f>
        <v>3.235409885</v>
      </c>
      <c r="V35" s="47" t="s">
        <v>318</v>
      </c>
      <c r="W35" s="17">
        <f t="shared" si="5"/>
        <v>2.333333333</v>
      </c>
      <c r="X35" s="17">
        <f t="shared" ref="X35:X37" si="9">J35+L35</f>
        <v>3</v>
      </c>
      <c r="Y35" s="17">
        <f t="shared" ref="Y35:Y36" si="10">J35+N35</f>
        <v>1.333333333</v>
      </c>
      <c r="Z35" s="18"/>
      <c r="AA35" s="18"/>
      <c r="AB35" s="18"/>
      <c r="AC35" s="18"/>
      <c r="AD35" s="18"/>
      <c r="AE35" s="18"/>
      <c r="AF35" s="18"/>
    </row>
    <row r="36" ht="15.75" customHeight="1">
      <c r="A36" s="50" t="s">
        <v>320</v>
      </c>
      <c r="B36" s="27">
        <v>3.0</v>
      </c>
      <c r="C36" s="27" t="s">
        <v>41</v>
      </c>
      <c r="D36" s="51">
        <v>65.0</v>
      </c>
      <c r="E36" s="28">
        <f>ROUNDDOWN(Shop_Endless_Factor*Shop_Price_Modifier*(D36*Shop_Weapon_Price+(0.1*D36*Shop_Weapon_Price+1)*(Shop_Wave)),0)</f>
        <v>140</v>
      </c>
      <c r="F36" s="56">
        <f>IF('数值设定'!$D$4="默认",S36,S36)</f>
        <v>5.06977174</v>
      </c>
      <c r="G36" s="64" t="s">
        <v>323</v>
      </c>
      <c r="H36" s="35" t="s">
        <v>89</v>
      </c>
      <c r="I36" s="39" t="s">
        <v>325</v>
      </c>
      <c r="J36" s="17">
        <f>IFerror(4/Shop_Elemental_DMG,0)</f>
        <v>4</v>
      </c>
      <c r="K36" s="35" t="s">
        <v>329</v>
      </c>
      <c r="L36" s="17">
        <f>IFERROR(1/Shop_HP_Regen,0)</f>
        <v>0.5</v>
      </c>
      <c r="M36" s="35" t="s">
        <v>334</v>
      </c>
      <c r="N36" s="17">
        <f>IFERROR(-5/Shop_Dmg,0)</f>
        <v>-1.25</v>
      </c>
      <c r="O36" s="17"/>
      <c r="P36" s="17"/>
      <c r="Q36" s="17"/>
      <c r="R36" s="17"/>
      <c r="S36" s="17">
        <f>Shop_Inflated_Price*W36/$E36*100</f>
        <v>5.06977174</v>
      </c>
      <c r="T36" s="17">
        <f>Shop_Inflated_Price*X36/$E36*100</f>
        <v>7.019683948</v>
      </c>
      <c r="U36" s="17">
        <f>Shop_Inflated_Price*Y36/$E36*100</f>
        <v>4.289806857</v>
      </c>
      <c r="V36" s="87" t="s">
        <v>341</v>
      </c>
      <c r="W36" s="17">
        <f t="shared" si="5"/>
        <v>3.25</v>
      </c>
      <c r="X36" s="17">
        <f t="shared" si="9"/>
        <v>4.5</v>
      </c>
      <c r="Y36" s="17">
        <f t="shared" si="10"/>
        <v>2.75</v>
      </c>
      <c r="Z36" s="18"/>
      <c r="AA36" s="18"/>
      <c r="AB36" s="18"/>
      <c r="AC36" s="18"/>
      <c r="AD36" s="18"/>
      <c r="AE36" s="18"/>
      <c r="AF36" s="18"/>
    </row>
    <row r="37" ht="15.75" customHeight="1">
      <c r="A37" s="50" t="s">
        <v>348</v>
      </c>
      <c r="B37" s="27">
        <v>4.0</v>
      </c>
      <c r="C37" s="27" t="s">
        <v>41</v>
      </c>
      <c r="D37" s="51">
        <v>110.0</v>
      </c>
      <c r="E37" s="28">
        <f>ROUNDDOWN(Shop_Endless_Factor*Shop_Price_Modifier*(D37*Shop_Weapon_Price+(0.1*D37*Shop_Weapon_Price+1)*(Shop_Wave)),0)</f>
        <v>230</v>
      </c>
      <c r="F37" s="94">
        <f>IF('数值设定'!$D$4="默认",U37,S37)</f>
        <v>7.596179731</v>
      </c>
      <c r="G37" s="27" t="s">
        <v>349</v>
      </c>
      <c r="H37" s="35" t="s">
        <v>145</v>
      </c>
      <c r="I37" s="64" t="s">
        <v>350</v>
      </c>
      <c r="J37" s="17">
        <f>IFerror(20/Shop_Dodge,0)</f>
        <v>6.666666667</v>
      </c>
      <c r="K37" s="39" t="s">
        <v>351</v>
      </c>
      <c r="L37" s="17">
        <f>IFERROR(5/Shop_Life_Steal,0)</f>
        <v>3.333333333</v>
      </c>
      <c r="M37" s="35" t="s">
        <v>352</v>
      </c>
      <c r="N37" s="17">
        <f>IFERROR(-2/Shop_Ranged_Dmg,0)</f>
        <v>-2</v>
      </c>
      <c r="O37" s="64" t="s">
        <v>359</v>
      </c>
      <c r="P37" s="17">
        <f>IFERROR(-2/Shop_Melee_Dmg,0)</f>
        <v>-1</v>
      </c>
      <c r="Q37" s="35" t="s">
        <v>365</v>
      </c>
      <c r="R37" s="17">
        <f>IFERROR(-2/Shop_Elemental_DMG,0)</f>
        <v>-2</v>
      </c>
      <c r="S37" s="17">
        <f>Shop_Inflated_Price*W37/$E37*100</f>
        <v>4.747612332</v>
      </c>
      <c r="T37" s="17">
        <f>Shop_Inflated_Price*X37/$E37*100</f>
        <v>9.495224664</v>
      </c>
      <c r="U37" s="17">
        <f>Shop_Inflated_Price*Y37/$E37*100</f>
        <v>7.596179731</v>
      </c>
      <c r="V37" s="87" t="s">
        <v>369</v>
      </c>
      <c r="W37" s="17">
        <f>J37+L37+N37+P37+R37</f>
        <v>5</v>
      </c>
      <c r="X37" s="17">
        <f t="shared" si="9"/>
        <v>10</v>
      </c>
      <c r="Y37" s="17">
        <f>J37+L37+N37</f>
        <v>8</v>
      </c>
      <c r="Z37" s="18"/>
      <c r="AA37" s="18"/>
      <c r="AB37" s="18"/>
      <c r="AC37" s="18"/>
      <c r="AD37" s="18"/>
      <c r="AE37" s="18"/>
      <c r="AF37" s="18"/>
    </row>
    <row r="38" ht="15.75" customHeight="1">
      <c r="A38" s="50" t="s">
        <v>370</v>
      </c>
      <c r="B38" s="27">
        <v>3.0</v>
      </c>
      <c r="C38" s="27" t="s">
        <v>41</v>
      </c>
      <c r="D38" s="51">
        <v>70.0</v>
      </c>
      <c r="E38" s="28">
        <f>ROUNDDOWN(Shop_Endless_Factor*Shop_Price_Modifier*(D38*Shop_Weapon_Price+(0.1*D38*Shop_Weapon_Price+1)*(Shop_Wave)),0)</f>
        <v>150</v>
      </c>
      <c r="F38" s="94">
        <f>IF('数值设定'!$D$4="默认",S38,S38)</f>
        <v>9.706229656</v>
      </c>
      <c r="G38" s="27" t="s">
        <v>376</v>
      </c>
      <c r="H38" s="35" t="s">
        <v>89</v>
      </c>
      <c r="I38" s="64" t="s">
        <v>377</v>
      </c>
      <c r="J38" s="17">
        <f>IFerror(23/Shop_Dodge,0)</f>
        <v>7.666666667</v>
      </c>
      <c r="K38" s="35" t="s">
        <v>378</v>
      </c>
      <c r="L38" s="17">
        <f>IFERROR(-4/Shop_Dmg,0)</f>
        <v>-1</v>
      </c>
      <c r="M38" s="17"/>
      <c r="N38" s="17"/>
      <c r="O38" s="17"/>
      <c r="P38" s="17"/>
      <c r="Q38" s="17"/>
      <c r="R38" s="17"/>
      <c r="S38" s="17">
        <f>Shop_Inflated_Price*W38/$E38*100</f>
        <v>9.706229656</v>
      </c>
      <c r="T38" s="17">
        <f>Shop_Inflated_Price*X38/$E38*100</f>
        <v>11.1621641</v>
      </c>
      <c r="U38" s="17"/>
      <c r="V38" s="67"/>
      <c r="W38" s="17">
        <f t="shared" ref="W38:W45" si="11">J38+L38+N38+P38</f>
        <v>6.666666667</v>
      </c>
      <c r="X38" s="17">
        <f>J38</f>
        <v>7.666666667</v>
      </c>
      <c r="Y38" s="17"/>
      <c r="Z38" s="18"/>
      <c r="AA38" s="18"/>
      <c r="AB38" s="18"/>
      <c r="AC38" s="18"/>
      <c r="AD38" s="18"/>
      <c r="AE38" s="18"/>
      <c r="AF38" s="18"/>
    </row>
    <row r="39" ht="15.75" customHeight="1">
      <c r="A39" s="24" t="s">
        <v>390</v>
      </c>
      <c r="B39" s="25">
        <v>1.0</v>
      </c>
      <c r="C39" s="27" t="s">
        <v>41</v>
      </c>
      <c r="D39" s="28">
        <v>20.0</v>
      </c>
      <c r="E39" s="28">
        <f>ROUNDDOWN(Shop_Endless_Factor*Shop_Price_Modifier*(D39*Shop_Weapon_Price+(0.1*D39*Shop_Weapon_Price+1)*(Shop_Wave)),0)</f>
        <v>50</v>
      </c>
      <c r="F39" s="37">
        <f>IF('数值设定'!$D$4="默认",U39,S39)</f>
        <v>2.183901673</v>
      </c>
      <c r="G39" s="27" t="s">
        <v>391</v>
      </c>
      <c r="H39" s="35" t="s">
        <v>80</v>
      </c>
      <c r="I39" s="39" t="s">
        <v>392</v>
      </c>
      <c r="J39" s="17">
        <f>IFerror(1/Shop_Elemental_DMG,0)</f>
        <v>1</v>
      </c>
      <c r="K39" s="64" t="s">
        <v>393</v>
      </c>
      <c r="L39" s="17">
        <f>IFERROR(2/Shop_Melee_Dmg,0)</f>
        <v>1</v>
      </c>
      <c r="M39" s="17" t="s">
        <v>173</v>
      </c>
      <c r="N39" s="17">
        <f>IFERROR(-2/Shop_Harvesting,0)</f>
        <v>-0.5</v>
      </c>
      <c r="O39" s="17"/>
      <c r="P39" s="17"/>
      <c r="Q39" s="17"/>
      <c r="R39" s="17"/>
      <c r="S39" s="17">
        <f>Shop_Inflated_Price*W39/$E39*100</f>
        <v>6.551705018</v>
      </c>
      <c r="T39" s="17">
        <f>Shop_Inflated_Price*X39/$E39*100</f>
        <v>8.735606691</v>
      </c>
      <c r="U39" s="17">
        <f>Shop_Inflated_Price*Y39/$E39*100</f>
        <v>2.183901673</v>
      </c>
      <c r="V39" s="67" t="s">
        <v>395</v>
      </c>
      <c r="W39" s="17">
        <f t="shared" si="11"/>
        <v>1.5</v>
      </c>
      <c r="X39" s="17">
        <f t="shared" ref="X39:X41" si="12">J39+L39</f>
        <v>2</v>
      </c>
      <c r="Y39" s="17">
        <f t="shared" ref="Y39:Y40" si="13">J39+N39</f>
        <v>0.5</v>
      </c>
      <c r="Z39" s="18"/>
      <c r="AA39" s="22"/>
      <c r="AB39" s="18"/>
      <c r="AC39" s="18"/>
      <c r="AD39" s="18"/>
      <c r="AE39" s="18"/>
      <c r="AF39" s="18"/>
    </row>
    <row r="40" ht="15.75" customHeight="1">
      <c r="A40" s="24" t="s">
        <v>396</v>
      </c>
      <c r="B40" s="25">
        <v>1.0</v>
      </c>
      <c r="C40" s="27" t="s">
        <v>41</v>
      </c>
      <c r="D40" s="28">
        <v>20.0</v>
      </c>
      <c r="E40" s="28">
        <f>ROUNDDOWN(Shop_Endless_Factor*Shop_Price_Modifier*(D40*Shop_Weapon_Price+(0.1*D40*Shop_Weapon_Price+1)*(Shop_Wave)),0)</f>
        <v>50</v>
      </c>
      <c r="F40" s="63">
        <f>IF('数值设定'!$D$4="默认",S40,S40)</f>
        <v>5.09577057</v>
      </c>
      <c r="G40" s="25"/>
      <c r="H40" s="35" t="s">
        <v>52</v>
      </c>
      <c r="I40" s="39" t="s">
        <v>275</v>
      </c>
      <c r="J40" s="17">
        <f>IFerror(1/Shop_Melee_Dmg,0)</f>
        <v>0.5</v>
      </c>
      <c r="K40" s="64" t="s">
        <v>397</v>
      </c>
      <c r="L40" s="17">
        <f>IFERROR(3/Shop_Crit,0)</f>
        <v>1</v>
      </c>
      <c r="M40" s="17" t="s">
        <v>245</v>
      </c>
      <c r="N40" s="17">
        <f>IFERROR(-1/Shop_Max_HP,0)</f>
        <v>-0.3333333333</v>
      </c>
      <c r="O40" s="17"/>
      <c r="P40" s="17"/>
      <c r="Q40" s="17"/>
      <c r="R40" s="17"/>
      <c r="S40" s="17">
        <f>Shop_Inflated_Price*W40/$E40*100</f>
        <v>5.09577057</v>
      </c>
      <c r="T40" s="17">
        <f>Shop_Inflated_Price*X40/$E40*100</f>
        <v>6.551705018</v>
      </c>
      <c r="U40" s="17">
        <f>Shop_Inflated_Price*Y40/$E40*100</f>
        <v>0.7279672242</v>
      </c>
      <c r="V40" s="47" t="s">
        <v>398</v>
      </c>
      <c r="W40" s="17">
        <f t="shared" si="11"/>
        <v>1.166666667</v>
      </c>
      <c r="X40" s="17">
        <f t="shared" si="12"/>
        <v>1.5</v>
      </c>
      <c r="Y40" s="17">
        <f t="shared" si="13"/>
        <v>0.1666666667</v>
      </c>
      <c r="Z40" s="18"/>
      <c r="AA40" s="18"/>
      <c r="AB40" s="18"/>
      <c r="AC40" s="18"/>
      <c r="AD40" s="18"/>
      <c r="AE40" s="18"/>
      <c r="AF40" s="18"/>
    </row>
    <row r="41" ht="15.75" customHeight="1">
      <c r="A41" s="50" t="s">
        <v>401</v>
      </c>
      <c r="B41" s="27">
        <v>3.0</v>
      </c>
      <c r="C41" s="27" t="s">
        <v>41</v>
      </c>
      <c r="D41" s="51">
        <v>65.0</v>
      </c>
      <c r="E41" s="28">
        <f>ROUNDDOWN(Shop_Endless_Factor*Shop_Price_Modifier*(D41*Shop_Weapon_Price+(0.1*D41*Shop_Weapon_Price+1)*(Shop_Wave)),0)</f>
        <v>140</v>
      </c>
      <c r="F41" s="53">
        <f>IF('数值设定'!$D$4="默认",S41,S41)</f>
        <v>5.199765887</v>
      </c>
      <c r="G41" s="27"/>
      <c r="H41" s="35" t="s">
        <v>70</v>
      </c>
      <c r="I41" s="35" t="s">
        <v>415</v>
      </c>
      <c r="J41" s="17">
        <f>IFERROR(6/Shop_Dodge,0)</f>
        <v>2</v>
      </c>
      <c r="K41" s="64" t="s">
        <v>416</v>
      </c>
      <c r="L41" s="17">
        <f>IFERROR(20/Shop_Luck,0)</f>
        <v>2.666666667</v>
      </c>
      <c r="M41" s="39" t="s">
        <v>417</v>
      </c>
      <c r="N41" s="17">
        <f>IFerror(-2/Shop_Life_Steal,0)</f>
        <v>-1.333333333</v>
      </c>
      <c r="O41" s="17"/>
      <c r="P41" s="17"/>
      <c r="Q41" s="17"/>
      <c r="R41" s="17"/>
      <c r="S41" s="17">
        <f>Shop_Inflated_Price*W41/$E41*100</f>
        <v>5.199765887</v>
      </c>
      <c r="T41" s="17">
        <f>Shop_Inflated_Price*X41/$E41*100</f>
        <v>7.279672242</v>
      </c>
      <c r="U41" s="17">
        <f>Shop_Inflated_Price*Y41/$E41*100</f>
        <v>2.079906355</v>
      </c>
      <c r="V41" s="54" t="s">
        <v>419</v>
      </c>
      <c r="W41" s="17">
        <f t="shared" si="11"/>
        <v>3.333333333</v>
      </c>
      <c r="X41" s="17">
        <f t="shared" si="12"/>
        <v>4.666666667</v>
      </c>
      <c r="Y41" s="17">
        <f>L41+N41</f>
        <v>1.333333333</v>
      </c>
      <c r="Z41" s="18"/>
      <c r="AA41" s="18"/>
      <c r="AB41" s="18"/>
      <c r="AC41" s="18"/>
      <c r="AD41" s="18"/>
      <c r="AE41" s="18"/>
      <c r="AF41" s="18"/>
    </row>
    <row r="42" ht="15.75" customHeight="1">
      <c r="A42" s="24" t="s">
        <v>426</v>
      </c>
      <c r="B42" s="25">
        <v>1.0</v>
      </c>
      <c r="C42" s="27" t="s">
        <v>41</v>
      </c>
      <c r="D42" s="51">
        <v>20.0</v>
      </c>
      <c r="E42" s="28">
        <f>ROUNDDOWN(Shop_Endless_Factor*Shop_Price_Modifier*(D42*Shop_Weapon_Price+(0.1*D42*Shop_Weapon_Price+1)*(Shop_Wave)),0)</f>
        <v>50</v>
      </c>
      <c r="F42" s="94">
        <f>IF('数值设定'!$D$4="默认",S42,S42)</f>
        <v>6.551705018</v>
      </c>
      <c r="G42" s="25"/>
      <c r="H42" s="27" t="s">
        <v>145</v>
      </c>
      <c r="I42" s="39" t="s">
        <v>165</v>
      </c>
      <c r="J42" s="17">
        <f>IFerror(10/Shop_Atk_Spd,0)</f>
        <v>2</v>
      </c>
      <c r="K42" s="17" t="s">
        <v>427</v>
      </c>
      <c r="L42" s="17">
        <f>IFERROR(-2/Shop_Dmg,0)</f>
        <v>-0.5</v>
      </c>
      <c r="M42" s="17"/>
      <c r="N42" s="17"/>
      <c r="O42" s="17"/>
      <c r="P42" s="17"/>
      <c r="Q42" s="17"/>
      <c r="R42" s="17"/>
      <c r="S42" s="17">
        <f>Shop_Inflated_Price*W42/$E42*100</f>
        <v>6.551705018</v>
      </c>
      <c r="T42" s="17">
        <f>Shop_Inflated_Price*X42/$E42*100</f>
        <v>8.735606691</v>
      </c>
      <c r="U42" s="17"/>
      <c r="V42" s="67"/>
      <c r="W42" s="17">
        <f t="shared" si="11"/>
        <v>1.5</v>
      </c>
      <c r="X42" s="17">
        <f t="shared" ref="X42:X44" si="14">J42</f>
        <v>2</v>
      </c>
      <c r="Y42" s="17"/>
      <c r="Z42" s="18"/>
      <c r="AA42" s="18"/>
      <c r="AB42" s="18"/>
      <c r="AC42" s="18"/>
      <c r="AD42" s="18"/>
      <c r="AE42" s="18"/>
      <c r="AF42" s="18"/>
    </row>
    <row r="43" ht="15.75" customHeight="1">
      <c r="A43" s="24" t="s">
        <v>431</v>
      </c>
      <c r="B43" s="25">
        <v>2.0</v>
      </c>
      <c r="C43" s="27" t="s">
        <v>41</v>
      </c>
      <c r="D43" s="28">
        <v>35.0</v>
      </c>
      <c r="E43" s="28">
        <f>ROUNDDOWN(Shop_Endless_Factor*Shop_Price_Modifier*(D43*Shop_Weapon_Price+(0.1*D43*Shop_Weapon_Price+1)*(Shop_Wave)),0)</f>
        <v>80</v>
      </c>
      <c r="F43" s="56">
        <f>IF('数值设定'!$D$4="默认",T43,S43)</f>
        <v>7.279672242</v>
      </c>
      <c r="G43" s="27" t="s">
        <v>287</v>
      </c>
      <c r="H43" s="35" t="s">
        <v>70</v>
      </c>
      <c r="I43" s="39" t="s">
        <v>432</v>
      </c>
      <c r="J43" s="17">
        <f>IFerror(4/Shop_Engineering,0)</f>
        <v>2.666666667</v>
      </c>
      <c r="K43" s="17" t="s">
        <v>378</v>
      </c>
      <c r="L43" s="17">
        <f>IFERROR(-4/Shop_Dmg,0)</f>
        <v>-1</v>
      </c>
      <c r="M43" s="17"/>
      <c r="N43" s="17"/>
      <c r="O43" s="17"/>
      <c r="P43" s="17"/>
      <c r="Q43" s="17"/>
      <c r="R43" s="17"/>
      <c r="S43" s="17">
        <f>Shop_Inflated_Price*W43/$E43*100</f>
        <v>4.549795151</v>
      </c>
      <c r="T43" s="17">
        <f>Shop_Inflated_Price*X43/$E43*100</f>
        <v>7.279672242</v>
      </c>
      <c r="U43" s="17"/>
      <c r="V43" s="47"/>
      <c r="W43" s="17">
        <f t="shared" si="11"/>
        <v>1.666666667</v>
      </c>
      <c r="X43" s="17">
        <f t="shared" si="14"/>
        <v>2.666666667</v>
      </c>
      <c r="Y43" s="17"/>
      <c r="Z43" s="18"/>
      <c r="AA43" s="18"/>
      <c r="AB43" s="18"/>
      <c r="AC43" s="18"/>
      <c r="AD43" s="18"/>
      <c r="AE43" s="18"/>
      <c r="AF43" s="18"/>
    </row>
    <row r="44" ht="15.75" customHeight="1">
      <c r="A44" s="50" t="s">
        <v>433</v>
      </c>
      <c r="B44" s="27">
        <v>3.0</v>
      </c>
      <c r="C44" s="27" t="s">
        <v>41</v>
      </c>
      <c r="D44" s="51">
        <v>75.0</v>
      </c>
      <c r="E44" s="28">
        <f>ROUNDDOWN(Shop_Endless_Factor*Shop_Price_Modifier*(D44*Shop_Weapon_Price+(0.1*D44*Shop_Weapon_Price+1)*(Shop_Wave)),0)</f>
        <v>160</v>
      </c>
      <c r="F44" s="56">
        <f>IF('数值设定'!$D$4="默认",S44,S44)</f>
        <v>5.459754182</v>
      </c>
      <c r="G44" s="27" t="s">
        <v>434</v>
      </c>
      <c r="H44" s="35" t="s">
        <v>70</v>
      </c>
      <c r="I44" s="64" t="s">
        <v>435</v>
      </c>
      <c r="J44" s="17">
        <f>IFerror(30/Shop_Atk_Spd,0)</f>
        <v>6</v>
      </c>
      <c r="K44" s="64" t="s">
        <v>437</v>
      </c>
      <c r="L44" s="17">
        <f>IFERROR(-2/Shop_Armor,0)</f>
        <v>-2</v>
      </c>
      <c r="M44" s="17"/>
      <c r="N44" s="17"/>
      <c r="O44" s="17"/>
      <c r="P44" s="17"/>
      <c r="Q44" s="17"/>
      <c r="R44" s="17"/>
      <c r="S44" s="17">
        <f>Shop_Inflated_Price*W44/$E44*100</f>
        <v>5.459754182</v>
      </c>
      <c r="T44" s="17">
        <f>Shop_Inflated_Price*X44/$E44*100</f>
        <v>8.189631273</v>
      </c>
      <c r="W44" s="17">
        <f t="shared" si="11"/>
        <v>4</v>
      </c>
      <c r="X44" s="17">
        <f t="shared" si="14"/>
        <v>6</v>
      </c>
      <c r="Y44" s="17"/>
      <c r="Z44" s="18"/>
      <c r="AA44" s="18"/>
      <c r="AB44" s="18"/>
      <c r="AC44" s="18"/>
      <c r="AD44" s="18"/>
      <c r="AE44" s="18"/>
      <c r="AF44" s="18"/>
    </row>
    <row r="45" ht="15.75" customHeight="1">
      <c r="A45" s="24" t="s">
        <v>439</v>
      </c>
      <c r="B45" s="25">
        <v>2.0</v>
      </c>
      <c r="C45" s="27" t="s">
        <v>41</v>
      </c>
      <c r="D45" s="28">
        <v>40.0</v>
      </c>
      <c r="E45" s="28">
        <f>ROUNDDOWN(Shop_Endless_Factor*Shop_Price_Modifier*(D45*Shop_Weapon_Price+(0.1*D45*Shop_Weapon_Price+1)*(Shop_Wave)),0)</f>
        <v>90</v>
      </c>
      <c r="F45" s="94">
        <f>IF('数值设定'!$D$4="默认",T45,S45)</f>
        <v>8.897377185</v>
      </c>
      <c r="G45" s="27" t="s">
        <v>287</v>
      </c>
      <c r="H45" s="35" t="s">
        <v>70</v>
      </c>
      <c r="I45" s="39" t="s">
        <v>441</v>
      </c>
      <c r="J45" s="17">
        <f>IFerror(5/Shop_Speed,0)</f>
        <v>1.666666667</v>
      </c>
      <c r="K45" s="64" t="s">
        <v>442</v>
      </c>
      <c r="L45" s="17">
        <f>IFERROR(3/Shop_Engineering,0)</f>
        <v>2</v>
      </c>
      <c r="M45" s="17" t="s">
        <v>443</v>
      </c>
      <c r="N45" s="17">
        <f>IFERROR(-3/Shop_Crit,0)</f>
        <v>-1</v>
      </c>
      <c r="O45" s="17"/>
      <c r="P45" s="17"/>
      <c r="Q45" s="17"/>
      <c r="R45" s="17"/>
      <c r="S45" s="17">
        <f>Shop_Inflated_Price*W45/$E45*100</f>
        <v>6.470819771</v>
      </c>
      <c r="T45" s="17">
        <f>Shop_Inflated_Price*X45/$E45*100</f>
        <v>8.897377185</v>
      </c>
      <c r="U45" s="17"/>
      <c r="V45" s="67"/>
      <c r="W45" s="17">
        <f t="shared" si="11"/>
        <v>2.666666667</v>
      </c>
      <c r="X45" s="17">
        <f>J45+L45</f>
        <v>3.666666667</v>
      </c>
      <c r="Y45" s="17"/>
      <c r="Z45" s="18"/>
      <c r="AA45" s="18"/>
      <c r="AB45" s="18"/>
      <c r="AC45" s="18"/>
      <c r="AD45" s="18"/>
      <c r="AE45" s="18"/>
      <c r="AF45" s="18"/>
    </row>
    <row r="46" ht="15.75" customHeight="1">
      <c r="A46" s="50" t="s">
        <v>463</v>
      </c>
      <c r="B46" s="27">
        <v>1.0</v>
      </c>
      <c r="C46" s="27" t="s">
        <v>41</v>
      </c>
      <c r="D46" s="51">
        <v>15.0</v>
      </c>
      <c r="E46" s="28">
        <f>ROUNDDOWN(Shop_Endless_Factor*Shop_Price_Modifier*(D46*Shop_Weapon_Price+(0.1*D46*Shop_Weapon_Price+1)*(Shop_Wave)),0)</f>
        <v>40</v>
      </c>
      <c r="F46" s="58"/>
      <c r="G46" s="27" t="s">
        <v>150</v>
      </c>
      <c r="H46" s="35" t="s">
        <v>145</v>
      </c>
      <c r="I46" s="59"/>
      <c r="J46" s="17"/>
      <c r="K46" s="27"/>
      <c r="L46" s="17"/>
      <c r="M46" s="17"/>
      <c r="N46" s="17"/>
      <c r="O46" s="17"/>
      <c r="P46" s="17"/>
      <c r="Q46" s="17"/>
      <c r="R46" s="17"/>
      <c r="S46" s="17"/>
      <c r="T46" s="17"/>
      <c r="U46" s="17"/>
      <c r="V46" s="47"/>
      <c r="W46" s="17"/>
      <c r="X46" s="17"/>
      <c r="Y46" s="17"/>
      <c r="Z46" s="18"/>
      <c r="AA46" s="18"/>
      <c r="AB46" s="18"/>
      <c r="AC46" s="18"/>
      <c r="AD46" s="18"/>
      <c r="AE46" s="18"/>
      <c r="AF46" s="18"/>
    </row>
    <row r="47" ht="15.75" customHeight="1">
      <c r="A47" s="50" t="s">
        <v>464</v>
      </c>
      <c r="B47" s="27">
        <v>3.0</v>
      </c>
      <c r="C47" s="27" t="s">
        <v>41</v>
      </c>
      <c r="D47" s="51">
        <v>70.0</v>
      </c>
      <c r="E47" s="28">
        <f>ROUNDDOWN(Shop_Endless_Factor*Shop_Price_Modifier*(D47*Shop_Weapon_Price+(0.1*D47*Shop_Weapon_Price+1)*(Shop_Wave)),0)</f>
        <v>150</v>
      </c>
      <c r="F47" s="58"/>
      <c r="G47" s="27" t="s">
        <v>150</v>
      </c>
      <c r="H47" s="35" t="s">
        <v>89</v>
      </c>
      <c r="I47" s="17"/>
      <c r="J47" s="17"/>
      <c r="K47" s="17"/>
      <c r="L47" s="17"/>
      <c r="M47" s="17"/>
      <c r="N47" s="17"/>
      <c r="O47" s="17"/>
      <c r="P47" s="17"/>
      <c r="Q47" s="17"/>
      <c r="R47" s="17"/>
      <c r="S47" s="17"/>
      <c r="T47" s="17"/>
      <c r="U47" s="300"/>
      <c r="V47" s="47"/>
      <c r="W47" s="17"/>
      <c r="X47" s="17"/>
      <c r="Y47" s="300"/>
      <c r="Z47" s="18"/>
      <c r="AA47" s="18"/>
      <c r="AB47" s="18"/>
      <c r="AC47" s="18"/>
      <c r="AD47" s="18"/>
      <c r="AE47" s="18"/>
      <c r="AF47" s="18"/>
    </row>
    <row r="48" ht="15.75" customHeight="1">
      <c r="A48" s="50" t="s">
        <v>465</v>
      </c>
      <c r="B48" s="27">
        <v>1.0</v>
      </c>
      <c r="C48" s="27" t="s">
        <v>41</v>
      </c>
      <c r="D48" s="51">
        <v>25.0</v>
      </c>
      <c r="E48" s="28">
        <f>ROUNDDOWN(Shop_Endless_Factor*Shop_Price_Modifier*(D48*Shop_Weapon_Price+(0.1*D48*Shop_Weapon_Price+1)*(Shop_Wave)),0)</f>
        <v>60</v>
      </c>
      <c r="F48" s="58"/>
      <c r="G48" s="27" t="s">
        <v>150</v>
      </c>
      <c r="H48" s="35" t="s">
        <v>70</v>
      </c>
      <c r="I48" s="17"/>
      <c r="J48" s="17"/>
      <c r="K48" s="17"/>
      <c r="L48" s="17"/>
      <c r="M48" s="17"/>
      <c r="N48" s="17"/>
      <c r="O48" s="17"/>
      <c r="P48" s="17"/>
      <c r="Q48" s="17"/>
      <c r="R48" s="17"/>
      <c r="S48" s="17"/>
      <c r="T48" s="17"/>
      <c r="U48" s="300"/>
      <c r="V48" s="47"/>
      <c r="W48" s="17"/>
      <c r="X48" s="17"/>
      <c r="Y48" s="300"/>
      <c r="Z48" s="18"/>
      <c r="AA48" s="18"/>
      <c r="AB48" s="18"/>
      <c r="AC48" s="18"/>
      <c r="AD48" s="18"/>
      <c r="AE48" s="18"/>
      <c r="AF48" s="18"/>
    </row>
    <row r="49" ht="15.75" customHeight="1">
      <c r="A49" s="50" t="s">
        <v>468</v>
      </c>
      <c r="B49" s="27">
        <v>2.0</v>
      </c>
      <c r="C49" s="27" t="s">
        <v>41</v>
      </c>
      <c r="D49" s="51">
        <v>30.0</v>
      </c>
      <c r="E49" s="28">
        <f>ROUNDDOWN(Shop_Endless_Factor*Shop_Price_Modifier*(D49*Shop_Weapon_Price+(0.1*D49*Shop_Weapon_Price+1)*(Shop_Wave)),0)</f>
        <v>70</v>
      </c>
      <c r="F49" s="58"/>
      <c r="G49" s="27" t="s">
        <v>150</v>
      </c>
      <c r="H49" s="35" t="s">
        <v>89</v>
      </c>
      <c r="I49" s="17"/>
      <c r="J49" s="17"/>
      <c r="K49" s="17"/>
      <c r="L49" s="17"/>
      <c r="M49" s="17"/>
      <c r="N49" s="17"/>
      <c r="O49" s="17"/>
      <c r="P49" s="17"/>
      <c r="Q49" s="17"/>
      <c r="R49" s="17"/>
      <c r="S49" s="17"/>
      <c r="T49" s="17"/>
      <c r="U49" s="300"/>
      <c r="V49" s="47"/>
      <c r="W49" s="17"/>
      <c r="X49" s="17"/>
      <c r="Y49" s="300"/>
      <c r="Z49" s="18"/>
      <c r="AA49" s="18"/>
      <c r="AB49" s="18"/>
      <c r="AC49" s="18"/>
      <c r="AD49" s="18"/>
      <c r="AE49" s="18"/>
      <c r="AF49" s="18"/>
    </row>
    <row r="50" ht="15.75" customHeight="1">
      <c r="A50" s="24" t="s">
        <v>473</v>
      </c>
      <c r="B50" s="25">
        <v>2.0</v>
      </c>
      <c r="C50" s="27" t="s">
        <v>41</v>
      </c>
      <c r="D50" s="28">
        <v>45.0</v>
      </c>
      <c r="E50" s="28">
        <f>ROUNDDOWN(Shop_Endless_Factor*Shop_Price_Modifier*(D50*Shop_Weapon_Price+(0.1*D50*Shop_Weapon_Price+1)*(Shop_Wave)),0)</f>
        <v>100</v>
      </c>
      <c r="F50" s="63">
        <f>IF('数值设定'!$D$4="默认",S50,S50)</f>
        <v>5.241364014</v>
      </c>
      <c r="G50" s="25"/>
      <c r="H50" s="35" t="s">
        <v>70</v>
      </c>
      <c r="I50" s="314" t="s">
        <v>477</v>
      </c>
      <c r="J50" s="17">
        <f>IFerror(12/Shop_Dmg,0)</f>
        <v>3</v>
      </c>
      <c r="K50" s="17" t="s">
        <v>487</v>
      </c>
      <c r="L50" s="17">
        <f>IFERROR(-12/Shop_Range,0)</f>
        <v>-0.6</v>
      </c>
      <c r="M50" s="17"/>
      <c r="N50" s="17"/>
      <c r="O50" s="17"/>
      <c r="P50" s="17"/>
      <c r="Q50" s="17"/>
      <c r="R50" s="17"/>
      <c r="S50" s="17">
        <f>Shop_Inflated_Price*W50/$E50*100</f>
        <v>5.241364014</v>
      </c>
      <c r="T50" s="17">
        <f>Shop_Inflated_Price*X50/$E50*100</f>
        <v>6.551705018</v>
      </c>
      <c r="U50" s="17"/>
      <c r="V50" s="47"/>
      <c r="W50" s="17">
        <f>J50+L50+N50+P50</f>
        <v>2.4</v>
      </c>
      <c r="X50" s="17">
        <f>J50</f>
        <v>3</v>
      </c>
      <c r="Y50" s="17"/>
      <c r="Z50" s="18"/>
      <c r="AA50" s="18"/>
      <c r="AB50" s="18"/>
      <c r="AC50" s="18"/>
      <c r="AD50" s="18"/>
      <c r="AE50" s="18"/>
      <c r="AF50" s="18"/>
    </row>
    <row r="51" ht="15.75" customHeight="1">
      <c r="A51" s="50" t="s">
        <v>504</v>
      </c>
      <c r="B51" s="27">
        <v>2.0</v>
      </c>
      <c r="C51" s="27" t="s">
        <v>41</v>
      </c>
      <c r="D51" s="51">
        <v>35.0</v>
      </c>
      <c r="E51" s="28">
        <f>ROUNDDOWN(Shop_Endless_Factor*Shop_Price_Modifier*(D51*Shop_Weapon_Price+(0.1*D51*Shop_Weapon_Price+1)*(Shop_Wave)),0)</f>
        <v>80</v>
      </c>
      <c r="F51" s="75"/>
      <c r="G51" s="27" t="s">
        <v>150</v>
      </c>
      <c r="H51" s="35" t="s">
        <v>145</v>
      </c>
      <c r="I51" s="59"/>
      <c r="J51" s="17"/>
      <c r="K51" s="27"/>
      <c r="L51" s="17"/>
      <c r="M51" s="17"/>
      <c r="N51" s="17"/>
      <c r="O51" s="17"/>
      <c r="P51" s="17"/>
      <c r="Q51" s="17"/>
      <c r="R51" s="17"/>
      <c r="S51" s="17"/>
      <c r="T51" s="17"/>
      <c r="U51" s="17"/>
      <c r="V51" s="47"/>
      <c r="W51" s="17"/>
      <c r="X51" s="17"/>
      <c r="Y51" s="17"/>
      <c r="Z51" s="18"/>
      <c r="AA51" s="18"/>
      <c r="AB51" s="18"/>
      <c r="AC51" s="18"/>
      <c r="AD51" s="18"/>
      <c r="AE51" s="18"/>
      <c r="AF51" s="18"/>
    </row>
    <row r="52" ht="15.75" customHeight="1">
      <c r="A52" s="24" t="s">
        <v>506</v>
      </c>
      <c r="B52" s="25">
        <v>1.0</v>
      </c>
      <c r="C52" s="27" t="s">
        <v>41</v>
      </c>
      <c r="D52" s="28">
        <v>20.0</v>
      </c>
      <c r="E52" s="28">
        <f>ROUNDDOWN(Shop_Endless_Factor*Shop_Price_Modifier*(D52*Shop_Weapon_Price+(0.1*D52*Shop_Weapon_Price+1)*(Shop_Wave)),0)</f>
        <v>50</v>
      </c>
      <c r="F52" s="63">
        <f>IF('数值设定'!$D$4="默认",S52,S52)</f>
        <v>4.658990235</v>
      </c>
      <c r="G52" s="25"/>
      <c r="H52" s="35" t="s">
        <v>52</v>
      </c>
      <c r="I52" s="39" t="s">
        <v>393</v>
      </c>
      <c r="J52" s="17">
        <f>IFerror(2/Shop_Melee_Dmg,0)</f>
        <v>1</v>
      </c>
      <c r="K52" s="17" t="s">
        <v>187</v>
      </c>
      <c r="L52" s="17">
        <f>IFERROR(-3/Shop_Atk_Spd,0)</f>
        <v>-0.6</v>
      </c>
      <c r="M52" s="64" t="s">
        <v>507</v>
      </c>
      <c r="N52" s="17">
        <f>IFERROR(2/Shop_Max_HP,0)</f>
        <v>0.6666666667</v>
      </c>
      <c r="O52" s="17"/>
      <c r="P52" s="17"/>
      <c r="Q52" s="17"/>
      <c r="R52" s="17"/>
      <c r="S52" s="17">
        <f>Shop_Inflated_Price*W52/$E52*100</f>
        <v>4.658990235</v>
      </c>
      <c r="T52" s="17">
        <f>Shop_Inflated_Price*X52/$E52*100</f>
        <v>7.279672242</v>
      </c>
      <c r="U52" s="17"/>
      <c r="V52" s="67"/>
      <c r="W52" s="17">
        <f t="shared" ref="W52:W57" si="15">J52+L52+N52+P52</f>
        <v>1.066666667</v>
      </c>
      <c r="X52" s="17">
        <f>J52+N52</f>
        <v>1.666666667</v>
      </c>
      <c r="Y52" s="17"/>
      <c r="Z52" s="18"/>
      <c r="AA52" s="18"/>
      <c r="AB52" s="18"/>
      <c r="AC52" s="18"/>
      <c r="AD52" s="18"/>
      <c r="AE52" s="18"/>
      <c r="AF52" s="18"/>
    </row>
    <row r="53" ht="15.75" customHeight="1">
      <c r="A53" s="50" t="s">
        <v>508</v>
      </c>
      <c r="B53" s="27">
        <v>4.0</v>
      </c>
      <c r="C53" s="27" t="s">
        <v>41</v>
      </c>
      <c r="D53" s="51">
        <v>90.0</v>
      </c>
      <c r="E53" s="28">
        <f>ROUNDDOWN(Shop_Endless_Factor*Shop_Price_Modifier*(D53*Shop_Weapon_Price+(0.1*D53*Shop_Weapon_Price+1)*(Shop_Wave)),0)</f>
        <v>190</v>
      </c>
      <c r="F53" s="56">
        <f>IF('数值设定'!$D$4="默认",S53,S53)</f>
        <v>6.513390954</v>
      </c>
      <c r="G53" s="27" t="s">
        <v>510</v>
      </c>
      <c r="H53" s="35" t="s">
        <v>70</v>
      </c>
      <c r="I53" s="39" t="s">
        <v>511</v>
      </c>
      <c r="J53" s="17">
        <f>IFerror(10/Shop_Engineering,0)</f>
        <v>6.666666667</v>
      </c>
      <c r="K53" s="17" t="s">
        <v>513</v>
      </c>
      <c r="L53" s="17">
        <f>IFERROR(-3/Shop_Max_HP,0)</f>
        <v>-1</v>
      </c>
      <c r="M53" s="17"/>
      <c r="N53" s="17"/>
      <c r="O53" s="17"/>
      <c r="P53" s="17"/>
      <c r="Q53" s="17"/>
      <c r="R53" s="17"/>
      <c r="S53" s="17">
        <f>Shop_Inflated_Price*W53/$E53*100</f>
        <v>6.513390954</v>
      </c>
      <c r="T53" s="17">
        <f>Shop_Inflated_Price*X53/$E53*100</f>
        <v>7.662812887</v>
      </c>
      <c r="U53" s="17"/>
      <c r="V53" s="47"/>
      <c r="W53" s="17">
        <f t="shared" si="15"/>
        <v>5.666666667</v>
      </c>
      <c r="X53" s="17">
        <f>J53</f>
        <v>6.666666667</v>
      </c>
      <c r="Y53" s="17"/>
      <c r="Z53" s="18"/>
      <c r="AA53" s="18"/>
      <c r="AB53" s="18"/>
      <c r="AC53" s="18"/>
      <c r="AD53" s="18"/>
      <c r="AE53" s="18"/>
      <c r="AF53" s="18"/>
    </row>
    <row r="54" ht="15.75" customHeight="1">
      <c r="A54" s="24" t="s">
        <v>514</v>
      </c>
      <c r="B54" s="25">
        <v>1.0</v>
      </c>
      <c r="C54" s="27" t="s">
        <v>41</v>
      </c>
      <c r="D54" s="51">
        <v>20.0</v>
      </c>
      <c r="E54" s="28">
        <f>ROUNDDOWN(Shop_Endless_Factor*Shop_Price_Modifier*(D54*Shop_Weapon_Price+(0.1*D54*Shop_Weapon_Price+1)*(Shop_Wave)),0)</f>
        <v>50</v>
      </c>
      <c r="F54" s="63">
        <f>IF('数值设定'!$D$4="默认",S54,S54)</f>
        <v>4.367803345</v>
      </c>
      <c r="G54" s="25"/>
      <c r="H54" s="35" t="s">
        <v>97</v>
      </c>
      <c r="I54" s="39" t="s">
        <v>515</v>
      </c>
      <c r="J54" s="17">
        <f>IFerror(1/Shop_Armor,0)</f>
        <v>1</v>
      </c>
      <c r="K54" s="64" t="s">
        <v>267</v>
      </c>
      <c r="L54" s="17">
        <f>IFERROR(1/Shop_Engineering,0)</f>
        <v>0.6666666667</v>
      </c>
      <c r="M54" s="17" t="s">
        <v>516</v>
      </c>
      <c r="N54" s="17">
        <f>IFERROR(-2/Shop_Max_HP,0)</f>
        <v>-0.6666666667</v>
      </c>
      <c r="O54" s="17"/>
      <c r="P54" s="17"/>
      <c r="Q54" s="17"/>
      <c r="R54" s="17"/>
      <c r="S54" s="17">
        <f>Shop_Inflated_Price*W54/$E54*100</f>
        <v>4.367803345</v>
      </c>
      <c r="T54" s="17">
        <f>Shop_Inflated_Price*X54/$E54*100</f>
        <v>7.279672242</v>
      </c>
      <c r="U54" s="17">
        <f>Shop_Inflated_Price*Y54/$E54*100</f>
        <v>1.455934448</v>
      </c>
      <c r="V54" s="47" t="s">
        <v>520</v>
      </c>
      <c r="W54" s="17">
        <f t="shared" si="15"/>
        <v>1</v>
      </c>
      <c r="X54" s="17">
        <f t="shared" ref="X54:X57" si="16">J54+L54</f>
        <v>1.666666667</v>
      </c>
      <c r="Y54" s="17">
        <f>J54+N54</f>
        <v>0.3333333333</v>
      </c>
      <c r="Z54" s="18"/>
      <c r="AA54" s="18"/>
      <c r="AB54" s="18"/>
      <c r="AC54" s="18"/>
      <c r="AD54" s="18"/>
      <c r="AE54" s="18"/>
      <c r="AF54" s="18"/>
    </row>
    <row r="55" ht="15.75" customHeight="1">
      <c r="A55" s="50" t="s">
        <v>521</v>
      </c>
      <c r="B55" s="27">
        <v>1.0</v>
      </c>
      <c r="C55" s="27" t="s">
        <v>41</v>
      </c>
      <c r="D55" s="51">
        <v>20.0</v>
      </c>
      <c r="E55" s="28">
        <f>ROUNDDOWN(Shop_Endless_Factor*Shop_Price_Modifier*(D55*Shop_Weapon_Price+(0.1*D55*Shop_Weapon_Price+1)*(Shop_Wave)),0)</f>
        <v>50</v>
      </c>
      <c r="F55" s="53">
        <f>IF('数值设定'!$D$4="默认",S55,S55)</f>
        <v>16.37926255</v>
      </c>
      <c r="G55" s="27" t="s">
        <v>523</v>
      </c>
      <c r="H55" s="35" t="s">
        <v>145</v>
      </c>
      <c r="I55" s="59" t="s">
        <v>524</v>
      </c>
      <c r="J55" s="17">
        <f>IFerror(15/Shop_Dmg,0)</f>
        <v>3.75</v>
      </c>
      <c r="K55" s="27"/>
      <c r="L55" s="17"/>
      <c r="M55" s="17"/>
      <c r="N55" s="17"/>
      <c r="O55" s="17"/>
      <c r="P55" s="17"/>
      <c r="Q55" s="17"/>
      <c r="R55" s="17"/>
      <c r="S55" s="17">
        <f>Shop_Inflated_Price*W55/$E55*100</f>
        <v>16.37926255</v>
      </c>
      <c r="T55" s="17">
        <f>Shop_Inflated_Price*X55/$E55*100</f>
        <v>16.37926255</v>
      </c>
      <c r="U55" s="17"/>
      <c r="V55" s="47"/>
      <c r="W55" s="17">
        <f t="shared" si="15"/>
        <v>3.75</v>
      </c>
      <c r="X55" s="17">
        <f t="shared" si="16"/>
        <v>3.75</v>
      </c>
      <c r="Y55" s="17"/>
      <c r="Z55" s="18"/>
      <c r="AA55" s="18"/>
      <c r="AB55" s="18"/>
      <c r="AC55" s="18"/>
      <c r="AD55" s="18"/>
      <c r="AE55" s="18"/>
      <c r="AF55" s="18"/>
    </row>
    <row r="56" ht="15.75" customHeight="1">
      <c r="A56" s="24" t="s">
        <v>525</v>
      </c>
      <c r="B56" s="25">
        <v>2.0</v>
      </c>
      <c r="C56" s="27" t="s">
        <v>41</v>
      </c>
      <c r="D56" s="28">
        <v>55.0</v>
      </c>
      <c r="E56" s="28">
        <f>ROUNDDOWN(Shop_Endless_Factor*Shop_Price_Modifier*(D56*Shop_Weapon_Price+(0.1*D56*Shop_Weapon_Price+1)*(Shop_Wave)),0)</f>
        <v>120</v>
      </c>
      <c r="F56" s="56">
        <f>IF('数值设定'!$D$4="默认",T56,S56)</f>
        <v>6.066393535</v>
      </c>
      <c r="G56" s="27" t="s">
        <v>287</v>
      </c>
      <c r="H56" s="35" t="s">
        <v>52</v>
      </c>
      <c r="I56" s="39" t="s">
        <v>526</v>
      </c>
      <c r="J56" s="17">
        <f>IFerror(4/Shop_Crit,0)</f>
        <v>1.333333333</v>
      </c>
      <c r="K56" s="64" t="s">
        <v>243</v>
      </c>
      <c r="L56" s="17">
        <f>IFERROR(2/Shop_Elemental_DMG,0)</f>
        <v>2</v>
      </c>
      <c r="M56" s="17" t="s">
        <v>352</v>
      </c>
      <c r="N56" s="17">
        <f>IFERROR(-2/Shop_Ranged_Dmg,0)</f>
        <v>-2</v>
      </c>
      <c r="O56" s="17"/>
      <c r="P56" s="17"/>
      <c r="Q56" s="17"/>
      <c r="R56" s="17"/>
      <c r="S56" s="17">
        <f>Shop_Inflated_Price*W56/$E56*100</f>
        <v>2.426557414</v>
      </c>
      <c r="T56" s="17">
        <f>Shop_Inflated_Price*X56/$E56*100</f>
        <v>6.066393535</v>
      </c>
      <c r="U56" s="17">
        <f>Shop_Inflated_Price*Y56/$E56*100</f>
        <v>2.426557414</v>
      </c>
      <c r="V56" s="67" t="s">
        <v>527</v>
      </c>
      <c r="W56" s="17">
        <f t="shared" si="15"/>
        <v>1.333333333</v>
      </c>
      <c r="X56" s="17">
        <f t="shared" si="16"/>
        <v>3.333333333</v>
      </c>
      <c r="Y56" s="17">
        <f>J56</f>
        <v>1.333333333</v>
      </c>
      <c r="Z56" s="18"/>
      <c r="AA56" s="18"/>
      <c r="AB56" s="18"/>
      <c r="AC56" s="18"/>
      <c r="AD56" s="18"/>
      <c r="AE56" s="18"/>
      <c r="AF56" s="18"/>
    </row>
    <row r="57" ht="15.75" customHeight="1">
      <c r="A57" s="50" t="s">
        <v>528</v>
      </c>
      <c r="B57" s="27">
        <v>4.0</v>
      </c>
      <c r="C57" s="27" t="s">
        <v>41</v>
      </c>
      <c r="D57" s="51">
        <v>130.0</v>
      </c>
      <c r="E57" s="28">
        <f>ROUNDDOWN(Shop_Endless_Factor*Shop_Price_Modifier*(D57*Shop_Weapon_Price+(0.1*D57*Shop_Weapon_Price+1)*(Shop_Wave)),0)</f>
        <v>270</v>
      </c>
      <c r="F57" s="53">
        <f>IF('数值设定'!$D$4="默认",T57,S57)</f>
        <v>17.52513688</v>
      </c>
      <c r="G57" s="27" t="s">
        <v>529</v>
      </c>
      <c r="H57" s="35" t="s">
        <v>530</v>
      </c>
      <c r="I57" s="35" t="s">
        <v>531</v>
      </c>
      <c r="J57" s="17">
        <f>IFerror(40/Shop_HP_Regen,0)</f>
        <v>20</v>
      </c>
      <c r="K57" s="39" t="s">
        <v>532</v>
      </c>
      <c r="L57" s="17">
        <f>IFERROR(5/Shop_Max_HP,0)</f>
        <v>1.666666667</v>
      </c>
      <c r="M57" s="35" t="s">
        <v>533</v>
      </c>
      <c r="N57" s="17">
        <f>IFERROR(-20/Shop_Speed,0)</f>
        <v>-6.666666667</v>
      </c>
      <c r="O57" s="17"/>
      <c r="P57" s="17"/>
      <c r="Q57" s="17"/>
      <c r="R57" s="17"/>
      <c r="S57" s="17">
        <f>Shop_Inflated_Price*W57/$E57*100</f>
        <v>12.13278707</v>
      </c>
      <c r="T57" s="17">
        <f>Shop_Inflated_Price*X57/$E57*100</f>
        <v>17.52513688</v>
      </c>
      <c r="U57" s="17"/>
      <c r="V57" s="67"/>
      <c r="W57" s="17">
        <f t="shared" si="15"/>
        <v>15</v>
      </c>
      <c r="X57" s="17">
        <f t="shared" si="16"/>
        <v>21.66666667</v>
      </c>
      <c r="Y57" s="17"/>
      <c r="Z57" s="18"/>
      <c r="AA57" s="18"/>
      <c r="AB57" s="18"/>
      <c r="AC57" s="18"/>
      <c r="AD57" s="18"/>
      <c r="AE57" s="18"/>
      <c r="AF57" s="18"/>
    </row>
    <row r="58" ht="15.75" customHeight="1">
      <c r="A58" s="50" t="s">
        <v>534</v>
      </c>
      <c r="B58" s="27">
        <v>4.0</v>
      </c>
      <c r="C58" s="27" t="s">
        <v>41</v>
      </c>
      <c r="D58" s="51">
        <v>90.0</v>
      </c>
      <c r="E58" s="28">
        <f>ROUNDDOWN(Shop_Endless_Factor*Shop_Price_Modifier*(D58*Shop_Weapon_Price+(0.1*D58*Shop_Weapon_Price+1)*(Shop_Wave)),0)</f>
        <v>190</v>
      </c>
      <c r="F58" s="56">
        <f>IF('数值设定'!$D$4="默认",U58,S58)</f>
        <v>5.747109665</v>
      </c>
      <c r="G58" s="27" t="s">
        <v>535</v>
      </c>
      <c r="H58" s="35" t="s">
        <v>145</v>
      </c>
      <c r="I58" s="64" t="s">
        <v>536</v>
      </c>
      <c r="J58" s="17">
        <f>IFerror(3/Shop_Armor,0)</f>
        <v>3</v>
      </c>
      <c r="K58" s="35" t="s">
        <v>537</v>
      </c>
      <c r="L58" s="17">
        <f>IFERROR(5/Shop_Engineering,0)</f>
        <v>3.333333333</v>
      </c>
      <c r="M58" s="35" t="s">
        <v>538</v>
      </c>
      <c r="N58" s="17">
        <f>IFERROR(-2/Shop_HP_Regen,0)</f>
        <v>-1</v>
      </c>
      <c r="O58" s="35" t="s">
        <v>539</v>
      </c>
      <c r="P58" s="17">
        <f>IFERROR(-2/Shop_Life_Steal,0)</f>
        <v>-1.333333333</v>
      </c>
      <c r="Q58" s="64" t="s">
        <v>540</v>
      </c>
      <c r="R58" s="17">
        <f>IFERROR(5/Shop_Speed+5/Shop_Crit,0)</f>
        <v>3.333333333</v>
      </c>
      <c r="S58" s="17">
        <f>Shop_Inflated_Price*W58/$E58*100</f>
        <v>8.429094175</v>
      </c>
      <c r="T58" s="17">
        <f>Shop_Inflated_Price*X58/$E58*100</f>
        <v>11.11107869</v>
      </c>
      <c r="U58" s="17">
        <f>Shop_Inflated_Price*Y58/$E58*100</f>
        <v>5.747109665</v>
      </c>
      <c r="V58" s="87" t="s">
        <v>541</v>
      </c>
      <c r="W58" s="17">
        <f t="shared" ref="W58:W59" si="17">J58+L58+N58+P58+R58</f>
        <v>7.333333333</v>
      </c>
      <c r="X58" s="17">
        <f>J58+L58+R58</f>
        <v>9.666666667</v>
      </c>
      <c r="Y58" s="17">
        <f>J58+R58+P58</f>
        <v>5</v>
      </c>
      <c r="Z58" s="18"/>
      <c r="AA58" s="18"/>
      <c r="AB58" s="18"/>
      <c r="AC58" s="18"/>
      <c r="AD58" s="18"/>
      <c r="AE58" s="18"/>
      <c r="AF58" s="18"/>
    </row>
    <row r="59" ht="15.75" customHeight="1">
      <c r="A59" s="50" t="s">
        <v>542</v>
      </c>
      <c r="B59" s="27">
        <v>4.0</v>
      </c>
      <c r="C59" s="27" t="s">
        <v>41</v>
      </c>
      <c r="D59" s="51">
        <v>100.0</v>
      </c>
      <c r="E59" s="28">
        <f>ROUNDDOWN(Shop_Endless_Factor*Shop_Price_Modifier*(D59*Shop_Weapon_Price+(0.1*D59*Shop_Weapon_Price+1)*(Shop_Wave)),0)</f>
        <v>210</v>
      </c>
      <c r="F59" s="94">
        <f>IF('数值设定'!$D$4="默认",S59,S59)</f>
        <v>11.69947325</v>
      </c>
      <c r="G59" s="27" t="s">
        <v>543</v>
      </c>
      <c r="H59" s="35" t="s">
        <v>145</v>
      </c>
      <c r="I59" s="59" t="s">
        <v>544</v>
      </c>
      <c r="J59" s="17">
        <f>IFerror(-15/Shop_Dmg,0)</f>
        <v>-3.75</v>
      </c>
      <c r="K59" s="59" t="s">
        <v>545</v>
      </c>
      <c r="L59" s="17">
        <f>IFERROR(60/Shop_Dmg,0)</f>
        <v>15</v>
      </c>
      <c r="M59" s="17"/>
      <c r="N59" s="17"/>
      <c r="O59" s="17"/>
      <c r="P59" s="17"/>
      <c r="Q59" s="17"/>
      <c r="R59" s="17"/>
      <c r="S59" s="17">
        <f>Shop_Inflated_Price*W59/$E59*100</f>
        <v>11.69947325</v>
      </c>
      <c r="T59" s="17">
        <f>Shop_Inflated_Price*X59/$E59*100</f>
        <v>15.59929766</v>
      </c>
      <c r="U59" s="17"/>
      <c r="V59" s="47"/>
      <c r="W59" s="17">
        <f t="shared" si="17"/>
        <v>11.25</v>
      </c>
      <c r="X59" s="17">
        <f>L59</f>
        <v>15</v>
      </c>
      <c r="Y59" s="17"/>
      <c r="Z59" s="18"/>
      <c r="AA59" s="18"/>
      <c r="AB59" s="18"/>
      <c r="AC59" s="18"/>
      <c r="AD59" s="18"/>
      <c r="AE59" s="18"/>
      <c r="AF59" s="18"/>
    </row>
    <row r="60" ht="15.75" customHeight="1">
      <c r="A60" s="50" t="s">
        <v>546</v>
      </c>
      <c r="B60" s="27">
        <v>4.0</v>
      </c>
      <c r="C60" s="27" t="s">
        <v>41</v>
      </c>
      <c r="D60" s="51">
        <v>80.0</v>
      </c>
      <c r="E60" s="28">
        <f>ROUNDDOWN(Shop_Endless_Factor*Shop_Price_Modifier*(D60*Shop_Weapon_Price+(0.1*D60*Shop_Weapon_Price+1)*(Shop_Wave)),0)</f>
        <v>170</v>
      </c>
      <c r="F60" s="91"/>
      <c r="G60" s="27" t="s">
        <v>150</v>
      </c>
      <c r="H60" s="35" t="s">
        <v>145</v>
      </c>
      <c r="I60" s="59"/>
      <c r="J60" s="17"/>
      <c r="K60" s="27"/>
      <c r="L60" s="17"/>
      <c r="M60" s="17"/>
      <c r="N60" s="17"/>
      <c r="O60" s="17"/>
      <c r="P60" s="17"/>
      <c r="Q60" s="17"/>
      <c r="R60" s="17"/>
      <c r="S60" s="17"/>
      <c r="T60" s="17"/>
      <c r="U60" s="17"/>
      <c r="V60" s="47"/>
      <c r="W60" s="17"/>
      <c r="X60" s="17"/>
      <c r="Y60" s="17"/>
      <c r="Z60" s="18"/>
      <c r="AA60" s="18"/>
      <c r="AB60" s="18"/>
      <c r="AC60" s="18"/>
      <c r="AD60" s="18"/>
      <c r="AE60" s="18"/>
      <c r="AF60" s="18"/>
    </row>
    <row r="61" ht="15.75" customHeight="1">
      <c r="A61" s="50" t="s">
        <v>547</v>
      </c>
      <c r="B61" s="27">
        <v>4.0</v>
      </c>
      <c r="C61" s="27" t="s">
        <v>41</v>
      </c>
      <c r="D61" s="51">
        <v>100.0</v>
      </c>
      <c r="E61" s="28">
        <f>ROUNDDOWN(Shop_Endless_Factor*Shop_Price_Modifier*(D61*Shop_Weapon_Price+(0.1*D61*Shop_Weapon_Price+1)*(Shop_Wave)),0)</f>
        <v>210</v>
      </c>
      <c r="F61" s="53">
        <f>IF('数值设定'!$D$4="默认",T61,S61)</f>
        <v>31.19859532</v>
      </c>
      <c r="G61" s="27" t="s">
        <v>548</v>
      </c>
      <c r="H61" s="35" t="s">
        <v>70</v>
      </c>
      <c r="I61" s="59" t="s">
        <v>549</v>
      </c>
      <c r="J61" s="17">
        <f>IFerror(10*Max(19-Shop_Wave,0)/Shop_Max_HP,0)</f>
        <v>30</v>
      </c>
      <c r="K61" s="27"/>
      <c r="L61" s="17"/>
      <c r="M61" s="17"/>
      <c r="N61" s="17"/>
      <c r="O61" s="17"/>
      <c r="P61" s="17"/>
      <c r="Q61" s="17"/>
      <c r="R61" s="17"/>
      <c r="S61" s="17">
        <f>Shop_Inflated_Price*W61/$E61*100</f>
        <v>31.19859532</v>
      </c>
      <c r="T61" s="17">
        <f>Shop_Inflated_Price*X61/$E61*100</f>
        <v>31.19859532</v>
      </c>
      <c r="U61" s="17"/>
      <c r="V61" s="54"/>
      <c r="W61" s="17">
        <f>J61+L61+N61+P61</f>
        <v>30</v>
      </c>
      <c r="X61" s="17">
        <f>J61+L61</f>
        <v>30</v>
      </c>
      <c r="Y61" s="17"/>
      <c r="Z61" s="18"/>
      <c r="AA61" s="18"/>
      <c r="AB61" s="18"/>
      <c r="AC61" s="18"/>
      <c r="AD61" s="18"/>
      <c r="AE61" s="18"/>
      <c r="AF61" s="18"/>
    </row>
    <row r="62" ht="15.75" customHeight="1">
      <c r="A62" s="50" t="s">
        <v>229</v>
      </c>
      <c r="B62" s="27">
        <v>2.0</v>
      </c>
      <c r="C62" s="27" t="s">
        <v>41</v>
      </c>
      <c r="D62" s="51">
        <v>60.0</v>
      </c>
      <c r="E62" s="28">
        <f>ROUNDDOWN(Shop_Endless_Factor*Shop_Price_Modifier*(D62*Shop_Weapon_Price+(0.1*D62*Shop_Weapon_Price+1)*(Shop_Wave)),0)</f>
        <v>130</v>
      </c>
      <c r="F62" s="91"/>
      <c r="G62" s="27" t="s">
        <v>150</v>
      </c>
      <c r="H62" s="35" t="s">
        <v>97</v>
      </c>
      <c r="I62" s="59"/>
      <c r="J62" s="17"/>
      <c r="K62" s="27"/>
      <c r="L62" s="17"/>
      <c r="M62" s="17"/>
      <c r="N62" s="17"/>
      <c r="O62" s="17"/>
      <c r="P62" s="17"/>
      <c r="Q62" s="17"/>
      <c r="R62" s="17"/>
      <c r="S62" s="17"/>
      <c r="T62" s="17"/>
      <c r="U62" s="17"/>
      <c r="V62" s="47"/>
      <c r="W62" s="17"/>
      <c r="X62" s="17"/>
      <c r="Y62" s="17"/>
      <c r="Z62" s="18"/>
      <c r="AA62" s="18"/>
      <c r="AB62" s="18"/>
      <c r="AC62" s="18"/>
      <c r="AD62" s="18"/>
      <c r="AE62" s="18"/>
      <c r="AF62" s="18"/>
    </row>
    <row r="63" ht="15.75" customHeight="1">
      <c r="A63" s="50" t="s">
        <v>550</v>
      </c>
      <c r="B63" s="27">
        <v>3.0</v>
      </c>
      <c r="C63" s="27" t="s">
        <v>41</v>
      </c>
      <c r="D63" s="51">
        <v>85.0</v>
      </c>
      <c r="E63" s="28">
        <f>ROUNDDOWN(Shop_Endless_Factor*Shop_Price_Modifier*(D63*Shop_Weapon_Price+(0.1*D63*Shop_Weapon_Price+1)*(Shop_Wave)),0)</f>
        <v>180</v>
      </c>
      <c r="F63" s="53">
        <f>IF('数值设定'!$D$4="默认",T63,S63)</f>
        <v>9.099590303</v>
      </c>
      <c r="G63" s="27" t="s">
        <v>551</v>
      </c>
      <c r="H63" s="35" t="s">
        <v>145</v>
      </c>
      <c r="I63" s="39" t="s">
        <v>552</v>
      </c>
      <c r="J63" s="17">
        <f>IFerror(15/Shop_HP_Regen,0)</f>
        <v>7.5</v>
      </c>
      <c r="K63" s="27"/>
      <c r="L63" s="17"/>
      <c r="M63" s="35"/>
      <c r="N63" s="17"/>
      <c r="O63" s="17"/>
      <c r="P63" s="17"/>
      <c r="Q63" s="17"/>
      <c r="R63" s="17"/>
      <c r="S63" s="17">
        <f>Shop_Inflated_Price*W63/$E63*100</f>
        <v>9.099590303</v>
      </c>
      <c r="T63" s="17">
        <f>Shop_Inflated_Price*X63/$E63*100</f>
        <v>9.099590303</v>
      </c>
      <c r="U63" s="17"/>
      <c r="V63" s="54"/>
      <c r="W63" s="17">
        <f t="shared" ref="W63:W68" si="18">J63+L63+N63+P63</f>
        <v>7.5</v>
      </c>
      <c r="X63" s="17">
        <f>J63+L63</f>
        <v>7.5</v>
      </c>
      <c r="Y63" s="17" t="str">
        <f>L63</f>
        <v/>
      </c>
      <c r="Z63" s="18"/>
      <c r="AA63" s="18"/>
      <c r="AB63" s="18"/>
      <c r="AC63" s="18"/>
      <c r="AD63" s="18"/>
      <c r="AE63" s="18"/>
      <c r="AF63" s="18"/>
    </row>
    <row r="64" ht="15.75" customHeight="1">
      <c r="A64" s="24" t="s">
        <v>553</v>
      </c>
      <c r="B64" s="25">
        <v>1.0</v>
      </c>
      <c r="C64" s="27" t="s">
        <v>41</v>
      </c>
      <c r="D64" s="28">
        <v>15.0</v>
      </c>
      <c r="E64" s="28">
        <f>ROUNDDOWN(Shop_Endless_Factor*Shop_Price_Modifier*(D64*Shop_Weapon_Price+(0.1*D64*Shop_Weapon_Price+1)*(Shop_Wave)),0)</f>
        <v>40</v>
      </c>
      <c r="F64" s="53">
        <f>IF('数值设定'!$D$4="默认",T64,S64)</f>
        <v>10.91950836</v>
      </c>
      <c r="G64" s="27" t="s">
        <v>287</v>
      </c>
      <c r="H64" s="35" t="s">
        <v>145</v>
      </c>
      <c r="I64" s="39" t="s">
        <v>554</v>
      </c>
      <c r="J64" s="17">
        <f>IFerror(8/Shop_Harvesting,0)</f>
        <v>2</v>
      </c>
      <c r="K64" s="17" t="s">
        <v>555</v>
      </c>
      <c r="L64" s="17">
        <f>IFERROR(-1/Shop_Melee_Dmg,0)</f>
        <v>-0.5</v>
      </c>
      <c r="M64" s="17"/>
      <c r="N64" s="17"/>
      <c r="O64" s="17"/>
      <c r="P64" s="17"/>
      <c r="Q64" s="17"/>
      <c r="R64" s="17"/>
      <c r="S64" s="17">
        <f>Shop_Inflated_Price*W64/$E64*100</f>
        <v>8.189631273</v>
      </c>
      <c r="T64" s="17">
        <f>Shop_Inflated_Price*X64/$E64*100</f>
        <v>10.91950836</v>
      </c>
      <c r="U64" s="17"/>
      <c r="V64" s="47"/>
      <c r="W64" s="17">
        <f t="shared" si="18"/>
        <v>1.5</v>
      </c>
      <c r="X64" s="17">
        <f>J64</f>
        <v>2</v>
      </c>
      <c r="Y64" s="17"/>
      <c r="Z64" s="18"/>
      <c r="AA64" s="18"/>
      <c r="AB64" s="18"/>
      <c r="AC64" s="18"/>
      <c r="AD64" s="18"/>
      <c r="AE64" s="18"/>
      <c r="AF64" s="18"/>
    </row>
    <row r="65" ht="15.75" customHeight="1">
      <c r="A65" s="24" t="s">
        <v>556</v>
      </c>
      <c r="B65" s="25">
        <v>3.0</v>
      </c>
      <c r="C65" s="27" t="s">
        <v>41</v>
      </c>
      <c r="D65" s="28">
        <v>65.0</v>
      </c>
      <c r="E65" s="28">
        <f>ROUNDDOWN(Shop_Endless_Factor*Shop_Price_Modifier*(D65*Shop_Weapon_Price+(0.1*D65*Shop_Weapon_Price+1)*(Shop_Wave)),0)</f>
        <v>140</v>
      </c>
      <c r="F65" s="56">
        <f>IF('数值设定'!$D$4="默认",S65,S65)</f>
        <v>6.655700336</v>
      </c>
      <c r="G65" s="25"/>
      <c r="H65" s="35" t="s">
        <v>70</v>
      </c>
      <c r="I65" s="39" t="s">
        <v>557</v>
      </c>
      <c r="J65" s="17">
        <f>IFerror(10/Shop_Speed,0)</f>
        <v>3.333333333</v>
      </c>
      <c r="K65" s="64" t="s">
        <v>558</v>
      </c>
      <c r="L65" s="17">
        <f>IFERROR(3/Shop_Life_Steal,0)</f>
        <v>2</v>
      </c>
      <c r="M65" s="17" t="s">
        <v>102</v>
      </c>
      <c r="N65" s="17">
        <f>IFERROR(-8/Shop_Luck,0)</f>
        <v>-1.066666667</v>
      </c>
      <c r="O65" s="17"/>
      <c r="P65" s="17"/>
      <c r="Q65" s="17"/>
      <c r="R65" s="17"/>
      <c r="S65" s="17">
        <f>Shop_Inflated_Price*W65/$E65*100</f>
        <v>6.655700336</v>
      </c>
      <c r="T65" s="17">
        <f>Shop_Inflated_Price*X65/$E65*100</f>
        <v>8.31962542</v>
      </c>
      <c r="U65" s="17">
        <f>Shop_Inflated_Price*Y65/$E65*100</f>
        <v>5.199765887</v>
      </c>
      <c r="V65" s="67" t="s">
        <v>559</v>
      </c>
      <c r="W65" s="17">
        <f t="shared" si="18"/>
        <v>4.266666667</v>
      </c>
      <c r="X65" s="17">
        <f>J65+L65</f>
        <v>5.333333333</v>
      </c>
      <c r="Y65" s="17">
        <f>J65</f>
        <v>3.333333333</v>
      </c>
      <c r="Z65" s="18"/>
      <c r="AA65" s="18"/>
      <c r="AB65" s="18"/>
      <c r="AC65" s="18"/>
      <c r="AD65" s="18"/>
      <c r="AE65" s="18"/>
      <c r="AF65" s="18"/>
    </row>
    <row r="66" ht="15.75" customHeight="1">
      <c r="A66" s="50" t="s">
        <v>560</v>
      </c>
      <c r="B66" s="25">
        <v>4.0</v>
      </c>
      <c r="C66" s="27" t="s">
        <v>41</v>
      </c>
      <c r="D66" s="28">
        <v>110.0</v>
      </c>
      <c r="E66" s="28">
        <f>ROUNDDOWN(Shop_Endless_Factor*Shop_Price_Modifier*(D66*Shop_Weapon_Price+(0.1*D66*Shop_Weapon_Price+1)*(Shop_Wave)),0)</f>
        <v>230</v>
      </c>
      <c r="F66" s="56">
        <f>IF('数值设定'!$D$4="默认",S66,S66)</f>
        <v>6.551705018</v>
      </c>
      <c r="G66" s="25"/>
      <c r="H66" s="35" t="s">
        <v>70</v>
      </c>
      <c r="I66" s="314" t="s">
        <v>561</v>
      </c>
      <c r="J66" s="17">
        <f>IFerror(30/Shop_Dmg,0)</f>
        <v>7.5</v>
      </c>
      <c r="K66" s="35" t="s">
        <v>562</v>
      </c>
      <c r="L66" s="17">
        <f>IFERROR(-3/Shop_Atk_Spd,0)</f>
        <v>-0.6</v>
      </c>
      <c r="M66" s="17"/>
      <c r="N66" s="17"/>
      <c r="O66" s="17"/>
      <c r="P66" s="17"/>
      <c r="Q66" s="17"/>
      <c r="R66" s="17"/>
      <c r="S66" s="17">
        <f>Shop_Inflated_Price*W66/$E66*100</f>
        <v>6.551705018</v>
      </c>
      <c r="T66" s="17">
        <f>Shop_Inflated_Price*X66/$E66*100</f>
        <v>7.121418498</v>
      </c>
      <c r="U66" s="17"/>
      <c r="V66" s="47"/>
      <c r="W66" s="17">
        <f t="shared" si="18"/>
        <v>6.9</v>
      </c>
      <c r="X66" s="17">
        <f t="shared" ref="X66:X68" si="19">J66</f>
        <v>7.5</v>
      </c>
      <c r="Y66" s="17"/>
      <c r="Z66" s="18"/>
      <c r="AA66" s="18"/>
      <c r="AB66" s="18"/>
      <c r="AC66" s="18"/>
      <c r="AD66" s="18"/>
      <c r="AE66" s="18"/>
      <c r="AF66" s="18"/>
    </row>
    <row r="67" ht="15.75" customHeight="1">
      <c r="A67" s="24" t="s">
        <v>563</v>
      </c>
      <c r="B67" s="25">
        <v>2.0</v>
      </c>
      <c r="C67" s="27" t="s">
        <v>41</v>
      </c>
      <c r="D67" s="28">
        <v>45.0</v>
      </c>
      <c r="E67" s="28">
        <f>ROUNDDOWN(Shop_Endless_Factor*Shop_Price_Modifier*(D67*Shop_Weapon_Price+(0.1*D67*Shop_Weapon_Price+1)*(Shop_Wave)),0)</f>
        <v>100</v>
      </c>
      <c r="F67" s="94">
        <f>IF('数值设定'!$D$4="默认",T67,S67)</f>
        <v>8.735606691</v>
      </c>
      <c r="G67" s="27" t="s">
        <v>287</v>
      </c>
      <c r="H67" s="35" t="s">
        <v>70</v>
      </c>
      <c r="I67" s="39" t="s">
        <v>325</v>
      </c>
      <c r="J67" s="17">
        <f>IFerror(4/Shop_Elemental_DMG,0)</f>
        <v>4</v>
      </c>
      <c r="K67" s="17" t="s">
        <v>555</v>
      </c>
      <c r="L67" s="17">
        <f>IFERROR(-1/Shop_Melee_Dmg,0)</f>
        <v>-0.5</v>
      </c>
      <c r="M67" s="17" t="s">
        <v>564</v>
      </c>
      <c r="N67" s="17">
        <f>IFERROR(-1/Shop_Ranged_Dmg,0)</f>
        <v>-1</v>
      </c>
      <c r="O67" s="17"/>
      <c r="P67" s="17"/>
      <c r="Q67" s="17"/>
      <c r="R67" s="17"/>
      <c r="S67" s="17">
        <f>Shop_Inflated_Price*W67/$E67*100</f>
        <v>5.459754182</v>
      </c>
      <c r="T67" s="17">
        <f>Shop_Inflated_Price*X67/$E67*100</f>
        <v>8.735606691</v>
      </c>
      <c r="U67" s="17"/>
      <c r="V67" s="67"/>
      <c r="W67" s="17">
        <f t="shared" si="18"/>
        <v>2.5</v>
      </c>
      <c r="X67" s="17">
        <f t="shared" si="19"/>
        <v>4</v>
      </c>
      <c r="Y67" s="17"/>
      <c r="Z67" s="18"/>
      <c r="AA67" s="18"/>
      <c r="AB67" s="18"/>
      <c r="AC67" s="18"/>
      <c r="AD67" s="18"/>
      <c r="AE67" s="18"/>
      <c r="AF67" s="18"/>
    </row>
    <row r="68" ht="15.75" customHeight="1">
      <c r="A68" s="24" t="s">
        <v>565</v>
      </c>
      <c r="B68" s="25">
        <v>2.0</v>
      </c>
      <c r="C68" s="27" t="s">
        <v>41</v>
      </c>
      <c r="D68" s="51">
        <v>50.0</v>
      </c>
      <c r="E68" s="28">
        <f>ROUNDDOWN(Shop_Endless_Factor*Shop_Price_Modifier*(D68*Shop_Weapon_Price+(0.1*D68*Shop_Weapon_Price+1)*(Shop_Wave)),0)</f>
        <v>110</v>
      </c>
      <c r="F68" s="63">
        <f>IF('数值设定'!$D$4="默认",S68,S68)</f>
        <v>3.308941928</v>
      </c>
      <c r="G68" s="25"/>
      <c r="H68" s="35" t="s">
        <v>52</v>
      </c>
      <c r="I68" s="39" t="s">
        <v>566</v>
      </c>
      <c r="J68" s="17">
        <f>IFerror(8/Shop_Dodge,0)</f>
        <v>2.666666667</v>
      </c>
      <c r="K68" s="17" t="s">
        <v>567</v>
      </c>
      <c r="L68" s="17">
        <f>IFERROR(-1/Shop_Armor,0)</f>
        <v>-1</v>
      </c>
      <c r="M68" s="17"/>
      <c r="N68" s="17"/>
      <c r="O68" s="17"/>
      <c r="P68" s="17"/>
      <c r="Q68" s="17"/>
      <c r="R68" s="17"/>
      <c r="S68" s="17">
        <f>Shop_Inflated_Price*W68/$E68*100</f>
        <v>3.308941928</v>
      </c>
      <c r="T68" s="17">
        <f>Shop_Inflated_Price*X68/$E68*100</f>
        <v>5.294307085</v>
      </c>
      <c r="U68" s="17"/>
      <c r="V68" s="47"/>
      <c r="W68" s="17">
        <f t="shared" si="18"/>
        <v>1.666666667</v>
      </c>
      <c r="X68" s="17">
        <f t="shared" si="19"/>
        <v>2.666666667</v>
      </c>
      <c r="Y68" s="17"/>
      <c r="Z68" s="18"/>
      <c r="AA68" s="18"/>
      <c r="AB68" s="18"/>
      <c r="AC68" s="18"/>
      <c r="AD68" s="18"/>
      <c r="AE68" s="18"/>
      <c r="AF68" s="18"/>
    </row>
    <row r="69" ht="15.75" customHeight="1">
      <c r="A69" s="50" t="s">
        <v>572</v>
      </c>
      <c r="B69" s="27">
        <v>2.0</v>
      </c>
      <c r="C69" s="27" t="s">
        <v>41</v>
      </c>
      <c r="D69" s="51">
        <v>50.0</v>
      </c>
      <c r="E69" s="28">
        <f>ROUNDDOWN(Shop_Endless_Factor*Shop_Price_Modifier*(D69*Shop_Weapon_Price+(0.1*D69*Shop_Weapon_Price+1)*(Shop_Wave)),0)</f>
        <v>110</v>
      </c>
      <c r="F69" s="75"/>
      <c r="G69" s="27" t="s">
        <v>150</v>
      </c>
      <c r="H69" s="35" t="s">
        <v>52</v>
      </c>
      <c r="I69" s="59"/>
      <c r="J69" s="17"/>
      <c r="K69" s="27"/>
      <c r="L69" s="17"/>
      <c r="M69" s="17"/>
      <c r="N69" s="17"/>
      <c r="O69" s="17"/>
      <c r="P69" s="17"/>
      <c r="Q69" s="17"/>
      <c r="R69" s="17"/>
      <c r="S69" s="17"/>
      <c r="T69" s="17"/>
      <c r="U69" s="17"/>
      <c r="V69" s="54"/>
      <c r="W69" s="17"/>
      <c r="X69" s="17"/>
      <c r="Y69" s="17"/>
      <c r="Z69" s="18"/>
      <c r="AA69" s="18"/>
      <c r="AB69" s="18"/>
      <c r="AC69" s="18"/>
      <c r="AD69" s="18"/>
      <c r="AE69" s="18"/>
      <c r="AF69" s="18"/>
    </row>
    <row r="70" ht="15.75" customHeight="1">
      <c r="A70" s="24" t="s">
        <v>574</v>
      </c>
      <c r="B70" s="25">
        <v>1.0</v>
      </c>
      <c r="C70" s="27" t="s">
        <v>41</v>
      </c>
      <c r="D70" s="28">
        <v>30.0</v>
      </c>
      <c r="E70" s="28">
        <f>ROUNDDOWN(Shop_Endless_Factor*Shop_Price_Modifier*(D70*Shop_Weapon_Price+(0.1*D70*Shop_Weapon_Price+1)*(Shop_Wave)),0)</f>
        <v>70</v>
      </c>
      <c r="F70" s="56">
        <f>IF('数值设定'!$D$4="默认",S70,S70)</f>
        <v>5.97973077</v>
      </c>
      <c r="G70" s="25" t="s">
        <v>576</v>
      </c>
      <c r="H70" s="35" t="s">
        <v>70</v>
      </c>
      <c r="I70" s="314" t="s">
        <v>577</v>
      </c>
      <c r="J70" s="17">
        <f>IFerror(5/Shop_Dmg,0)</f>
        <v>1.25</v>
      </c>
      <c r="K70" s="64" t="s">
        <v>578</v>
      </c>
      <c r="L70" s="17">
        <f>IFERROR(2/Shop_Max_HP,0)</f>
        <v>0.6666666667</v>
      </c>
      <c r="M70" s="17"/>
      <c r="N70" s="17"/>
      <c r="O70" s="17"/>
      <c r="P70" s="17"/>
      <c r="Q70" s="17"/>
      <c r="R70" s="17"/>
      <c r="S70" s="17">
        <f>Shop_Inflated_Price*W70/$E70*100</f>
        <v>5.97973077</v>
      </c>
      <c r="T70" s="17">
        <f>Shop_Inflated_Price*X70/$E70*100</f>
        <v>5.97973077</v>
      </c>
      <c r="U70" s="17"/>
      <c r="V70" s="67"/>
      <c r="W70" s="17">
        <f>J70+L70+N70+P70</f>
        <v>1.916666667</v>
      </c>
      <c r="X70" s="17">
        <f>J70+L70+M70+O70</f>
        <v>1.916666667</v>
      </c>
      <c r="Y70" s="17"/>
      <c r="Z70" s="18"/>
      <c r="AA70" s="18"/>
      <c r="AB70" s="18"/>
      <c r="AC70" s="18"/>
      <c r="AD70" s="18"/>
      <c r="AE70" s="18"/>
      <c r="AF70" s="18"/>
    </row>
    <row r="71" ht="15.75" customHeight="1">
      <c r="A71" s="50" t="s">
        <v>589</v>
      </c>
      <c r="B71" s="27">
        <v>4.0</v>
      </c>
      <c r="C71" s="27" t="s">
        <v>41</v>
      </c>
      <c r="D71" s="51">
        <v>110.0</v>
      </c>
      <c r="E71" s="28">
        <f>ROUNDDOWN(Shop_Endless_Factor*Shop_Price_Modifier*(D71*Shop_Weapon_Price+(0.1*D71*Shop_Weapon_Price+1)*(Shop_Wave)),0)</f>
        <v>230</v>
      </c>
      <c r="F71" s="75"/>
      <c r="G71" s="27" t="s">
        <v>150</v>
      </c>
      <c r="H71" s="35" t="s">
        <v>70</v>
      </c>
      <c r="I71" s="59"/>
      <c r="J71" s="17"/>
      <c r="K71" s="27"/>
      <c r="L71" s="17"/>
      <c r="M71" s="17"/>
      <c r="N71" s="17"/>
      <c r="O71" s="17"/>
      <c r="P71" s="17"/>
      <c r="Q71" s="17"/>
      <c r="R71" s="17"/>
      <c r="S71" s="17"/>
      <c r="T71" s="17"/>
      <c r="U71" s="17"/>
      <c r="V71" s="54"/>
      <c r="W71" s="17"/>
      <c r="X71" s="17"/>
      <c r="Y71" s="17"/>
      <c r="Z71" s="18"/>
      <c r="AA71" s="18"/>
      <c r="AB71" s="18"/>
      <c r="AC71" s="18"/>
      <c r="AD71" s="18"/>
      <c r="AE71" s="18"/>
      <c r="AF71" s="18"/>
    </row>
    <row r="72" ht="15.75" customHeight="1">
      <c r="A72" s="24" t="s">
        <v>593</v>
      </c>
      <c r="B72" s="25">
        <v>3.0</v>
      </c>
      <c r="C72" s="27" t="s">
        <v>41</v>
      </c>
      <c r="D72" s="28">
        <v>75.0</v>
      </c>
      <c r="E72" s="28">
        <f>ROUNDDOWN(Shop_Endless_Factor*Shop_Price_Modifier*(D72*Shop_Weapon_Price+(0.1*D72*Shop_Weapon_Price+1)*(Shop_Wave)),0)</f>
        <v>160</v>
      </c>
      <c r="F72" s="63">
        <f>IF('数值设定'!$D$4="默认",S72,S72)</f>
        <v>4.436050273</v>
      </c>
      <c r="G72" s="25"/>
      <c r="H72" s="35" t="s">
        <v>89</v>
      </c>
      <c r="I72" s="39" t="s">
        <v>594</v>
      </c>
      <c r="J72" s="17">
        <f>IFerror(25/Shop_Dmg,0)</f>
        <v>6.25</v>
      </c>
      <c r="K72" s="17" t="s">
        <v>596</v>
      </c>
      <c r="L72" s="17">
        <f>IFERROR(-3/Shop_Armor,0)</f>
        <v>-3</v>
      </c>
      <c r="M72" s="17"/>
      <c r="N72" s="17"/>
      <c r="O72" s="17"/>
      <c r="P72" s="17"/>
      <c r="Q72" s="17"/>
      <c r="R72" s="17"/>
      <c r="S72" s="17">
        <f>Shop_Inflated_Price*W72/$E72*100</f>
        <v>4.436050273</v>
      </c>
      <c r="T72" s="17">
        <f>Shop_Inflated_Price*X72/$E72*100</f>
        <v>8.530865909</v>
      </c>
      <c r="U72" s="17">
        <f>Shop_Inflated_Price*Y72/$E72*100</f>
        <v>4.436050273</v>
      </c>
      <c r="V72" s="47"/>
      <c r="W72" s="17">
        <f t="shared" ref="W72:W79" si="20">J72+L72+N72+P72</f>
        <v>3.25</v>
      </c>
      <c r="X72" s="17">
        <f>J72</f>
        <v>6.25</v>
      </c>
      <c r="Y72" s="17">
        <f>J72+L72+M72+O72</f>
        <v>3.25</v>
      </c>
      <c r="Z72" s="18"/>
      <c r="AA72" s="22"/>
      <c r="AB72" s="18"/>
      <c r="AC72" s="18"/>
      <c r="AD72" s="18"/>
      <c r="AE72" s="18"/>
      <c r="AF72" s="18"/>
    </row>
    <row r="73" ht="15.75" customHeight="1">
      <c r="A73" s="24" t="s">
        <v>602</v>
      </c>
      <c r="B73" s="25">
        <v>1.0</v>
      </c>
      <c r="C73" s="27" t="s">
        <v>41</v>
      </c>
      <c r="D73" s="51">
        <v>20.0</v>
      </c>
      <c r="E73" s="28">
        <f>ROUNDDOWN(Shop_Endless_Factor*Shop_Price_Modifier*(D73*Shop_Weapon_Price+(0.1*D73*Shop_Weapon_Price+1)*(Shop_Wave)),0)</f>
        <v>50</v>
      </c>
      <c r="F73" s="63">
        <f>IF('数值设定'!$D$4="默认",S73,S73)</f>
        <v>4.367803345</v>
      </c>
      <c r="G73" s="25"/>
      <c r="H73" s="35" t="s">
        <v>52</v>
      </c>
      <c r="I73" s="39" t="s">
        <v>164</v>
      </c>
      <c r="J73" s="17">
        <f>IFerror(20/Shop_Range,0)</f>
        <v>1</v>
      </c>
      <c r="K73" s="17"/>
      <c r="L73" s="17"/>
      <c r="M73" s="17"/>
      <c r="N73" s="17"/>
      <c r="O73" s="17"/>
      <c r="P73" s="17"/>
      <c r="Q73" s="17"/>
      <c r="R73" s="17"/>
      <c r="S73" s="17">
        <f>Shop_Inflated_Price*W73/$E73*100</f>
        <v>4.367803345</v>
      </c>
      <c r="T73" s="17">
        <f>Shop_Inflated_Price*X73/$E73*100</f>
        <v>4.367803345</v>
      </c>
      <c r="U73" s="17"/>
      <c r="V73" s="67"/>
      <c r="W73" s="17">
        <f t="shared" si="20"/>
        <v>1</v>
      </c>
      <c r="X73" s="17">
        <f>J73+L73+M73+O73</f>
        <v>1</v>
      </c>
      <c r="Y73" s="17"/>
      <c r="Z73" s="18"/>
      <c r="AA73" s="18"/>
      <c r="AB73" s="18"/>
      <c r="AC73" s="18"/>
      <c r="AD73" s="18"/>
      <c r="AE73" s="18"/>
      <c r="AF73" s="18"/>
    </row>
    <row r="74" ht="15.75" customHeight="1">
      <c r="A74" s="24" t="s">
        <v>603</v>
      </c>
      <c r="B74" s="25">
        <v>4.0</v>
      </c>
      <c r="C74" s="27" t="s">
        <v>41</v>
      </c>
      <c r="D74" s="28">
        <v>100.0</v>
      </c>
      <c r="E74" s="28">
        <f>ROUNDDOWN(Shop_Endless_Factor*Shop_Price_Modifier*(D74*Shop_Weapon_Price+(0.1*D74*Shop_Weapon_Price+1)*(Shop_Wave)),0)</f>
        <v>210</v>
      </c>
      <c r="F74" s="63">
        <f>IF('数值设定'!$D$4="默认",U74,S74)</f>
        <v>9.359578597</v>
      </c>
      <c r="G74" s="27" t="s">
        <v>610</v>
      </c>
      <c r="H74" s="35" t="s">
        <v>97</v>
      </c>
      <c r="I74" s="39" t="s">
        <v>611</v>
      </c>
      <c r="J74" s="17">
        <f>IFerror(10/Shop_Melee_Dmg,0)</f>
        <v>5</v>
      </c>
      <c r="K74" s="64" t="s">
        <v>612</v>
      </c>
      <c r="L74" s="17">
        <f>IFERROR(10/Shop_Elemental_DMG,0)</f>
        <v>10</v>
      </c>
      <c r="M74" s="17" t="s">
        <v>613</v>
      </c>
      <c r="N74" s="17">
        <f>IFERROR(-20/Shop_Range,0)</f>
        <v>-1</v>
      </c>
      <c r="O74" s="17"/>
      <c r="P74" s="17"/>
      <c r="Q74" s="17"/>
      <c r="R74" s="17"/>
      <c r="S74" s="17">
        <f>Shop_Inflated_Price*W74/$E74*100</f>
        <v>14.55934448</v>
      </c>
      <c r="T74" s="17">
        <f>Shop_Inflated_Price*X74/$E74*100</f>
        <v>15.59929766</v>
      </c>
      <c r="U74" s="17">
        <f>Shop_Inflated_Price*Y74/$E74*100</f>
        <v>9.359578597</v>
      </c>
      <c r="V74" s="87" t="s">
        <v>617</v>
      </c>
      <c r="W74" s="17">
        <f t="shared" si="20"/>
        <v>14</v>
      </c>
      <c r="X74" s="17">
        <f>J74+L74</f>
        <v>15</v>
      </c>
      <c r="Y74" s="17">
        <f>L74+N74</f>
        <v>9</v>
      </c>
      <c r="Z74" s="18"/>
      <c r="AA74" s="18"/>
      <c r="AB74" s="18"/>
      <c r="AC74" s="18"/>
      <c r="AD74" s="18"/>
      <c r="AE74" s="18"/>
      <c r="AF74" s="18"/>
    </row>
    <row r="75" ht="15.75" customHeight="1">
      <c r="A75" s="24" t="s">
        <v>619</v>
      </c>
      <c r="B75" s="25">
        <v>1.0</v>
      </c>
      <c r="C75" s="27" t="s">
        <v>41</v>
      </c>
      <c r="D75" s="28">
        <v>25.0</v>
      </c>
      <c r="E75" s="28">
        <f>ROUNDDOWN(Shop_Endless_Factor*Shop_Price_Modifier*(D75*Shop_Weapon_Price+(0.1*D75*Shop_Weapon_Price+1)*(Shop_Wave)),0)</f>
        <v>60</v>
      </c>
      <c r="F75" s="63">
        <f>IF('数值设定'!$D$4="默认",S75,S75)</f>
        <v>3.033196768</v>
      </c>
      <c r="G75" s="25"/>
      <c r="H75" s="35" t="s">
        <v>52</v>
      </c>
      <c r="I75" s="39" t="s">
        <v>133</v>
      </c>
      <c r="J75" s="17">
        <f>IFerror(3/Shop_Melee_Dmg,0)</f>
        <v>1.5</v>
      </c>
      <c r="K75" s="17" t="s">
        <v>625</v>
      </c>
      <c r="L75" s="17">
        <f>IFERROR(-2/Shop_Crit,0)</f>
        <v>-0.6666666667</v>
      </c>
      <c r="M75" s="17"/>
      <c r="N75" s="17"/>
      <c r="O75" s="17"/>
      <c r="P75" s="17"/>
      <c r="Q75" s="17"/>
      <c r="R75" s="17"/>
      <c r="S75" s="17">
        <f>Shop_Inflated_Price*W75/$E75*100</f>
        <v>3.033196768</v>
      </c>
      <c r="T75" s="17">
        <f>Shop_Inflated_Price*X75/$E75*100</f>
        <v>5.459754182</v>
      </c>
      <c r="U75" s="17"/>
      <c r="V75" s="67"/>
      <c r="W75" s="17">
        <f t="shared" si="20"/>
        <v>0.8333333333</v>
      </c>
      <c r="X75" s="17">
        <f>J75</f>
        <v>1.5</v>
      </c>
      <c r="Y75" s="17"/>
      <c r="Z75" s="18"/>
      <c r="AA75" s="18"/>
      <c r="AB75" s="18"/>
      <c r="AC75" s="18"/>
      <c r="AD75" s="18"/>
      <c r="AE75" s="18"/>
      <c r="AF75" s="18"/>
    </row>
    <row r="76" ht="15.75" customHeight="1">
      <c r="A76" s="50" t="s">
        <v>630</v>
      </c>
      <c r="B76" s="27">
        <v>4.0</v>
      </c>
      <c r="C76" s="27" t="s">
        <v>41</v>
      </c>
      <c r="D76" s="51">
        <v>110.0</v>
      </c>
      <c r="E76" s="28">
        <f>ROUNDDOWN(Shop_Endless_Factor*Shop_Price_Modifier*(D76*Shop_Weapon_Price+(0.1*D76*Shop_Weapon_Price+1)*(Shop_Wave)),0)</f>
        <v>230</v>
      </c>
      <c r="F76" s="53">
        <f>IF('数值设定'!$D$4="默认",T76,S76)</f>
        <v>18.51568809</v>
      </c>
      <c r="G76" s="27" t="s">
        <v>631</v>
      </c>
      <c r="H76" s="35" t="s">
        <v>145</v>
      </c>
      <c r="I76" s="39" t="s">
        <v>632</v>
      </c>
      <c r="J76" s="17">
        <f>IFerror(3*Max(19-Shop_Wave,0)/Shop_Max_HP,0)</f>
        <v>9</v>
      </c>
      <c r="K76" s="35" t="s">
        <v>633</v>
      </c>
      <c r="L76" s="17">
        <f>IFERROR(1*Max(19-Shop_Wave,0)/Shop_HP_Regen,0)</f>
        <v>4.5</v>
      </c>
      <c r="M76" s="64" t="s">
        <v>636</v>
      </c>
      <c r="N76" s="17">
        <f>IFERROR(1*Max(19-Shop_Wave,0)/Shop_Life_Steal,0)</f>
        <v>6</v>
      </c>
      <c r="O76" s="17"/>
      <c r="P76" s="17"/>
      <c r="Q76" s="17"/>
      <c r="R76" s="17"/>
      <c r="S76" s="17">
        <f>Shop_Inflated_Price*W76/$E76*100</f>
        <v>18.51568809</v>
      </c>
      <c r="T76" s="17">
        <f>Shop_Inflated_Price*X76/$E76*100</f>
        <v>18.51568809</v>
      </c>
      <c r="U76" s="17">
        <f>Shop_Inflated_Price*Y76/$E76*100</f>
        <v>14.242837</v>
      </c>
      <c r="V76" s="54" t="s">
        <v>641</v>
      </c>
      <c r="W76" s="17">
        <f t="shared" si="20"/>
        <v>19.5</v>
      </c>
      <c r="X76" s="17">
        <f>J76+L76+N76</f>
        <v>19.5</v>
      </c>
      <c r="Y76" s="17">
        <f t="shared" ref="Y76:Y77" si="21">J76+N76</f>
        <v>15</v>
      </c>
      <c r="Z76" s="18"/>
      <c r="AA76" s="18"/>
      <c r="AB76" s="18"/>
      <c r="AC76" s="18"/>
      <c r="AD76" s="18"/>
      <c r="AE76" s="18"/>
      <c r="AF76" s="18"/>
    </row>
    <row r="77" ht="15.75" customHeight="1">
      <c r="A77" s="24" t="s">
        <v>646</v>
      </c>
      <c r="B77" s="25">
        <v>1.0</v>
      </c>
      <c r="C77" s="27" t="s">
        <v>41</v>
      </c>
      <c r="D77" s="28">
        <v>25.0</v>
      </c>
      <c r="E77" s="28">
        <f>ROUNDDOWN(Shop_Endless_Factor*Shop_Price_Modifier*(D77*Shop_Weapon_Price+(0.1*D77*Shop_Weapon_Price+1)*(Shop_Wave)),0)</f>
        <v>60</v>
      </c>
      <c r="F77" s="63">
        <f>IF('数值设定'!$D$4="默认",S77,S77)</f>
        <v>4.549795151</v>
      </c>
      <c r="G77" s="25"/>
      <c r="H77" s="35" t="s">
        <v>80</v>
      </c>
      <c r="I77" s="39" t="s">
        <v>651</v>
      </c>
      <c r="J77" s="17">
        <f>IFerror(5/Shop_Atk_Spd,0)</f>
        <v>1</v>
      </c>
      <c r="K77" s="64" t="s">
        <v>652</v>
      </c>
      <c r="L77" s="17">
        <f>IFERROR(25/Shop_Range,0)</f>
        <v>1.25</v>
      </c>
      <c r="M77" s="17" t="s">
        <v>567</v>
      </c>
      <c r="N77" s="17">
        <f>IFERROR(-1/Shop_Armor,0)</f>
        <v>-1</v>
      </c>
      <c r="O77" s="17"/>
      <c r="P77" s="17"/>
      <c r="Q77" s="17"/>
      <c r="R77" s="17"/>
      <c r="S77" s="17">
        <f>Shop_Inflated_Price*W77/$E77*100</f>
        <v>4.549795151</v>
      </c>
      <c r="T77" s="17">
        <f>Shop_Inflated_Price*X77/$E77*100</f>
        <v>8.189631273</v>
      </c>
      <c r="U77" s="17"/>
      <c r="V77" s="47" t="s">
        <v>653</v>
      </c>
      <c r="W77" s="17">
        <f t="shared" si="20"/>
        <v>1.25</v>
      </c>
      <c r="X77" s="17">
        <f>J77+L77</f>
        <v>2.25</v>
      </c>
      <c r="Y77" s="17">
        <f t="shared" si="21"/>
        <v>0</v>
      </c>
      <c r="Z77" s="18"/>
      <c r="AA77" s="18"/>
      <c r="AB77" s="18"/>
      <c r="AC77" s="18"/>
      <c r="AD77" s="18"/>
      <c r="AE77" s="18"/>
      <c r="AF77" s="18"/>
    </row>
    <row r="78" ht="15.75" customHeight="1">
      <c r="A78" s="50" t="s">
        <v>654</v>
      </c>
      <c r="B78" s="27">
        <v>3.0</v>
      </c>
      <c r="C78" s="27" t="s">
        <v>41</v>
      </c>
      <c r="D78" s="51">
        <v>80.0</v>
      </c>
      <c r="E78" s="28">
        <f>ROUNDDOWN(Shop_Endless_Factor*Shop_Price_Modifier*(D78*Shop_Weapon_Price+(0.1*D78*Shop_Weapon_Price+1)*(Shop_Wave)),0)</f>
        <v>170</v>
      </c>
      <c r="F78" s="53">
        <f>IF('数值设定'!$D$4="默认",U78,S78)</f>
        <v>10.27718434</v>
      </c>
      <c r="G78" s="27" t="s">
        <v>655</v>
      </c>
      <c r="H78" s="35" t="s">
        <v>70</v>
      </c>
      <c r="I78" s="39" t="s">
        <v>656</v>
      </c>
      <c r="J78" s="17">
        <f>IFerror(8/Shop_Melee_Dmg,0)</f>
        <v>4</v>
      </c>
      <c r="K78" s="64" t="s">
        <v>657</v>
      </c>
      <c r="L78" s="17">
        <f>IFERROR(8/Shop_Ranged_Dmg,0)</f>
        <v>8</v>
      </c>
      <c r="M78" s="35" t="s">
        <v>658</v>
      </c>
      <c r="N78" s="17">
        <f>IFERROR(8/Shop_Elemental_DMG,0)</f>
        <v>8</v>
      </c>
      <c r="O78" s="17"/>
      <c r="P78" s="17"/>
      <c r="Q78" s="17"/>
      <c r="R78" s="17"/>
      <c r="S78" s="17">
        <f>Shop_Inflated_Price*W78/$E78*100</f>
        <v>25.69296085</v>
      </c>
      <c r="T78" s="17">
        <f>Shop_Inflated_Price*X78/$E78*100</f>
        <v>25.69296085</v>
      </c>
      <c r="U78" s="17">
        <f>Shop_Inflated_Price*Y78/$E78*100</f>
        <v>10.27718434</v>
      </c>
      <c r="V78" s="54" t="s">
        <v>659</v>
      </c>
      <c r="W78" s="17">
        <f t="shared" si="20"/>
        <v>20</v>
      </c>
      <c r="X78" s="17">
        <f>J78+L78+N78</f>
        <v>20</v>
      </c>
      <c r="Y78" s="17">
        <f>L78</f>
        <v>8</v>
      </c>
      <c r="Z78" s="18"/>
      <c r="AA78" s="18"/>
      <c r="AB78" s="18"/>
      <c r="AC78" s="18"/>
      <c r="AD78" s="18"/>
      <c r="AE78" s="18"/>
      <c r="AF78" s="18"/>
    </row>
    <row r="79" ht="15.75" customHeight="1">
      <c r="A79" s="24" t="s">
        <v>660</v>
      </c>
      <c r="B79" s="27">
        <v>1.0</v>
      </c>
      <c r="C79" s="27" t="s">
        <v>41</v>
      </c>
      <c r="D79" s="51">
        <v>25.0</v>
      </c>
      <c r="E79" s="28">
        <f>ROUNDDOWN(Shop_Endless_Factor*Shop_Price_Modifier*(D79*Shop_Weapon_Price+(0.1*D79*Shop_Weapon_Price+1)*(Shop_Wave)),0)</f>
        <v>60</v>
      </c>
      <c r="F79" s="63">
        <f>IF('数值设定'!$D$4="默认",S79,S79)</f>
        <v>4.003819733</v>
      </c>
      <c r="G79" s="25"/>
      <c r="H79" s="35" t="s">
        <v>97</v>
      </c>
      <c r="I79" s="314" t="s">
        <v>661</v>
      </c>
      <c r="J79" s="17">
        <f>IFerror(6/Shop_Dmg,0)</f>
        <v>1.5</v>
      </c>
      <c r="K79" s="17" t="s">
        <v>662</v>
      </c>
      <c r="L79" s="17">
        <f>IFERROR(-8/Shop_Range,0)</f>
        <v>-0.4</v>
      </c>
      <c r="M79" s="17"/>
      <c r="N79" s="17"/>
      <c r="O79" s="17"/>
      <c r="P79" s="17"/>
      <c r="Q79" s="17"/>
      <c r="R79" s="17"/>
      <c r="S79" s="17">
        <f>Shop_Inflated_Price*W79/$E79*100</f>
        <v>4.003819733</v>
      </c>
      <c r="T79" s="17">
        <f>Shop_Inflated_Price*X79/$E79*100</f>
        <v>5.459754182</v>
      </c>
      <c r="U79" s="17"/>
      <c r="V79" s="67"/>
      <c r="W79" s="17">
        <f t="shared" si="20"/>
        <v>1.1</v>
      </c>
      <c r="X79" s="17">
        <f>J79</f>
        <v>1.5</v>
      </c>
      <c r="Y79" s="17"/>
      <c r="Z79" s="18"/>
      <c r="AA79" s="18"/>
      <c r="AB79" s="18"/>
      <c r="AC79" s="18"/>
      <c r="AD79" s="18"/>
      <c r="AE79" s="18"/>
      <c r="AF79" s="18"/>
    </row>
    <row r="80" ht="15.75" customHeight="1">
      <c r="A80" s="50" t="s">
        <v>663</v>
      </c>
      <c r="B80" s="27">
        <v>4.0</v>
      </c>
      <c r="C80" s="27" t="s">
        <v>41</v>
      </c>
      <c r="D80" s="51">
        <v>100.0</v>
      </c>
      <c r="E80" s="28">
        <f>ROUNDDOWN(Shop_Endless_Factor*Shop_Price_Modifier*(D80*Shop_Weapon_Price+(0.1*D80*Shop_Weapon_Price+1)*(Shop_Wave)),0)</f>
        <v>210</v>
      </c>
      <c r="F80" s="63">
        <f>IF('数值设定'!$D$4="默认",S80,S80)</f>
        <v>5.546416946</v>
      </c>
      <c r="G80" s="25"/>
      <c r="H80" s="35" t="s">
        <v>97</v>
      </c>
      <c r="I80" s="39" t="s">
        <v>664</v>
      </c>
      <c r="J80" s="17">
        <f>IFerror(5/Shop_Ranged_Dmg,0)</f>
        <v>5</v>
      </c>
      <c r="K80" s="59" t="s">
        <v>665</v>
      </c>
      <c r="L80" s="17">
        <f>IFERROR(10/Shop_Dmg,0)</f>
        <v>2.5</v>
      </c>
      <c r="M80" s="35" t="s">
        <v>666</v>
      </c>
      <c r="N80" s="17">
        <f>IFERROR(10/Shop_Range,0)</f>
        <v>0.5</v>
      </c>
      <c r="O80" s="35" t="s">
        <v>271</v>
      </c>
      <c r="P80" s="17">
        <f>IFERROR(-5/Shop_Atk_Spd,0)</f>
        <v>-1</v>
      </c>
      <c r="Q80" s="35" t="s">
        <v>667</v>
      </c>
      <c r="R80" s="17">
        <f>IFERROR(-5/Shop_Crit,0)</f>
        <v>-1.666666667</v>
      </c>
      <c r="S80" s="17">
        <f>Shop_Inflated_Price*W80/$E80*100</f>
        <v>5.546416946</v>
      </c>
      <c r="T80" s="17">
        <f>Shop_Inflated_Price*X80/$E80*100</f>
        <v>8.31962542</v>
      </c>
      <c r="U80" s="17">
        <f>Shop_Inflated_Price*Y80/$E80*100</f>
        <v>6.759695654</v>
      </c>
      <c r="V80" s="54" t="s">
        <v>668</v>
      </c>
      <c r="W80" s="17">
        <f>J80+L80+N80+P80+R80</f>
        <v>5.333333333</v>
      </c>
      <c r="X80" s="17">
        <f>J80+L80+N80</f>
        <v>8</v>
      </c>
      <c r="Y80" s="17">
        <f>J80+L80+P80</f>
        <v>6.5</v>
      </c>
      <c r="Z80" s="18"/>
      <c r="AA80" s="18"/>
      <c r="AB80" s="18"/>
      <c r="AC80" s="18"/>
      <c r="AD80" s="18"/>
      <c r="AE80" s="18"/>
      <c r="AF80" s="18"/>
    </row>
    <row r="81" ht="15.75" customHeight="1">
      <c r="A81" s="24" t="s">
        <v>670</v>
      </c>
      <c r="B81" s="27">
        <v>1.0</v>
      </c>
      <c r="C81" s="27" t="s">
        <v>41</v>
      </c>
      <c r="D81" s="28">
        <v>30.0</v>
      </c>
      <c r="E81" s="28">
        <f>ROUNDDOWN(Shop_Endless_Factor*Shop_Price_Modifier*(D81*Shop_Weapon_Price+(0.1*D81*Shop_Weapon_Price+1)*(Shop_Wave)),0)</f>
        <v>70</v>
      </c>
      <c r="F81" s="63">
        <f>IF('数值设定'!$D$4="默认",U81,S81)</f>
        <v>3.119859532</v>
      </c>
      <c r="G81" s="27" t="s">
        <v>672</v>
      </c>
      <c r="H81" s="35" t="s">
        <v>52</v>
      </c>
      <c r="I81" s="39" t="s">
        <v>393</v>
      </c>
      <c r="J81" s="17">
        <f>IFerror(2/Shop_Melee_Dmg,0)</f>
        <v>1</v>
      </c>
      <c r="K81" s="64" t="s">
        <v>673</v>
      </c>
      <c r="L81" s="17">
        <f>IFERROR(1/Shop_Ranged_Dmg,0)</f>
        <v>1</v>
      </c>
      <c r="M81" s="17" t="s">
        <v>278</v>
      </c>
      <c r="N81" s="17">
        <f>IFERROR(-1/Shop_HP_Regen,0)</f>
        <v>-0.5</v>
      </c>
      <c r="O81" s="17"/>
      <c r="P81" s="17"/>
      <c r="Q81" s="17"/>
      <c r="R81" s="17"/>
      <c r="S81" s="17">
        <f>Shop_Inflated_Price*W81/$E81*100</f>
        <v>4.679789299</v>
      </c>
      <c r="T81" s="17">
        <f>Shop_Inflated_Price*X81/$E81*100</f>
        <v>6.239719065</v>
      </c>
      <c r="U81" s="17">
        <f>Shop_Inflated_Price*Y81/$E81*100</f>
        <v>3.119859532</v>
      </c>
      <c r="V81" s="47" t="s">
        <v>674</v>
      </c>
      <c r="W81" s="17">
        <f t="shared" ref="W81:W82" si="22">J81+L81+N81+P81</f>
        <v>1.5</v>
      </c>
      <c r="X81" s="17">
        <f>J81+L81</f>
        <v>2</v>
      </c>
      <c r="Y81" s="17">
        <f>J81</f>
        <v>1</v>
      </c>
      <c r="Z81" s="18"/>
      <c r="AA81" s="18"/>
      <c r="AB81" s="18"/>
      <c r="AC81" s="18"/>
      <c r="AD81" s="18"/>
      <c r="AE81" s="18"/>
      <c r="AF81" s="18"/>
    </row>
    <row r="82" ht="15.75" customHeight="1">
      <c r="A82" s="24" t="s">
        <v>675</v>
      </c>
      <c r="B82" s="27">
        <v>1.0</v>
      </c>
      <c r="C82" s="27" t="s">
        <v>41</v>
      </c>
      <c r="D82" s="51">
        <v>15.0</v>
      </c>
      <c r="E82" s="28">
        <f>ROUNDDOWN(Shop_Endless_Factor*Shop_Price_Modifier*(D82*Shop_Weapon_Price+(0.1*D82*Shop_Weapon_Price+1)*(Shop_Wave)),0)</f>
        <v>40</v>
      </c>
      <c r="F82" s="37">
        <f>IF('数值设定'!$D$4="默认",S82,S82)</f>
        <v>1.819918061</v>
      </c>
      <c r="G82" s="25"/>
      <c r="H82" s="35" t="s">
        <v>530</v>
      </c>
      <c r="I82" s="39" t="s">
        <v>515</v>
      </c>
      <c r="J82" s="17">
        <f>IFerror(1/Shop_Armor,0)</f>
        <v>1</v>
      </c>
      <c r="K82" s="17" t="s">
        <v>300</v>
      </c>
      <c r="L82" s="17">
        <f>IFERROR(-2/Shop_Speed,0)</f>
        <v>-0.6666666667</v>
      </c>
      <c r="M82" s="17"/>
      <c r="N82" s="17"/>
      <c r="O82" s="17"/>
      <c r="P82" s="17"/>
      <c r="Q82" s="17"/>
      <c r="R82" s="17"/>
      <c r="S82" s="17">
        <f>Shop_Inflated_Price*W82/$E82*100</f>
        <v>1.819918061</v>
      </c>
      <c r="T82" s="17">
        <f>Shop_Inflated_Price*X82/$E82*100</f>
        <v>5.459754182</v>
      </c>
      <c r="U82" s="17"/>
      <c r="V82" s="67"/>
      <c r="W82" s="17">
        <f t="shared" si="22"/>
        <v>0.3333333333</v>
      </c>
      <c r="X82" s="17">
        <f>J82</f>
        <v>1</v>
      </c>
      <c r="Y82" s="17"/>
      <c r="Z82" s="18"/>
      <c r="AA82" s="22"/>
      <c r="AB82" s="18"/>
      <c r="AC82" s="18"/>
      <c r="AD82" s="18"/>
      <c r="AE82" s="18"/>
      <c r="AF82" s="18"/>
    </row>
    <row r="83" ht="15.75" customHeight="1">
      <c r="A83" s="50" t="s">
        <v>676</v>
      </c>
      <c r="B83" s="27">
        <v>3.0</v>
      </c>
      <c r="C83" s="27" t="s">
        <v>41</v>
      </c>
      <c r="D83" s="51">
        <v>55.0</v>
      </c>
      <c r="E83" s="28">
        <f>ROUNDDOWN(Shop_Endless_Factor*Shop_Price_Modifier*(D83*Shop_Weapon_Price+(0.1*D83*Shop_Weapon_Price+1)*(Shop_Wave)),0)</f>
        <v>120</v>
      </c>
      <c r="F83" s="75"/>
      <c r="G83" s="27" t="s">
        <v>150</v>
      </c>
      <c r="H83" s="35" t="s">
        <v>145</v>
      </c>
      <c r="I83" s="17"/>
      <c r="J83" s="17"/>
      <c r="K83" s="17"/>
      <c r="L83" s="17"/>
      <c r="M83" s="17"/>
      <c r="N83" s="17"/>
      <c r="O83" s="17"/>
      <c r="P83" s="17"/>
      <c r="Q83" s="17"/>
      <c r="R83" s="17"/>
      <c r="S83" s="17"/>
      <c r="T83" s="17"/>
      <c r="U83" s="300"/>
      <c r="V83" s="47"/>
      <c r="W83" s="17"/>
      <c r="X83" s="17"/>
      <c r="Y83" s="300"/>
      <c r="Z83" s="18"/>
      <c r="AA83" s="18"/>
      <c r="AB83" s="18"/>
      <c r="AC83" s="18"/>
      <c r="AD83" s="18"/>
      <c r="AE83" s="18"/>
      <c r="AF83" s="18"/>
    </row>
    <row r="84" ht="15.75" customHeight="1">
      <c r="A84" s="50" t="s">
        <v>677</v>
      </c>
      <c r="B84" s="27">
        <v>3.0</v>
      </c>
      <c r="C84" s="27" t="s">
        <v>41</v>
      </c>
      <c r="D84" s="51">
        <v>70.0</v>
      </c>
      <c r="E84" s="28">
        <f>ROUNDDOWN(Shop_Endless_Factor*Shop_Price_Modifier*(D84*Shop_Weapon_Price+(0.1*D84*Shop_Weapon_Price+1)*(Shop_Wave)),0)</f>
        <v>150</v>
      </c>
      <c r="F84" s="53">
        <f>IF('数值设定'!$D$4="默认",T84,S84)</f>
        <v>2.911868897</v>
      </c>
      <c r="G84" s="27" t="s">
        <v>678</v>
      </c>
      <c r="H84" s="35" t="s">
        <v>70</v>
      </c>
      <c r="I84" s="64" t="s">
        <v>679</v>
      </c>
      <c r="J84" s="17">
        <f>IFERROR(10/Shop_Atk_Spd,0)</f>
        <v>2</v>
      </c>
      <c r="K84" s="27"/>
      <c r="L84" s="17"/>
      <c r="M84" s="17"/>
      <c r="N84" s="17"/>
      <c r="O84" s="17"/>
      <c r="P84" s="17"/>
      <c r="Q84" s="17"/>
      <c r="R84" s="17"/>
      <c r="S84" s="17">
        <f>Shop_Inflated_Price*W84/$E84*100</f>
        <v>2.911868897</v>
      </c>
      <c r="T84" s="17">
        <f>Shop_Inflated_Price*X84/$E84*100</f>
        <v>2.911868897</v>
      </c>
      <c r="U84" s="17"/>
      <c r="V84" s="54"/>
      <c r="W84" s="17">
        <f>J84+L84+N84+P84</f>
        <v>2</v>
      </c>
      <c r="X84" s="17">
        <f>J84+L84</f>
        <v>2</v>
      </c>
      <c r="Y84" s="17"/>
      <c r="Z84" s="18"/>
      <c r="AA84" s="18"/>
      <c r="AB84" s="18"/>
      <c r="AC84" s="18"/>
      <c r="AD84" s="18"/>
      <c r="AE84" s="18"/>
      <c r="AF84" s="18"/>
    </row>
    <row r="85" ht="15.75" customHeight="1">
      <c r="A85" s="50" t="s">
        <v>680</v>
      </c>
      <c r="B85" s="27">
        <v>2.0</v>
      </c>
      <c r="C85" s="27" t="s">
        <v>41</v>
      </c>
      <c r="D85" s="51">
        <v>40.0</v>
      </c>
      <c r="E85" s="28">
        <f>ROUNDDOWN(Shop_Endless_Factor*Shop_Price_Modifier*(D85*Shop_Weapon_Price+(0.1*D85*Shop_Weapon_Price+1)*(Shop_Wave)),0)</f>
        <v>90</v>
      </c>
      <c r="F85" s="58"/>
      <c r="G85" s="27" t="s">
        <v>150</v>
      </c>
      <c r="H85" s="35" t="s">
        <v>97</v>
      </c>
      <c r="I85" s="59"/>
      <c r="J85" s="17"/>
      <c r="K85" s="27"/>
      <c r="L85" s="17"/>
      <c r="M85" s="17"/>
      <c r="N85" s="17"/>
      <c r="O85" s="17"/>
      <c r="P85" s="17"/>
      <c r="Q85" s="17"/>
      <c r="R85" s="17"/>
      <c r="S85" s="17"/>
      <c r="T85" s="17"/>
      <c r="U85" s="17"/>
      <c r="V85" s="47"/>
      <c r="W85" s="17"/>
      <c r="X85" s="17"/>
      <c r="Y85" s="17"/>
      <c r="Z85" s="18"/>
      <c r="AA85" s="18"/>
      <c r="AB85" s="18"/>
      <c r="AC85" s="18"/>
      <c r="AD85" s="18"/>
      <c r="AE85" s="18"/>
      <c r="AF85" s="18"/>
    </row>
    <row r="86" ht="15.75" customHeight="1">
      <c r="A86" s="24" t="s">
        <v>681</v>
      </c>
      <c r="B86" s="27">
        <v>1.0</v>
      </c>
      <c r="C86" s="27" t="s">
        <v>41</v>
      </c>
      <c r="D86" s="28">
        <v>20.0</v>
      </c>
      <c r="E86" s="28">
        <f>ROUNDDOWN(Shop_Endless_Factor*Shop_Price_Modifier*(D86*Shop_Weapon_Price+(0.1*D86*Shop_Weapon_Price+1)*(Shop_Wave)),0)</f>
        <v>50</v>
      </c>
      <c r="F86" s="63">
        <f>IF('数值设定'!$D$4="默认",S86,S86)</f>
        <v>4.731786957</v>
      </c>
      <c r="G86" s="25"/>
      <c r="H86" s="35" t="s">
        <v>80</v>
      </c>
      <c r="I86" s="39" t="s">
        <v>682</v>
      </c>
      <c r="J86" s="17">
        <f>IFerror(7/Shop_Dmg,0)</f>
        <v>1.75</v>
      </c>
      <c r="K86" s="17" t="s">
        <v>516</v>
      </c>
      <c r="L86" s="17">
        <f>IFERROR(-2/Shop_Max_HP,0)</f>
        <v>-0.6666666667</v>
      </c>
      <c r="M86" s="17"/>
      <c r="N86" s="17"/>
      <c r="O86" s="17"/>
      <c r="P86" s="17"/>
      <c r="Q86" s="17"/>
      <c r="R86" s="17"/>
      <c r="S86" s="17">
        <f>Shop_Inflated_Price*W86/$E86*100</f>
        <v>4.731786957</v>
      </c>
      <c r="T86" s="17">
        <f>Shop_Inflated_Price*X86/$E86*100</f>
        <v>7.643655854</v>
      </c>
      <c r="U86" s="17"/>
      <c r="V86" s="47"/>
      <c r="W86" s="17">
        <f t="shared" ref="W86:W88" si="23">J86+L86+N86+P86</f>
        <v>1.083333333</v>
      </c>
      <c r="X86" s="17">
        <f t="shared" ref="X86:X87" si="24">J86</f>
        <v>1.75</v>
      </c>
      <c r="Y86" s="17"/>
      <c r="Z86" s="18"/>
      <c r="AA86" s="18"/>
      <c r="AB86" s="18"/>
      <c r="AC86" s="18"/>
      <c r="AD86" s="18"/>
      <c r="AE86" s="18"/>
      <c r="AF86" s="18"/>
    </row>
    <row r="87" ht="15.75" customHeight="1">
      <c r="A87" s="24" t="s">
        <v>683</v>
      </c>
      <c r="B87" s="27">
        <v>1.0</v>
      </c>
      <c r="C87" s="27" t="s">
        <v>41</v>
      </c>
      <c r="D87" s="28">
        <v>20.0</v>
      </c>
      <c r="E87" s="28">
        <f>ROUNDDOWN(Shop_Endless_Factor*Shop_Price_Modifier*(D87*Shop_Weapon_Price+(0.1*D87*Shop_Weapon_Price+1)*(Shop_Wave)),0)</f>
        <v>50</v>
      </c>
      <c r="F87" s="63">
        <f>IF('数值设定'!$D$4="默认",S87,S87)</f>
        <v>5.459754182</v>
      </c>
      <c r="H87" s="35" t="s">
        <v>97</v>
      </c>
      <c r="I87" s="39" t="s">
        <v>684</v>
      </c>
      <c r="J87" s="17">
        <f>IFerror(6/Shop_Crit,0)</f>
        <v>2</v>
      </c>
      <c r="K87" s="17" t="s">
        <v>685</v>
      </c>
      <c r="L87" s="17">
        <f>IFERROR(-3/Shop_Dmg,0)</f>
        <v>-0.75</v>
      </c>
      <c r="M87" s="17"/>
      <c r="N87" s="17"/>
      <c r="O87" s="17"/>
      <c r="P87" s="17"/>
      <c r="Q87" s="17"/>
      <c r="R87" s="17"/>
      <c r="S87" s="17">
        <f>Shop_Inflated_Price*W87/$E87*100</f>
        <v>5.459754182</v>
      </c>
      <c r="T87" s="17">
        <f>Shop_Inflated_Price*X87/$E87*100</f>
        <v>8.735606691</v>
      </c>
      <c r="U87" s="17"/>
      <c r="V87" s="67"/>
      <c r="W87" s="17">
        <f t="shared" si="23"/>
        <v>1.25</v>
      </c>
      <c r="X87" s="17">
        <f t="shared" si="24"/>
        <v>2</v>
      </c>
      <c r="Y87" s="17"/>
      <c r="Z87" s="18"/>
      <c r="AA87" s="18"/>
      <c r="AB87" s="18"/>
      <c r="AC87" s="18"/>
      <c r="AD87" s="18"/>
      <c r="AE87" s="18"/>
      <c r="AF87" s="18"/>
    </row>
    <row r="88" ht="15.75" customHeight="1">
      <c r="A88" s="24" t="s">
        <v>686</v>
      </c>
      <c r="B88" s="27">
        <v>4.0</v>
      </c>
      <c r="C88" s="27" t="s">
        <v>41</v>
      </c>
      <c r="D88" s="28">
        <v>100.0</v>
      </c>
      <c r="E88" s="28">
        <f>ROUNDDOWN(Shop_Endless_Factor*Shop_Price_Modifier*(D88*Shop_Weapon_Price+(0.1*D88*Shop_Weapon_Price+1)*(Shop_Wave)),0)</f>
        <v>210</v>
      </c>
      <c r="F88" s="63">
        <f>IF('数值设定'!$D$4="默认",S88,S88)</f>
        <v>5.893068006</v>
      </c>
      <c r="G88" s="25"/>
      <c r="H88" s="35" t="s">
        <v>97</v>
      </c>
      <c r="I88" s="39" t="s">
        <v>687</v>
      </c>
      <c r="J88" s="17">
        <f>IFerror(15/Shop_Speed,0)</f>
        <v>5</v>
      </c>
      <c r="K88" s="64" t="s">
        <v>688</v>
      </c>
      <c r="L88" s="17">
        <f>IFERROR(10/Shop_Dodge,0)</f>
        <v>3.333333333</v>
      </c>
      <c r="M88" s="35" t="s">
        <v>689</v>
      </c>
      <c r="N88" s="17">
        <f>IFERROR(-5/Shop_Max_HP,0)</f>
        <v>-1.666666667</v>
      </c>
      <c r="O88" s="35" t="s">
        <v>567</v>
      </c>
      <c r="P88" s="17">
        <f>IFERROR(-1/Shop_Armor,0)</f>
        <v>-1</v>
      </c>
      <c r="Q88" s="17"/>
      <c r="R88" s="17"/>
      <c r="S88" s="17">
        <f>Shop_Inflated_Price*W88/$E88*100</f>
        <v>5.893068006</v>
      </c>
      <c r="T88" s="17">
        <f>Shop_Inflated_Price*X88/$E88*100</f>
        <v>8.666276479</v>
      </c>
      <c r="U88" s="17"/>
      <c r="V88" s="47"/>
      <c r="W88" s="17">
        <f t="shared" si="23"/>
        <v>5.666666667</v>
      </c>
      <c r="X88" s="17">
        <f>J88+L88</f>
        <v>8.333333333</v>
      </c>
      <c r="Y88" s="17"/>
      <c r="Z88" s="18"/>
      <c r="AA88" s="18"/>
      <c r="AB88" s="18"/>
      <c r="AC88" s="18"/>
      <c r="AD88" s="18"/>
      <c r="AE88" s="18"/>
      <c r="AF88" s="18"/>
    </row>
    <row r="89" ht="15.75" customHeight="1">
      <c r="A89" s="50" t="s">
        <v>694</v>
      </c>
      <c r="B89" s="27">
        <v>1.0</v>
      </c>
      <c r="C89" s="27" t="s">
        <v>41</v>
      </c>
      <c r="D89" s="51">
        <v>15.0</v>
      </c>
      <c r="E89" s="28">
        <f>ROUNDDOWN(Shop_Endless_Factor*Shop_Price_Modifier*(D89*Shop_Weapon_Price+(0.1*D89*Shop_Weapon_Price+1)*(Shop_Wave)),0)</f>
        <v>40</v>
      </c>
      <c r="F89" s="75"/>
      <c r="G89" s="27" t="s">
        <v>150</v>
      </c>
      <c r="H89" s="35" t="s">
        <v>89</v>
      </c>
      <c r="I89" s="59"/>
      <c r="J89" s="17"/>
      <c r="K89" s="27"/>
      <c r="L89" s="17"/>
      <c r="M89" s="17"/>
      <c r="N89" s="17"/>
      <c r="O89" s="17"/>
      <c r="P89" s="17"/>
      <c r="Q89" s="17"/>
      <c r="R89" s="17"/>
      <c r="S89" s="17"/>
      <c r="T89" s="17"/>
      <c r="U89" s="17"/>
      <c r="V89" s="47"/>
      <c r="W89" s="17"/>
      <c r="X89" s="17"/>
      <c r="Y89" s="17"/>
      <c r="Z89" s="18"/>
      <c r="AA89" s="18"/>
      <c r="AB89" s="18"/>
      <c r="AC89" s="18"/>
      <c r="AD89" s="18"/>
      <c r="AE89" s="18"/>
      <c r="AF89" s="18"/>
    </row>
    <row r="90" ht="15.75" customHeight="1">
      <c r="A90" s="50" t="s">
        <v>715</v>
      </c>
      <c r="B90" s="27">
        <v>3.0</v>
      </c>
      <c r="C90" s="27" t="s">
        <v>41</v>
      </c>
      <c r="D90" s="51">
        <v>65.0</v>
      </c>
      <c r="E90" s="28">
        <f>ROUNDDOWN(Shop_Endless_Factor*Shop_Price_Modifier*(D90*Shop_Weapon_Price+(0.1*D90*Shop_Weapon_Price+1)*(Shop_Wave)),0)</f>
        <v>140</v>
      </c>
      <c r="F90" s="91"/>
      <c r="G90" s="27" t="s">
        <v>150</v>
      </c>
      <c r="H90" s="35" t="s">
        <v>97</v>
      </c>
      <c r="I90" s="59"/>
      <c r="J90" s="17"/>
      <c r="K90" s="27"/>
      <c r="L90" s="17"/>
      <c r="M90" s="17"/>
      <c r="N90" s="17"/>
      <c r="O90" s="17"/>
      <c r="P90" s="17"/>
      <c r="Q90" s="17"/>
      <c r="R90" s="17"/>
      <c r="S90" s="17"/>
      <c r="T90" s="17"/>
      <c r="U90" s="17"/>
      <c r="V90" s="47"/>
      <c r="W90" s="17"/>
      <c r="X90" s="17"/>
      <c r="Y90" s="17"/>
      <c r="Z90" s="18"/>
      <c r="AA90" s="18"/>
      <c r="AB90" s="18"/>
      <c r="AC90" s="18"/>
      <c r="AD90" s="18"/>
      <c r="AE90" s="18"/>
      <c r="AF90" s="18"/>
    </row>
    <row r="91" ht="15.75" customHeight="1">
      <c r="A91" s="24" t="s">
        <v>720</v>
      </c>
      <c r="B91" s="27">
        <v>2.0</v>
      </c>
      <c r="C91" s="27" t="s">
        <v>41</v>
      </c>
      <c r="D91" s="28">
        <v>45.0</v>
      </c>
      <c r="E91" s="28">
        <f>ROUNDDOWN(Shop_Endless_Factor*Shop_Price_Modifier*(D91*Shop_Weapon_Price+(0.1*D91*Shop_Weapon_Price+1)*(Shop_Wave)),0)</f>
        <v>100</v>
      </c>
      <c r="F91" s="56">
        <f>IF('数值设定'!$D$4="默认",S91,S91)</f>
        <v>6.551705018</v>
      </c>
      <c r="G91" s="25"/>
      <c r="H91" s="35" t="s">
        <v>70</v>
      </c>
      <c r="I91" s="39" t="s">
        <v>723</v>
      </c>
      <c r="J91" s="17">
        <f>IFerror(2/Shop_Armor,0)</f>
        <v>2</v>
      </c>
      <c r="K91" s="64" t="s">
        <v>725</v>
      </c>
      <c r="L91" s="17">
        <f>IFERROR(6/Shop_Dodge,0)</f>
        <v>2</v>
      </c>
      <c r="M91" s="17" t="s">
        <v>513</v>
      </c>
      <c r="N91" s="17">
        <f>IFERROR(-3/Shop_Max_HP,0)</f>
        <v>-1</v>
      </c>
      <c r="O91" s="17"/>
      <c r="P91" s="17"/>
      <c r="Q91" s="17"/>
      <c r="R91" s="17"/>
      <c r="S91" s="17">
        <f>Shop_Inflated_Price*W91/$E91*100</f>
        <v>6.551705018</v>
      </c>
      <c r="T91" s="17">
        <f>Shop_Inflated_Price*X91/$E91*100</f>
        <v>8.735606691</v>
      </c>
      <c r="U91" s="17">
        <f>Shop_Inflated_Price*Y91/$E91*100</f>
        <v>2.183901673</v>
      </c>
      <c r="V91" s="54" t="s">
        <v>729</v>
      </c>
      <c r="W91" s="17">
        <f>J91+L91+N91+P91</f>
        <v>3</v>
      </c>
      <c r="X91" s="17">
        <f>J91+L91</f>
        <v>4</v>
      </c>
      <c r="Y91" s="17">
        <f>J91+N91</f>
        <v>1</v>
      </c>
      <c r="Z91" s="18"/>
      <c r="AA91" s="18"/>
      <c r="AB91" s="18"/>
      <c r="AC91" s="18"/>
      <c r="AD91" s="18"/>
      <c r="AE91" s="18"/>
      <c r="AF91" s="18"/>
    </row>
    <row r="92" ht="15.75" customHeight="1">
      <c r="A92" s="50" t="s">
        <v>731</v>
      </c>
      <c r="B92" s="27">
        <v>1.0</v>
      </c>
      <c r="C92" s="27" t="s">
        <v>41</v>
      </c>
      <c r="D92" s="51">
        <v>15.0</v>
      </c>
      <c r="E92" s="28">
        <f>ROUNDDOWN(Shop_Endless_Factor*Shop_Price_Modifier*(D92*Shop_Weapon_Price+(0.1*D92*Shop_Weapon_Price+1)*(Shop_Wave)),0)</f>
        <v>40</v>
      </c>
      <c r="F92" s="58"/>
      <c r="G92" s="27" t="s">
        <v>150</v>
      </c>
      <c r="H92" s="35" t="s">
        <v>70</v>
      </c>
      <c r="I92" s="59"/>
      <c r="J92" s="17"/>
      <c r="K92" s="27"/>
      <c r="L92" s="17"/>
      <c r="M92" s="17"/>
      <c r="N92" s="17"/>
      <c r="O92" s="17"/>
      <c r="P92" s="17"/>
      <c r="Q92" s="17"/>
      <c r="R92" s="17"/>
      <c r="S92" s="17"/>
      <c r="T92" s="17"/>
      <c r="U92" s="17"/>
      <c r="V92" s="47"/>
      <c r="W92" s="17"/>
      <c r="X92" s="17"/>
      <c r="Y92" s="17"/>
      <c r="Z92" s="18"/>
      <c r="AA92" s="18"/>
      <c r="AB92" s="18"/>
      <c r="AC92" s="18"/>
      <c r="AD92" s="18"/>
      <c r="AE92" s="18"/>
      <c r="AF92" s="18"/>
    </row>
    <row r="93" ht="15.75" customHeight="1">
      <c r="A93" s="24" t="s">
        <v>735</v>
      </c>
      <c r="B93" s="27">
        <v>1.0</v>
      </c>
      <c r="C93" s="27" t="s">
        <v>41</v>
      </c>
      <c r="D93" s="28">
        <v>20.0</v>
      </c>
      <c r="E93" s="28">
        <f>ROUNDDOWN(Shop_Endless_Factor*Shop_Price_Modifier*(D93*Shop_Weapon_Price+(0.1*D93*Shop_Weapon_Price+1)*(Shop_Wave)),0)</f>
        <v>50</v>
      </c>
      <c r="F93" s="63">
        <f>IF('数值设定'!$D$4="默认",S93,S93)</f>
        <v>3.275852509</v>
      </c>
      <c r="G93" s="25"/>
      <c r="H93" s="35" t="s">
        <v>97</v>
      </c>
      <c r="I93" s="39" t="s">
        <v>673</v>
      </c>
      <c r="J93" s="17">
        <f>IFerror(1/Shop_Ranged_Dmg,0)</f>
        <v>1</v>
      </c>
      <c r="K93" s="17" t="s">
        <v>737</v>
      </c>
      <c r="L93" s="17">
        <f>IFERROR(-5/Shop_Range,0)</f>
        <v>-0.25</v>
      </c>
      <c r="M93" s="17"/>
      <c r="N93" s="17"/>
      <c r="O93" s="17"/>
      <c r="P93" s="17"/>
      <c r="Q93" s="17"/>
      <c r="R93" s="17"/>
      <c r="S93" s="17">
        <f>Shop_Inflated_Price*W93/$E93*100</f>
        <v>3.275852509</v>
      </c>
      <c r="T93" s="17">
        <f>Shop_Inflated_Price*X93/$E93*100</f>
        <v>4.367803345</v>
      </c>
      <c r="U93" s="17"/>
      <c r="V93" s="47"/>
      <c r="W93" s="17">
        <f t="shared" ref="W93:W97" si="25">J93+L93+N93+P93</f>
        <v>0.75</v>
      </c>
      <c r="X93" s="17">
        <f t="shared" ref="X93:X94" si="26">J93</f>
        <v>1</v>
      </c>
      <c r="Y93" s="17"/>
      <c r="Z93" s="18"/>
      <c r="AA93" s="18"/>
      <c r="AB93" s="18"/>
      <c r="AC93" s="18"/>
      <c r="AD93" s="18"/>
      <c r="AE93" s="18"/>
      <c r="AF93" s="18"/>
    </row>
    <row r="94" ht="15.75" customHeight="1">
      <c r="A94" s="50" t="s">
        <v>740</v>
      </c>
      <c r="B94" s="27">
        <v>2.0</v>
      </c>
      <c r="C94" s="27" t="s">
        <v>41</v>
      </c>
      <c r="D94" s="51">
        <v>45.0</v>
      </c>
      <c r="E94" s="28">
        <f>ROUNDDOWN(Shop_Endless_Factor*Shop_Price_Modifier*(D94*Shop_Weapon_Price+(0.1*D94*Shop_Weapon_Price+1)*(Shop_Wave)),0)</f>
        <v>100</v>
      </c>
      <c r="F94" s="63">
        <f>IF('数值设定'!$D$4="默认",S94,S94)</f>
        <v>3.275852509</v>
      </c>
      <c r="G94" s="27" t="s">
        <v>743</v>
      </c>
      <c r="H94" s="35" t="s">
        <v>52</v>
      </c>
      <c r="I94" s="39" t="s">
        <v>744</v>
      </c>
      <c r="J94" s="17">
        <f>IFerror(10/Shop_Harvesting,0)</f>
        <v>2.5</v>
      </c>
      <c r="K94" s="35" t="s">
        <v>745</v>
      </c>
      <c r="L94" s="17">
        <f>IFERROR(-3/Shop_Dodge,0)</f>
        <v>-1</v>
      </c>
      <c r="M94" s="17"/>
      <c r="N94" s="17"/>
      <c r="O94" s="17"/>
      <c r="P94" s="17"/>
      <c r="Q94" s="17"/>
      <c r="R94" s="17"/>
      <c r="S94" s="17">
        <f>Shop_Inflated_Price*W94/$E94*100</f>
        <v>3.275852509</v>
      </c>
      <c r="T94" s="17">
        <f>Shop_Inflated_Price*X94/$E94*100</f>
        <v>5.459754182</v>
      </c>
      <c r="U94" s="17"/>
      <c r="V94" s="47"/>
      <c r="W94" s="17">
        <f t="shared" si="25"/>
        <v>1.5</v>
      </c>
      <c r="X94" s="17">
        <f t="shared" si="26"/>
        <v>2.5</v>
      </c>
      <c r="Y94" s="17"/>
      <c r="Z94" s="18"/>
      <c r="AA94" s="18"/>
      <c r="AB94" s="18"/>
      <c r="AC94" s="18"/>
      <c r="AD94" s="18"/>
      <c r="AE94" s="18"/>
      <c r="AF94" s="18"/>
    </row>
    <row r="95" ht="15.75" customHeight="1">
      <c r="A95" s="24" t="s">
        <v>748</v>
      </c>
      <c r="B95" s="27">
        <v>2.0</v>
      </c>
      <c r="C95" s="27" t="s">
        <v>41</v>
      </c>
      <c r="D95" s="28">
        <v>50.0</v>
      </c>
      <c r="E95" s="28">
        <f>ROUNDDOWN(Shop_Endless_Factor*Shop_Price_Modifier*(D95*Shop_Weapon_Price+(0.1*D95*Shop_Weapon_Price+1)*(Shop_Wave)),0)</f>
        <v>110</v>
      </c>
      <c r="F95" s="63">
        <f>IF('数值设定'!$D$4="默认",S95,S95)</f>
        <v>4.797965796</v>
      </c>
      <c r="G95" s="25"/>
      <c r="H95" s="35" t="s">
        <v>97</v>
      </c>
      <c r="I95" s="39" t="s">
        <v>133</v>
      </c>
      <c r="J95" s="17">
        <f>IFerror(3/Shop_Melee_Dmg,0)</f>
        <v>1.5</v>
      </c>
      <c r="K95" s="64" t="s">
        <v>277</v>
      </c>
      <c r="L95" s="17">
        <f>IFERROR(5/Shop_Max_HP,0)</f>
        <v>1.666666667</v>
      </c>
      <c r="M95" s="17" t="s">
        <v>200</v>
      </c>
      <c r="N95" s="17">
        <f>IFERROR(-15/Shop_Range,0)</f>
        <v>-0.75</v>
      </c>
      <c r="O95" s="17"/>
      <c r="P95" s="17"/>
      <c r="Q95" s="17"/>
      <c r="R95" s="17"/>
      <c r="S95" s="17">
        <f>Shop_Inflated_Price*W95/$E95*100</f>
        <v>4.797965796</v>
      </c>
      <c r="T95" s="17">
        <f>Shop_Inflated_Price*X95/$E95*100</f>
        <v>6.286989664</v>
      </c>
      <c r="U95" s="17"/>
      <c r="V95" s="67"/>
      <c r="W95" s="17">
        <f t="shared" si="25"/>
        <v>2.416666667</v>
      </c>
      <c r="X95" s="17">
        <f>J95+L95</f>
        <v>3.166666667</v>
      </c>
      <c r="Y95" s="17"/>
      <c r="Z95" s="18"/>
      <c r="AA95" s="18"/>
      <c r="AB95" s="18"/>
      <c r="AC95" s="18"/>
      <c r="AD95" s="18"/>
      <c r="AE95" s="18"/>
      <c r="AF95" s="18"/>
    </row>
    <row r="96" ht="15.75" customHeight="1">
      <c r="A96" s="24" t="s">
        <v>755</v>
      </c>
      <c r="B96" s="27">
        <v>1.0</v>
      </c>
      <c r="C96" s="27" t="s">
        <v>41</v>
      </c>
      <c r="D96" s="28">
        <v>25.0</v>
      </c>
      <c r="E96" s="28">
        <f>ROUNDDOWN(Shop_Endless_Factor*Shop_Price_Modifier*(D96*Shop_Weapon_Price+(0.1*D96*Shop_Weapon_Price+1)*(Shop_Wave)),0)</f>
        <v>60</v>
      </c>
      <c r="F96" s="56">
        <f>IF('数值设定'!$D$4="默认",T96,S96)</f>
        <v>3.882491863</v>
      </c>
      <c r="G96" s="27" t="s">
        <v>287</v>
      </c>
      <c r="H96" s="35" t="s">
        <v>97</v>
      </c>
      <c r="I96" s="39" t="s">
        <v>757</v>
      </c>
      <c r="J96" s="17">
        <f>IFerror(8/Shop_Luck,0)</f>
        <v>1.066666667</v>
      </c>
      <c r="K96" s="17" t="s">
        <v>294</v>
      </c>
      <c r="L96" s="17">
        <f>IFERROR(-1/Shop_Elemental_DMG,0)</f>
        <v>-1</v>
      </c>
      <c r="M96" s="17"/>
      <c r="N96" s="17"/>
      <c r="O96" s="17"/>
      <c r="P96" s="17"/>
      <c r="Q96" s="17"/>
      <c r="R96" s="17"/>
      <c r="S96" s="17">
        <f>Shop_Inflated_Price*W96/$E96*100</f>
        <v>0.2426557414</v>
      </c>
      <c r="T96" s="17">
        <f>Shop_Inflated_Price*X96/$E96*100</f>
        <v>3.882491863</v>
      </c>
      <c r="U96" s="17"/>
      <c r="V96" s="47"/>
      <c r="W96" s="17">
        <f t="shared" si="25"/>
        <v>0.06666666667</v>
      </c>
      <c r="X96" s="17">
        <f t="shared" ref="X96:X97" si="27">J96</f>
        <v>1.066666667</v>
      </c>
      <c r="Y96" s="17"/>
      <c r="Z96" s="18"/>
      <c r="AA96" s="18"/>
      <c r="AB96" s="18"/>
      <c r="AC96" s="18"/>
      <c r="AD96" s="18"/>
      <c r="AE96" s="18"/>
      <c r="AF96" s="18"/>
    </row>
    <row r="97" ht="15.75" customHeight="1">
      <c r="A97" s="24" t="s">
        <v>761</v>
      </c>
      <c r="B97" s="27">
        <v>3.0</v>
      </c>
      <c r="C97" s="27" t="s">
        <v>41</v>
      </c>
      <c r="D97" s="28">
        <v>75.0</v>
      </c>
      <c r="E97" s="28">
        <f>ROUNDDOWN(Shop_Endless_Factor*Shop_Price_Modifier*(D97*Shop_Weapon_Price+(0.1*D97*Shop_Weapon_Price+1)*(Shop_Wave)),0)</f>
        <v>160</v>
      </c>
      <c r="F97" s="56">
        <f>IF('数值设定'!$D$4="默认",U97,S97)</f>
        <v>4.094815636</v>
      </c>
      <c r="G97" s="27" t="s">
        <v>763</v>
      </c>
      <c r="H97" s="35" t="s">
        <v>70</v>
      </c>
      <c r="I97" s="39" t="s">
        <v>764</v>
      </c>
      <c r="J97" s="17">
        <f>IFerror(30/Shop_Luck,0)</f>
        <v>4</v>
      </c>
      <c r="K97" s="17" t="s">
        <v>765</v>
      </c>
      <c r="L97" s="17">
        <f>IFERROR(-2/Shop_Melee_Dmg,0)</f>
        <v>-1</v>
      </c>
      <c r="M97" s="17" t="s">
        <v>564</v>
      </c>
      <c r="N97" s="17">
        <f>IFERROR(-1/Shop_Ranged_Dmg,0)</f>
        <v>-1</v>
      </c>
      <c r="O97" s="17"/>
      <c r="P97" s="17"/>
      <c r="Q97" s="17"/>
      <c r="R97" s="17"/>
      <c r="S97" s="17">
        <f>Shop_Inflated_Price*W97/$E97*100</f>
        <v>2.729877091</v>
      </c>
      <c r="T97" s="17">
        <f>Shop_Inflated_Price*X97/$E97*100</f>
        <v>5.459754182</v>
      </c>
      <c r="U97" s="17">
        <f>Shop_Inflated_Price*Y97/$E97*100</f>
        <v>4.094815636</v>
      </c>
      <c r="V97" s="67" t="s">
        <v>768</v>
      </c>
      <c r="W97" s="17">
        <f t="shared" si="25"/>
        <v>2</v>
      </c>
      <c r="X97" s="17">
        <f t="shared" si="27"/>
        <v>4</v>
      </c>
      <c r="Y97" s="17">
        <f>J97+L97</f>
        <v>3</v>
      </c>
      <c r="Z97" s="18"/>
      <c r="AA97" s="18"/>
      <c r="AB97" s="18"/>
      <c r="AC97" s="18"/>
      <c r="AD97" s="18"/>
      <c r="AE97" s="18"/>
      <c r="AF97" s="18"/>
    </row>
    <row r="98" ht="15.75" customHeight="1">
      <c r="A98" s="50" t="s">
        <v>769</v>
      </c>
      <c r="B98" s="27">
        <v>1.0</v>
      </c>
      <c r="C98" s="27" t="s">
        <v>41</v>
      </c>
      <c r="D98" s="51">
        <v>15.0</v>
      </c>
      <c r="E98" s="28">
        <f>ROUNDDOWN(Shop_Endless_Factor*Shop_Price_Modifier*(D98*Shop_Weapon_Price+(0.1*D98*Shop_Weapon_Price+1)*(Shop_Wave)),0)</f>
        <v>40</v>
      </c>
      <c r="F98" s="75"/>
      <c r="G98" s="27" t="s">
        <v>150</v>
      </c>
      <c r="H98" s="35" t="s">
        <v>89</v>
      </c>
      <c r="I98" s="59"/>
      <c r="J98" s="17"/>
      <c r="K98" s="27"/>
      <c r="L98" s="17"/>
      <c r="M98" s="17"/>
      <c r="N98" s="17"/>
      <c r="O98" s="17"/>
      <c r="P98" s="17"/>
      <c r="Q98" s="17"/>
      <c r="R98" s="17"/>
      <c r="S98" s="17"/>
      <c r="T98" s="17"/>
      <c r="U98" s="17"/>
      <c r="V98" s="47"/>
      <c r="W98" s="17"/>
      <c r="X98" s="17"/>
      <c r="Y98" s="17"/>
      <c r="Z98" s="18"/>
      <c r="AA98" s="18"/>
      <c r="AB98" s="18"/>
      <c r="AC98" s="18"/>
      <c r="AD98" s="18"/>
      <c r="AE98" s="18"/>
      <c r="AF98" s="18"/>
    </row>
    <row r="99" ht="15.75" customHeight="1">
      <c r="A99" s="50" t="s">
        <v>772</v>
      </c>
      <c r="B99" s="27">
        <v>2.0</v>
      </c>
      <c r="C99" s="27" t="s">
        <v>41</v>
      </c>
      <c r="D99" s="51">
        <v>34.0</v>
      </c>
      <c r="E99" s="28">
        <f>ROUNDDOWN(Shop_Endless_Factor*Shop_Price_Modifier*(D99*Shop_Weapon_Price+(0.1*D99*Shop_Weapon_Price+1)*(Shop_Wave)),0)</f>
        <v>78</v>
      </c>
      <c r="F99" s="53">
        <f>IF('数值设定'!$D$4="默认",T99,S99)</f>
        <v>2.799873939</v>
      </c>
      <c r="G99" s="27" t="s">
        <v>774</v>
      </c>
      <c r="H99" s="35" t="s">
        <v>145</v>
      </c>
      <c r="I99" s="39" t="s">
        <v>219</v>
      </c>
      <c r="J99" s="17">
        <f>IFerror(2/Shop_HP_Regen,0)</f>
        <v>1</v>
      </c>
      <c r="K99" s="27"/>
      <c r="L99" s="17"/>
      <c r="M99" s="35"/>
      <c r="N99" s="17"/>
      <c r="O99" s="17"/>
      <c r="P99" s="17"/>
      <c r="Q99" s="17"/>
      <c r="R99" s="17"/>
      <c r="S99" s="17">
        <f>Shop_Inflated_Price*W99/$E99*100</f>
        <v>2.799873939</v>
      </c>
      <c r="T99" s="17">
        <f>Shop_Inflated_Price*X99/$E99*100</f>
        <v>2.799873939</v>
      </c>
      <c r="U99" s="17"/>
      <c r="V99" s="54"/>
      <c r="W99" s="17">
        <f t="shared" ref="W99:W101" si="28">J99+L99+N99+P99</f>
        <v>1</v>
      </c>
      <c r="X99" s="17">
        <f t="shared" ref="X99:X100" si="29">J99+L99</f>
        <v>1</v>
      </c>
      <c r="Y99" s="17" t="str">
        <f>L99</f>
        <v/>
      </c>
      <c r="Z99" s="18"/>
      <c r="AA99" s="18"/>
      <c r="AB99" s="18"/>
      <c r="AC99" s="18"/>
      <c r="AD99" s="18"/>
      <c r="AE99" s="18"/>
      <c r="AF99" s="18"/>
    </row>
    <row r="100" ht="15.75" customHeight="1">
      <c r="A100" s="24" t="s">
        <v>776</v>
      </c>
      <c r="B100" s="27">
        <v>4.0</v>
      </c>
      <c r="C100" s="27" t="s">
        <v>41</v>
      </c>
      <c r="D100" s="51">
        <v>110.0</v>
      </c>
      <c r="E100" s="28">
        <f>ROUNDDOWN(Shop_Endless_Factor*Shop_Price_Modifier*(D100*Shop_Weapon_Price+(0.1*D100*Shop_Weapon_Price+1)*(Shop_Wave)),0)</f>
        <v>230</v>
      </c>
      <c r="F100" s="56">
        <f>IF('数值设定'!$D$4="默认",U100,S100)</f>
        <v>6.646657265</v>
      </c>
      <c r="G100" s="27" t="s">
        <v>779</v>
      </c>
      <c r="H100" s="35" t="s">
        <v>97</v>
      </c>
      <c r="I100" s="39" t="s">
        <v>780</v>
      </c>
      <c r="J100" s="17">
        <f>IFerror(20/Shop_Melee_Dmg,0)</f>
        <v>10</v>
      </c>
      <c r="K100" s="35" t="s">
        <v>781</v>
      </c>
      <c r="L100" s="17">
        <f>IFERROR(5/Shop_HP_Regen,0)</f>
        <v>2.5</v>
      </c>
      <c r="M100" s="17" t="s">
        <v>782</v>
      </c>
      <c r="N100" s="17">
        <f>IFERROR(-8/Shop_Dmg,0)</f>
        <v>-2</v>
      </c>
      <c r="O100" s="17" t="s">
        <v>188</v>
      </c>
      <c r="P100" s="17">
        <f>IFERROR(-3/Shop_Speed,0)</f>
        <v>-1</v>
      </c>
      <c r="Q100" s="17"/>
      <c r="R100" s="17"/>
      <c r="S100" s="17">
        <f>Shop_Inflated_Price*W100/$E100*100</f>
        <v>9.020463431</v>
      </c>
      <c r="T100" s="17">
        <f>Shop_Inflated_Price*X100/$E100*100</f>
        <v>11.86903083</v>
      </c>
      <c r="U100" s="17">
        <f>Shop_Inflated_Price*Y100/$E100*100</f>
        <v>6.646657265</v>
      </c>
      <c r="V100" s="87" t="s">
        <v>318</v>
      </c>
      <c r="W100" s="17">
        <f t="shared" si="28"/>
        <v>9.5</v>
      </c>
      <c r="X100" s="17">
        <f t="shared" si="29"/>
        <v>12.5</v>
      </c>
      <c r="Y100" s="17">
        <f>J100+P100+N100</f>
        <v>7</v>
      </c>
      <c r="Z100" s="18"/>
      <c r="AA100" s="18"/>
      <c r="AB100" s="18"/>
      <c r="AC100" s="18"/>
      <c r="AD100" s="18"/>
      <c r="AE100" s="18"/>
      <c r="AF100" s="18"/>
    </row>
    <row r="101" ht="15.75" customHeight="1">
      <c r="A101" s="24" t="s">
        <v>786</v>
      </c>
      <c r="B101" s="27">
        <v>2.0</v>
      </c>
      <c r="C101" s="27" t="s">
        <v>41</v>
      </c>
      <c r="D101" s="28">
        <v>55.0</v>
      </c>
      <c r="E101" s="28">
        <f>ROUNDDOWN(Shop_Endless_Factor*Shop_Price_Modifier*(D101*Shop_Weapon_Price+(0.1*D101*Shop_Weapon_Price+1)*(Shop_Wave)),0)</f>
        <v>120</v>
      </c>
      <c r="F101" s="56">
        <f>IF('数值设定'!$D$4="默认",T101,S101)</f>
        <v>5.459754182</v>
      </c>
      <c r="G101" s="27" t="s">
        <v>287</v>
      </c>
      <c r="H101" s="35" t="s">
        <v>70</v>
      </c>
      <c r="I101" s="39" t="s">
        <v>789</v>
      </c>
      <c r="J101" s="17">
        <f>IFerror(6/Shop_Melee_Dmg,0)</f>
        <v>3</v>
      </c>
      <c r="K101" s="17" t="s">
        <v>790</v>
      </c>
      <c r="L101" s="17">
        <f>IFERROR(-3/Shop_Ranged_Dmg,0)</f>
        <v>-3</v>
      </c>
      <c r="M101" s="17"/>
      <c r="N101" s="17"/>
      <c r="O101" s="17"/>
      <c r="P101" s="17"/>
      <c r="Q101" s="17"/>
      <c r="R101" s="17"/>
      <c r="S101" s="17">
        <f>Shop_Inflated_Price*W101/$E101*100</f>
        <v>0</v>
      </c>
      <c r="T101" s="17">
        <f>Shop_Inflated_Price*X101/$E101*100</f>
        <v>5.459754182</v>
      </c>
      <c r="U101" s="17"/>
      <c r="V101" s="67"/>
      <c r="W101" s="17">
        <f t="shared" si="28"/>
        <v>0</v>
      </c>
      <c r="X101" s="17">
        <f>J101</f>
        <v>3</v>
      </c>
      <c r="Y101" s="17"/>
      <c r="Z101" s="18"/>
      <c r="AA101" s="18"/>
      <c r="AB101" s="18"/>
      <c r="AC101" s="18"/>
      <c r="AD101" s="18"/>
      <c r="AE101" s="18"/>
      <c r="AF101" s="18"/>
    </row>
    <row r="102" ht="15.75" customHeight="1">
      <c r="A102" s="50" t="s">
        <v>792</v>
      </c>
      <c r="B102" s="27">
        <v>2.0</v>
      </c>
      <c r="C102" s="27" t="s">
        <v>41</v>
      </c>
      <c r="D102" s="51">
        <v>55.0</v>
      </c>
      <c r="E102" s="28">
        <f>ROUNDDOWN(Shop_Endless_Factor*Shop_Price_Modifier*(D102*Shop_Weapon_Price+(0.1*D102*Shop_Weapon_Price+1)*(Shop_Wave)),0)</f>
        <v>120</v>
      </c>
      <c r="F102" s="56">
        <f>IF('数值设定'!$D$4="默认",S102,S102)</f>
        <v>4.398135313</v>
      </c>
      <c r="G102" s="27"/>
      <c r="H102" s="35" t="s">
        <v>97</v>
      </c>
      <c r="I102" s="39" t="s">
        <v>118</v>
      </c>
      <c r="J102" s="17">
        <f>IFerror(3/Shop_Max_HP,0)</f>
        <v>1</v>
      </c>
      <c r="K102" s="64" t="s">
        <v>515</v>
      </c>
      <c r="L102" s="17">
        <f>IFERROR(1/Shop_Armor,0)</f>
        <v>1</v>
      </c>
      <c r="M102" s="35" t="s">
        <v>795</v>
      </c>
      <c r="N102" s="17">
        <f>IFERROR(3/Shop_Speed,0)</f>
        <v>1</v>
      </c>
      <c r="O102" s="59" t="s">
        <v>796</v>
      </c>
      <c r="P102" s="17">
        <f>IFERROR(3/Shop_Dmg,0)</f>
        <v>0.75</v>
      </c>
      <c r="Q102" s="35" t="s">
        <v>797</v>
      </c>
      <c r="R102" s="17">
        <f>IFERROR(-4/Shop_Crit,0)</f>
        <v>-1.333333333</v>
      </c>
      <c r="S102" s="17">
        <f>Shop_Inflated_Price*W102/$E102*100</f>
        <v>4.398135313</v>
      </c>
      <c r="T102" s="17">
        <f>Shop_Inflated_Price*X102/$E102*100</f>
        <v>6.824692727</v>
      </c>
      <c r="U102" s="17"/>
      <c r="V102" s="54"/>
      <c r="W102" s="17">
        <f>J102+L102+N102+P102+R102</f>
        <v>2.416666667</v>
      </c>
      <c r="X102" s="17">
        <f>J102+L102+N102+P102</f>
        <v>3.75</v>
      </c>
      <c r="Y102" s="17"/>
      <c r="Z102" s="18"/>
      <c r="AA102" s="18"/>
      <c r="AB102" s="18"/>
      <c r="AC102" s="18"/>
      <c r="AD102" s="18"/>
      <c r="AE102" s="18"/>
      <c r="AF102" s="18"/>
    </row>
    <row r="103" ht="15.75" customHeight="1">
      <c r="A103" s="50" t="s">
        <v>801</v>
      </c>
      <c r="B103" s="27">
        <v>2.0</v>
      </c>
      <c r="C103" s="27" t="s">
        <v>41</v>
      </c>
      <c r="D103" s="51">
        <v>40.0</v>
      </c>
      <c r="E103" s="28">
        <f>ROUNDDOWN(Shop_Endless_Factor*Shop_Price_Modifier*(D103*Shop_Weapon_Price+(0.1*D103*Shop_Weapon_Price+1)*(Shop_Wave)),0)</f>
        <v>90</v>
      </c>
      <c r="F103" s="58"/>
      <c r="G103" s="27" t="s">
        <v>150</v>
      </c>
      <c r="H103" s="35" t="s">
        <v>97</v>
      </c>
      <c r="I103" s="59"/>
      <c r="J103" s="17"/>
      <c r="K103" s="27"/>
      <c r="L103" s="17"/>
      <c r="M103" s="17"/>
      <c r="N103" s="17"/>
      <c r="O103" s="17"/>
      <c r="P103" s="17"/>
      <c r="Q103" s="17"/>
      <c r="R103" s="17"/>
      <c r="S103" s="17"/>
      <c r="T103" s="17"/>
      <c r="U103" s="17"/>
      <c r="V103" s="47"/>
      <c r="W103" s="17"/>
      <c r="X103" s="17"/>
      <c r="Y103" s="17"/>
      <c r="Z103" s="18"/>
      <c r="AA103" s="18"/>
      <c r="AB103" s="18"/>
      <c r="AC103" s="18"/>
      <c r="AD103" s="18"/>
      <c r="AE103" s="18"/>
      <c r="AF103" s="18"/>
    </row>
    <row r="104" ht="15.75" customHeight="1">
      <c r="A104" s="24" t="s">
        <v>805</v>
      </c>
      <c r="B104" s="27">
        <v>4.0</v>
      </c>
      <c r="C104" s="27" t="s">
        <v>41</v>
      </c>
      <c r="D104" s="51">
        <v>95.0</v>
      </c>
      <c r="E104" s="28">
        <f>ROUNDDOWN(Shop_Endless_Factor*Shop_Price_Modifier*(D104*Shop_Weapon_Price+(0.1*D104*Shop_Weapon_Price+1)*(Shop_Wave)),0)</f>
        <v>200</v>
      </c>
      <c r="F104" s="63">
        <f>IF('数值设定'!$D$4="默认",S104,S104)</f>
        <v>10.55552475</v>
      </c>
      <c r="G104" s="25"/>
      <c r="H104" s="35" t="s">
        <v>70</v>
      </c>
      <c r="I104" s="39" t="s">
        <v>808</v>
      </c>
      <c r="J104" s="17">
        <f>IFerror(10/Shop_HP_Regen,0)</f>
        <v>5</v>
      </c>
      <c r="K104" s="35" t="s">
        <v>809</v>
      </c>
      <c r="L104" s="17">
        <f>IFERROR(-10/Shop_Luck,0)</f>
        <v>-1.333333333</v>
      </c>
      <c r="M104" s="39" t="s">
        <v>811</v>
      </c>
      <c r="N104" s="17">
        <f>IFerror(12/Shop_HP_Regen,0)</f>
        <v>6</v>
      </c>
      <c r="O104" s="17"/>
      <c r="P104" s="17"/>
      <c r="Q104" s="17"/>
      <c r="R104" s="17"/>
      <c r="S104" s="17">
        <f>Shop_Inflated_Price*W104/$E104*100</f>
        <v>10.55552475</v>
      </c>
      <c r="T104" s="17">
        <f>Shop_Inflated_Price*X104/$E104*100</f>
        <v>5.459754182</v>
      </c>
      <c r="U104" s="17"/>
      <c r="V104" s="47"/>
      <c r="W104" s="17">
        <f t="shared" ref="W104:W112" si="30">J104+L104+N104+P104</f>
        <v>9.666666667</v>
      </c>
      <c r="X104" s="17">
        <f>J104</f>
        <v>5</v>
      </c>
      <c r="Y104" s="17"/>
      <c r="Z104" s="18"/>
      <c r="AA104" s="18"/>
      <c r="AB104" s="18"/>
      <c r="AC104" s="18"/>
      <c r="AD104" s="18"/>
      <c r="AE104" s="18"/>
      <c r="AF104" s="18"/>
    </row>
    <row r="105" ht="15.75" customHeight="1">
      <c r="A105" s="50" t="s">
        <v>814</v>
      </c>
      <c r="B105" s="27">
        <v>2.0</v>
      </c>
      <c r="C105" s="27" t="s">
        <v>41</v>
      </c>
      <c r="D105" s="51">
        <v>40.0</v>
      </c>
      <c r="E105" s="28">
        <f>ROUNDDOWN(Shop_Endless_Factor*Shop_Price_Modifier*(D105*Shop_Weapon_Price+(0.1*D105*Shop_Weapon_Price+1)*(Shop_Wave)),0)</f>
        <v>90</v>
      </c>
      <c r="F105" s="63">
        <f>IF('数值设定'!$D$4="默认",T105,S105)</f>
        <v>5.176655817</v>
      </c>
      <c r="G105" s="64" t="s">
        <v>817</v>
      </c>
      <c r="H105" s="35" t="s">
        <v>97</v>
      </c>
      <c r="I105" s="64" t="s">
        <v>818</v>
      </c>
      <c r="J105" s="17">
        <f>IFerror(6/Shop_Luck,0)</f>
        <v>0.8</v>
      </c>
      <c r="K105" s="35" t="s">
        <v>820</v>
      </c>
      <c r="L105" s="17">
        <f>IFERROR(2/Shop_Engineering,0)</f>
        <v>1.333333333</v>
      </c>
      <c r="M105" s="35" t="s">
        <v>334</v>
      </c>
      <c r="N105" s="17">
        <f>IFERROR(-5/Shop_Dmg,0)</f>
        <v>-1.25</v>
      </c>
      <c r="O105" s="17"/>
      <c r="P105" s="17"/>
      <c r="Q105" s="17"/>
      <c r="R105" s="17"/>
      <c r="S105" s="17">
        <f>Shop_Inflated_Price*W105/$E105*100</f>
        <v>2.143459049</v>
      </c>
      <c r="T105" s="17">
        <f>Shop_Inflated_Price*X105/$E105*100</f>
        <v>5.176655817</v>
      </c>
      <c r="U105" s="17">
        <f>Shop_Inflated_Price*Y105/$E105*100</f>
        <v>-1.091950836</v>
      </c>
      <c r="V105" s="64" t="s">
        <v>824</v>
      </c>
      <c r="W105" s="17">
        <f t="shared" si="30"/>
        <v>0.8833333333</v>
      </c>
      <c r="X105" s="17">
        <f>J105+L105</f>
        <v>2.133333333</v>
      </c>
      <c r="Y105" s="17">
        <f>J105+N105</f>
        <v>-0.45</v>
      </c>
      <c r="Z105" s="18"/>
      <c r="AA105" s="18"/>
      <c r="AB105" s="18"/>
      <c r="AC105" s="18"/>
      <c r="AD105" s="18"/>
      <c r="AE105" s="18"/>
      <c r="AF105" s="18"/>
    </row>
    <row r="106" ht="15.75" customHeight="1">
      <c r="A106" s="24" t="s">
        <v>826</v>
      </c>
      <c r="B106" s="27">
        <v>2.0</v>
      </c>
      <c r="C106" s="27" t="s">
        <v>41</v>
      </c>
      <c r="D106" s="28">
        <v>40.0</v>
      </c>
      <c r="E106" s="28">
        <f>ROUNDDOWN(Shop_Endless_Factor*Shop_Price_Modifier*(D106*Shop_Weapon_Price+(0.1*D106*Shop_Weapon_Price+1)*(Shop_Wave)),0)</f>
        <v>90</v>
      </c>
      <c r="F106" s="63">
        <f>IF('数值设定'!$D$4="默认",S106,S106)</f>
        <v>3.033196768</v>
      </c>
      <c r="G106" s="25"/>
      <c r="H106" s="35" t="s">
        <v>97</v>
      </c>
      <c r="I106" s="39" t="s">
        <v>723</v>
      </c>
      <c r="J106" s="17">
        <f>IFerror(2/Shop_Armor,0)</f>
        <v>2</v>
      </c>
      <c r="K106" s="17" t="s">
        <v>685</v>
      </c>
      <c r="L106" s="17">
        <f>IFERROR(-3/Shop_Dmg,0)</f>
        <v>-0.75</v>
      </c>
      <c r="M106" s="17"/>
      <c r="N106" s="17"/>
      <c r="O106" s="17"/>
      <c r="P106" s="17"/>
      <c r="Q106" s="17"/>
      <c r="R106" s="17"/>
      <c r="S106" s="17">
        <f>Shop_Inflated_Price*W106/$E106*100</f>
        <v>3.033196768</v>
      </c>
      <c r="T106" s="17">
        <f>Shop_Inflated_Price*X106/$E106*100</f>
        <v>4.853114828</v>
      </c>
      <c r="U106" s="17"/>
      <c r="V106" s="67"/>
      <c r="W106" s="17">
        <f t="shared" si="30"/>
        <v>1.25</v>
      </c>
      <c r="X106" s="17">
        <f t="shared" ref="X106:X109" si="31">J106</f>
        <v>2</v>
      </c>
      <c r="Y106" s="17"/>
      <c r="Z106" s="18"/>
      <c r="AA106" s="18"/>
      <c r="AB106" s="18"/>
      <c r="AC106" s="18"/>
      <c r="AD106" s="18"/>
      <c r="AE106" s="18"/>
      <c r="AF106" s="18"/>
    </row>
    <row r="107" ht="15.75" customHeight="1">
      <c r="A107" s="24" t="s">
        <v>830</v>
      </c>
      <c r="B107" s="27">
        <v>2.0</v>
      </c>
      <c r="C107" s="27" t="s">
        <v>41</v>
      </c>
      <c r="D107" s="28">
        <v>45.0</v>
      </c>
      <c r="E107" s="28">
        <f>ROUNDDOWN(Shop_Endless_Factor*Shop_Price_Modifier*(D107*Shop_Weapon_Price+(0.1*D107*Shop_Weapon_Price+1)*(Shop_Wave)),0)</f>
        <v>100</v>
      </c>
      <c r="F107" s="37">
        <f>IF('数值设定'!$D$4="默认",S107,S107)</f>
        <v>3.712632844</v>
      </c>
      <c r="G107" s="25"/>
      <c r="H107" s="35" t="s">
        <v>52</v>
      </c>
      <c r="I107" s="314" t="s">
        <v>665</v>
      </c>
      <c r="J107" s="17">
        <f>IFerror(10/Shop_Dmg,0)</f>
        <v>2.5</v>
      </c>
      <c r="K107" s="35" t="s">
        <v>833</v>
      </c>
      <c r="L107" s="17">
        <f>IFERROR(-4/Shop_Atk_Spd,0)</f>
        <v>-0.8</v>
      </c>
      <c r="M107" s="17"/>
      <c r="N107" s="17"/>
      <c r="O107" s="17"/>
      <c r="P107" s="17"/>
      <c r="Q107" s="17"/>
      <c r="R107" s="17"/>
      <c r="S107" s="17">
        <f>Shop_Inflated_Price*W107/$E107*100</f>
        <v>3.712632844</v>
      </c>
      <c r="T107" s="17">
        <f>Shop_Inflated_Price*X107/$E107*100</f>
        <v>5.459754182</v>
      </c>
      <c r="U107" s="17"/>
      <c r="V107" s="47"/>
      <c r="W107" s="17">
        <f t="shared" si="30"/>
        <v>1.7</v>
      </c>
      <c r="X107" s="17">
        <f t="shared" si="31"/>
        <v>2.5</v>
      </c>
      <c r="Y107" s="17"/>
      <c r="Z107" s="18"/>
      <c r="AA107" s="22"/>
      <c r="AB107" s="18"/>
      <c r="AC107" s="18"/>
      <c r="AD107" s="18"/>
      <c r="AE107" s="18"/>
      <c r="AF107" s="18"/>
    </row>
    <row r="108" ht="15.75" customHeight="1">
      <c r="A108" s="24" t="s">
        <v>835</v>
      </c>
      <c r="B108" s="27">
        <v>3.0</v>
      </c>
      <c r="C108" s="27" t="s">
        <v>41</v>
      </c>
      <c r="D108" s="28">
        <v>55.0</v>
      </c>
      <c r="E108" s="28">
        <f>ROUNDDOWN(Shop_Endless_Factor*Shop_Price_Modifier*(D108*Shop_Weapon_Price+(0.1*D108*Shop_Weapon_Price+1)*(Shop_Wave)),0)</f>
        <v>120</v>
      </c>
      <c r="F108" s="56">
        <f>IF('数值设定'!$D$4="默认",S108,S108)</f>
        <v>3.79149596</v>
      </c>
      <c r="G108" s="25" t="s">
        <v>839</v>
      </c>
      <c r="H108" s="35" t="s">
        <v>70</v>
      </c>
      <c r="I108" s="39" t="s">
        <v>351</v>
      </c>
      <c r="J108" s="17">
        <f>IFerror(5/Shop_Life_Steal,0)</f>
        <v>3.333333333</v>
      </c>
      <c r="K108" s="17" t="s">
        <v>840</v>
      </c>
      <c r="L108" s="17">
        <f>IFERROR(-5/Shop_Harvesting,0)</f>
        <v>-1.25</v>
      </c>
      <c r="M108" s="17"/>
      <c r="N108" s="17"/>
      <c r="O108" s="17"/>
      <c r="P108" s="17"/>
      <c r="Q108" s="17"/>
      <c r="R108" s="17"/>
      <c r="S108" s="17">
        <f>Shop_Inflated_Price*W108/$E108*100</f>
        <v>3.79149596</v>
      </c>
      <c r="T108" s="17">
        <f>Shop_Inflated_Price*X108/$E108*100</f>
        <v>6.066393535</v>
      </c>
      <c r="U108" s="17"/>
      <c r="V108" s="67"/>
      <c r="W108" s="17">
        <f t="shared" si="30"/>
        <v>2.083333333</v>
      </c>
      <c r="X108" s="17">
        <f t="shared" si="31"/>
        <v>3.333333333</v>
      </c>
      <c r="Y108" s="17"/>
      <c r="Z108" s="18"/>
      <c r="AA108" s="18"/>
      <c r="AB108" s="18"/>
      <c r="AC108" s="18"/>
      <c r="AD108" s="18"/>
      <c r="AE108" s="18"/>
      <c r="AF108" s="18"/>
    </row>
    <row r="109" ht="15.75" customHeight="1">
      <c r="A109" s="50" t="s">
        <v>845</v>
      </c>
      <c r="B109" s="27">
        <v>1.0</v>
      </c>
      <c r="C109" s="27" t="s">
        <v>41</v>
      </c>
      <c r="D109" s="51">
        <v>25.0</v>
      </c>
      <c r="E109" s="28">
        <f>ROUNDDOWN(Shop_Endless_Factor*Shop_Price_Modifier*(D109*Shop_Weapon_Price+(0.1*D109*Shop_Weapon_Price+1)*(Shop_Wave)),0)</f>
        <v>60</v>
      </c>
      <c r="F109" s="37">
        <f>IF('数值设定'!$D$4="默认",S109,S109)</f>
        <v>4.489131216</v>
      </c>
      <c r="G109" s="380"/>
      <c r="H109" s="35" t="s">
        <v>52</v>
      </c>
      <c r="I109" s="35" t="s">
        <v>848</v>
      </c>
      <c r="J109" s="17">
        <f>IFerror(3/Shop_HP_Regen,0)</f>
        <v>1.5</v>
      </c>
      <c r="K109" s="39" t="s">
        <v>851</v>
      </c>
      <c r="L109" s="17">
        <f>IFERROR(-2/Shop_Luck,0)</f>
        <v>-0.2666666667</v>
      </c>
      <c r="M109" s="17"/>
      <c r="N109" s="17"/>
      <c r="O109" s="17"/>
      <c r="P109" s="17"/>
      <c r="Q109" s="17"/>
      <c r="R109" s="17"/>
      <c r="S109" s="17">
        <f>Shop_Inflated_Price*W109/$E109*100</f>
        <v>4.489131216</v>
      </c>
      <c r="T109" s="17">
        <f>Shop_Inflated_Price*X109/$E109*100</f>
        <v>5.459754182</v>
      </c>
      <c r="U109" s="17"/>
      <c r="V109" s="67"/>
      <c r="W109" s="17">
        <f t="shared" si="30"/>
        <v>1.233333333</v>
      </c>
      <c r="X109" s="17">
        <f t="shared" si="31"/>
        <v>1.5</v>
      </c>
      <c r="Y109" s="17"/>
      <c r="Z109" s="18"/>
      <c r="AA109" s="18"/>
      <c r="AB109" s="18"/>
      <c r="AC109" s="18"/>
      <c r="AD109" s="18"/>
      <c r="AE109" s="18"/>
      <c r="AF109" s="18"/>
    </row>
    <row r="110" ht="15.75" customHeight="1">
      <c r="A110" s="50" t="s">
        <v>854</v>
      </c>
      <c r="B110" s="27">
        <v>1.0</v>
      </c>
      <c r="C110" s="27" t="s">
        <v>41</v>
      </c>
      <c r="D110" s="51">
        <v>25.0</v>
      </c>
      <c r="E110" s="28">
        <f>ROUNDDOWN(Shop_Endless_Factor*Shop_Price_Modifier*(D110*Shop_Weapon_Price+(0.1*D110*Shop_Weapon_Price+1)*(Shop_Wave)),0)</f>
        <v>60</v>
      </c>
      <c r="F110" s="37">
        <f>IF('数值设定'!$D$4="默认",U110,S110)</f>
        <v>3.639836121</v>
      </c>
      <c r="G110" s="27" t="s">
        <v>857</v>
      </c>
      <c r="H110" s="35" t="s">
        <v>530</v>
      </c>
      <c r="I110" s="39" t="s">
        <v>673</v>
      </c>
      <c r="J110" s="17">
        <f>IFerror(1/Shop_Ranged_Dmg,0)</f>
        <v>1</v>
      </c>
      <c r="K110" s="39" t="s">
        <v>392</v>
      </c>
      <c r="L110" s="17">
        <f>IFERROR(1/Shop_Elemental_DMG,0)</f>
        <v>1</v>
      </c>
      <c r="M110" s="35"/>
      <c r="N110" s="17"/>
      <c r="O110" s="17"/>
      <c r="P110" s="17"/>
      <c r="Q110" s="17"/>
      <c r="R110" s="17"/>
      <c r="S110" s="17">
        <f>Shop_Inflated_Price*W110/$E110*100</f>
        <v>7.279672242</v>
      </c>
      <c r="T110" s="17">
        <f>Shop_Inflated_Price*X110/$E110*100</f>
        <v>7.279672242</v>
      </c>
      <c r="U110" s="17">
        <f>Shop_Inflated_Price*Y110/$E110*100</f>
        <v>3.639836121</v>
      </c>
      <c r="V110" s="47"/>
      <c r="W110" s="17">
        <f t="shared" si="30"/>
        <v>2</v>
      </c>
      <c r="X110" s="17">
        <f t="shared" ref="X110:X112" si="32">J110+L110</f>
        <v>2</v>
      </c>
      <c r="Y110" s="17">
        <f>J110+N110</f>
        <v>1</v>
      </c>
      <c r="Z110" s="18"/>
      <c r="AA110" s="22"/>
      <c r="AB110" s="18"/>
      <c r="AC110" s="18"/>
      <c r="AD110" s="18"/>
      <c r="AE110" s="18"/>
      <c r="AF110" s="18"/>
    </row>
    <row r="111" ht="15.75" customHeight="1">
      <c r="A111" s="24" t="s">
        <v>860</v>
      </c>
      <c r="B111" s="27">
        <v>4.0</v>
      </c>
      <c r="C111" s="27" t="s">
        <v>41</v>
      </c>
      <c r="D111" s="51">
        <v>95.0</v>
      </c>
      <c r="E111" s="28">
        <f>ROUNDDOWN(Shop_Endless_Factor*Shop_Price_Modifier*(D111*Shop_Weapon_Price+(0.1*D111*Shop_Weapon_Price+1)*(Shop_Wave)),0)</f>
        <v>200</v>
      </c>
      <c r="F111" s="63">
        <f>IF('数值设定'!$D$4="默认",S111,S111)</f>
        <v>4.913778764</v>
      </c>
      <c r="G111" s="25"/>
      <c r="H111" s="35" t="s">
        <v>52</v>
      </c>
      <c r="I111" s="39" t="s">
        <v>862</v>
      </c>
      <c r="J111" s="17">
        <f>IFerror(15/Shop_Crit,0)</f>
        <v>5</v>
      </c>
      <c r="K111" s="64" t="s">
        <v>864</v>
      </c>
      <c r="L111" s="17">
        <f>IFERROR(50/Shop_Range,0)</f>
        <v>2.5</v>
      </c>
      <c r="M111" s="35" t="s">
        <v>865</v>
      </c>
      <c r="N111" s="17">
        <f>IFERROR(-3/Shop_Max_HP,0)</f>
        <v>-1</v>
      </c>
      <c r="O111" s="17" t="s">
        <v>437</v>
      </c>
      <c r="P111" s="17">
        <f>IFERROR(-2/Shop_Armor,0)</f>
        <v>-2</v>
      </c>
      <c r="Q111" s="17"/>
      <c r="R111" s="17"/>
      <c r="S111" s="17">
        <f>Shop_Inflated_Price*W111/$E111*100</f>
        <v>4.913778764</v>
      </c>
      <c r="T111" s="17">
        <f>Shop_Inflated_Price*X111/$E111*100</f>
        <v>8.189631273</v>
      </c>
      <c r="U111" s="17">
        <f>Shop_Inflated_Price*Y111/$E111*100</f>
        <v>2.183901673</v>
      </c>
      <c r="V111" s="47" t="s">
        <v>868</v>
      </c>
      <c r="W111" s="17">
        <f t="shared" si="30"/>
        <v>4.5</v>
      </c>
      <c r="X111" s="17">
        <f t="shared" si="32"/>
        <v>7.5</v>
      </c>
      <c r="Y111" s="17">
        <f>J111+N111+P111</f>
        <v>2</v>
      </c>
      <c r="Z111" s="18"/>
      <c r="AA111" s="18"/>
      <c r="AB111" s="18"/>
      <c r="AC111" s="18"/>
      <c r="AD111" s="18"/>
      <c r="AE111" s="18"/>
      <c r="AF111" s="18"/>
    </row>
    <row r="112" ht="15.75" customHeight="1">
      <c r="A112" s="24" t="s">
        <v>870</v>
      </c>
      <c r="B112" s="27">
        <v>4.0</v>
      </c>
      <c r="C112" s="27" t="s">
        <v>41</v>
      </c>
      <c r="D112" s="28">
        <v>105.0</v>
      </c>
      <c r="E112" s="28">
        <f>ROUNDDOWN(Shop_Endless_Factor*Shop_Price_Modifier*(D112*Shop_Weapon_Price+(0.1*D112*Shop_Weapon_Price+1)*(Shop_Wave)),0)</f>
        <v>220</v>
      </c>
      <c r="F112" s="56">
        <f>IF('数值设定'!$D$4="默认",S112,S112)</f>
        <v>5.790648375</v>
      </c>
      <c r="G112" s="25"/>
      <c r="H112" s="35" t="s">
        <v>70</v>
      </c>
      <c r="I112" s="39" t="s">
        <v>873</v>
      </c>
      <c r="J112" s="17">
        <f>IFerror(12/Shop_Max_HP,0)</f>
        <v>4</v>
      </c>
      <c r="K112" s="64" t="s">
        <v>558</v>
      </c>
      <c r="L112" s="17">
        <f>IFERROR(3/Shop_Life_Steal,0)</f>
        <v>2</v>
      </c>
      <c r="M112" s="17" t="s">
        <v>874</v>
      </c>
      <c r="N112" s="17">
        <f>IFERROR(-8/Shop_Crit,0)</f>
        <v>-2.666666667</v>
      </c>
      <c r="O112" s="35" t="s">
        <v>781</v>
      </c>
      <c r="P112" s="17">
        <f>IFERROR(5/Shop_HP_Regen,0)</f>
        <v>2.5</v>
      </c>
      <c r="Q112" s="17"/>
      <c r="R112" s="17"/>
      <c r="S112" s="17">
        <f>Shop_Inflated_Price*W112/$E112*100</f>
        <v>5.790648375</v>
      </c>
      <c r="T112" s="17">
        <f>Shop_Inflated_Price*X112/$E112*100</f>
        <v>5.956095471</v>
      </c>
      <c r="U112" s="17">
        <f>Shop_Inflated_Price*Y112/$E112*100</f>
        <v>1.323576771</v>
      </c>
      <c r="V112" s="67" t="s">
        <v>878</v>
      </c>
      <c r="W112" s="17">
        <f t="shared" si="30"/>
        <v>5.833333333</v>
      </c>
      <c r="X112" s="17">
        <f t="shared" si="32"/>
        <v>6</v>
      </c>
      <c r="Y112" s="17">
        <f>J112+N112</f>
        <v>1.333333333</v>
      </c>
      <c r="Z112" s="18"/>
      <c r="AA112" s="18"/>
      <c r="AB112" s="18"/>
      <c r="AC112" s="18"/>
      <c r="AD112" s="18"/>
      <c r="AE112" s="18"/>
      <c r="AF112" s="18"/>
    </row>
    <row r="113" ht="15.75" customHeight="1">
      <c r="A113" s="50" t="s">
        <v>880</v>
      </c>
      <c r="B113" s="27">
        <v>2.0</v>
      </c>
      <c r="C113" s="27" t="s">
        <v>41</v>
      </c>
      <c r="D113" s="51">
        <v>45.0</v>
      </c>
      <c r="E113" s="28">
        <f>ROUNDDOWN(Shop_Endless_Factor*Shop_Price_Modifier*(D113*Shop_Weapon_Price+(0.1*D113*Shop_Weapon_Price+1)*(Shop_Wave)),0)</f>
        <v>100</v>
      </c>
      <c r="F113" s="75"/>
      <c r="G113" s="27" t="s">
        <v>150</v>
      </c>
      <c r="H113" s="35" t="s">
        <v>80</v>
      </c>
      <c r="I113" s="59"/>
      <c r="J113" s="17"/>
      <c r="K113" s="27"/>
      <c r="L113" s="17"/>
      <c r="M113" s="17"/>
      <c r="N113" s="17"/>
      <c r="O113" s="17"/>
      <c r="P113" s="17"/>
      <c r="Q113" s="17"/>
      <c r="R113" s="17"/>
      <c r="S113" s="17"/>
      <c r="T113" s="17"/>
      <c r="U113" s="17"/>
      <c r="V113" s="47"/>
      <c r="W113" s="17"/>
      <c r="X113" s="17"/>
      <c r="Y113" s="17"/>
      <c r="Z113" s="18"/>
      <c r="AA113" s="18"/>
      <c r="AB113" s="18"/>
      <c r="AC113" s="18"/>
      <c r="AD113" s="18"/>
      <c r="AE113" s="18"/>
      <c r="AF113" s="18"/>
    </row>
    <row r="114" ht="15.75" customHeight="1">
      <c r="A114" s="24" t="s">
        <v>882</v>
      </c>
      <c r="B114" s="27">
        <v>4.0</v>
      </c>
      <c r="C114" s="27" t="s">
        <v>41</v>
      </c>
      <c r="D114" s="28">
        <v>100.0</v>
      </c>
      <c r="E114" s="28">
        <f>ROUNDDOWN(Shop_Endless_Factor*Shop_Price_Modifier*(D114*Shop_Weapon_Price+(0.1*D114*Shop_Weapon_Price+1)*(Shop_Wave)),0)</f>
        <v>210</v>
      </c>
      <c r="F114" s="56">
        <f>IF('数值设定'!$D$4="默认",S114,S114)</f>
        <v>6.32638183</v>
      </c>
      <c r="G114" s="25"/>
      <c r="H114" s="35" t="s">
        <v>70</v>
      </c>
      <c r="I114" s="39" t="s">
        <v>873</v>
      </c>
      <c r="J114" s="17">
        <f>IFerror(12/Shop_Max_HP,0)</f>
        <v>4</v>
      </c>
      <c r="K114" s="64" t="s">
        <v>885</v>
      </c>
      <c r="L114" s="17">
        <f>IFERROR(25/Shop_Luck,0)</f>
        <v>3.333333333</v>
      </c>
      <c r="M114" s="35" t="s">
        <v>334</v>
      </c>
      <c r="N114" s="17">
        <f>IFERROR(-5/Shop_Dmg,0)</f>
        <v>-1.25</v>
      </c>
      <c r="O114" s="17"/>
      <c r="P114" s="17"/>
      <c r="Q114" s="17"/>
      <c r="R114" s="17"/>
      <c r="S114" s="17">
        <f>Shop_Inflated_Price*W114/$E114*100</f>
        <v>6.32638183</v>
      </c>
      <c r="T114" s="17">
        <f>Shop_Inflated_Price*X114/$E114*100</f>
        <v>7.626323301</v>
      </c>
      <c r="U114" s="17">
        <f>Shop_Inflated_Price*Y114/$E114*100</f>
        <v>2.859871238</v>
      </c>
      <c r="V114" s="87" t="s">
        <v>889</v>
      </c>
      <c r="W114" s="17">
        <f t="shared" ref="W114:W115" si="33">J114+L114+N114+P114</f>
        <v>6.083333333</v>
      </c>
      <c r="X114" s="17">
        <f t="shared" ref="X114:X115" si="34">J114+L114</f>
        <v>7.333333333</v>
      </c>
      <c r="Y114" s="17">
        <f>J114+N114</f>
        <v>2.75</v>
      </c>
      <c r="Z114" s="18"/>
      <c r="AA114" s="18"/>
      <c r="AB114" s="18"/>
      <c r="AC114" s="18"/>
      <c r="AD114" s="18"/>
      <c r="AE114" s="18"/>
      <c r="AF114" s="18"/>
    </row>
    <row r="115" ht="15.75" customHeight="1">
      <c r="A115" s="24" t="s">
        <v>891</v>
      </c>
      <c r="B115" s="27">
        <v>1.0</v>
      </c>
      <c r="C115" s="27" t="s">
        <v>41</v>
      </c>
      <c r="D115" s="28">
        <v>18.0</v>
      </c>
      <c r="E115" s="28">
        <f>ROUNDDOWN(Shop_Endless_Factor*Shop_Price_Modifier*(D115*Shop_Weapon_Price+(0.1*D115*Shop_Weapon_Price+1)*(Shop_Wave)),0)</f>
        <v>46</v>
      </c>
      <c r="F115" s="94">
        <f>IF('数值设定'!$D$4="默认",U115,S115)</f>
        <v>8.703955942</v>
      </c>
      <c r="G115" s="27" t="s">
        <v>895</v>
      </c>
      <c r="H115" s="35" t="s">
        <v>97</v>
      </c>
      <c r="I115" s="39" t="s">
        <v>896</v>
      </c>
      <c r="J115" s="17">
        <f>IFerror(4/Shop_Harvesting,0)</f>
        <v>1</v>
      </c>
      <c r="K115" s="64" t="s">
        <v>897</v>
      </c>
      <c r="L115" s="17">
        <f>IFERROR(4/Shop_Dodge,0)</f>
        <v>1.333333333</v>
      </c>
      <c r="M115" s="17" t="s">
        <v>564</v>
      </c>
      <c r="N115" s="17">
        <f>IFERROR(-1/Shop_Ranged_Dmg,0)</f>
        <v>-1</v>
      </c>
      <c r="O115" s="17" t="s">
        <v>555</v>
      </c>
      <c r="P115" s="17">
        <f>IFERROR(-1/Shop_Melee_Dmg,0)</f>
        <v>-0.5</v>
      </c>
      <c r="Q115" s="17"/>
      <c r="R115" s="17"/>
      <c r="S115" s="17">
        <f>Shop_Inflated_Price*W115/$E115*100</f>
        <v>3.95634361</v>
      </c>
      <c r="T115" s="17">
        <f>Shop_Inflated_Price*X115/$E115*100</f>
        <v>11.07776211</v>
      </c>
      <c r="U115" s="17">
        <f>Shop_Inflated_Price*Y115/$E115*100</f>
        <v>8.703955942</v>
      </c>
      <c r="V115" s="67" t="s">
        <v>902</v>
      </c>
      <c r="W115" s="17">
        <f t="shared" si="33"/>
        <v>0.8333333333</v>
      </c>
      <c r="X115" s="17">
        <f t="shared" si="34"/>
        <v>2.333333333</v>
      </c>
      <c r="Y115" s="17">
        <f>J115+L115+P115</f>
        <v>1.833333333</v>
      </c>
      <c r="Z115" s="18"/>
      <c r="AA115" s="18"/>
      <c r="AB115" s="18"/>
      <c r="AC115" s="18"/>
      <c r="AD115" s="18"/>
      <c r="AE115" s="18"/>
      <c r="AF115" s="18"/>
    </row>
    <row r="116" ht="15.75" customHeight="1">
      <c r="A116" s="50" t="s">
        <v>452</v>
      </c>
      <c r="B116" s="27">
        <v>3.0</v>
      </c>
      <c r="C116" s="27" t="s">
        <v>41</v>
      </c>
      <c r="D116" s="51">
        <v>50.0</v>
      </c>
      <c r="E116" s="28">
        <f>ROUNDDOWN(Shop_Endless_Factor*Shop_Price_Modifier*(D116*Shop_Weapon_Price+(0.1*D116*Shop_Weapon_Price+1)*(Shop_Wave)),0)</f>
        <v>110</v>
      </c>
      <c r="F116" s="91"/>
      <c r="G116" s="27" t="s">
        <v>150</v>
      </c>
      <c r="H116" s="35" t="s">
        <v>97</v>
      </c>
      <c r="I116" s="59"/>
      <c r="J116" s="17"/>
      <c r="K116" s="27"/>
      <c r="L116" s="17"/>
      <c r="M116" s="17"/>
      <c r="N116" s="17"/>
      <c r="O116" s="17"/>
      <c r="P116" s="17"/>
      <c r="Q116" s="17"/>
      <c r="R116" s="17"/>
      <c r="S116" s="17"/>
      <c r="T116" s="17"/>
      <c r="U116" s="17"/>
      <c r="V116" s="54"/>
      <c r="W116" s="17"/>
      <c r="X116" s="17"/>
      <c r="Y116" s="17"/>
      <c r="Z116" s="18"/>
      <c r="AA116" s="18"/>
      <c r="AB116" s="18"/>
      <c r="AC116" s="18"/>
      <c r="AD116" s="18"/>
      <c r="AE116" s="18"/>
      <c r="AF116" s="18"/>
    </row>
    <row r="117" ht="15.75" customHeight="1">
      <c r="A117" s="24" t="s">
        <v>910</v>
      </c>
      <c r="B117" s="27">
        <v>1.0</v>
      </c>
      <c r="C117" s="27" t="s">
        <v>41</v>
      </c>
      <c r="D117" s="28">
        <v>15.0</v>
      </c>
      <c r="E117" s="28">
        <f>ROUNDDOWN(Shop_Endless_Factor*Shop_Price_Modifier*(D117*Shop_Weapon_Price+(0.1*D117*Shop_Weapon_Price+1)*(Shop_Wave)),0)</f>
        <v>40</v>
      </c>
      <c r="F117" s="56">
        <f>IF('数值设定'!$D$4="默认",T117,S117)</f>
        <v>7.279672242</v>
      </c>
      <c r="G117" s="27" t="s">
        <v>287</v>
      </c>
      <c r="H117" s="35" t="s">
        <v>70</v>
      </c>
      <c r="I117" s="39" t="s">
        <v>913</v>
      </c>
      <c r="J117" s="17">
        <f>IFerror(2/Shop_Engineering,0)</f>
        <v>1.333333333</v>
      </c>
      <c r="K117" s="17" t="s">
        <v>914</v>
      </c>
      <c r="L117" s="17">
        <f>IFERROR(-1/Shop_Atk_Spd,0)</f>
        <v>-0.2</v>
      </c>
      <c r="M117" s="17" t="s">
        <v>915</v>
      </c>
      <c r="N117" s="17">
        <f>IFERROR(-1/Shop_Crit,0)</f>
        <v>-0.3333333333</v>
      </c>
      <c r="O117" s="17"/>
      <c r="P117" s="17"/>
      <c r="Q117" s="17"/>
      <c r="R117" s="17"/>
      <c r="S117" s="17">
        <f>Shop_Inflated_Price*W117/$E117*100</f>
        <v>4.367803345</v>
      </c>
      <c r="T117" s="17">
        <f>Shop_Inflated_Price*X117/$E117*100</f>
        <v>7.279672242</v>
      </c>
      <c r="U117" s="17">
        <f>Shop_Inflated_Price*Y117/$E117*100</f>
        <v>6.187721406</v>
      </c>
      <c r="V117" s="87" t="s">
        <v>918</v>
      </c>
      <c r="W117" s="17">
        <f>J117+L117+N117+P117</f>
        <v>0.8</v>
      </c>
      <c r="X117" s="17">
        <f>J117</f>
        <v>1.333333333</v>
      </c>
      <c r="Y117" s="17">
        <f>J117+L117</f>
        <v>1.133333333</v>
      </c>
      <c r="Z117" s="18"/>
      <c r="AA117" s="18"/>
      <c r="AB117" s="18"/>
      <c r="AC117" s="18"/>
      <c r="AD117" s="18"/>
      <c r="AE117" s="18"/>
      <c r="AF117" s="18"/>
    </row>
    <row r="118" ht="15.75" customHeight="1">
      <c r="A118" s="50" t="s">
        <v>920</v>
      </c>
      <c r="B118" s="27">
        <v>2.0</v>
      </c>
      <c r="C118" s="27" t="s">
        <v>41</v>
      </c>
      <c r="D118" s="51">
        <v>40.0</v>
      </c>
      <c r="E118" s="28">
        <f>ROUNDDOWN(Shop_Endless_Factor*Shop_Price_Modifier*(D118*Shop_Weapon_Price+(0.1*D118*Shop_Weapon_Price+1)*(Shop_Wave)),0)</f>
        <v>90</v>
      </c>
      <c r="F118" s="58"/>
      <c r="G118" s="27" t="s">
        <v>150</v>
      </c>
      <c r="H118" s="35" t="s">
        <v>89</v>
      </c>
      <c r="I118" s="59"/>
      <c r="J118" s="17"/>
      <c r="K118" s="27"/>
      <c r="L118" s="17"/>
      <c r="M118" s="17"/>
      <c r="N118" s="17"/>
      <c r="O118" s="17"/>
      <c r="P118" s="17"/>
      <c r="Q118" s="17"/>
      <c r="R118" s="17"/>
      <c r="S118" s="17"/>
      <c r="T118" s="17"/>
      <c r="U118" s="17"/>
      <c r="V118" s="47"/>
      <c r="W118" s="17"/>
      <c r="X118" s="17"/>
      <c r="Y118" s="17"/>
      <c r="Z118" s="18"/>
      <c r="AA118" s="18"/>
      <c r="AB118" s="18"/>
      <c r="AC118" s="18"/>
      <c r="AD118" s="18"/>
      <c r="AE118" s="18"/>
      <c r="AF118" s="18"/>
    </row>
    <row r="119" ht="15.75" customHeight="1">
      <c r="A119" s="24" t="s">
        <v>923</v>
      </c>
      <c r="B119" s="27">
        <v>1.0</v>
      </c>
      <c r="C119" s="27" t="s">
        <v>41</v>
      </c>
      <c r="D119" s="51">
        <v>15.0</v>
      </c>
      <c r="E119" s="28">
        <f>ROUNDDOWN(Shop_Endless_Factor*Shop_Price_Modifier*(D119*Shop_Weapon_Price+(0.1*D119*Shop_Weapon_Price+1)*(Shop_Wave)),0)</f>
        <v>40</v>
      </c>
      <c r="F119" s="94">
        <f>IF('数值设定'!$D$4="默认",T119,S119)</f>
        <v>8.189631273</v>
      </c>
      <c r="G119" s="27" t="s">
        <v>287</v>
      </c>
      <c r="H119" s="35" t="s">
        <v>70</v>
      </c>
      <c r="I119" s="39" t="s">
        <v>98</v>
      </c>
      <c r="J119" s="17">
        <f>IFerror(3/Shop_HP_Regen,0)</f>
        <v>1.5</v>
      </c>
      <c r="K119" s="17" t="s">
        <v>927</v>
      </c>
      <c r="L119" s="17">
        <f>IFERROR(-1/Shop_Life_Steal,0)</f>
        <v>-0.6666666667</v>
      </c>
      <c r="M119" s="17"/>
      <c r="N119" s="17"/>
      <c r="O119" s="17"/>
      <c r="P119" s="17"/>
      <c r="Q119" s="17"/>
      <c r="R119" s="17"/>
      <c r="S119" s="17">
        <f>Shop_Inflated_Price*W119/$E119*100</f>
        <v>4.549795151</v>
      </c>
      <c r="T119" s="17">
        <f>Shop_Inflated_Price*X119/$E119*100</f>
        <v>8.189631273</v>
      </c>
      <c r="U119" s="17"/>
      <c r="V119" s="67"/>
      <c r="W119" s="17">
        <f>J119+L119+N119+P119</f>
        <v>0.8333333333</v>
      </c>
      <c r="X119" s="17">
        <f>J119</f>
        <v>1.5</v>
      </c>
      <c r="Y119" s="17"/>
      <c r="Z119" s="18"/>
      <c r="AA119" s="18"/>
      <c r="AB119" s="18"/>
      <c r="AC119" s="18"/>
      <c r="AD119" s="18"/>
      <c r="AE119" s="18"/>
      <c r="AF119" s="18"/>
    </row>
    <row r="120" ht="15.75" customHeight="1">
      <c r="A120" s="50" t="s">
        <v>930</v>
      </c>
      <c r="B120" s="27">
        <v>3.0</v>
      </c>
      <c r="C120" s="27" t="s">
        <v>41</v>
      </c>
      <c r="D120" s="51">
        <v>60.0</v>
      </c>
      <c r="E120" s="28">
        <f>ROUNDDOWN(Shop_Endless_Factor*Shop_Price_Modifier*(D120*Shop_Weapon_Price+(0.1*D120*Shop_Weapon_Price+1)*(Shop_Wave)),0)</f>
        <v>130</v>
      </c>
      <c r="F120" s="91"/>
      <c r="G120" s="27" t="s">
        <v>150</v>
      </c>
      <c r="H120" s="35" t="s">
        <v>145</v>
      </c>
      <c r="I120" s="59"/>
      <c r="J120" s="17"/>
      <c r="K120" s="27"/>
      <c r="L120" s="17"/>
      <c r="M120" s="17"/>
      <c r="N120" s="17"/>
      <c r="O120" s="17"/>
      <c r="P120" s="17"/>
      <c r="Q120" s="17"/>
      <c r="R120" s="17"/>
      <c r="S120" s="17"/>
      <c r="T120" s="17"/>
      <c r="U120" s="17"/>
      <c r="V120" s="47"/>
      <c r="W120" s="17"/>
      <c r="X120" s="17"/>
      <c r="Y120" s="17"/>
      <c r="Z120" s="18"/>
      <c r="AA120" s="18"/>
      <c r="AB120" s="18"/>
      <c r="AC120" s="18"/>
      <c r="AD120" s="18"/>
      <c r="AE120" s="18"/>
      <c r="AF120" s="18"/>
    </row>
    <row r="121" ht="15.75" customHeight="1">
      <c r="A121" s="50" t="s">
        <v>932</v>
      </c>
      <c r="B121" s="27">
        <v>2.0</v>
      </c>
      <c r="C121" s="27" t="s">
        <v>41</v>
      </c>
      <c r="D121" s="51">
        <v>75.0</v>
      </c>
      <c r="E121" s="28">
        <f>ROUNDDOWN(Shop_Endless_Factor*Shop_Price_Modifier*(D121*Shop_Weapon_Price+(0.1*D121*Shop_Weapon_Price+1)*(Shop_Wave)),0)</f>
        <v>160</v>
      </c>
      <c r="F121" s="75"/>
      <c r="G121" s="27" t="s">
        <v>150</v>
      </c>
      <c r="H121" s="35" t="s">
        <v>89</v>
      </c>
      <c r="I121" s="59"/>
      <c r="J121" s="17"/>
      <c r="K121" s="27"/>
      <c r="L121" s="17"/>
      <c r="M121" s="35"/>
      <c r="N121" s="17"/>
      <c r="O121" s="17"/>
      <c r="P121" s="17"/>
      <c r="Q121" s="17"/>
      <c r="R121" s="17"/>
      <c r="S121" s="17"/>
      <c r="T121" s="17"/>
      <c r="U121" s="17"/>
      <c r="V121" s="54"/>
      <c r="W121" s="17"/>
      <c r="X121" s="17"/>
      <c r="Y121" s="17" t="str">
        <f>L121</f>
        <v/>
      </c>
      <c r="Z121" s="18"/>
      <c r="AA121" s="18"/>
      <c r="AB121" s="18"/>
      <c r="AC121" s="18"/>
      <c r="AD121" s="18"/>
      <c r="AE121" s="18"/>
      <c r="AF121" s="18"/>
    </row>
    <row r="122" ht="15.75" customHeight="1">
      <c r="A122" s="24" t="s">
        <v>935</v>
      </c>
      <c r="B122" s="27">
        <v>3.0</v>
      </c>
      <c r="C122" s="27" t="s">
        <v>41</v>
      </c>
      <c r="D122" s="28">
        <v>80.0</v>
      </c>
      <c r="E122" s="28">
        <f>ROUNDDOWN(Shop_Endless_Factor*Shop_Price_Modifier*(D122*Shop_Weapon_Price+(0.1*D122*Shop_Weapon_Price+1)*(Shop_Wave)),0)</f>
        <v>170</v>
      </c>
      <c r="F122" s="63">
        <f>IF('数值设定'!$D$4="默认",T122,S122)</f>
        <v>5.673862189</v>
      </c>
      <c r="G122" s="27" t="s">
        <v>287</v>
      </c>
      <c r="H122" s="35" t="s">
        <v>70</v>
      </c>
      <c r="I122" s="39" t="s">
        <v>679</v>
      </c>
      <c r="J122" s="17">
        <f>IFerror(10/Shop_Atk_Spd,0)</f>
        <v>2</v>
      </c>
      <c r="K122" s="64" t="s">
        <v>198</v>
      </c>
      <c r="L122" s="17">
        <f>IFERROR(5/Shop_Crit,0)</f>
        <v>1.666666667</v>
      </c>
      <c r="M122" s="64" t="s">
        <v>938</v>
      </c>
      <c r="N122" s="17">
        <f>IFERROR(15/Shop_Range,0)</f>
        <v>0.75</v>
      </c>
      <c r="O122" s="17" t="s">
        <v>538</v>
      </c>
      <c r="P122" s="17">
        <f>IFERROR(-2/Shop_HP_Regen,0)</f>
        <v>-1</v>
      </c>
      <c r="Q122" s="17"/>
      <c r="R122" s="17"/>
      <c r="S122" s="17">
        <f>Shop_Inflated_Price*W122/$E122*100</f>
        <v>4.389214146</v>
      </c>
      <c r="T122" s="17">
        <f>Shop_Inflated_Price*X122/$E122*100</f>
        <v>5.673862189</v>
      </c>
      <c r="U122" s="17">
        <f>Shop_Inflated_Price*Y122/$E122*100</f>
        <v>4.710376157</v>
      </c>
      <c r="V122" s="87" t="s">
        <v>941</v>
      </c>
      <c r="W122" s="17">
        <f>J122+L122+N122+P122</f>
        <v>3.416666667</v>
      </c>
      <c r="X122" s="17">
        <f>J122+L122+N122</f>
        <v>4.416666667</v>
      </c>
      <c r="Y122" s="17">
        <f>J122+L122</f>
        <v>3.666666667</v>
      </c>
      <c r="Z122" s="18"/>
      <c r="AA122" s="18"/>
      <c r="AB122" s="18"/>
      <c r="AC122" s="18"/>
      <c r="AD122" s="18"/>
      <c r="AE122" s="18"/>
      <c r="AF122" s="18"/>
    </row>
    <row r="123" ht="15.75" customHeight="1">
      <c r="A123" s="50" t="s">
        <v>943</v>
      </c>
      <c r="B123" s="27">
        <v>4.0</v>
      </c>
      <c r="C123" s="27" t="s">
        <v>41</v>
      </c>
      <c r="D123" s="51">
        <v>95.0</v>
      </c>
      <c r="E123" s="28">
        <f>ROUNDDOWN(Shop_Endless_Factor*Shop_Price_Modifier*(D123*Shop_Weapon_Price+(0.1*D123*Shop_Weapon_Price+1)*(Shop_Wave)),0)</f>
        <v>200</v>
      </c>
      <c r="F123" s="94">
        <f>IF('数值设定'!$D$4="默认",T123,S123)</f>
        <v>9.372578012</v>
      </c>
      <c r="G123" s="27"/>
      <c r="H123" s="35" t="s">
        <v>70</v>
      </c>
      <c r="I123" s="39" t="s">
        <v>118</v>
      </c>
      <c r="J123" s="17">
        <f>IFerror(3/Shop_Max_HP,0)</f>
        <v>1</v>
      </c>
      <c r="K123" s="64" t="s">
        <v>946</v>
      </c>
      <c r="L123" s="17">
        <f>IFERROR(5/Shop_Luck,0)</f>
        <v>0.6666666667</v>
      </c>
      <c r="M123" s="35" t="s">
        <v>119</v>
      </c>
      <c r="N123" s="17">
        <f>IFERROR(2/Shop_HP_Regen,0)</f>
        <v>1</v>
      </c>
      <c r="O123" s="64" t="s">
        <v>948</v>
      </c>
      <c r="P123" s="17">
        <f>IFERROR(3/Shop_Dodge,0)</f>
        <v>1</v>
      </c>
      <c r="Q123" s="64" t="s">
        <v>949</v>
      </c>
      <c r="R123" s="17">
        <f>IFERROR(5/Shop_Dmg+1/Shop_Life_Steal+1/Shop_Armor+3/Shop_Speed+5/Shop_Atk_Spd,0)</f>
        <v>4.916666667</v>
      </c>
      <c r="S123" s="17">
        <f>Shop_Inflated_Price*W123/$E123*100</f>
        <v>9.372578012</v>
      </c>
      <c r="T123" s="17">
        <f>Shop_Inflated_Price*X123/$E123*100</f>
        <v>9.372578012</v>
      </c>
      <c r="U123" s="17">
        <f>Shop_Inflated_Price*Y123/$E123*100</f>
        <v>7.552659951</v>
      </c>
      <c r="V123" s="54" t="s">
        <v>952</v>
      </c>
      <c r="W123" s="17">
        <f>J123+L123+N123+P123+R123</f>
        <v>8.583333333</v>
      </c>
      <c r="X123" s="17">
        <f>J123+L123+N123+P123+R123</f>
        <v>8.583333333</v>
      </c>
      <c r="Y123" s="17">
        <f>J123+R123+P123</f>
        <v>6.916666667</v>
      </c>
      <c r="Z123" s="18"/>
      <c r="AA123" s="18"/>
      <c r="AB123" s="18"/>
      <c r="AC123" s="18"/>
      <c r="AD123" s="18"/>
      <c r="AE123" s="18"/>
      <c r="AF123" s="18"/>
    </row>
    <row r="124" ht="15.75" customHeight="1">
      <c r="A124" s="50" t="s">
        <v>957</v>
      </c>
      <c r="B124" s="27">
        <v>3.0</v>
      </c>
      <c r="C124" s="27" t="s">
        <v>41</v>
      </c>
      <c r="D124" s="51">
        <v>65.0</v>
      </c>
      <c r="E124" s="28">
        <f>ROUNDDOWN(Shop_Endless_Factor*Shop_Price_Modifier*(D124*Shop_Weapon_Price+(0.1*D124*Shop_Weapon_Price+1)*(Shop_Wave)),0)</f>
        <v>140</v>
      </c>
      <c r="F124" s="94">
        <f>IF('数值设定'!$D$4="默认",S124,S124)</f>
        <v>9.749561039</v>
      </c>
      <c r="G124" s="27" t="s">
        <v>960</v>
      </c>
      <c r="H124" s="35" t="s">
        <v>70</v>
      </c>
      <c r="I124" s="35" t="s">
        <v>334</v>
      </c>
      <c r="J124" s="17">
        <f>IFerror(-5/Shop_Dmg,0)</f>
        <v>-1.25</v>
      </c>
      <c r="K124" s="59" t="s">
        <v>561</v>
      </c>
      <c r="L124" s="17">
        <f>IFERROR(30/Shop_Dmg,0)</f>
        <v>7.5</v>
      </c>
      <c r="M124" s="17"/>
      <c r="N124" s="17"/>
      <c r="O124" s="17"/>
      <c r="P124" s="17"/>
      <c r="Q124" s="17"/>
      <c r="R124" s="17"/>
      <c r="S124" s="17">
        <f>Shop_Inflated_Price*W124/$E124*100</f>
        <v>9.749561039</v>
      </c>
      <c r="T124" s="17">
        <f>Shop_Inflated_Price*X124/$E124*100</f>
        <v>11.69947325</v>
      </c>
      <c r="U124" s="17"/>
      <c r="V124" s="67"/>
      <c r="W124" s="17">
        <f t="shared" ref="W124:W125" si="35">J124+L124+N124+P124</f>
        <v>6.25</v>
      </c>
      <c r="X124" s="17">
        <f>L124</f>
        <v>7.5</v>
      </c>
      <c r="Y124" s="17"/>
      <c r="Z124" s="18"/>
      <c r="AA124" s="18"/>
      <c r="AB124" s="18"/>
      <c r="AC124" s="18"/>
      <c r="AD124" s="18"/>
      <c r="AE124" s="18"/>
      <c r="AF124" s="18"/>
    </row>
    <row r="125" ht="15.75" customHeight="1">
      <c r="A125" s="24" t="s">
        <v>963</v>
      </c>
      <c r="B125" s="27">
        <v>1.0</v>
      </c>
      <c r="C125" s="27" t="s">
        <v>41</v>
      </c>
      <c r="D125" s="28">
        <v>28.0</v>
      </c>
      <c r="E125" s="28">
        <f>ROUNDDOWN(Shop_Endless_Factor*Shop_Price_Modifier*(D125*Shop_Weapon_Price+(0.1*D125*Shop_Weapon_Price+1)*(Shop_Wave)),0)</f>
        <v>66</v>
      </c>
      <c r="F125" s="56">
        <f>IF('数值设定'!$D$4="默认",S125,S125)</f>
        <v>2.757451607</v>
      </c>
      <c r="G125" s="25"/>
      <c r="H125" s="35" t="s">
        <v>97</v>
      </c>
      <c r="I125" s="39" t="s">
        <v>965</v>
      </c>
      <c r="J125" s="17">
        <f>IFerror(10/Shop_Luck,0)</f>
        <v>1.333333333</v>
      </c>
      <c r="K125" s="17" t="s">
        <v>427</v>
      </c>
      <c r="L125" s="17">
        <f>IFERROR(-2/Shop_Dmg,0)</f>
        <v>-0.5</v>
      </c>
      <c r="M125" s="17"/>
      <c r="N125" s="17"/>
      <c r="O125" s="17"/>
      <c r="P125" s="17"/>
      <c r="Q125" s="17"/>
      <c r="R125" s="17"/>
      <c r="S125" s="17">
        <f>Shop_Inflated_Price*W125/$E125*100</f>
        <v>2.757451607</v>
      </c>
      <c r="T125" s="17">
        <f>Shop_Inflated_Price*X125/$E125*100</f>
        <v>4.411922571</v>
      </c>
      <c r="U125" s="17"/>
      <c r="V125" s="67"/>
      <c r="W125" s="17">
        <f t="shared" si="35"/>
        <v>0.8333333333</v>
      </c>
      <c r="X125" s="17">
        <f>J125</f>
        <v>1.333333333</v>
      </c>
      <c r="Y125" s="17"/>
      <c r="Z125" s="18"/>
      <c r="AA125" s="18"/>
      <c r="AB125" s="18"/>
      <c r="AC125" s="18"/>
      <c r="AD125" s="18"/>
      <c r="AE125" s="18"/>
      <c r="AF125" s="18"/>
    </row>
    <row r="126" ht="15.75" customHeight="1">
      <c r="A126" s="50" t="s">
        <v>968</v>
      </c>
      <c r="B126" s="27">
        <v>2.0</v>
      </c>
      <c r="C126" s="27" t="s">
        <v>41</v>
      </c>
      <c r="D126" s="51">
        <v>40.0</v>
      </c>
      <c r="E126" s="28">
        <f>ROUNDDOWN(Shop_Endless_Factor*Shop_Price_Modifier*(D126*Shop_Weapon_Price+(0.1*D126*Shop_Weapon_Price+1)*(Shop_Wave)),0)</f>
        <v>90</v>
      </c>
      <c r="F126" s="91"/>
      <c r="G126" s="27" t="s">
        <v>150</v>
      </c>
      <c r="H126" s="35" t="s">
        <v>97</v>
      </c>
      <c r="I126" s="59"/>
      <c r="J126" s="17"/>
      <c r="K126" s="27"/>
      <c r="L126" s="17"/>
      <c r="M126" s="17"/>
      <c r="N126" s="17"/>
      <c r="O126" s="17"/>
      <c r="P126" s="17"/>
      <c r="Q126" s="17"/>
      <c r="R126" s="17"/>
      <c r="S126" s="17"/>
      <c r="T126" s="17"/>
      <c r="U126" s="17"/>
      <c r="V126" s="47"/>
      <c r="W126" s="17"/>
      <c r="X126" s="17"/>
      <c r="Y126" s="17"/>
      <c r="Z126" s="18"/>
      <c r="AA126" s="18"/>
      <c r="AB126" s="18"/>
      <c r="AC126" s="18"/>
      <c r="AD126" s="18"/>
      <c r="AE126" s="18"/>
      <c r="AF126" s="18"/>
    </row>
    <row r="127" ht="15.75" customHeight="1">
      <c r="A127" s="50" t="s">
        <v>970</v>
      </c>
      <c r="B127" s="27">
        <v>2.0</v>
      </c>
      <c r="C127" s="27" t="s">
        <v>41</v>
      </c>
      <c r="D127" s="51">
        <v>35.0</v>
      </c>
      <c r="E127" s="28">
        <f>ROUNDDOWN(Shop_Endless_Factor*Shop_Price_Modifier*(D127*Shop_Weapon_Price+(0.1*D127*Shop_Weapon_Price+1)*(Shop_Wave)),0)</f>
        <v>80</v>
      </c>
      <c r="F127" s="75"/>
      <c r="G127" s="27" t="s">
        <v>150</v>
      </c>
      <c r="H127" s="35" t="s">
        <v>145</v>
      </c>
      <c r="I127" s="59"/>
      <c r="J127" s="17"/>
      <c r="K127" s="27"/>
      <c r="L127" s="17"/>
      <c r="M127" s="17"/>
      <c r="N127" s="17"/>
      <c r="O127" s="17"/>
      <c r="P127" s="17"/>
      <c r="Q127" s="17"/>
      <c r="R127" s="17"/>
      <c r="S127" s="17"/>
      <c r="T127" s="17"/>
      <c r="U127" s="17"/>
      <c r="V127" s="47"/>
      <c r="W127" s="17"/>
      <c r="X127" s="17"/>
      <c r="Y127" s="17"/>
      <c r="Z127" s="18"/>
      <c r="AA127" s="18"/>
      <c r="AB127" s="18"/>
      <c r="AC127" s="18"/>
      <c r="AD127" s="18"/>
      <c r="AE127" s="18"/>
      <c r="AF127" s="18"/>
    </row>
    <row r="128" ht="15.75" customHeight="1">
      <c r="A128" s="50" t="s">
        <v>973</v>
      </c>
      <c r="B128" s="27">
        <v>4.0</v>
      </c>
      <c r="C128" s="27" t="s">
        <v>41</v>
      </c>
      <c r="D128" s="51">
        <v>90.0</v>
      </c>
      <c r="E128" s="28">
        <f>ROUNDDOWN(Shop_Endless_Factor*Shop_Price_Modifier*(D128*Shop_Weapon_Price+(0.1*D128*Shop_Weapon_Price+1)*(Shop_Wave)),0)</f>
        <v>190</v>
      </c>
      <c r="F128" s="91"/>
      <c r="G128" s="27" t="s">
        <v>150</v>
      </c>
      <c r="H128" s="35" t="s">
        <v>70</v>
      </c>
      <c r="I128" s="35"/>
      <c r="J128" s="17"/>
      <c r="K128" s="35"/>
      <c r="L128" s="17"/>
      <c r="M128" s="17"/>
      <c r="N128" s="17"/>
      <c r="O128" s="17"/>
      <c r="P128" s="17"/>
      <c r="Q128" s="17"/>
      <c r="R128" s="17"/>
      <c r="S128" s="17"/>
      <c r="T128" s="17"/>
      <c r="U128" s="17"/>
      <c r="V128" s="54"/>
      <c r="W128" s="17"/>
      <c r="X128" s="17"/>
      <c r="Y128" s="17"/>
      <c r="Z128" s="18"/>
      <c r="AA128" s="18"/>
      <c r="AB128" s="18"/>
      <c r="AC128" s="18"/>
      <c r="AD128" s="18"/>
      <c r="AE128" s="18"/>
      <c r="AF128" s="18"/>
    </row>
    <row r="129" ht="15.75" customHeight="1">
      <c r="A129" s="382" t="s">
        <v>975</v>
      </c>
      <c r="B129" s="27">
        <v>4.0</v>
      </c>
      <c r="C129" s="27" t="s">
        <v>41</v>
      </c>
      <c r="D129" s="51">
        <v>110.0</v>
      </c>
      <c r="E129" s="28">
        <f>ROUNDDOWN(Shop_Endless_Factor*Shop_Price_Modifier*(D129*Shop_Weapon_Price+(0.1*D129*Shop_Weapon_Price+1)*(Shop_Wave)),0)</f>
        <v>230</v>
      </c>
      <c r="F129" s="53">
        <f>IF('数值设定'!$D$4="默认",S129,S129)</f>
        <v>18.99044933</v>
      </c>
      <c r="G129" s="25" t="s">
        <v>978</v>
      </c>
      <c r="H129" s="35" t="s">
        <v>145</v>
      </c>
      <c r="I129" s="39" t="s">
        <v>979</v>
      </c>
      <c r="J129" s="17">
        <f>IFerror(120/Shop_Atk_Spd,0)</f>
        <v>24</v>
      </c>
      <c r="K129" s="35" t="s">
        <v>980</v>
      </c>
      <c r="L129" s="17">
        <f>IFERROR(-80/Shop_Range,0)</f>
        <v>-4</v>
      </c>
      <c r="M129" s="17"/>
      <c r="N129" s="17"/>
      <c r="O129" s="17"/>
      <c r="P129" s="17"/>
      <c r="Q129" s="17"/>
      <c r="R129" s="17"/>
      <c r="S129" s="17">
        <f>Shop_Inflated_Price*W129/$E129*100</f>
        <v>18.99044933</v>
      </c>
      <c r="T129" s="17">
        <f>Shop_Inflated_Price*X129/$E129*100</f>
        <v>22.78853919</v>
      </c>
      <c r="U129" s="17"/>
      <c r="V129" s="47"/>
      <c r="W129" s="17">
        <f>J129+L129+N129+P129</f>
        <v>20</v>
      </c>
      <c r="X129" s="17">
        <f>J129</f>
        <v>24</v>
      </c>
      <c r="Y129" s="17"/>
      <c r="Z129" s="18"/>
      <c r="AA129" s="18"/>
      <c r="AB129" s="18"/>
      <c r="AC129" s="18"/>
      <c r="AD129" s="18"/>
      <c r="AE129" s="18"/>
      <c r="AF129" s="18"/>
    </row>
    <row r="130" ht="15.75" customHeight="1">
      <c r="A130" s="50" t="s">
        <v>984</v>
      </c>
      <c r="B130" s="27">
        <v>4.0</v>
      </c>
      <c r="C130" s="27" t="s">
        <v>41</v>
      </c>
      <c r="D130" s="51">
        <v>110.0</v>
      </c>
      <c r="E130" s="28">
        <f>ROUNDDOWN(Shop_Endless_Factor*Shop_Price_Modifier*(D130*Shop_Weapon_Price+(0.1*D130*Shop_Weapon_Price+1)*(Shop_Wave)),0)</f>
        <v>230</v>
      </c>
      <c r="F130" s="58"/>
      <c r="G130" s="27" t="s">
        <v>150</v>
      </c>
      <c r="H130" s="35" t="s">
        <v>97</v>
      </c>
      <c r="I130" s="59"/>
      <c r="J130" s="17"/>
      <c r="K130" s="27"/>
      <c r="L130" s="17"/>
      <c r="M130" s="17"/>
      <c r="N130" s="17"/>
      <c r="O130" s="17"/>
      <c r="P130" s="17"/>
      <c r="Q130" s="17"/>
      <c r="R130" s="17"/>
      <c r="S130" s="17"/>
      <c r="T130" s="17"/>
      <c r="U130" s="17"/>
      <c r="V130" s="47"/>
      <c r="W130" s="17"/>
      <c r="X130" s="17"/>
      <c r="Y130" s="17"/>
      <c r="Z130" s="18"/>
      <c r="AA130" s="18"/>
      <c r="AB130" s="18"/>
      <c r="AC130" s="18"/>
      <c r="AD130" s="18"/>
      <c r="AE130" s="18"/>
      <c r="AF130" s="18"/>
    </row>
    <row r="131" ht="15.75" customHeight="1">
      <c r="A131" s="50" t="s">
        <v>986</v>
      </c>
      <c r="B131" s="27">
        <v>3.0</v>
      </c>
      <c r="C131" s="27" t="s">
        <v>41</v>
      </c>
      <c r="D131" s="51">
        <v>65.0</v>
      </c>
      <c r="E131" s="28">
        <f>ROUNDDOWN(Shop_Endless_Factor*Shop_Price_Modifier*(D131*Shop_Weapon_Price+(0.1*D131*Shop_Weapon_Price+1)*(Shop_Wave)),0)</f>
        <v>140</v>
      </c>
      <c r="F131" s="58"/>
      <c r="G131" s="27" t="s">
        <v>150</v>
      </c>
      <c r="H131" s="35" t="s">
        <v>97</v>
      </c>
      <c r="I131" s="59"/>
      <c r="J131" s="17"/>
      <c r="K131" s="27"/>
      <c r="L131" s="17"/>
      <c r="M131" s="17"/>
      <c r="N131" s="17"/>
      <c r="O131" s="17"/>
      <c r="P131" s="17"/>
      <c r="Q131" s="17"/>
      <c r="R131" s="17"/>
      <c r="S131" s="17"/>
      <c r="T131" s="17"/>
      <c r="U131" s="17"/>
      <c r="V131" s="47"/>
      <c r="W131" s="17"/>
      <c r="X131" s="17"/>
      <c r="Y131" s="17"/>
      <c r="Z131" s="18"/>
      <c r="AA131" s="18"/>
      <c r="AB131" s="18"/>
      <c r="AC131" s="18"/>
      <c r="AD131" s="18"/>
      <c r="AE131" s="18"/>
      <c r="AF131" s="18"/>
    </row>
    <row r="132" ht="15.75" customHeight="1">
      <c r="A132" s="50" t="s">
        <v>988</v>
      </c>
      <c r="B132" s="27">
        <v>2.0</v>
      </c>
      <c r="C132" s="27" t="s">
        <v>41</v>
      </c>
      <c r="D132" s="51">
        <v>40.0</v>
      </c>
      <c r="E132" s="28">
        <f>ROUNDDOWN(Shop_Endless_Factor*Shop_Price_Modifier*(D132*Shop_Weapon_Price+(0.1*D132*Shop_Weapon_Price+1)*(Shop_Wave)),0)</f>
        <v>90</v>
      </c>
      <c r="F132" s="53">
        <f>IF('数值设定'!$D$4="默认",T132,S132)</f>
        <v>2.426557414</v>
      </c>
      <c r="G132" s="27" t="s">
        <v>678</v>
      </c>
      <c r="H132" s="35" t="s">
        <v>530</v>
      </c>
      <c r="I132" s="39" t="s">
        <v>393</v>
      </c>
      <c r="J132" s="17">
        <f>IFerror(2/Shop_Melee_Dmg,0)</f>
        <v>1</v>
      </c>
      <c r="K132" s="27"/>
      <c r="L132" s="17"/>
      <c r="M132" s="17"/>
      <c r="N132" s="17"/>
      <c r="O132" s="17"/>
      <c r="P132" s="17"/>
      <c r="Q132" s="17"/>
      <c r="R132" s="17"/>
      <c r="S132" s="17">
        <f>Shop_Inflated_Price*W132/$E132*100</f>
        <v>2.426557414</v>
      </c>
      <c r="T132" s="17">
        <f>Shop_Inflated_Price*X132/$E132*100</f>
        <v>2.426557414</v>
      </c>
      <c r="U132" s="17"/>
      <c r="V132" s="54"/>
      <c r="W132" s="17">
        <f t="shared" ref="W132:W135" si="36">J132+L132+N132+P132</f>
        <v>1</v>
      </c>
      <c r="X132" s="17">
        <f t="shared" ref="X132:X134" si="37">J132+L132</f>
        <v>1</v>
      </c>
      <c r="Y132" s="17"/>
      <c r="Z132" s="18"/>
      <c r="AA132" s="22"/>
      <c r="AB132" s="18"/>
      <c r="AC132" s="18"/>
      <c r="AD132" s="18"/>
      <c r="AE132" s="18"/>
      <c r="AF132" s="18"/>
    </row>
    <row r="133" ht="15.75" customHeight="1">
      <c r="A133" s="24" t="s">
        <v>993</v>
      </c>
      <c r="B133" s="27">
        <v>2.0</v>
      </c>
      <c r="C133" s="27" t="s">
        <v>41</v>
      </c>
      <c r="D133" s="28">
        <v>60.0</v>
      </c>
      <c r="E133" s="28">
        <f>ROUNDDOWN(Shop_Endless_Factor*Shop_Price_Modifier*(D133*Shop_Weapon_Price+(0.1*D133*Shop_Weapon_Price+1)*(Shop_Wave)),0)</f>
        <v>130</v>
      </c>
      <c r="F133" s="63">
        <f>IF('数值设定'!$D$4="默认",T133,S133)</f>
        <v>4.759785697</v>
      </c>
      <c r="G133" s="27" t="s">
        <v>287</v>
      </c>
      <c r="H133" s="35" t="s">
        <v>70</v>
      </c>
      <c r="I133" s="314" t="s">
        <v>661</v>
      </c>
      <c r="J133" s="17">
        <f>IFerror(6/Shop_Dmg,0)</f>
        <v>1.5</v>
      </c>
      <c r="K133" s="64" t="s">
        <v>172</v>
      </c>
      <c r="L133" s="17">
        <f>IFERROR(2/Shop_Life_Steal,0)</f>
        <v>1.333333333</v>
      </c>
      <c r="M133" s="17" t="s">
        <v>998</v>
      </c>
      <c r="N133" s="17">
        <f>IFERROR(-2/Shop_Engineering,0)</f>
        <v>-1.333333333</v>
      </c>
      <c r="O133" s="17"/>
      <c r="P133" s="17"/>
      <c r="Q133" s="17"/>
      <c r="R133" s="17"/>
      <c r="S133" s="17">
        <f>Shop_Inflated_Price*W133/$E133*100</f>
        <v>2.519886545</v>
      </c>
      <c r="T133" s="17">
        <f>Shop_Inflated_Price*X133/$E133*100</f>
        <v>4.759785697</v>
      </c>
      <c r="U133" s="17"/>
      <c r="V133" s="67"/>
      <c r="W133" s="17">
        <f t="shared" si="36"/>
        <v>1.5</v>
      </c>
      <c r="X133" s="17">
        <f t="shared" si="37"/>
        <v>2.833333333</v>
      </c>
      <c r="Y133" s="17"/>
      <c r="Z133" s="18"/>
      <c r="AA133" s="18"/>
      <c r="AB133" s="18"/>
      <c r="AC133" s="18"/>
      <c r="AD133" s="18"/>
      <c r="AE133" s="18"/>
      <c r="AF133" s="18"/>
    </row>
    <row r="134" ht="15.75" customHeight="1">
      <c r="A134" s="24" t="s">
        <v>1000</v>
      </c>
      <c r="B134" s="27">
        <v>4.0</v>
      </c>
      <c r="C134" s="27" t="s">
        <v>41</v>
      </c>
      <c r="D134" s="51">
        <v>100.0</v>
      </c>
      <c r="E134" s="28">
        <f>ROUNDDOWN(Shop_Endless_Factor*Shop_Price_Modifier*(D134*Shop_Weapon_Price+(0.1*D134*Shop_Weapon_Price+1)*(Shop_Wave)),0)</f>
        <v>210</v>
      </c>
      <c r="F134" s="63">
        <f>IF('数值设定'!$D$4="默认",U134,S134)</f>
        <v>5.199765887</v>
      </c>
      <c r="G134" s="27" t="s">
        <v>1001</v>
      </c>
      <c r="H134" s="35" t="s">
        <v>145</v>
      </c>
      <c r="I134" s="39" t="s">
        <v>1002</v>
      </c>
      <c r="J134" s="17">
        <f>IFerror(9/Shop_Melee_Dmg,0)</f>
        <v>4.5</v>
      </c>
      <c r="K134" s="64" t="s">
        <v>1004</v>
      </c>
      <c r="L134" s="17">
        <f>IFERROR(9/Shop_Engineering,0)</f>
        <v>6</v>
      </c>
      <c r="M134" s="39" t="s">
        <v>513</v>
      </c>
      <c r="N134" s="17">
        <f>IFerror(-3/Shop_Max_HP,0)</f>
        <v>-1</v>
      </c>
      <c r="O134" s="35"/>
      <c r="P134" s="17"/>
      <c r="Q134" s="17"/>
      <c r="R134" s="17"/>
      <c r="S134" s="17">
        <f>Shop_Inflated_Price*W134/$E134*100</f>
        <v>9.879555186</v>
      </c>
      <c r="T134" s="17">
        <f>Shop_Inflated_Price*X134/$E134*100</f>
        <v>10.91950836</v>
      </c>
      <c r="U134" s="17">
        <f>Shop_Inflated_Price*Y134/$E134*100</f>
        <v>5.199765887</v>
      </c>
      <c r="V134" s="87" t="s">
        <v>1006</v>
      </c>
      <c r="W134" s="17">
        <f t="shared" si="36"/>
        <v>9.5</v>
      </c>
      <c r="X134" s="17">
        <f t="shared" si="37"/>
        <v>10.5</v>
      </c>
      <c r="Y134" s="17">
        <f>L134+N134</f>
        <v>5</v>
      </c>
      <c r="Z134" s="18"/>
      <c r="AA134" s="18"/>
      <c r="AB134" s="18"/>
      <c r="AC134" s="18"/>
      <c r="AD134" s="18"/>
      <c r="AE134" s="18"/>
      <c r="AF134" s="18"/>
    </row>
    <row r="135" ht="15.75" customHeight="1">
      <c r="A135" s="24" t="s">
        <v>1007</v>
      </c>
      <c r="B135" s="27">
        <v>3.0</v>
      </c>
      <c r="C135" s="27" t="s">
        <v>41</v>
      </c>
      <c r="D135" s="28">
        <v>50.0</v>
      </c>
      <c r="E135" s="28">
        <f>ROUNDDOWN(Shop_Endless_Factor*Shop_Price_Modifier*(D135*Shop_Weapon_Price+(0.1*D135*Shop_Weapon_Price+1)*(Shop_Wave)),0)</f>
        <v>110</v>
      </c>
      <c r="F135" s="94">
        <f>IF('数值设定'!$D$4="默认",S135,S135)</f>
        <v>7.941460628</v>
      </c>
      <c r="G135" s="25" t="s">
        <v>1009</v>
      </c>
      <c r="H135" s="35" t="s">
        <v>89</v>
      </c>
      <c r="I135" s="39" t="s">
        <v>1010</v>
      </c>
      <c r="J135" s="17">
        <f>IFerror(8/Shop_HP_Regen,0)</f>
        <v>4</v>
      </c>
      <c r="K135" s="17"/>
      <c r="L135" s="17"/>
      <c r="M135" s="17"/>
      <c r="N135" s="17"/>
      <c r="O135" s="17"/>
      <c r="P135" s="17"/>
      <c r="Q135" s="17"/>
      <c r="R135" s="17"/>
      <c r="S135" s="17">
        <f>Shop_Inflated_Price*W135/$E135*100</f>
        <v>7.941460628</v>
      </c>
      <c r="T135" s="17">
        <f>Shop_Inflated_Price*X135/$E135*100</f>
        <v>7.941460628</v>
      </c>
      <c r="U135" s="17"/>
      <c r="V135" s="67"/>
      <c r="W135" s="17">
        <f t="shared" si="36"/>
        <v>4</v>
      </c>
      <c r="X135" s="17">
        <f>J135+L135+N135</f>
        <v>4</v>
      </c>
      <c r="Y135" s="17"/>
      <c r="Z135" s="18"/>
      <c r="AA135" s="18"/>
      <c r="AB135" s="18"/>
      <c r="AC135" s="18"/>
      <c r="AD135" s="18"/>
      <c r="AE135" s="18"/>
      <c r="AF135" s="18"/>
    </row>
    <row r="136" ht="15.75" customHeight="1">
      <c r="A136" s="50" t="s">
        <v>1013</v>
      </c>
      <c r="B136" s="27">
        <v>1.0</v>
      </c>
      <c r="C136" s="27" t="s">
        <v>41</v>
      </c>
      <c r="D136" s="51">
        <v>25.0</v>
      </c>
      <c r="E136" s="28">
        <f>ROUNDDOWN(Shop_Endless_Factor*Shop_Price_Modifier*(D136*Shop_Weapon_Price+(0.1*D136*Shop_Weapon_Price+1)*(Shop_Wave)),0)</f>
        <v>60</v>
      </c>
      <c r="F136" s="383"/>
      <c r="G136" s="27" t="s">
        <v>150</v>
      </c>
      <c r="H136" s="35" t="s">
        <v>97</v>
      </c>
      <c r="I136" s="59"/>
      <c r="J136" s="17"/>
      <c r="K136" s="27"/>
      <c r="L136" s="17"/>
      <c r="M136" s="17"/>
      <c r="N136" s="17"/>
      <c r="O136" s="17"/>
      <c r="P136" s="17"/>
      <c r="Q136" s="17"/>
      <c r="R136" s="17"/>
      <c r="S136" s="17"/>
      <c r="T136" s="17"/>
      <c r="U136" s="17"/>
      <c r="V136" s="47"/>
      <c r="W136" s="17"/>
      <c r="X136" s="17"/>
      <c r="Y136" s="17"/>
      <c r="Z136" s="18"/>
      <c r="AA136" s="18"/>
      <c r="AB136" s="18"/>
      <c r="AC136" s="18"/>
      <c r="AD136" s="18"/>
      <c r="AE136" s="18"/>
      <c r="AF136" s="18"/>
    </row>
    <row r="137" ht="15.75" customHeight="1">
      <c r="A137" s="50" t="s">
        <v>1016</v>
      </c>
      <c r="B137" s="27">
        <v>1.0</v>
      </c>
      <c r="C137" s="27" t="s">
        <v>41</v>
      </c>
      <c r="D137" s="51">
        <v>25.0</v>
      </c>
      <c r="E137" s="28">
        <f>ROUNDDOWN(Shop_Endless_Factor*Shop_Price_Modifier*(D137*Shop_Weapon_Price+(0.1*D137*Shop_Weapon_Price+1)*(Shop_Wave)),0)</f>
        <v>60</v>
      </c>
      <c r="F137" s="58"/>
      <c r="G137" s="27" t="s">
        <v>150</v>
      </c>
      <c r="H137" s="35" t="s">
        <v>89</v>
      </c>
      <c r="I137" s="59"/>
      <c r="J137" s="17"/>
      <c r="K137" s="27"/>
      <c r="L137" s="17"/>
      <c r="M137" s="17"/>
      <c r="N137" s="17"/>
      <c r="O137" s="17"/>
      <c r="P137" s="17"/>
      <c r="Q137" s="17"/>
      <c r="R137" s="17"/>
      <c r="S137" s="17"/>
      <c r="T137" s="17"/>
      <c r="U137" s="17"/>
      <c r="V137" s="47"/>
      <c r="W137" s="17"/>
      <c r="X137" s="17"/>
      <c r="Y137" s="17"/>
      <c r="Z137" s="18"/>
      <c r="AA137" s="18"/>
      <c r="AB137" s="18"/>
      <c r="AC137" s="18"/>
      <c r="AD137" s="18"/>
      <c r="AE137" s="18"/>
      <c r="AF137" s="18"/>
    </row>
    <row r="138" ht="15.75" customHeight="1">
      <c r="A138" s="24" t="s">
        <v>1018</v>
      </c>
      <c r="B138" s="27">
        <v>2.0</v>
      </c>
      <c r="C138" s="27" t="s">
        <v>41</v>
      </c>
      <c r="D138" s="51">
        <v>48.0</v>
      </c>
      <c r="E138" s="28">
        <f>ROUNDDOWN(Shop_Endless_Factor*Shop_Price_Modifier*(D138*Shop_Weapon_Price+(0.1*D138*Shop_Weapon_Price+1)*(Shop_Wave)),0)</f>
        <v>106</v>
      </c>
      <c r="F138" s="63">
        <f>IF('数值设定'!$D$4="默认",S138,S138)</f>
        <v>3.811526504</v>
      </c>
      <c r="G138" s="25"/>
      <c r="H138" s="35" t="s">
        <v>80</v>
      </c>
      <c r="I138" s="39" t="s">
        <v>1021</v>
      </c>
      <c r="J138" s="17">
        <f>IFerror(2/Shop_Ranged_Dmg,0)</f>
        <v>2</v>
      </c>
      <c r="K138" s="64" t="s">
        <v>1022</v>
      </c>
      <c r="L138" s="17">
        <f>IFERROR(25/Shop_Range,0)</f>
        <v>1.25</v>
      </c>
      <c r="M138" s="17" t="s">
        <v>1024</v>
      </c>
      <c r="N138" s="17">
        <f>IFERROR(-7/Shop_Atk_Spd,0)</f>
        <v>-1.4</v>
      </c>
      <c r="O138" s="17"/>
      <c r="P138" s="17"/>
      <c r="Q138" s="17"/>
      <c r="R138" s="17"/>
      <c r="S138" s="17">
        <f>Shop_Inflated_Price*W138/$E138*100</f>
        <v>3.811526504</v>
      </c>
      <c r="T138" s="17">
        <f>Shop_Inflated_Price*X138/$E138*100</f>
        <v>6.69592494</v>
      </c>
      <c r="U138" s="17"/>
      <c r="V138" s="47"/>
      <c r="W138" s="17">
        <f t="shared" ref="W138:W140" si="38">J138+L138+N138+P138</f>
        <v>1.85</v>
      </c>
      <c r="X138" s="17">
        <f>J138+L138</f>
        <v>3.25</v>
      </c>
      <c r="Y138" s="17"/>
      <c r="Z138" s="18"/>
      <c r="AA138" s="18"/>
      <c r="AB138" s="18"/>
      <c r="AC138" s="18"/>
      <c r="AD138" s="18"/>
      <c r="AE138" s="18"/>
      <c r="AF138" s="18"/>
    </row>
    <row r="139" ht="15.75" customHeight="1">
      <c r="A139" s="50" t="s">
        <v>1027</v>
      </c>
      <c r="B139" s="27">
        <v>3.0</v>
      </c>
      <c r="C139" s="27" t="s">
        <v>41</v>
      </c>
      <c r="D139" s="51">
        <v>80.0</v>
      </c>
      <c r="E139" s="28">
        <f>ROUNDDOWN(Shop_Endless_Factor*Shop_Price_Modifier*(D139*Shop_Weapon_Price+(0.1*D139*Shop_Weapon_Price+1)*(Shop_Wave)),0)</f>
        <v>170</v>
      </c>
      <c r="F139" s="53">
        <f>IF('数值设定'!$D$4="默认",U139,S139)</f>
        <v>10.27718434</v>
      </c>
      <c r="G139" s="27" t="s">
        <v>1029</v>
      </c>
      <c r="H139" s="35" t="s">
        <v>70</v>
      </c>
      <c r="I139" s="39" t="s">
        <v>1030</v>
      </c>
      <c r="J139" s="17">
        <f>IFerror(8/Shop_HP_Regen,0)</f>
        <v>4</v>
      </c>
      <c r="K139" s="35" t="s">
        <v>1031</v>
      </c>
      <c r="L139" s="17">
        <f>IFERROR(80/Shop_Range,0)</f>
        <v>4</v>
      </c>
      <c r="M139" s="35" t="s">
        <v>1033</v>
      </c>
      <c r="N139" s="17">
        <f>IFERROR(8/Shop_Engineering,0)</f>
        <v>5.333333333</v>
      </c>
      <c r="O139" s="17"/>
      <c r="P139" s="17"/>
      <c r="Q139" s="17"/>
      <c r="R139" s="17"/>
      <c r="S139" s="17">
        <f>Shop_Inflated_Price*W139/$E139*100</f>
        <v>17.12864057</v>
      </c>
      <c r="T139" s="17">
        <f>Shop_Inflated_Price*X139/$E139*100</f>
        <v>17.12864057</v>
      </c>
      <c r="U139" s="17">
        <f>Shop_Inflated_Price*Y139/$E139*100</f>
        <v>10.27718434</v>
      </c>
      <c r="V139" s="54" t="s">
        <v>520</v>
      </c>
      <c r="W139" s="17">
        <f t="shared" si="38"/>
        <v>13.33333333</v>
      </c>
      <c r="X139" s="17">
        <f>J139+L139+N139</f>
        <v>13.33333333</v>
      </c>
      <c r="Y139" s="17">
        <f>L139+J139</f>
        <v>8</v>
      </c>
      <c r="Z139" s="18"/>
      <c r="AA139" s="18"/>
      <c r="AB139" s="18"/>
      <c r="AC139" s="18"/>
      <c r="AD139" s="18"/>
      <c r="AE139" s="18"/>
      <c r="AF139" s="18"/>
    </row>
    <row r="140" ht="15.75" customHeight="1">
      <c r="A140" s="24" t="s">
        <v>1037</v>
      </c>
      <c r="B140" s="27">
        <v>2.0</v>
      </c>
      <c r="C140" s="27" t="s">
        <v>41</v>
      </c>
      <c r="D140" s="28">
        <v>48.0</v>
      </c>
      <c r="E140" s="28">
        <f>ROUNDDOWN(Shop_Endless_Factor*Shop_Price_Modifier*(D140*Shop_Weapon_Price+(0.1*D140*Shop_Weapon_Price+1)*(Shop_Wave)),0)</f>
        <v>106</v>
      </c>
      <c r="F140" s="56">
        <f>IF('数值设定'!$D$4="默认",S140,S140)</f>
        <v>3.433807661</v>
      </c>
      <c r="G140" s="25"/>
      <c r="H140" s="35" t="s">
        <v>70</v>
      </c>
      <c r="I140" s="39" t="s">
        <v>416</v>
      </c>
      <c r="J140" s="17">
        <f>IFerror(20/Shop_Luck,0)</f>
        <v>2.666666667</v>
      </c>
      <c r="K140" s="17" t="s">
        <v>538</v>
      </c>
      <c r="L140" s="17">
        <f>IFERROR(-2/Shop_HP_Regen,0)</f>
        <v>-1</v>
      </c>
      <c r="M140" s="17"/>
      <c r="N140" s="17"/>
      <c r="O140" s="17"/>
      <c r="P140" s="17"/>
      <c r="Q140" s="17"/>
      <c r="R140" s="17"/>
      <c r="S140" s="17">
        <f>Shop_Inflated_Price*W140/$E140*100</f>
        <v>3.433807661</v>
      </c>
      <c r="T140" s="17">
        <f>Shop_Inflated_Price*X140/$E140*100</f>
        <v>5.494092258</v>
      </c>
      <c r="U140" s="17"/>
      <c r="V140" s="67"/>
      <c r="W140" s="17">
        <f t="shared" si="38"/>
        <v>1.666666667</v>
      </c>
      <c r="X140" s="17">
        <f>J140</f>
        <v>2.666666667</v>
      </c>
      <c r="Y140" s="17"/>
      <c r="Z140" s="18"/>
      <c r="AA140" s="18"/>
      <c r="AB140" s="18"/>
      <c r="AC140" s="18"/>
      <c r="AD140" s="18"/>
      <c r="AE140" s="18"/>
      <c r="AF140" s="18"/>
    </row>
    <row r="141" ht="15.75" customHeight="1">
      <c r="A141" s="50" t="s">
        <v>230</v>
      </c>
      <c r="B141" s="27">
        <v>1.0</v>
      </c>
      <c r="C141" s="27" t="s">
        <v>41</v>
      </c>
      <c r="D141" s="51">
        <v>25.0</v>
      </c>
      <c r="E141" s="28">
        <f>ROUNDDOWN(Shop_Endless_Factor*Shop_Price_Modifier*(D141*Shop_Weapon_Price+(0.1*D141*Shop_Weapon_Price+1)*(Shop_Wave)),0)</f>
        <v>60</v>
      </c>
      <c r="F141" s="75"/>
      <c r="G141" s="27" t="s">
        <v>150</v>
      </c>
      <c r="H141" s="35" t="s">
        <v>89</v>
      </c>
      <c r="I141" s="59"/>
      <c r="J141" s="17"/>
      <c r="K141" s="27"/>
      <c r="L141" s="17"/>
      <c r="M141" s="35"/>
      <c r="N141" s="17"/>
      <c r="O141" s="17"/>
      <c r="P141" s="17"/>
      <c r="Q141" s="17"/>
      <c r="R141" s="17"/>
      <c r="S141" s="17"/>
      <c r="T141" s="17"/>
      <c r="U141" s="17"/>
      <c r="V141" s="54"/>
      <c r="W141" s="17"/>
      <c r="X141" s="17"/>
      <c r="Y141" s="17" t="str">
        <f>L141</f>
        <v/>
      </c>
      <c r="Z141" s="18"/>
      <c r="AA141" s="18"/>
      <c r="AB141" s="18"/>
      <c r="AC141" s="18"/>
      <c r="AD141" s="18"/>
      <c r="AE141" s="18"/>
      <c r="AF141" s="18"/>
    </row>
    <row r="142" ht="15.75" customHeight="1">
      <c r="A142" s="24" t="s">
        <v>1045</v>
      </c>
      <c r="B142" s="27">
        <v>3.0</v>
      </c>
      <c r="C142" s="27" t="s">
        <v>41</v>
      </c>
      <c r="D142" s="28">
        <v>60.0</v>
      </c>
      <c r="E142" s="28">
        <f>ROUNDDOWN(Shop_Endless_Factor*Shop_Price_Modifier*(D142*Shop_Weapon_Price+(0.1*D142*Shop_Weapon_Price+1)*(Shop_Wave)),0)</f>
        <v>130</v>
      </c>
      <c r="F142" s="63">
        <f>IF('数值设定'!$D$4="默认",U142,S142)</f>
        <v>3.359848727</v>
      </c>
      <c r="G142" s="27" t="s">
        <v>391</v>
      </c>
      <c r="H142" s="35" t="s">
        <v>52</v>
      </c>
      <c r="I142" s="39" t="s">
        <v>1047</v>
      </c>
      <c r="J142" s="17">
        <f>IFerror(6/Shop_Max_HP,0)</f>
        <v>2</v>
      </c>
      <c r="K142" s="17" t="s">
        <v>119</v>
      </c>
      <c r="L142" s="17">
        <f>IFERROR(2/Shop_HP_Regen,0)</f>
        <v>1</v>
      </c>
      <c r="M142" s="17" t="s">
        <v>765</v>
      </c>
      <c r="N142" s="17">
        <f>IFERROR(-2/Shop_Melee_Dmg,0)</f>
        <v>-1</v>
      </c>
      <c r="O142" s="17" t="s">
        <v>564</v>
      </c>
      <c r="P142" s="17">
        <f>IFERROR(-1/Shop_Ranged_Dmg,0)</f>
        <v>-1</v>
      </c>
      <c r="Q142" s="17"/>
      <c r="R142" s="17"/>
      <c r="S142" s="17">
        <f>Shop_Inflated_Price*W142/$E142*100</f>
        <v>1.679924364</v>
      </c>
      <c r="T142" s="17">
        <f>Shop_Inflated_Price*X142/$E142*100</f>
        <v>5.039773091</v>
      </c>
      <c r="U142" s="17">
        <f>Shop_Inflated_Price*Y142/$E142*100</f>
        <v>3.359848727</v>
      </c>
      <c r="V142" s="47" t="s">
        <v>1052</v>
      </c>
      <c r="W142" s="17">
        <f t="shared" ref="W142:W143" si="39">J142+L142+N142+P142</f>
        <v>1</v>
      </c>
      <c r="X142" s="17">
        <f t="shared" ref="X142:X143" si="40">J142+L142</f>
        <v>3</v>
      </c>
      <c r="Y142" s="17">
        <f>J142+L142+P142</f>
        <v>2</v>
      </c>
      <c r="Z142" s="18"/>
      <c r="AA142" s="18"/>
      <c r="AB142" s="18"/>
      <c r="AC142" s="18"/>
      <c r="AD142" s="18"/>
      <c r="AE142" s="18"/>
      <c r="AF142" s="18"/>
    </row>
    <row r="143" ht="15.75" customHeight="1">
      <c r="A143" s="50" t="s">
        <v>1054</v>
      </c>
      <c r="B143" s="27">
        <v>4.0</v>
      </c>
      <c r="C143" s="27" t="s">
        <v>41</v>
      </c>
      <c r="D143" s="51">
        <v>100.0</v>
      </c>
      <c r="E143" s="28">
        <f>ROUNDDOWN(Shop_Endless_Factor*Shop_Price_Modifier*(D143*Shop_Weapon_Price+(0.1*D143*Shop_Weapon_Price+1)*(Shop_Wave)),0)</f>
        <v>210</v>
      </c>
      <c r="F143" s="53">
        <f>IF('数值设定'!$D$4="默认",S143,S143)</f>
        <v>3.119859532</v>
      </c>
      <c r="G143" s="27"/>
      <c r="H143" s="35" t="s">
        <v>97</v>
      </c>
      <c r="I143" s="64" t="s">
        <v>536</v>
      </c>
      <c r="J143" s="17">
        <f>IFERROR(3/Shop_Armor,0)</f>
        <v>3</v>
      </c>
      <c r="K143" s="27"/>
      <c r="L143" s="17"/>
      <c r="M143" s="17"/>
      <c r="N143" s="17"/>
      <c r="O143" s="17"/>
      <c r="P143" s="17"/>
      <c r="Q143" s="17"/>
      <c r="R143" s="17"/>
      <c r="S143" s="17">
        <f>Shop_Inflated_Price*W143/$E143*100</f>
        <v>3.119859532</v>
      </c>
      <c r="T143" s="17">
        <f>Shop_Inflated_Price*X143/$E143*100</f>
        <v>3.119859532</v>
      </c>
      <c r="U143" s="17"/>
      <c r="V143" s="54"/>
      <c r="W143" s="17">
        <f t="shared" si="39"/>
        <v>3</v>
      </c>
      <c r="X143" s="17">
        <f t="shared" si="40"/>
        <v>3</v>
      </c>
      <c r="Y143" s="17"/>
      <c r="Z143" s="18"/>
      <c r="AA143" s="18"/>
      <c r="AB143" s="18"/>
      <c r="AC143" s="18"/>
      <c r="AD143" s="18"/>
      <c r="AE143" s="18"/>
      <c r="AF143" s="18"/>
    </row>
    <row r="144" ht="15.75" customHeight="1">
      <c r="A144" s="50" t="s">
        <v>1059</v>
      </c>
      <c r="B144" s="27">
        <v>3.0</v>
      </c>
      <c r="C144" s="27" t="s">
        <v>41</v>
      </c>
      <c r="D144" s="51">
        <v>70.0</v>
      </c>
      <c r="E144" s="28">
        <f>ROUNDDOWN(Shop_Endless_Factor*Shop_Price_Modifier*(D144*Shop_Weapon_Price+(0.1*D144*Shop_Weapon_Price+1)*(Shop_Wave)),0)</f>
        <v>150</v>
      </c>
      <c r="F144" s="58"/>
      <c r="G144" s="27" t="s">
        <v>150</v>
      </c>
      <c r="H144" s="35" t="s">
        <v>89</v>
      </c>
      <c r="I144" s="59"/>
      <c r="J144" s="17"/>
      <c r="K144" s="27"/>
      <c r="L144" s="17"/>
      <c r="M144" s="17"/>
      <c r="N144" s="17"/>
      <c r="O144" s="17"/>
      <c r="P144" s="17"/>
      <c r="Q144" s="17"/>
      <c r="R144" s="17"/>
      <c r="S144" s="17"/>
      <c r="T144" s="17"/>
      <c r="U144" s="17"/>
      <c r="V144" s="54"/>
      <c r="W144" s="17"/>
      <c r="X144" s="17"/>
      <c r="Y144" s="17"/>
      <c r="Z144" s="18"/>
      <c r="AA144" s="18"/>
      <c r="AB144" s="18"/>
      <c r="AC144" s="18"/>
      <c r="AD144" s="18"/>
      <c r="AE144" s="18"/>
      <c r="AF144" s="18"/>
    </row>
    <row r="145" ht="15.75" customHeight="1">
      <c r="A145" s="24" t="s">
        <v>1062</v>
      </c>
      <c r="B145" s="27">
        <v>2.0</v>
      </c>
      <c r="C145" s="27" t="s">
        <v>41</v>
      </c>
      <c r="D145" s="28">
        <v>60.0</v>
      </c>
      <c r="E145" s="28">
        <f>ROUNDDOWN(Shop_Endless_Factor*Shop_Price_Modifier*(D145*Shop_Weapon_Price+(0.1*D145*Shop_Weapon_Price+1)*(Shop_Wave)),0)</f>
        <v>130</v>
      </c>
      <c r="F145" s="63">
        <f>IF('数值设定'!$D$4="默认",S145,S145)</f>
        <v>4.199810909</v>
      </c>
      <c r="G145" s="25"/>
      <c r="H145" s="35" t="s">
        <v>70</v>
      </c>
      <c r="I145" s="39" t="s">
        <v>1021</v>
      </c>
      <c r="J145" s="17">
        <f>IFerror(2/Shop_Ranged_Dmg,0)</f>
        <v>2</v>
      </c>
      <c r="K145" s="64" t="s">
        <v>679</v>
      </c>
      <c r="L145" s="17">
        <f>IFERROR(10/Shop_Atk_Spd,0)</f>
        <v>2</v>
      </c>
      <c r="M145" s="35" t="s">
        <v>1065</v>
      </c>
      <c r="N145" s="17">
        <f>IFERROR(-6/Shop_Dmg,0)</f>
        <v>-1.5</v>
      </c>
      <c r="O145" s="17"/>
      <c r="P145" s="17"/>
      <c r="Q145" s="17"/>
      <c r="R145" s="17"/>
      <c r="S145" s="17">
        <f>Shop_Inflated_Price*W145/$E145*100</f>
        <v>4.199810909</v>
      </c>
      <c r="T145" s="17">
        <f>Shop_Inflated_Price*X145/$E145*100</f>
        <v>6.719697454</v>
      </c>
      <c r="U145" s="17"/>
      <c r="V145" s="67"/>
      <c r="W145" s="17">
        <f>J145+L145+N145+P145</f>
        <v>2.5</v>
      </c>
      <c r="X145" s="17">
        <f>J145+L145</f>
        <v>4</v>
      </c>
      <c r="Y145" s="17"/>
      <c r="Z145" s="18"/>
      <c r="AA145" s="18"/>
      <c r="AB145" s="18"/>
      <c r="AC145" s="18"/>
      <c r="AD145" s="18"/>
      <c r="AE145" s="18"/>
      <c r="AF145" s="18"/>
    </row>
    <row r="146" ht="15.75" customHeight="1">
      <c r="A146" s="50" t="s">
        <v>584</v>
      </c>
      <c r="B146" s="27">
        <v>1.0</v>
      </c>
      <c r="C146" s="27" t="s">
        <v>41</v>
      </c>
      <c r="D146" s="51">
        <v>40.0</v>
      </c>
      <c r="E146" s="28">
        <f>ROUNDDOWN(Shop_Endless_Factor*Shop_Price_Modifier*(D146*Shop_Weapon_Price+(0.1*D146*Shop_Weapon_Price+1)*(Shop_Wave)),0)</f>
        <v>90</v>
      </c>
      <c r="F146" s="58"/>
      <c r="G146" s="27" t="s">
        <v>150</v>
      </c>
      <c r="H146" s="35" t="s">
        <v>97</v>
      </c>
      <c r="I146" s="59"/>
      <c r="J146" s="17"/>
      <c r="K146" s="27"/>
      <c r="L146" s="17"/>
      <c r="M146" s="17"/>
      <c r="N146" s="17"/>
      <c r="O146" s="17"/>
      <c r="P146" s="17"/>
      <c r="Q146" s="17"/>
      <c r="R146" s="17"/>
      <c r="S146" s="17"/>
      <c r="T146" s="17"/>
      <c r="U146" s="17"/>
      <c r="V146" s="47"/>
      <c r="W146" s="17"/>
      <c r="X146" s="17"/>
      <c r="Y146" s="17"/>
      <c r="Z146" s="18"/>
      <c r="AA146" s="18"/>
      <c r="AB146" s="18"/>
      <c r="AC146" s="18"/>
      <c r="AD146" s="18"/>
      <c r="AE146" s="18"/>
      <c r="AF146" s="18"/>
    </row>
    <row r="147" ht="15.75" customHeight="1">
      <c r="A147" s="50" t="s">
        <v>1070</v>
      </c>
      <c r="B147" s="27">
        <v>1.0</v>
      </c>
      <c r="C147" s="27" t="s">
        <v>41</v>
      </c>
      <c r="D147" s="51">
        <v>25.0</v>
      </c>
      <c r="E147" s="28">
        <f>ROUNDDOWN(Shop_Endless_Factor*Shop_Price_Modifier*(D147*Shop_Weapon_Price+(0.1*D147*Shop_Weapon_Price+1)*(Shop_Wave)),0)</f>
        <v>60</v>
      </c>
      <c r="F147" s="58"/>
      <c r="G147" s="27" t="s">
        <v>150</v>
      </c>
      <c r="H147" s="35" t="s">
        <v>70</v>
      </c>
      <c r="I147" s="59"/>
      <c r="J147" s="17"/>
      <c r="K147" s="27"/>
      <c r="L147" s="17"/>
      <c r="M147" s="17"/>
      <c r="N147" s="17"/>
      <c r="O147" s="17"/>
      <c r="P147" s="17"/>
      <c r="Q147" s="17"/>
      <c r="R147" s="17"/>
      <c r="S147" s="17"/>
      <c r="T147" s="17"/>
      <c r="U147" s="17"/>
      <c r="V147" s="47"/>
      <c r="W147" s="17"/>
      <c r="X147" s="17"/>
      <c r="Y147" s="17"/>
      <c r="Z147" s="18"/>
      <c r="AA147" s="18"/>
      <c r="AB147" s="18"/>
      <c r="AC147" s="18"/>
      <c r="AD147" s="18"/>
      <c r="AE147" s="18"/>
      <c r="AF147" s="18"/>
    </row>
    <row r="148" ht="15.75" customHeight="1">
      <c r="A148" s="50" t="s">
        <v>1072</v>
      </c>
      <c r="B148" s="27">
        <v>2.0</v>
      </c>
      <c r="C148" s="27" t="s">
        <v>41</v>
      </c>
      <c r="D148" s="51">
        <v>40.0</v>
      </c>
      <c r="E148" s="28">
        <f>ROUNDDOWN(Shop_Endless_Factor*Shop_Price_Modifier*(D148*Shop_Weapon_Price+(0.1*D148*Shop_Weapon_Price+1)*(Shop_Wave)),0)</f>
        <v>90</v>
      </c>
      <c r="F148" s="53">
        <f>IF('数值设定'!$D$4="默认",T148,S148)</f>
        <v>2.426557414</v>
      </c>
      <c r="G148" s="27" t="s">
        <v>678</v>
      </c>
      <c r="H148" s="35" t="s">
        <v>89</v>
      </c>
      <c r="I148" s="39" t="s">
        <v>118</v>
      </c>
      <c r="J148" s="17">
        <f>IFerror(3/Shop_Max_HP,0)</f>
        <v>1</v>
      </c>
      <c r="K148" s="27"/>
      <c r="L148" s="17"/>
      <c r="M148" s="17"/>
      <c r="N148" s="17"/>
      <c r="O148" s="17"/>
      <c r="P148" s="17"/>
      <c r="Q148" s="17"/>
      <c r="R148" s="17"/>
      <c r="S148" s="17">
        <f>Shop_Inflated_Price*W148/$E148*100</f>
        <v>2.426557414</v>
      </c>
      <c r="T148" s="17">
        <f>Shop_Inflated_Price*X148/$E148*100</f>
        <v>2.426557414</v>
      </c>
      <c r="U148" s="17"/>
      <c r="V148" s="54"/>
      <c r="W148" s="17">
        <f t="shared" ref="W148:W153" si="41">J148+L148+N148+P148</f>
        <v>1</v>
      </c>
      <c r="X148" s="17">
        <f t="shared" ref="X148:X149" si="42">J148+L148</f>
        <v>1</v>
      </c>
      <c r="Y148" s="17"/>
      <c r="Z148" s="18"/>
      <c r="AA148" s="22"/>
      <c r="AB148" s="18"/>
      <c r="AC148" s="18"/>
      <c r="AD148" s="18"/>
      <c r="AE148" s="18"/>
      <c r="AF148" s="18"/>
    </row>
    <row r="149" ht="15.75" customHeight="1">
      <c r="A149" s="50" t="s">
        <v>1077</v>
      </c>
      <c r="B149" s="27">
        <v>4.0</v>
      </c>
      <c r="C149" s="27" t="s">
        <v>41</v>
      </c>
      <c r="D149" s="51">
        <v>110.0</v>
      </c>
      <c r="E149" s="28">
        <f>ROUNDDOWN(Shop_Endless_Factor*Shop_Price_Modifier*(D149*Shop_Weapon_Price+(0.1*D149*Shop_Weapon_Price+1)*(Shop_Wave)),0)</f>
        <v>230</v>
      </c>
      <c r="F149" s="37">
        <f>IF('数值设定'!$D$4="默认",U149,S149)</f>
        <v>3.038471892</v>
      </c>
      <c r="G149" s="27" t="s">
        <v>1079</v>
      </c>
      <c r="H149" s="35" t="s">
        <v>80</v>
      </c>
      <c r="I149" s="59" t="s">
        <v>477</v>
      </c>
      <c r="J149" s="17">
        <f>IFerror(12/Shop_Dmg,0)</f>
        <v>3</v>
      </c>
      <c r="K149" s="64" t="s">
        <v>1080</v>
      </c>
      <c r="L149" s="17">
        <f>IFERROR(6/Shop_Atk_Spd,0)</f>
        <v>1.2</v>
      </c>
      <c r="M149" s="35" t="s">
        <v>745</v>
      </c>
      <c r="N149" s="17">
        <f>IFERROR(-3/Shop_Dodge,0)</f>
        <v>-1</v>
      </c>
      <c r="O149" s="35" t="s">
        <v>840</v>
      </c>
      <c r="P149" s="17">
        <f>IFERROR(-5/Shop_Harvesting,0)</f>
        <v>-1.25</v>
      </c>
      <c r="Q149" s="17"/>
      <c r="R149" s="17"/>
      <c r="S149" s="17">
        <f>Shop_Inflated_Price*W149/$E149*100</f>
        <v>1.851568809</v>
      </c>
      <c r="T149" s="17">
        <f>Shop_Inflated_Price*X149/$E149*100</f>
        <v>3.987994359</v>
      </c>
      <c r="U149" s="17">
        <f>Shop_Inflated_Price*Y149/$E149*100</f>
        <v>3.038471892</v>
      </c>
      <c r="V149" s="87" t="s">
        <v>1084</v>
      </c>
      <c r="W149" s="17">
        <f t="shared" si="41"/>
        <v>1.95</v>
      </c>
      <c r="X149" s="17">
        <f t="shared" si="42"/>
        <v>4.2</v>
      </c>
      <c r="Y149" s="17">
        <f>J149+L149+N149</f>
        <v>3.2</v>
      </c>
      <c r="Z149" s="18"/>
      <c r="AA149" s="22"/>
      <c r="AB149" s="18"/>
      <c r="AC149" s="18"/>
      <c r="AD149" s="18"/>
      <c r="AE149" s="18"/>
      <c r="AF149" s="18"/>
    </row>
    <row r="150" ht="15.75" customHeight="1">
      <c r="A150" s="50" t="s">
        <v>1087</v>
      </c>
      <c r="B150" s="27">
        <v>3.0</v>
      </c>
      <c r="C150" s="27" t="s">
        <v>41</v>
      </c>
      <c r="D150" s="51">
        <v>60.0</v>
      </c>
      <c r="E150" s="28">
        <f>ROUNDDOWN(Shop_Endless_Factor*Shop_Price_Modifier*(D150*Shop_Weapon_Price+(0.1*D150*Shop_Weapon_Price+1)*(Shop_Wave)),0)</f>
        <v>130</v>
      </c>
      <c r="F150" s="37">
        <f>IF('数值设定'!$D$4="默认",S150,S150)</f>
        <v>7.83964703</v>
      </c>
      <c r="G150" s="27" t="s">
        <v>376</v>
      </c>
      <c r="H150" s="35" t="s">
        <v>89</v>
      </c>
      <c r="I150" s="64" t="s">
        <v>1089</v>
      </c>
      <c r="J150" s="17">
        <f>IFerror(40/Shop_Atk_Spd,0)</f>
        <v>8</v>
      </c>
      <c r="K150" s="35" t="s">
        <v>1091</v>
      </c>
      <c r="L150" s="17">
        <f>IFERROR(-10/Shop_Speed,0)</f>
        <v>-3.333333333</v>
      </c>
      <c r="M150" s="17"/>
      <c r="N150" s="17"/>
      <c r="O150" s="17"/>
      <c r="P150" s="17"/>
      <c r="Q150" s="17"/>
      <c r="R150" s="17"/>
      <c r="S150" s="17">
        <f>Shop_Inflated_Price*W150/$E150*100</f>
        <v>7.83964703</v>
      </c>
      <c r="T150" s="17">
        <f>Shop_Inflated_Price*X150/$E150*100</f>
        <v>13.43939491</v>
      </c>
      <c r="U150" s="17"/>
      <c r="V150" s="67"/>
      <c r="W150" s="17">
        <f t="shared" si="41"/>
        <v>4.666666667</v>
      </c>
      <c r="X150" s="17">
        <f>J150</f>
        <v>8</v>
      </c>
      <c r="Y150" s="17"/>
      <c r="Z150" s="18"/>
      <c r="AA150" s="18"/>
      <c r="AB150" s="18"/>
      <c r="AC150" s="18"/>
      <c r="AD150" s="18"/>
      <c r="AE150" s="18"/>
      <c r="AF150" s="18"/>
    </row>
    <row r="151" ht="15.75" customHeight="1">
      <c r="A151" s="50" t="s">
        <v>1093</v>
      </c>
      <c r="B151" s="27">
        <v>3.0</v>
      </c>
      <c r="C151" s="27" t="s">
        <v>41</v>
      </c>
      <c r="D151" s="51">
        <v>85.0</v>
      </c>
      <c r="E151" s="28">
        <f>ROUNDDOWN(Shop_Endless_Factor*Shop_Price_Modifier*(D151*Shop_Weapon_Price+(0.1*D151*Shop_Weapon_Price+1)*(Shop_Wave)),0)</f>
        <v>180</v>
      </c>
      <c r="F151" s="53">
        <f>IF('数值设定'!$D$4="默认",S151,S151)</f>
        <v>4.610459087</v>
      </c>
      <c r="G151" s="27" t="s">
        <v>1096</v>
      </c>
      <c r="H151" s="35" t="s">
        <v>52</v>
      </c>
      <c r="I151" s="39" t="s">
        <v>1097</v>
      </c>
      <c r="J151" s="17">
        <f>IFerror(15/Shop_Max_HP,0)</f>
        <v>5</v>
      </c>
      <c r="K151" s="64" t="s">
        <v>1098</v>
      </c>
      <c r="L151" s="17">
        <f>IFERROR(-6/Shop_Atk_Spd,0)</f>
        <v>-1.2</v>
      </c>
      <c r="M151" s="59"/>
      <c r="N151" s="17"/>
      <c r="O151" s="17"/>
      <c r="P151" s="17"/>
      <c r="Q151" s="17"/>
      <c r="R151" s="17"/>
      <c r="S151" s="17">
        <f>Shop_Inflated_Price*W151/$E151*100</f>
        <v>4.610459087</v>
      </c>
      <c r="T151" s="17">
        <f>Shop_Inflated_Price*X151/$E151*100</f>
        <v>4.610459087</v>
      </c>
      <c r="U151" s="17">
        <f>Shop_Inflated_Price*Y151/$E151*100</f>
        <v>-1.455934448</v>
      </c>
      <c r="V151" s="54"/>
      <c r="W151" s="17">
        <f t="shared" si="41"/>
        <v>3.8</v>
      </c>
      <c r="X151" s="17">
        <f>J151+L151</f>
        <v>3.8</v>
      </c>
      <c r="Y151" s="17">
        <f>L151+N151</f>
        <v>-1.2</v>
      </c>
      <c r="Z151" s="18"/>
      <c r="AA151" s="386"/>
      <c r="AB151" s="386"/>
      <c r="AC151" s="386"/>
      <c r="AD151" s="386"/>
      <c r="AE151" s="386"/>
      <c r="AF151" s="386"/>
    </row>
    <row r="152" ht="15.75" customHeight="1">
      <c r="A152" s="387" t="s">
        <v>1102</v>
      </c>
      <c r="B152" s="27">
        <v>3.0</v>
      </c>
      <c r="C152" s="27" t="s">
        <v>41</v>
      </c>
      <c r="D152" s="51">
        <v>70.0</v>
      </c>
      <c r="E152" s="28">
        <f>ROUNDDOWN(Shop_Endless_Factor*Shop_Price_Modifier*(D152*Shop_Weapon_Price+(0.1*D152*Shop_Weapon_Price+1)*(Shop_Wave)),0)</f>
        <v>150</v>
      </c>
      <c r="F152" s="63">
        <f>IF('数值设定'!$D$4="默认",U152,S152)</f>
        <v>8.978262432</v>
      </c>
      <c r="G152" s="388" t="s">
        <v>1105</v>
      </c>
      <c r="H152" s="35" t="s">
        <v>52</v>
      </c>
      <c r="I152" s="64" t="s">
        <v>511</v>
      </c>
      <c r="J152" s="17">
        <f>IFerror(10/Shop_Engineering,0)</f>
        <v>6.666666667</v>
      </c>
      <c r="K152" s="17" t="s">
        <v>564</v>
      </c>
      <c r="L152" s="17">
        <f>IFERROR(-1/Shop_Ranged_Dmg,0)</f>
        <v>-1</v>
      </c>
      <c r="M152" s="17" t="s">
        <v>555</v>
      </c>
      <c r="N152" s="17">
        <f>IFERROR(-1/Shop_Melee_Dmg,0)</f>
        <v>-0.5</v>
      </c>
      <c r="O152" s="17"/>
      <c r="P152" s="17"/>
      <c r="Q152" s="17"/>
      <c r="R152" s="17"/>
      <c r="S152" s="17">
        <f>Shop_Inflated_Price*W152/$E152*100</f>
        <v>7.522327984</v>
      </c>
      <c r="T152" s="17">
        <f>Shop_Inflated_Price*X152/$E152*100</f>
        <v>9.706229656</v>
      </c>
      <c r="U152" s="17">
        <f>Shop_Inflated_Price*Y152/$E152*100</f>
        <v>8.978262432</v>
      </c>
      <c r="V152" s="54" t="s">
        <v>1108</v>
      </c>
      <c r="W152" s="17">
        <f t="shared" si="41"/>
        <v>5.166666667</v>
      </c>
      <c r="X152" s="17">
        <f t="shared" ref="X152:X153" si="43">J152</f>
        <v>6.666666667</v>
      </c>
      <c r="Y152" s="17">
        <f>J152+N152</f>
        <v>6.166666667</v>
      </c>
      <c r="Z152" s="18"/>
      <c r="AA152" s="18"/>
      <c r="AB152" s="18"/>
      <c r="AC152" s="18"/>
      <c r="AD152" s="18"/>
      <c r="AE152" s="18"/>
      <c r="AF152" s="18"/>
    </row>
    <row r="153" ht="15.75" customHeight="1">
      <c r="A153" s="24" t="s">
        <v>1111</v>
      </c>
      <c r="B153" s="27">
        <v>2.0</v>
      </c>
      <c r="C153" s="27" t="s">
        <v>41</v>
      </c>
      <c r="D153" s="28">
        <v>50.0</v>
      </c>
      <c r="E153" s="28">
        <f>ROUNDDOWN(Shop_Endless_Factor*Shop_Price_Modifier*(D153*Shop_Weapon_Price+(0.1*D153*Shop_Weapon_Price+1)*(Shop_Wave)),0)</f>
        <v>110</v>
      </c>
      <c r="F153" s="37">
        <f>IF('数值设定'!$D$4="默认",S153,S153)</f>
        <v>4.6325187</v>
      </c>
      <c r="G153" s="25"/>
      <c r="H153" s="35" t="s">
        <v>97</v>
      </c>
      <c r="I153" s="39" t="s">
        <v>1113</v>
      </c>
      <c r="J153" s="17">
        <f>IFerror(10/Shop_Crit,0)</f>
        <v>3.333333333</v>
      </c>
      <c r="K153" s="17" t="s">
        <v>567</v>
      </c>
      <c r="L153" s="17">
        <f>IFERROR(-1/Shop_Armor,0)</f>
        <v>-1</v>
      </c>
      <c r="M153" s="17"/>
      <c r="N153" s="17"/>
      <c r="O153" s="17"/>
      <c r="P153" s="17"/>
      <c r="Q153" s="17"/>
      <c r="R153" s="17"/>
      <c r="S153" s="17">
        <f>Shop_Inflated_Price*W153/$E153*100</f>
        <v>4.6325187</v>
      </c>
      <c r="T153" s="17">
        <f>Shop_Inflated_Price*X153/$E153*100</f>
        <v>6.617883857</v>
      </c>
      <c r="U153" s="17"/>
      <c r="V153" s="47"/>
      <c r="W153" s="17">
        <f t="shared" si="41"/>
        <v>2.333333333</v>
      </c>
      <c r="X153" s="17">
        <f t="shared" si="43"/>
        <v>3.333333333</v>
      </c>
      <c r="Y153" s="17"/>
      <c r="Z153" s="18"/>
      <c r="AA153" s="18"/>
      <c r="AB153" s="18"/>
      <c r="AC153" s="18"/>
      <c r="AD153" s="18"/>
      <c r="AE153" s="18"/>
      <c r="AF153" s="18"/>
    </row>
    <row r="154" ht="15.75" customHeight="1">
      <c r="A154" s="50" t="s">
        <v>1117</v>
      </c>
      <c r="B154" s="27">
        <v>3.0</v>
      </c>
      <c r="C154" s="27" t="s">
        <v>41</v>
      </c>
      <c r="D154" s="51">
        <v>50.0</v>
      </c>
      <c r="E154" s="28">
        <f>ROUNDDOWN(Shop_Endless_Factor*Shop_Price_Modifier*(D154*Shop_Weapon_Price+(0.1*D154*Shop_Weapon_Price+1)*(Shop_Wave)),0)</f>
        <v>110</v>
      </c>
      <c r="F154" s="75"/>
      <c r="G154" s="27" t="s">
        <v>150</v>
      </c>
      <c r="H154" s="35" t="s">
        <v>89</v>
      </c>
      <c r="I154" s="59"/>
      <c r="J154" s="17"/>
      <c r="K154" s="27"/>
      <c r="L154" s="17"/>
      <c r="M154" s="17"/>
      <c r="N154" s="17"/>
      <c r="O154" s="17"/>
      <c r="P154" s="17"/>
      <c r="Q154" s="17"/>
      <c r="R154" s="17"/>
      <c r="S154" s="17"/>
      <c r="T154" s="17"/>
      <c r="U154" s="17"/>
      <c r="V154" s="54"/>
      <c r="W154" s="17"/>
      <c r="X154" s="17"/>
      <c r="Y154" s="17"/>
      <c r="Z154" s="18"/>
      <c r="AA154" s="18"/>
      <c r="AB154" s="18"/>
      <c r="AC154" s="18"/>
      <c r="AD154" s="18"/>
      <c r="AE154" s="18"/>
      <c r="AF154" s="18"/>
    </row>
    <row r="155" ht="15.75" customHeight="1">
      <c r="A155" s="389" t="s">
        <v>497</v>
      </c>
      <c r="B155" s="390">
        <v>2.0</v>
      </c>
      <c r="C155" s="27" t="s">
        <v>41</v>
      </c>
      <c r="D155" s="391">
        <v>35.0</v>
      </c>
      <c r="E155" s="28">
        <f>ROUNDDOWN(Shop_Endless_Factor*Shop_Price_Modifier*(D155*Shop_Weapon_Price+(0.1*D155*Shop_Weapon_Price+1)*(Shop_Wave)),0)</f>
        <v>80</v>
      </c>
      <c r="F155" s="392">
        <f>IF('数值设定'!$D$4="默认",T155,S155)</f>
        <v>2.729877091</v>
      </c>
      <c r="G155" s="390" t="s">
        <v>678</v>
      </c>
      <c r="H155" s="35" t="s">
        <v>70</v>
      </c>
      <c r="I155" s="64" t="s">
        <v>397</v>
      </c>
      <c r="J155" s="17">
        <f>IFERROR(3/Shop_Crit,0)</f>
        <v>1</v>
      </c>
      <c r="K155" s="393"/>
      <c r="L155" s="393"/>
      <c r="M155" s="393"/>
      <c r="N155" s="393"/>
      <c r="O155" s="393"/>
      <c r="P155" s="393"/>
      <c r="Q155" s="393"/>
      <c r="R155" s="393"/>
      <c r="S155" s="392">
        <f>Shop_Inflated_Price*W155/$E155*100</f>
        <v>2.729877091</v>
      </c>
      <c r="T155" s="392">
        <f>Shop_Inflated_Price*X155/$E155*100</f>
        <v>2.729877091</v>
      </c>
      <c r="U155" s="393"/>
      <c r="V155" s="394"/>
      <c r="W155" s="393">
        <f t="shared" ref="W155:W161" si="44">J155+L155+N155+P155</f>
        <v>1</v>
      </c>
      <c r="X155" s="393">
        <f>J155+L155</f>
        <v>1</v>
      </c>
      <c r="Y155" s="393"/>
      <c r="Z155" s="18"/>
      <c r="AA155" s="22"/>
      <c r="AB155" s="18"/>
      <c r="AC155" s="18"/>
      <c r="AD155" s="18"/>
      <c r="AE155" s="18"/>
      <c r="AF155" s="18"/>
    </row>
    <row r="156" ht="15.75" customHeight="1">
      <c r="A156" s="24" t="s">
        <v>1124</v>
      </c>
      <c r="B156" s="27">
        <v>1.0</v>
      </c>
      <c r="C156" s="27" t="s">
        <v>41</v>
      </c>
      <c r="D156" s="28">
        <v>15.0</v>
      </c>
      <c r="E156" s="28">
        <f>ROUNDDOWN(Shop_Endless_Factor*Shop_Price_Modifier*(D156*Shop_Weapon_Price+(0.1*D156*Shop_Weapon_Price+1)*(Shop_Wave)),0)</f>
        <v>40</v>
      </c>
      <c r="F156" s="37">
        <f>IF('数值设定'!$D$4="默认",S156,S156)</f>
        <v>3.639836121</v>
      </c>
      <c r="G156" s="25"/>
      <c r="H156" s="35" t="s">
        <v>97</v>
      </c>
      <c r="I156" s="39" t="s">
        <v>176</v>
      </c>
      <c r="J156" s="17">
        <f>IFerror(4/Shop_Speed,0)</f>
        <v>1.333333333</v>
      </c>
      <c r="K156" s="35" t="s">
        <v>1126</v>
      </c>
      <c r="L156" s="17">
        <f>IFERROR(-5/Shop_Luck,0)</f>
        <v>-0.6666666667</v>
      </c>
      <c r="M156" s="17"/>
      <c r="N156" s="17"/>
      <c r="O156" s="17"/>
      <c r="P156" s="17"/>
      <c r="Q156" s="17"/>
      <c r="R156" s="17"/>
      <c r="S156" s="17">
        <f>Shop_Inflated_Price*W156/$E156*100</f>
        <v>3.639836121</v>
      </c>
      <c r="T156" s="17">
        <f>Shop_Inflated_Price*X156/$E156*100</f>
        <v>7.279672242</v>
      </c>
      <c r="U156" s="17"/>
      <c r="V156" s="67"/>
      <c r="W156" s="17">
        <f t="shared" si="44"/>
        <v>0.6666666667</v>
      </c>
      <c r="X156" s="17">
        <f t="shared" ref="X156:X157" si="45">J156</f>
        <v>1.333333333</v>
      </c>
      <c r="Y156" s="17"/>
      <c r="Z156" s="18"/>
      <c r="AA156" s="22"/>
      <c r="AB156" s="18"/>
      <c r="AC156" s="18"/>
      <c r="AD156" s="18"/>
      <c r="AE156" s="18"/>
      <c r="AF156" s="18"/>
    </row>
    <row r="157" ht="15.75" customHeight="1">
      <c r="A157" s="24" t="s">
        <v>1129</v>
      </c>
      <c r="B157" s="27">
        <v>3.0</v>
      </c>
      <c r="C157" s="27" t="s">
        <v>41</v>
      </c>
      <c r="D157" s="28">
        <v>55.0</v>
      </c>
      <c r="E157" s="28">
        <f>ROUNDDOWN(Shop_Endless_Factor*Shop_Price_Modifier*(D157*Shop_Weapon_Price+(0.1*D157*Shop_Weapon_Price+1)*(Shop_Wave)),0)</f>
        <v>120</v>
      </c>
      <c r="F157" s="56">
        <f>IF('数值设定'!$D$4="默认",T157,S157)</f>
        <v>7.279672242</v>
      </c>
      <c r="G157" s="27" t="s">
        <v>287</v>
      </c>
      <c r="H157" s="35" t="s">
        <v>70</v>
      </c>
      <c r="I157" s="39" t="s">
        <v>1132</v>
      </c>
      <c r="J157" s="17">
        <f>IFerror(6/Shop_Engineering,0)</f>
        <v>4</v>
      </c>
      <c r="K157" s="35" t="s">
        <v>1133</v>
      </c>
      <c r="L157" s="17">
        <f>IFERROR(-8/Shop_Atk_Spd,0)</f>
        <v>-1.6</v>
      </c>
      <c r="M157" s="17"/>
      <c r="N157" s="17"/>
      <c r="O157" s="17"/>
      <c r="P157" s="17"/>
      <c r="Q157" s="17"/>
      <c r="R157" s="17"/>
      <c r="S157" s="17">
        <f>Shop_Inflated_Price*W157/$E157*100</f>
        <v>4.367803345</v>
      </c>
      <c r="T157" s="17">
        <f>Shop_Inflated_Price*X157/$E157*100</f>
        <v>7.279672242</v>
      </c>
      <c r="U157" s="17"/>
      <c r="V157" s="47"/>
      <c r="W157" s="17">
        <f t="shared" si="44"/>
        <v>2.4</v>
      </c>
      <c r="X157" s="17">
        <f t="shared" si="45"/>
        <v>4</v>
      </c>
      <c r="Y157" s="17"/>
      <c r="Z157" s="18"/>
      <c r="AA157" s="18"/>
      <c r="AB157" s="18"/>
      <c r="AC157" s="18"/>
      <c r="AD157" s="18"/>
      <c r="AE157" s="18"/>
      <c r="AF157" s="18"/>
    </row>
    <row r="158" ht="15.75" customHeight="1">
      <c r="A158" s="24" t="s">
        <v>1136</v>
      </c>
      <c r="B158" s="27">
        <v>4.0</v>
      </c>
      <c r="C158" s="27" t="s">
        <v>41</v>
      </c>
      <c r="D158" s="51">
        <v>100.0</v>
      </c>
      <c r="E158" s="28">
        <f>ROUNDDOWN(Shop_Endless_Factor*Shop_Price_Modifier*(D158*Shop_Weapon_Price+(0.1*D158*Shop_Weapon_Price+1)*(Shop_Wave)),0)</f>
        <v>210</v>
      </c>
      <c r="F158" s="53">
        <f>IF('数值设定'!$D$4="默认",S158,S158)</f>
        <v>28.07873579</v>
      </c>
      <c r="G158" s="64" t="s">
        <v>1138</v>
      </c>
      <c r="H158" s="35" t="s">
        <v>89</v>
      </c>
      <c r="I158" s="39" t="s">
        <v>1139</v>
      </c>
      <c r="J158" s="17">
        <f>IFerror(15/Shop_Max_HP,0)</f>
        <v>5</v>
      </c>
      <c r="K158" s="35" t="s">
        <v>1141</v>
      </c>
      <c r="L158" s="17">
        <f>IFERROR(44/Shop_HP_Regen,0)</f>
        <v>22</v>
      </c>
      <c r="M158" s="17"/>
      <c r="N158" s="17"/>
      <c r="O158" s="17"/>
      <c r="P158" s="17"/>
      <c r="Q158" s="17"/>
      <c r="R158" s="17"/>
      <c r="S158" s="17">
        <f>Shop_Inflated_Price*W158/$E158*100</f>
        <v>28.07873579</v>
      </c>
      <c r="T158" s="17">
        <f>Shop_Inflated_Price*X158/$E158*100</f>
        <v>28.07873579</v>
      </c>
      <c r="U158" s="17"/>
      <c r="V158" s="395"/>
      <c r="W158" s="17">
        <f t="shared" si="44"/>
        <v>27</v>
      </c>
      <c r="X158" s="17">
        <f>J158+L158+N158</f>
        <v>27</v>
      </c>
      <c r="Y158" s="17"/>
      <c r="Z158" s="18"/>
      <c r="AA158" s="18"/>
      <c r="AB158" s="18"/>
      <c r="AC158" s="18"/>
      <c r="AD158" s="18"/>
      <c r="AE158" s="18"/>
      <c r="AF158" s="18"/>
    </row>
    <row r="159" ht="15.75" customHeight="1">
      <c r="A159" s="24" t="s">
        <v>1145</v>
      </c>
      <c r="B159" s="27">
        <v>1.0</v>
      </c>
      <c r="C159" s="27" t="s">
        <v>41</v>
      </c>
      <c r="D159" s="28">
        <v>20.0</v>
      </c>
      <c r="E159" s="28">
        <f>ROUNDDOWN(Shop_Endless_Factor*Shop_Price_Modifier*(D159*Shop_Weapon_Price+(0.1*D159*Shop_Weapon_Price+1)*(Shop_Wave)),0)</f>
        <v>50</v>
      </c>
      <c r="F159" s="56">
        <f>IF('数值设定'!$D$4="默认",S159,S159)</f>
        <v>5.823737794</v>
      </c>
      <c r="G159" s="25"/>
      <c r="H159" s="35" t="s">
        <v>70</v>
      </c>
      <c r="I159" s="39" t="s">
        <v>243</v>
      </c>
      <c r="J159" s="17">
        <f>IFerror(2/Shop_Elemental_DMG,0)</f>
        <v>2</v>
      </c>
      <c r="K159" s="17" t="s">
        <v>59</v>
      </c>
      <c r="L159" s="17">
        <f>IFERROR(-2/Shop_Dodge,0)</f>
        <v>-0.6666666667</v>
      </c>
      <c r="M159" s="17"/>
      <c r="N159" s="17"/>
      <c r="O159" s="17"/>
      <c r="P159" s="17"/>
      <c r="Q159" s="17"/>
      <c r="R159" s="17"/>
      <c r="S159" s="17">
        <f>Shop_Inflated_Price*W159/$E159*100</f>
        <v>5.823737794</v>
      </c>
      <c r="T159" s="17">
        <f>Shop_Inflated_Price*X159/$E159*100</f>
        <v>8.735606691</v>
      </c>
      <c r="U159" s="17"/>
      <c r="V159" s="47"/>
      <c r="W159" s="17">
        <f t="shared" si="44"/>
        <v>1.333333333</v>
      </c>
      <c r="X159" s="17">
        <f t="shared" ref="X159:X160" si="46">J159</f>
        <v>2</v>
      </c>
      <c r="Y159" s="17"/>
      <c r="Z159" s="18"/>
      <c r="AA159" s="18"/>
      <c r="AB159" s="18"/>
      <c r="AC159" s="18"/>
      <c r="AD159" s="18"/>
      <c r="AE159" s="18"/>
      <c r="AF159" s="18"/>
    </row>
    <row r="160" ht="15.75" customHeight="1">
      <c r="A160" s="24" t="s">
        <v>1149</v>
      </c>
      <c r="B160" s="27">
        <v>3.0</v>
      </c>
      <c r="C160" s="27" t="s">
        <v>41</v>
      </c>
      <c r="D160" s="28">
        <v>70.0</v>
      </c>
      <c r="E160" s="28">
        <f>ROUNDDOWN(Shop_Endless_Factor*Shop_Price_Modifier*(D160*Shop_Weapon_Price+(0.1*D160*Shop_Weapon_Price+1)*(Shop_Wave)),0)</f>
        <v>150</v>
      </c>
      <c r="F160" s="53">
        <f>IF('数值设定'!$D$4="默认",S160,S160)</f>
        <v>11.64747559</v>
      </c>
      <c r="G160" s="25"/>
      <c r="H160" s="35" t="s">
        <v>145</v>
      </c>
      <c r="I160" s="39" t="s">
        <v>205</v>
      </c>
      <c r="J160" s="17">
        <f>IFerror(40/Shop_Harvesting,0)</f>
        <v>10</v>
      </c>
      <c r="K160" s="17" t="s">
        <v>782</v>
      </c>
      <c r="L160" s="17">
        <f>IFERROR(-8/Shop_Dmg,0)</f>
        <v>-2</v>
      </c>
      <c r="M160" s="17"/>
      <c r="N160" s="17"/>
      <c r="O160" s="17"/>
      <c r="P160" s="17"/>
      <c r="Q160" s="17"/>
      <c r="R160" s="17"/>
      <c r="S160" s="17">
        <f>Shop_Inflated_Price*W160/$E160*100</f>
        <v>11.64747559</v>
      </c>
      <c r="T160" s="17">
        <f>Shop_Inflated_Price*X160/$E160*100</f>
        <v>14.55934448</v>
      </c>
      <c r="U160" s="17"/>
      <c r="V160" s="67"/>
      <c r="W160" s="17">
        <f t="shared" si="44"/>
        <v>8</v>
      </c>
      <c r="X160" s="17">
        <f t="shared" si="46"/>
        <v>10</v>
      </c>
      <c r="Y160" s="17"/>
      <c r="Z160" s="18"/>
      <c r="AA160" s="18"/>
      <c r="AB160" s="18"/>
      <c r="AC160" s="18"/>
      <c r="AD160" s="18"/>
      <c r="AE160" s="18"/>
      <c r="AF160" s="18"/>
    </row>
    <row r="161" ht="15.75" customHeight="1">
      <c r="A161" s="24" t="s">
        <v>1153</v>
      </c>
      <c r="B161" s="27">
        <v>3.0</v>
      </c>
      <c r="C161" s="27" t="s">
        <v>41</v>
      </c>
      <c r="D161" s="28">
        <v>65.0</v>
      </c>
      <c r="E161" s="28">
        <f>ROUNDDOWN(Shop_Endless_Factor*Shop_Price_Modifier*(D161*Shop_Weapon_Price+(0.1*D161*Shop_Weapon_Price+1)*(Shop_Wave)),0)</f>
        <v>140</v>
      </c>
      <c r="F161" s="94">
        <f>IF('数值设定'!$D$4="默认",S161,S161)</f>
        <v>9.359578597</v>
      </c>
      <c r="G161" s="25" t="s">
        <v>1156</v>
      </c>
      <c r="H161" s="35" t="s">
        <v>89</v>
      </c>
      <c r="I161" s="314" t="s">
        <v>226</v>
      </c>
      <c r="J161" s="17">
        <f>IFerror(20/Shop_Dmg,0)</f>
        <v>5</v>
      </c>
      <c r="K161" s="64" t="s">
        <v>515</v>
      </c>
      <c r="L161" s="17">
        <f>IFERROR(1/Shop_Armor,0)</f>
        <v>1</v>
      </c>
      <c r="M161" s="17"/>
      <c r="N161" s="17"/>
      <c r="O161" s="17"/>
      <c r="P161" s="17"/>
      <c r="Q161" s="17"/>
      <c r="R161" s="17"/>
      <c r="S161" s="17">
        <f>Shop_Inflated_Price*W161/$E161*100</f>
        <v>9.359578597</v>
      </c>
      <c r="T161" s="17">
        <f>Shop_Inflated_Price*X161/$E161*100</f>
        <v>9.359578597</v>
      </c>
      <c r="U161" s="17"/>
      <c r="V161" s="47"/>
      <c r="W161" s="17">
        <f t="shared" si="44"/>
        <v>6</v>
      </c>
      <c r="X161" s="17">
        <f>J161+L161+N161</f>
        <v>6</v>
      </c>
      <c r="Y161" s="17"/>
      <c r="Z161" s="18"/>
      <c r="AA161" s="18"/>
      <c r="AB161" s="18"/>
      <c r="AC161" s="18"/>
      <c r="AD161" s="18"/>
      <c r="AE161" s="18"/>
      <c r="AF161" s="18"/>
    </row>
    <row r="162" ht="15.75" customHeight="1">
      <c r="A162" s="50" t="s">
        <v>1161</v>
      </c>
      <c r="B162" s="27">
        <v>1.0</v>
      </c>
      <c r="C162" s="27" t="s">
        <v>41</v>
      </c>
      <c r="D162" s="51">
        <v>15.0</v>
      </c>
      <c r="E162" s="28">
        <f>ROUNDDOWN(Shop_Endless_Factor*Shop_Price_Modifier*(D162*Shop_Weapon_Price+(0.1*D162*Shop_Weapon_Price+1)*(Shop_Wave)),0)</f>
        <v>40</v>
      </c>
      <c r="F162" s="91"/>
      <c r="G162" s="27" t="s">
        <v>150</v>
      </c>
      <c r="H162" s="35" t="s">
        <v>97</v>
      </c>
      <c r="I162" s="59"/>
      <c r="J162" s="17"/>
      <c r="K162" s="27"/>
      <c r="L162" s="17"/>
      <c r="M162" s="17"/>
      <c r="N162" s="17"/>
      <c r="O162" s="17"/>
      <c r="P162" s="17"/>
      <c r="Q162" s="17"/>
      <c r="R162" s="17"/>
      <c r="S162" s="17"/>
      <c r="T162" s="17"/>
      <c r="U162" s="17"/>
      <c r="V162" s="47"/>
      <c r="W162" s="17"/>
      <c r="X162" s="17"/>
      <c r="Y162" s="17"/>
      <c r="Z162" s="18"/>
      <c r="AA162" s="18"/>
      <c r="AB162" s="18"/>
      <c r="AC162" s="18"/>
      <c r="AD162" s="18"/>
      <c r="AE162" s="18"/>
      <c r="AF162" s="18"/>
    </row>
    <row r="163" ht="15.75" customHeight="1">
      <c r="A163" s="50" t="s">
        <v>1163</v>
      </c>
      <c r="B163" s="27">
        <v>3.0</v>
      </c>
      <c r="C163" s="27" t="s">
        <v>41</v>
      </c>
      <c r="D163" s="51">
        <v>75.0</v>
      </c>
      <c r="E163" s="28">
        <f>ROUNDDOWN(Shop_Endless_Factor*Shop_Price_Modifier*(D163*Shop_Weapon_Price+(0.1*D163*Shop_Weapon_Price+1)*(Shop_Wave)),0)</f>
        <v>160</v>
      </c>
      <c r="F163" s="75"/>
      <c r="G163" s="27" t="s">
        <v>150</v>
      </c>
      <c r="H163" s="35" t="s">
        <v>97</v>
      </c>
      <c r="I163" s="59"/>
      <c r="J163" s="17"/>
      <c r="K163" s="27"/>
      <c r="L163" s="17"/>
      <c r="M163" s="17"/>
      <c r="N163" s="17"/>
      <c r="O163" s="17"/>
      <c r="P163" s="17"/>
      <c r="Q163" s="17"/>
      <c r="R163" s="17"/>
      <c r="S163" s="17"/>
      <c r="T163" s="17"/>
      <c r="U163" s="17"/>
      <c r="V163" s="47"/>
      <c r="W163" s="17"/>
      <c r="X163" s="17"/>
      <c r="Y163" s="17"/>
      <c r="Z163" s="18"/>
      <c r="AA163" s="18"/>
      <c r="AB163" s="18"/>
      <c r="AC163" s="18"/>
      <c r="AD163" s="18"/>
      <c r="AE163" s="18"/>
      <c r="AF163" s="18"/>
    </row>
    <row r="164" ht="15.75" customHeight="1">
      <c r="A164" s="50" t="s">
        <v>1165</v>
      </c>
      <c r="B164" s="27">
        <v>1.0</v>
      </c>
      <c r="C164" s="27" t="s">
        <v>41</v>
      </c>
      <c r="D164" s="51">
        <v>25.0</v>
      </c>
      <c r="E164" s="28">
        <f>ROUNDDOWN(Shop_Endless_Factor*Shop_Price_Modifier*(D164*Shop_Weapon_Price+(0.1*D164*Shop_Weapon_Price+1)*(Shop_Wave)),0)</f>
        <v>60</v>
      </c>
      <c r="F164" s="91"/>
      <c r="G164" s="27" t="s">
        <v>150</v>
      </c>
      <c r="H164" s="35" t="s">
        <v>70</v>
      </c>
      <c r="I164" s="59"/>
      <c r="J164" s="17"/>
      <c r="K164" s="27"/>
      <c r="L164" s="17"/>
      <c r="M164" s="17"/>
      <c r="N164" s="17"/>
      <c r="O164" s="17"/>
      <c r="P164" s="17"/>
      <c r="Q164" s="17"/>
      <c r="R164" s="17"/>
      <c r="S164" s="17"/>
      <c r="T164" s="17"/>
      <c r="U164" s="17"/>
      <c r="V164" s="47"/>
      <c r="W164" s="17"/>
      <c r="X164" s="17"/>
      <c r="Y164" s="17"/>
      <c r="Z164" s="18"/>
      <c r="AA164" s="18"/>
      <c r="AB164" s="18"/>
      <c r="AC164" s="18"/>
      <c r="AD164" s="18"/>
      <c r="AE164" s="18"/>
      <c r="AF164" s="18"/>
    </row>
    <row r="165" ht="15.75" customHeight="1">
      <c r="A165" s="50" t="s">
        <v>1167</v>
      </c>
      <c r="B165" s="27">
        <v>3.0</v>
      </c>
      <c r="C165" s="27" t="s">
        <v>41</v>
      </c>
      <c r="D165" s="51">
        <v>92.0</v>
      </c>
      <c r="E165" s="28">
        <f>ROUNDDOWN(Shop_Endless_Factor*Shop_Price_Modifier*(D165*Shop_Weapon_Price+(0.1*D165*Shop_Weapon_Price+1)*(Shop_Wave)),0)</f>
        <v>194</v>
      </c>
      <c r="F165" s="56">
        <f>IF('数值设定'!$D$4="默认",T165,S165)</f>
        <v>7.598626954</v>
      </c>
      <c r="G165" s="27" t="s">
        <v>1170</v>
      </c>
      <c r="H165" s="35" t="s">
        <v>97</v>
      </c>
      <c r="I165" s="59" t="s">
        <v>1171</v>
      </c>
      <c r="J165" s="17">
        <f>IFerror(3*Max(19-Shop_Wave,0)/Shop_Dmg,0)</f>
        <v>6.75</v>
      </c>
      <c r="K165" s="17"/>
      <c r="L165" s="17"/>
      <c r="M165" s="17"/>
      <c r="N165" s="17"/>
      <c r="O165" s="17"/>
      <c r="P165" s="17"/>
      <c r="Q165" s="17"/>
      <c r="R165" s="17"/>
      <c r="S165" s="17">
        <f>Shop_Inflated_Price*W165/$E165*100</f>
        <v>7.598626954</v>
      </c>
      <c r="T165" s="17">
        <f>Shop_Inflated_Price*X165/$E165*100</f>
        <v>7.598626954</v>
      </c>
      <c r="U165" s="17"/>
      <c r="V165" s="67"/>
      <c r="W165" s="17">
        <f>J165+L165+N165+P165</f>
        <v>6.75</v>
      </c>
      <c r="X165" s="17">
        <f>J165+L165+N165</f>
        <v>6.75</v>
      </c>
      <c r="Y165" s="17"/>
      <c r="Z165" s="18"/>
      <c r="AA165" s="18"/>
      <c r="AB165" s="18"/>
      <c r="AC165" s="18"/>
      <c r="AD165" s="18"/>
      <c r="AE165" s="18"/>
      <c r="AF165" s="18"/>
    </row>
    <row r="166" ht="15.75" customHeight="1">
      <c r="A166" s="50" t="s">
        <v>1176</v>
      </c>
      <c r="B166" s="27">
        <v>3.0</v>
      </c>
      <c r="C166" s="27" t="s">
        <v>41</v>
      </c>
      <c r="D166" s="51">
        <v>60.0</v>
      </c>
      <c r="E166" s="28">
        <f>ROUNDDOWN(Shop_Endless_Factor*Shop_Price_Modifier*(D166*Shop_Weapon_Price+(0.1*D166*Shop_Weapon_Price+1)*(Shop_Wave)),0)</f>
        <v>130</v>
      </c>
      <c r="F166" s="383"/>
      <c r="G166" s="27" t="s">
        <v>150</v>
      </c>
      <c r="H166" s="35" t="s">
        <v>89</v>
      </c>
      <c r="I166" s="59"/>
      <c r="J166" s="17"/>
      <c r="K166" s="27"/>
      <c r="L166" s="17"/>
      <c r="M166" s="17"/>
      <c r="N166" s="17"/>
      <c r="O166" s="17"/>
      <c r="P166" s="17"/>
      <c r="Q166" s="17"/>
      <c r="R166" s="17"/>
      <c r="S166" s="17"/>
      <c r="T166" s="17"/>
      <c r="U166" s="17"/>
      <c r="V166" s="47"/>
      <c r="W166" s="17"/>
      <c r="X166" s="17"/>
      <c r="Y166" s="17"/>
      <c r="Z166" s="18"/>
      <c r="AA166" s="18"/>
      <c r="AB166" s="18"/>
      <c r="AC166" s="18"/>
      <c r="AD166" s="18"/>
      <c r="AE166" s="18"/>
      <c r="AF166" s="18"/>
    </row>
    <row r="167" ht="15.75" customHeight="1">
      <c r="A167" s="24" t="s">
        <v>1178</v>
      </c>
      <c r="B167" s="27">
        <v>3.0</v>
      </c>
      <c r="C167" s="27" t="s">
        <v>41</v>
      </c>
      <c r="D167" s="28">
        <v>80.0</v>
      </c>
      <c r="E167" s="28">
        <f>ROUNDDOWN(Shop_Endless_Factor*Shop_Price_Modifier*(D167*Shop_Weapon_Price+(0.1*D167*Shop_Weapon_Price+1)*(Shop_Wave)),0)</f>
        <v>170</v>
      </c>
      <c r="F167" s="63">
        <f>IF('数值设定'!$D$4="默认",S167,S167)</f>
        <v>3.853944128</v>
      </c>
      <c r="G167" s="25"/>
      <c r="H167" s="35" t="s">
        <v>97</v>
      </c>
      <c r="I167" s="39" t="s">
        <v>532</v>
      </c>
      <c r="J167" s="17">
        <f>IFerror(5/Shop_Max_HP,0)</f>
        <v>1.666666667</v>
      </c>
      <c r="K167" s="64" t="s">
        <v>536</v>
      </c>
      <c r="L167" s="17">
        <f>IFERROR(3/Shop_Armor,0)</f>
        <v>3</v>
      </c>
      <c r="M167" s="17" t="s">
        <v>170</v>
      </c>
      <c r="N167" s="17">
        <f>IFERROR(-5/Shop_Speed,0)</f>
        <v>-1.666666667</v>
      </c>
      <c r="O167" s="17"/>
      <c r="P167" s="17"/>
      <c r="Q167" s="17"/>
      <c r="R167" s="17"/>
      <c r="S167" s="17">
        <f>Shop_Inflated_Price*W167/$E167*100</f>
        <v>3.853944128</v>
      </c>
      <c r="T167" s="17">
        <f>Shop_Inflated_Price*X167/$E167*100</f>
        <v>5.995024199</v>
      </c>
      <c r="U167" s="17"/>
      <c r="V167" s="67"/>
      <c r="W167" s="17">
        <f>J167+L167+N167+P167</f>
        <v>3</v>
      </c>
      <c r="X167" s="17">
        <f>J167+L167</f>
        <v>4.666666667</v>
      </c>
      <c r="Y167" s="17"/>
      <c r="Z167" s="18"/>
      <c r="AA167" s="18"/>
      <c r="AB167" s="18"/>
      <c r="AC167" s="18"/>
      <c r="AD167" s="18"/>
      <c r="AE167" s="18"/>
      <c r="AF167" s="18"/>
    </row>
    <row r="168" ht="15.75" customHeight="1">
      <c r="A168" s="50" t="s">
        <v>1185</v>
      </c>
      <c r="B168" s="27">
        <v>1.0</v>
      </c>
      <c r="C168" s="27" t="s">
        <v>41</v>
      </c>
      <c r="D168" s="51">
        <v>20.0</v>
      </c>
      <c r="E168" s="28">
        <f>ROUNDDOWN(Shop_Endless_Factor*Shop_Price_Modifier*(D168*Shop_Weapon_Price+(0.1*D168*Shop_Weapon_Price+1)*(Shop_Wave)),0)</f>
        <v>50</v>
      </c>
      <c r="F168" s="383"/>
      <c r="G168" s="27" t="s">
        <v>150</v>
      </c>
      <c r="H168" s="35" t="s">
        <v>70</v>
      </c>
      <c r="I168" s="59"/>
      <c r="J168" s="17"/>
      <c r="K168" s="27"/>
      <c r="L168" s="17"/>
      <c r="M168" s="17"/>
      <c r="N168" s="17"/>
      <c r="O168" s="17"/>
      <c r="P168" s="17"/>
      <c r="Q168" s="17"/>
      <c r="R168" s="17"/>
      <c r="S168" s="17"/>
      <c r="T168" s="17"/>
      <c r="U168" s="17"/>
      <c r="V168" s="47"/>
      <c r="W168" s="17"/>
      <c r="X168" s="17"/>
      <c r="Y168" s="17"/>
      <c r="Z168" s="394"/>
      <c r="AA168" s="394"/>
      <c r="AB168" s="394"/>
      <c r="AC168" s="394"/>
      <c r="AD168" s="394"/>
      <c r="AE168" s="394"/>
      <c r="AF168" s="394"/>
    </row>
    <row r="169" ht="15.75" customHeight="1">
      <c r="A169" s="24" t="s">
        <v>1188</v>
      </c>
      <c r="B169" s="27">
        <v>1.0</v>
      </c>
      <c r="C169" s="27" t="s">
        <v>41</v>
      </c>
      <c r="D169" s="28">
        <v>12.0</v>
      </c>
      <c r="E169" s="28">
        <f>ROUNDDOWN(Shop_Endless_Factor*Shop_Price_Modifier*(D169*Shop_Weapon_Price+(0.1*D169*Shop_Weapon_Price+1)*(Shop_Wave)),0)</f>
        <v>34</v>
      </c>
      <c r="F169" s="56">
        <f>IF('数值设定'!$D$4="默认",S169,S169)</f>
        <v>6.423240214</v>
      </c>
      <c r="G169" s="25" t="s">
        <v>1191</v>
      </c>
      <c r="H169" s="35" t="s">
        <v>89</v>
      </c>
      <c r="I169" s="39" t="s">
        <v>118</v>
      </c>
      <c r="J169" s="17">
        <f>IFerror(3/Shop_Max_HP,0)</f>
        <v>1</v>
      </c>
      <c r="K169" s="17"/>
      <c r="L169" s="17"/>
      <c r="M169" s="17"/>
      <c r="N169" s="17"/>
      <c r="O169" s="17"/>
      <c r="P169" s="17"/>
      <c r="Q169" s="17"/>
      <c r="R169" s="17"/>
      <c r="S169" s="17">
        <f>Shop_Inflated_Price*W169/$E169*100</f>
        <v>6.423240214</v>
      </c>
      <c r="T169" s="17">
        <f>Shop_Inflated_Price*X169/$E169*100</f>
        <v>6.423240214</v>
      </c>
      <c r="U169" s="17"/>
      <c r="V169" s="47"/>
      <c r="W169" s="17">
        <f t="shared" ref="W169:W178" si="47">J169+L169+N169+P169</f>
        <v>1</v>
      </c>
      <c r="X169" s="17">
        <f t="shared" ref="X169:X170" si="48">J169+L169+N169</f>
        <v>1</v>
      </c>
      <c r="Y169" s="17"/>
      <c r="Z169" s="18"/>
      <c r="AA169" s="18"/>
      <c r="AB169" s="18"/>
      <c r="AC169" s="18"/>
      <c r="AD169" s="18"/>
      <c r="AE169" s="18"/>
      <c r="AF169" s="18"/>
    </row>
    <row r="170" ht="15.75" customHeight="1">
      <c r="A170" s="24" t="s">
        <v>1198</v>
      </c>
      <c r="B170" s="27">
        <v>3.0</v>
      </c>
      <c r="C170" s="27" t="s">
        <v>41</v>
      </c>
      <c r="D170" s="28">
        <v>85.0</v>
      </c>
      <c r="E170" s="28">
        <f>ROUNDDOWN(Shop_Endless_Factor*Shop_Price_Modifier*(D170*Shop_Weapon_Price+(0.1*D170*Shop_Weapon_Price+1)*(Shop_Wave)),0)</f>
        <v>180</v>
      </c>
      <c r="F170" s="56">
        <f>IF('数值设定'!$D$4="默认",U170,S170)</f>
        <v>5.459754182</v>
      </c>
      <c r="G170" s="27" t="s">
        <v>1200</v>
      </c>
      <c r="H170" s="35" t="s">
        <v>97</v>
      </c>
      <c r="I170" s="39" t="s">
        <v>1201</v>
      </c>
      <c r="J170" s="17">
        <f>IFerror(4/Shop_Melee_Dmg,0)</f>
        <v>2</v>
      </c>
      <c r="K170" s="64" t="s">
        <v>1021</v>
      </c>
      <c r="L170" s="17">
        <f>IFERROR(2/Shop_Ranged_Dmg,0)</f>
        <v>2</v>
      </c>
      <c r="M170" s="64" t="s">
        <v>744</v>
      </c>
      <c r="N170" s="17">
        <f>IFERROR(10/Shop_Harvesting,0)</f>
        <v>2.5</v>
      </c>
      <c r="O170" s="17" t="s">
        <v>365</v>
      </c>
      <c r="P170" s="17">
        <f>IFERROR(-2/Shop_Elemental_DMG,0)</f>
        <v>-2</v>
      </c>
      <c r="Q170" s="17"/>
      <c r="R170" s="17"/>
      <c r="S170" s="17">
        <f>Shop_Inflated_Price*W170/$E170*100</f>
        <v>5.459754182</v>
      </c>
      <c r="T170" s="17">
        <f>Shop_Inflated_Price*X170/$E170*100</f>
        <v>7.886311596</v>
      </c>
      <c r="U170" s="17">
        <f>Shop_Inflated_Price*Y170/$E170*100</f>
        <v>5.459754182</v>
      </c>
      <c r="V170" s="67" t="s">
        <v>1202</v>
      </c>
      <c r="W170" s="17">
        <f t="shared" si="47"/>
        <v>4.5</v>
      </c>
      <c r="X170" s="17">
        <f t="shared" si="48"/>
        <v>6.5</v>
      </c>
      <c r="Y170" s="17">
        <f>J170+N170</f>
        <v>4.5</v>
      </c>
      <c r="Z170" s="18"/>
      <c r="AA170" s="18"/>
      <c r="AB170" s="18"/>
      <c r="AC170" s="18"/>
      <c r="AD170" s="18"/>
      <c r="AE170" s="18"/>
      <c r="AF170" s="18"/>
    </row>
    <row r="171" ht="15.75" customHeight="1">
      <c r="A171" s="24" t="s">
        <v>1203</v>
      </c>
      <c r="B171" s="27">
        <v>2.0</v>
      </c>
      <c r="C171" s="27" t="s">
        <v>41</v>
      </c>
      <c r="D171" s="28">
        <v>40.0</v>
      </c>
      <c r="E171" s="28">
        <f>ROUNDDOWN(Shop_Endless_Factor*Shop_Price_Modifier*(D171*Shop_Weapon_Price+(0.1*D171*Shop_Weapon_Price+1)*(Shop_Wave)),0)</f>
        <v>90</v>
      </c>
      <c r="F171" s="56">
        <f>IF('数值设定'!$D$4="默认",S171,S171)</f>
        <v>7.279672242</v>
      </c>
      <c r="G171" s="25"/>
      <c r="H171" s="35" t="s">
        <v>97</v>
      </c>
      <c r="I171" s="39" t="s">
        <v>1204</v>
      </c>
      <c r="J171" s="17">
        <f>IFerror(16/Shop_Harvesting,0)</f>
        <v>4</v>
      </c>
      <c r="K171" s="17" t="s">
        <v>567</v>
      </c>
      <c r="L171" s="17">
        <f>IFERROR(-1/Shop_Armor,0)</f>
        <v>-1</v>
      </c>
      <c r="M171" s="17"/>
      <c r="N171" s="17"/>
      <c r="O171" s="17"/>
      <c r="P171" s="17"/>
      <c r="Q171" s="17"/>
      <c r="R171" s="17"/>
      <c r="S171" s="17">
        <f>Shop_Inflated_Price*W171/$E171*100</f>
        <v>7.279672242</v>
      </c>
      <c r="T171" s="17">
        <f>Shop_Inflated_Price*X171/$E171*100</f>
        <v>9.706229656</v>
      </c>
      <c r="U171" s="17"/>
      <c r="V171" s="47"/>
      <c r="W171" s="17">
        <f t="shared" si="47"/>
        <v>3</v>
      </c>
      <c r="X171" s="17">
        <f>J171</f>
        <v>4</v>
      </c>
      <c r="Y171" s="17"/>
      <c r="Z171" s="18"/>
      <c r="AA171" s="18"/>
      <c r="AB171" s="18"/>
      <c r="AC171" s="18"/>
      <c r="AD171" s="18"/>
      <c r="AE171" s="18"/>
      <c r="AF171" s="18"/>
    </row>
    <row r="172" ht="15.75" customHeight="1">
      <c r="A172" s="24" t="s">
        <v>1205</v>
      </c>
      <c r="B172" s="27">
        <v>2.0</v>
      </c>
      <c r="C172" s="27" t="s">
        <v>41</v>
      </c>
      <c r="D172" s="28">
        <v>40.0</v>
      </c>
      <c r="E172" s="28">
        <f>ROUNDDOWN(Shop_Endless_Factor*Shop_Price_Modifier*(D172*Shop_Weapon_Price+(0.1*D172*Shop_Weapon_Price+1)*(Shop_Wave)),0)</f>
        <v>90</v>
      </c>
      <c r="F172" s="94">
        <f>IF('数值设定'!$D$4="默认",S172,S172)</f>
        <v>6.470819771</v>
      </c>
      <c r="G172" s="25" t="s">
        <v>1206</v>
      </c>
      <c r="H172" s="35" t="s">
        <v>70</v>
      </c>
      <c r="I172" s="39" t="s">
        <v>1207</v>
      </c>
      <c r="J172" s="17">
        <f>IFerror(4/Shop_Life_Steal,0)</f>
        <v>2.666666667</v>
      </c>
      <c r="K172" s="17"/>
      <c r="L172" s="17"/>
      <c r="M172" s="17"/>
      <c r="N172" s="17"/>
      <c r="O172" s="17"/>
      <c r="P172" s="17"/>
      <c r="Q172" s="17"/>
      <c r="R172" s="17"/>
      <c r="S172" s="17">
        <f>Shop_Inflated_Price*W172/$E172*100</f>
        <v>6.470819771</v>
      </c>
      <c r="T172" s="17">
        <f>Shop_Inflated_Price*X172/$E172*100</f>
        <v>6.470819771</v>
      </c>
      <c r="U172" s="17"/>
      <c r="V172" s="67"/>
      <c r="W172" s="17">
        <f t="shared" si="47"/>
        <v>2.666666667</v>
      </c>
      <c r="X172" s="17">
        <f>J172+L172+N172</f>
        <v>2.666666667</v>
      </c>
      <c r="Y172" s="17"/>
      <c r="Z172" s="18"/>
      <c r="AA172" s="18"/>
      <c r="AB172" s="18"/>
      <c r="AC172" s="18"/>
      <c r="AD172" s="18"/>
      <c r="AE172" s="18"/>
      <c r="AF172" s="18"/>
    </row>
    <row r="173" ht="15.75" customHeight="1">
      <c r="A173" s="50" t="s">
        <v>1208</v>
      </c>
      <c r="B173" s="27">
        <v>2.0</v>
      </c>
      <c r="C173" s="27" t="s">
        <v>41</v>
      </c>
      <c r="D173" s="51">
        <v>40.0</v>
      </c>
      <c r="E173" s="28">
        <f>ROUNDDOWN(Shop_Endless_Factor*Shop_Price_Modifier*(D173*Shop_Weapon_Price+(0.1*D173*Shop_Weapon_Price+1)*(Shop_Wave)),0)</f>
        <v>90</v>
      </c>
      <c r="F173" s="63">
        <f>IF('数值设定'!$D$4="默认",T173,S173)</f>
        <v>3.033196768</v>
      </c>
      <c r="G173" s="27" t="s">
        <v>1209</v>
      </c>
      <c r="H173" s="35" t="s">
        <v>89</v>
      </c>
      <c r="I173" s="39" t="s">
        <v>1210</v>
      </c>
      <c r="J173" s="17">
        <f>IFerror(5/Shop_Harvesting,0)</f>
        <v>1.25</v>
      </c>
      <c r="K173" s="27"/>
      <c r="L173" s="17"/>
      <c r="M173" s="17"/>
      <c r="N173" s="17"/>
      <c r="O173" s="17"/>
      <c r="P173" s="17"/>
      <c r="Q173" s="17"/>
      <c r="R173" s="17"/>
      <c r="S173" s="17">
        <f>Shop_Inflated_Price*W173/$E173*100</f>
        <v>3.033196768</v>
      </c>
      <c r="T173" s="17">
        <f>Shop_Inflated_Price*X173/$E173*100</f>
        <v>3.033196768</v>
      </c>
      <c r="U173" s="17"/>
      <c r="V173" s="54"/>
      <c r="W173" s="17">
        <f t="shared" si="47"/>
        <v>1.25</v>
      </c>
      <c r="X173" s="17">
        <f t="shared" ref="X173:X184" si="49">J173+L173</f>
        <v>1.25</v>
      </c>
      <c r="Y173" s="17"/>
      <c r="Z173" s="18"/>
      <c r="AA173" s="18"/>
      <c r="AB173" s="18"/>
      <c r="AC173" s="18"/>
      <c r="AD173" s="18"/>
      <c r="AE173" s="18"/>
      <c r="AF173" s="18"/>
    </row>
    <row r="174" ht="15.75" customHeight="1">
      <c r="A174" s="24" t="s">
        <v>1211</v>
      </c>
      <c r="B174" s="27">
        <v>3.0</v>
      </c>
      <c r="C174" s="27" t="s">
        <v>41</v>
      </c>
      <c r="D174" s="28">
        <v>85.0</v>
      </c>
      <c r="E174" s="28">
        <f>ROUNDDOWN(Shop_Endless_Factor*Shop_Price_Modifier*(D174*Shop_Weapon_Price+(0.1*D174*Shop_Weapon_Price+1)*(Shop_Wave)),0)</f>
        <v>180</v>
      </c>
      <c r="F174" s="56">
        <f>IF('数值设定'!$D$4="默认",T174,S174)</f>
        <v>5.864180417</v>
      </c>
      <c r="G174" s="27" t="s">
        <v>287</v>
      </c>
      <c r="H174" s="35" t="s">
        <v>70</v>
      </c>
      <c r="I174" s="39" t="s">
        <v>1212</v>
      </c>
      <c r="J174" s="17">
        <f>IFerror(10/Shop_Speed,0)</f>
        <v>3.333333333</v>
      </c>
      <c r="K174" s="64" t="s">
        <v>1213</v>
      </c>
      <c r="L174" s="17">
        <f>IFERROR(30/Shop_Range,0)</f>
        <v>1.5</v>
      </c>
      <c r="M174" s="17" t="s">
        <v>365</v>
      </c>
      <c r="N174" s="17">
        <f>IFERROR(-2/Shop_Elemental_DMG,0)</f>
        <v>-2</v>
      </c>
      <c r="O174" s="17"/>
      <c r="P174" s="17"/>
      <c r="Q174" s="17"/>
      <c r="R174" s="17"/>
      <c r="S174" s="17">
        <f>Shop_Inflated_Price*W174/$E174*100</f>
        <v>3.437623003</v>
      </c>
      <c r="T174" s="17">
        <f>Shop_Inflated_Price*X174/$E174*100</f>
        <v>5.864180417</v>
      </c>
      <c r="U174" s="17"/>
      <c r="V174" s="47"/>
      <c r="W174" s="17">
        <f t="shared" si="47"/>
        <v>2.833333333</v>
      </c>
      <c r="X174" s="17">
        <f t="shared" si="49"/>
        <v>4.833333333</v>
      </c>
      <c r="Y174" s="17"/>
      <c r="Z174" s="18"/>
      <c r="AA174" s="18"/>
      <c r="AB174" s="18"/>
      <c r="AC174" s="18"/>
      <c r="AD174" s="18"/>
      <c r="AE174" s="18"/>
      <c r="AF174" s="18"/>
    </row>
    <row r="175" ht="15.75" customHeight="1">
      <c r="A175" s="50" t="s">
        <v>1214</v>
      </c>
      <c r="B175" s="27">
        <v>3.0</v>
      </c>
      <c r="C175" s="27" t="s">
        <v>41</v>
      </c>
      <c r="D175" s="51">
        <v>85.0</v>
      </c>
      <c r="E175" s="28">
        <f>ROUNDDOWN(Shop_Endless_Factor*Shop_Price_Modifier*(D175*Shop_Weapon_Price+(0.1*D175*Shop_Weapon_Price+1)*(Shop_Wave)),0)</f>
        <v>180</v>
      </c>
      <c r="F175" s="37">
        <f>IF('数值设定'!$D$4="默认",T175,S175)</f>
        <v>4.549795151</v>
      </c>
      <c r="G175" s="27" t="s">
        <v>1215</v>
      </c>
      <c r="H175" s="35" t="s">
        <v>52</v>
      </c>
      <c r="I175" s="59" t="s">
        <v>524</v>
      </c>
      <c r="J175" s="17">
        <f>IFerror(15/Shop_Dmg,0)</f>
        <v>3.75</v>
      </c>
      <c r="K175" s="17"/>
      <c r="L175" s="17"/>
      <c r="M175" s="17"/>
      <c r="N175" s="17"/>
      <c r="O175" s="17"/>
      <c r="P175" s="17"/>
      <c r="Q175" s="17"/>
      <c r="R175" s="17"/>
      <c r="S175" s="17">
        <f>Shop_Inflated_Price*W175/$E175*100</f>
        <v>4.549795151</v>
      </c>
      <c r="T175" s="17">
        <f>Shop_Inflated_Price*X175/$E175*100</f>
        <v>4.549795151</v>
      </c>
      <c r="U175" s="300"/>
      <c r="V175" s="67"/>
      <c r="W175" s="17">
        <f t="shared" si="47"/>
        <v>3.75</v>
      </c>
      <c r="X175" s="17">
        <f t="shared" si="49"/>
        <v>3.75</v>
      </c>
      <c r="Y175" s="300"/>
      <c r="Z175" s="18"/>
      <c r="AA175" s="22"/>
      <c r="AB175" s="18"/>
      <c r="AC175" s="18"/>
      <c r="AD175" s="18"/>
      <c r="AE175" s="18"/>
      <c r="AF175" s="18"/>
    </row>
    <row r="176" ht="15.75" customHeight="1">
      <c r="A176" s="24" t="s">
        <v>1216</v>
      </c>
      <c r="B176" s="27">
        <v>4.0</v>
      </c>
      <c r="C176" s="27" t="s">
        <v>41</v>
      </c>
      <c r="D176" s="51">
        <v>90.0</v>
      </c>
      <c r="E176" s="28">
        <f>ROUNDDOWN(Shop_Endless_Factor*Shop_Price_Modifier*(D176*Shop_Weapon_Price+(0.1*D176*Shop_Weapon_Price+1)*(Shop_Wave)),0)</f>
        <v>190</v>
      </c>
      <c r="F176" s="53">
        <f>IF('数值设定'!$D$4="默认",T176,S176)</f>
        <v>14.55934448</v>
      </c>
      <c r="G176" s="27" t="s">
        <v>287</v>
      </c>
      <c r="H176" s="35" t="s">
        <v>145</v>
      </c>
      <c r="I176" s="39" t="s">
        <v>612</v>
      </c>
      <c r="J176" s="17">
        <f>IFerror(10/Shop_Elemental_DMG,0)</f>
        <v>10</v>
      </c>
      <c r="K176" s="64" t="s">
        <v>416</v>
      </c>
      <c r="L176" s="17">
        <f>IFERROR(20/Shop_Luck,0)</f>
        <v>2.666666667</v>
      </c>
      <c r="M176" s="35" t="s">
        <v>1217</v>
      </c>
      <c r="N176" s="17">
        <f>IFERROR(-5/Shop_Engineering,0)</f>
        <v>-3.333333333</v>
      </c>
      <c r="O176" s="17"/>
      <c r="P176" s="17"/>
      <c r="Q176" s="17"/>
      <c r="R176" s="17"/>
      <c r="S176" s="17">
        <f>Shop_Inflated_Price*W176/$E176*100</f>
        <v>10.72793804</v>
      </c>
      <c r="T176" s="17">
        <f>Shop_Inflated_Price*X176/$E176*100</f>
        <v>14.55934448</v>
      </c>
      <c r="U176" s="17">
        <f>Shop_Inflated_Price*Y176/$E176*100</f>
        <v>3.065125155</v>
      </c>
      <c r="V176" s="54" t="s">
        <v>1218</v>
      </c>
      <c r="W176" s="17">
        <f t="shared" si="47"/>
        <v>9.333333333</v>
      </c>
      <c r="X176" s="17">
        <f t="shared" si="49"/>
        <v>12.66666667</v>
      </c>
      <c r="Y176" s="17">
        <f t="shared" ref="Y176:Y177" si="50">L176</f>
        <v>2.666666667</v>
      </c>
      <c r="Z176" s="18"/>
      <c r="AA176" s="18"/>
      <c r="AB176" s="18"/>
      <c r="AC176" s="18"/>
      <c r="AD176" s="18"/>
      <c r="AE176" s="18"/>
      <c r="AF176" s="18"/>
    </row>
    <row r="177" ht="15.75" customHeight="1">
      <c r="A177" s="50" t="s">
        <v>1219</v>
      </c>
      <c r="B177" s="27">
        <v>2.0</v>
      </c>
      <c r="C177" s="27" t="s">
        <v>41</v>
      </c>
      <c r="D177" s="51">
        <v>45.0</v>
      </c>
      <c r="E177" s="28">
        <f>ROUNDDOWN(Shop_Endless_Factor*Shop_Price_Modifier*(D177*Shop_Weapon_Price+(0.1*D177*Shop_Weapon_Price+1)*(Shop_Wave)),0)</f>
        <v>100</v>
      </c>
      <c r="F177" s="94">
        <f>IF('数值设定'!$D$4="默认",S177,S177)</f>
        <v>3.639836121</v>
      </c>
      <c r="G177" s="27" t="s">
        <v>1220</v>
      </c>
      <c r="H177" s="35" t="s">
        <v>145</v>
      </c>
      <c r="I177" s="35" t="s">
        <v>1221</v>
      </c>
      <c r="J177" s="17">
        <f>IFERROR(5/Shop_Speed,0)</f>
        <v>1.666666667</v>
      </c>
      <c r="K177" s="27"/>
      <c r="L177" s="17"/>
      <c r="M177" s="35"/>
      <c r="N177" s="17"/>
      <c r="O177" s="17"/>
      <c r="P177" s="17"/>
      <c r="Q177" s="17"/>
      <c r="R177" s="17"/>
      <c r="S177" s="17">
        <f>Shop_Inflated_Price*W177/$E177*100</f>
        <v>3.639836121</v>
      </c>
      <c r="T177" s="17">
        <f>Shop_Inflated_Price*X177/$E177*100</f>
        <v>3.639836121</v>
      </c>
      <c r="U177" s="17"/>
      <c r="V177" s="54"/>
      <c r="W177" s="17">
        <f t="shared" si="47"/>
        <v>1.666666667</v>
      </c>
      <c r="X177" s="17">
        <f t="shared" si="49"/>
        <v>1.666666667</v>
      </c>
      <c r="Y177" s="17" t="str">
        <f t="shared" si="50"/>
        <v/>
      </c>
      <c r="Z177" s="18"/>
      <c r="AA177" s="18"/>
      <c r="AB177" s="18"/>
      <c r="AC177" s="18"/>
      <c r="AD177" s="18"/>
      <c r="AE177" s="18"/>
      <c r="AF177" s="18"/>
    </row>
    <row r="178" ht="15.75" customHeight="1">
      <c r="A178" s="50" t="s">
        <v>1222</v>
      </c>
      <c r="B178" s="27">
        <v>3.0</v>
      </c>
      <c r="C178" s="27" t="s">
        <v>41</v>
      </c>
      <c r="D178" s="51">
        <v>70.0</v>
      </c>
      <c r="E178" s="28">
        <f>ROUNDDOWN(Shop_Endless_Factor*Shop_Price_Modifier*(D178*Shop_Weapon_Price+(0.1*D178*Shop_Weapon_Price+1)*(Shop_Wave)),0)</f>
        <v>150</v>
      </c>
      <c r="F178" s="94">
        <f>IF('数值设定'!$D$4="默认",S178,S178)</f>
        <v>4.367803345</v>
      </c>
      <c r="G178" s="27"/>
      <c r="H178" s="35"/>
      <c r="I178" s="64" t="s">
        <v>397</v>
      </c>
      <c r="J178" s="17">
        <f>IFERROR(3/Shop_Crit,0)</f>
        <v>1</v>
      </c>
      <c r="K178" s="398" t="s">
        <v>151</v>
      </c>
      <c r="L178" s="393">
        <f>IFERROR(3/Shop_Engineering,0)</f>
        <v>2</v>
      </c>
      <c r="M178" s="35"/>
      <c r="N178" s="17"/>
      <c r="O178" s="17"/>
      <c r="P178" s="17"/>
      <c r="Q178" s="17"/>
      <c r="R178" s="17"/>
      <c r="S178" s="17">
        <f>Shop_Inflated_Price*W178/$E178*100</f>
        <v>4.367803345</v>
      </c>
      <c r="T178" s="17">
        <f>Shop_Inflated_Price*X178/$E178*100</f>
        <v>4.367803345</v>
      </c>
      <c r="U178" s="399">
        <f>Shop_Inflated_Price*Y178/$E178*100</f>
        <v>1.455934448</v>
      </c>
      <c r="V178" s="87" t="s">
        <v>1223</v>
      </c>
      <c r="W178" s="17">
        <f t="shared" si="47"/>
        <v>3</v>
      </c>
      <c r="X178" s="17">
        <f t="shared" si="49"/>
        <v>3</v>
      </c>
      <c r="Y178" s="17">
        <f>J178</f>
        <v>1</v>
      </c>
      <c r="Z178" s="18"/>
      <c r="AA178" s="18"/>
      <c r="AB178" s="18"/>
      <c r="AC178" s="18"/>
      <c r="AD178" s="18"/>
      <c r="AE178" s="18"/>
      <c r="AF178" s="18"/>
    </row>
    <row r="179" ht="15.75" customHeight="1">
      <c r="A179" s="50" t="s">
        <v>234</v>
      </c>
      <c r="B179" s="27">
        <v>2.0</v>
      </c>
      <c r="C179" s="27" t="s">
        <v>41</v>
      </c>
      <c r="D179" s="51">
        <v>65.0</v>
      </c>
      <c r="E179" s="28">
        <f>ROUNDDOWN(Shop_Endless_Factor*Shop_Price_Modifier*(D179*Shop_Weapon_Price+(0.1*D179*Shop_Weapon_Price+1)*(Shop_Wave)),0)</f>
        <v>140</v>
      </c>
      <c r="F179" s="94">
        <f>IF('数值设定'!$D$4="默认",S179,S179)</f>
        <v>5.199765887</v>
      </c>
      <c r="G179" s="27" t="s">
        <v>1224</v>
      </c>
      <c r="H179" s="35"/>
      <c r="I179" s="398" t="s">
        <v>537</v>
      </c>
      <c r="J179" s="393">
        <f>IFERROR(5/Shop_Engineering,0)</f>
        <v>3.333333333</v>
      </c>
      <c r="K179" s="64" t="s">
        <v>352</v>
      </c>
      <c r="L179" s="17">
        <f>IFERROR(-2/Shop_Ranged_Dmg,0)</f>
        <v>-2</v>
      </c>
      <c r="M179" s="17"/>
      <c r="N179" s="17"/>
      <c r="O179" s="17"/>
      <c r="P179" s="17"/>
      <c r="Q179" s="17"/>
      <c r="R179" s="17"/>
      <c r="S179" s="17">
        <f>Shop_Inflated_Price*W179/$E179*100</f>
        <v>5.199765887</v>
      </c>
      <c r="T179" s="17">
        <f>Shop_Inflated_Price*X179/$E179*100</f>
        <v>2.079906355</v>
      </c>
      <c r="U179" s="17"/>
      <c r="V179" s="47"/>
      <c r="W179" s="17">
        <f>J179</f>
        <v>3.333333333</v>
      </c>
      <c r="X179" s="17">
        <f t="shared" si="49"/>
        <v>1.333333333</v>
      </c>
      <c r="Y179" s="17"/>
      <c r="Z179" s="18"/>
      <c r="AA179" s="18"/>
      <c r="AB179" s="18"/>
      <c r="AC179" s="18"/>
      <c r="AD179" s="18"/>
      <c r="AE179" s="18"/>
      <c r="AF179" s="18"/>
    </row>
    <row r="180" ht="15.75" customHeight="1">
      <c r="A180" s="50" t="s">
        <v>316</v>
      </c>
      <c r="B180" s="27">
        <v>4.0</v>
      </c>
      <c r="C180" s="27" t="s">
        <v>41</v>
      </c>
      <c r="D180" s="51">
        <v>75.0</v>
      </c>
      <c r="E180" s="28">
        <f>ROUNDDOWN(Shop_Endless_Factor*Shop_Price_Modifier*(D180*Shop_Weapon_Price+(0.1*D180*Shop_Weapon_Price+1)*(Shop_Wave)),0)</f>
        <v>160</v>
      </c>
      <c r="F180" s="94">
        <f>IF('数值设定'!$D$4="默认",S180,S180)</f>
        <v>7.848396636</v>
      </c>
      <c r="G180" s="27" t="s">
        <v>1225</v>
      </c>
      <c r="H180" s="35" t="s">
        <v>89</v>
      </c>
      <c r="I180" s="35" t="s">
        <v>1226</v>
      </c>
      <c r="J180" s="17">
        <f>IFERROR(3/Shop_Armor,0)</f>
        <v>3</v>
      </c>
      <c r="K180" s="59" t="s">
        <v>524</v>
      </c>
      <c r="L180" s="17">
        <f>IFerror(15/Shop_Dmg,0)</f>
        <v>3.75</v>
      </c>
      <c r="M180" s="35" t="s">
        <v>188</v>
      </c>
      <c r="N180" s="17">
        <f>IFERROR(-3/Shop_Speed,0)</f>
        <v>-1</v>
      </c>
      <c r="O180" s="17"/>
      <c r="P180" s="17"/>
      <c r="Q180" s="17"/>
      <c r="R180" s="17"/>
      <c r="S180" s="17">
        <f>Shop_Inflated_Price*W180/$E180*100</f>
        <v>7.848396636</v>
      </c>
      <c r="T180" s="17">
        <f>Shop_Inflated_Price*X180/$E180*100</f>
        <v>9.213335182</v>
      </c>
      <c r="U180" s="17"/>
      <c r="V180" s="47"/>
      <c r="W180" s="17">
        <f t="shared" ref="W180:W193" si="51">J180+L180+N180+P180</f>
        <v>5.75</v>
      </c>
      <c r="X180" s="17">
        <f t="shared" si="49"/>
        <v>6.75</v>
      </c>
      <c r="Y180" s="17"/>
      <c r="Z180" s="18"/>
      <c r="AA180" s="18"/>
      <c r="AB180" s="18"/>
      <c r="AC180" s="18"/>
      <c r="AD180" s="18"/>
      <c r="AE180" s="18"/>
      <c r="AF180" s="18"/>
    </row>
    <row r="181" ht="15.75" customHeight="1">
      <c r="A181" s="50" t="s">
        <v>1227</v>
      </c>
      <c r="B181" s="27">
        <v>2.0</v>
      </c>
      <c r="C181" s="27" t="s">
        <v>41</v>
      </c>
      <c r="D181" s="51">
        <v>50.0</v>
      </c>
      <c r="E181" s="28">
        <f>ROUNDDOWN(Shop_Endless_Factor*Shop_Price_Modifier*(D181*Shop_Weapon_Price+(0.1*D181*Shop_Weapon_Price+1)*(Shop_Wave)),0)</f>
        <v>110</v>
      </c>
      <c r="F181" s="94">
        <f>IF('数值设定'!$D$4="默认",S181,S181)</f>
        <v>5.956095471</v>
      </c>
      <c r="G181" s="27" t="s">
        <v>1228</v>
      </c>
      <c r="H181" s="35" t="s">
        <v>89</v>
      </c>
      <c r="I181" s="39" t="s">
        <v>1229</v>
      </c>
      <c r="J181" s="17">
        <f>IFERROR(3/Shop_Elemental_DMG,0)</f>
        <v>3</v>
      </c>
      <c r="K181" s="27"/>
      <c r="L181" s="17"/>
      <c r="M181" s="35"/>
      <c r="N181" s="17"/>
      <c r="O181" s="17"/>
      <c r="P181" s="17"/>
      <c r="Q181" s="17"/>
      <c r="R181" s="17"/>
      <c r="S181" s="17">
        <f>Shop_Inflated_Price*W181/$E181*100</f>
        <v>5.956095471</v>
      </c>
      <c r="T181" s="17">
        <f>Shop_Inflated_Price*X181/$E181*100</f>
        <v>5.956095471</v>
      </c>
      <c r="U181" s="17"/>
      <c r="V181" s="54"/>
      <c r="W181" s="17">
        <f t="shared" si="51"/>
        <v>3</v>
      </c>
      <c r="X181" s="17">
        <f t="shared" si="49"/>
        <v>3</v>
      </c>
      <c r="Y181" s="17" t="str">
        <f>L181</f>
        <v/>
      </c>
      <c r="Z181" s="18"/>
      <c r="AA181" s="18"/>
      <c r="AB181" s="18"/>
      <c r="AC181" s="18"/>
      <c r="AD181" s="18"/>
      <c r="AE181" s="18"/>
      <c r="AF181" s="18"/>
    </row>
    <row r="182" ht="15.75" customHeight="1">
      <c r="A182" s="400" t="s">
        <v>1230</v>
      </c>
      <c r="B182" s="401">
        <v>2.0</v>
      </c>
      <c r="C182" s="27" t="s">
        <v>41</v>
      </c>
      <c r="D182" s="391">
        <v>50.0</v>
      </c>
      <c r="E182" s="402">
        <f>ROUNDDOWN(Shop_Endless_Factor*Shop_Price_Modifier*(D182*Shop_Weapon_Price+(0.1*D182*Shop_Weapon_Price+1)*(Shop_Wave)),0)</f>
        <v>110</v>
      </c>
      <c r="F182" s="37">
        <f>IF('数值设定'!$D$4="默认",U182,S182)</f>
        <v>1.985365157</v>
      </c>
      <c r="G182" s="401" t="s">
        <v>1231</v>
      </c>
      <c r="H182" s="398" t="s">
        <v>52</v>
      </c>
      <c r="I182" s="64" t="s">
        <v>1021</v>
      </c>
      <c r="J182" s="17">
        <f>IFERROR(2/Shop_Ranged_Dmg,0)</f>
        <v>2</v>
      </c>
      <c r="K182" s="398" t="s">
        <v>820</v>
      </c>
      <c r="L182" s="393">
        <f>IFERROR(2/Shop_Engineering,0)</f>
        <v>1.333333333</v>
      </c>
      <c r="M182" s="398" t="s">
        <v>188</v>
      </c>
      <c r="N182" s="393">
        <f>IFERROR(-3/Shop_Speed,0)</f>
        <v>-1</v>
      </c>
      <c r="O182" s="383"/>
      <c r="P182" s="383"/>
      <c r="Q182" s="383"/>
      <c r="R182" s="383"/>
      <c r="S182" s="403">
        <f>Shop_Inflated_Price*W182/$E182*100</f>
        <v>4.6325187</v>
      </c>
      <c r="T182" s="403">
        <f>Shop_Inflated_Price*X182/$E182*100</f>
        <v>6.617883857</v>
      </c>
      <c r="U182" s="399">
        <f>Shop_Inflated_Price*Y182/$E182*100</f>
        <v>1.985365157</v>
      </c>
      <c r="V182" s="87" t="s">
        <v>1232</v>
      </c>
      <c r="W182" s="393">
        <f t="shared" si="51"/>
        <v>2.333333333</v>
      </c>
      <c r="X182" s="393">
        <f t="shared" si="49"/>
        <v>3.333333333</v>
      </c>
      <c r="Y182" s="17">
        <f t="shared" ref="Y182:Y183" si="52">J182+N182</f>
        <v>1</v>
      </c>
      <c r="Z182" s="394"/>
      <c r="AA182" s="394"/>
      <c r="AB182" s="394"/>
      <c r="AC182" s="394"/>
      <c r="AD182" s="394"/>
      <c r="AE182" s="394"/>
      <c r="AF182" s="394"/>
    </row>
    <row r="183" ht="15.75" customHeight="1">
      <c r="A183" s="400" t="s">
        <v>1233</v>
      </c>
      <c r="B183" s="401">
        <v>3.0</v>
      </c>
      <c r="C183" s="27" t="s">
        <v>41</v>
      </c>
      <c r="D183" s="391">
        <v>70.0</v>
      </c>
      <c r="E183" s="402">
        <f>ROUNDDOWN(Shop_Endless_Factor*Shop_Price_Modifier*(D183*Shop_Weapon_Price+(0.1*D183*Shop_Weapon_Price+1)*(Shop_Wave)),0)</f>
        <v>150</v>
      </c>
      <c r="F183" s="37">
        <f>IF('数值设定'!$D$4="默认",U183,S183)</f>
        <v>2.911868897</v>
      </c>
      <c r="G183" s="401" t="s">
        <v>1231</v>
      </c>
      <c r="H183" s="398" t="s">
        <v>97</v>
      </c>
      <c r="I183" s="64" t="s">
        <v>134</v>
      </c>
      <c r="J183" s="17">
        <f>IFERROR(3/Shop_Ranged_Dmg,0)</f>
        <v>3</v>
      </c>
      <c r="K183" s="59" t="s">
        <v>1234</v>
      </c>
      <c r="L183" s="17">
        <f>IFerror(10/Shop_Dmg,0)</f>
        <v>2.5</v>
      </c>
      <c r="M183" s="398" t="s">
        <v>188</v>
      </c>
      <c r="N183" s="393">
        <f>IFERROR(-3/Shop_Speed,0)</f>
        <v>-1</v>
      </c>
      <c r="O183" s="35" t="s">
        <v>745</v>
      </c>
      <c r="P183" s="17">
        <f>IFERROR(-3/Shop_Dodge,0)</f>
        <v>-1</v>
      </c>
      <c r="Q183" s="383"/>
      <c r="R183" s="383"/>
      <c r="S183" s="403">
        <f>Shop_Inflated_Price*W183/$E183*100</f>
        <v>5.09577057</v>
      </c>
      <c r="T183" s="403">
        <f>Shop_Inflated_Price*X183/$E183*100</f>
        <v>8.007639466</v>
      </c>
      <c r="U183" s="399">
        <f>Shop_Inflated_Price*Y183/$E183*100</f>
        <v>2.911868897</v>
      </c>
      <c r="V183" s="87" t="s">
        <v>1232</v>
      </c>
      <c r="W183" s="393">
        <f t="shared" si="51"/>
        <v>3.5</v>
      </c>
      <c r="X183" s="393">
        <f t="shared" si="49"/>
        <v>5.5</v>
      </c>
      <c r="Y183" s="17">
        <f t="shared" si="52"/>
        <v>2</v>
      </c>
      <c r="Z183" s="394"/>
      <c r="AA183" s="394"/>
      <c r="AB183" s="394"/>
      <c r="AC183" s="394"/>
      <c r="AD183" s="394"/>
      <c r="AE183" s="394"/>
      <c r="AF183" s="394"/>
    </row>
    <row r="184" ht="15.75" customHeight="1">
      <c r="A184" s="50" t="s">
        <v>317</v>
      </c>
      <c r="B184" s="27">
        <v>2.0</v>
      </c>
      <c r="C184" s="27" t="s">
        <v>41</v>
      </c>
      <c r="D184" s="51">
        <v>50.0</v>
      </c>
      <c r="E184" s="28">
        <f>ROUNDDOWN(Shop_Endless_Factor*Shop_Price_Modifier*(D184*Shop_Weapon_Price+(0.1*D184*Shop_Weapon_Price+1)*(Shop_Wave)),0)</f>
        <v>110</v>
      </c>
      <c r="F184" s="94">
        <f>IF('数值设定'!$D$4="默认",S184,S184)</f>
        <v>4.963412892</v>
      </c>
      <c r="G184" s="27" t="s">
        <v>1235</v>
      </c>
      <c r="H184" s="35" t="s">
        <v>89</v>
      </c>
      <c r="I184" s="59" t="s">
        <v>665</v>
      </c>
      <c r="J184" s="17">
        <f>IFerror(10/Shop_Dmg,0)</f>
        <v>2.5</v>
      </c>
      <c r="K184" s="27"/>
      <c r="L184" s="17"/>
      <c r="M184" s="35"/>
      <c r="N184" s="17"/>
      <c r="O184" s="17"/>
      <c r="P184" s="17"/>
      <c r="Q184" s="17"/>
      <c r="R184" s="17"/>
      <c r="S184" s="17">
        <f>Shop_Inflated_Price*W184/$E184*100</f>
        <v>4.963412892</v>
      </c>
      <c r="T184" s="17">
        <f>Shop_Inflated_Price*X184/$E184*100</f>
        <v>4.963412892</v>
      </c>
      <c r="U184" s="17"/>
      <c r="V184" s="54"/>
      <c r="W184" s="17">
        <f t="shared" si="51"/>
        <v>2.5</v>
      </c>
      <c r="X184" s="17">
        <f t="shared" si="49"/>
        <v>2.5</v>
      </c>
      <c r="Y184" s="17" t="str">
        <f>L184</f>
        <v/>
      </c>
      <c r="Z184" s="18"/>
      <c r="AA184" s="18"/>
      <c r="AB184" s="18"/>
      <c r="AC184" s="18"/>
      <c r="AD184" s="18"/>
      <c r="AE184" s="18"/>
      <c r="AF184" s="18"/>
    </row>
    <row r="185" ht="15.75" customHeight="1">
      <c r="A185" s="50" t="s">
        <v>1236</v>
      </c>
      <c r="B185" s="25">
        <v>1.0</v>
      </c>
      <c r="C185" s="27" t="s">
        <v>41</v>
      </c>
      <c r="D185" s="28">
        <v>15.0</v>
      </c>
      <c r="E185" s="28">
        <f>ROUNDDOWN(Shop_Endless_Factor*Shop_Price_Modifier*(D185*Shop_Weapon_Price+(0.1*D185*Shop_Weapon_Price+1)*(Shop_Wave)),0)</f>
        <v>40</v>
      </c>
      <c r="F185" s="63">
        <f>IF('数值设定'!$D$4="默认",S185,S185)</f>
        <v>5.459754182</v>
      </c>
      <c r="G185" s="27" t="s">
        <v>1237</v>
      </c>
      <c r="H185" s="35" t="s">
        <v>89</v>
      </c>
      <c r="I185" s="39" t="s">
        <v>296</v>
      </c>
      <c r="J185" s="17">
        <f>IFerror(3/Shop_Max_HP,0)</f>
        <v>1</v>
      </c>
      <c r="K185" s="17"/>
      <c r="L185" s="17"/>
      <c r="M185" s="17"/>
      <c r="N185" s="17"/>
      <c r="O185" s="17"/>
      <c r="P185" s="17"/>
      <c r="Q185" s="17"/>
      <c r="R185" s="17"/>
      <c r="S185" s="17">
        <f>Shop_Inflated_Price*W185/$E185*100</f>
        <v>5.459754182</v>
      </c>
      <c r="T185" s="17">
        <f>Shop_Inflated_Price*X185/$E185*100</f>
        <v>5.459754182</v>
      </c>
      <c r="U185" s="17"/>
      <c r="V185" s="67"/>
      <c r="W185" s="17">
        <f t="shared" si="51"/>
        <v>1</v>
      </c>
      <c r="X185" s="17">
        <f t="shared" ref="X185:X188" si="53">J185</f>
        <v>1</v>
      </c>
      <c r="Y185" s="17"/>
      <c r="Z185" s="18"/>
      <c r="AA185" s="18"/>
      <c r="AB185" s="18"/>
      <c r="AC185" s="18"/>
      <c r="AD185" s="18"/>
      <c r="AE185" s="18"/>
      <c r="AF185" s="18"/>
    </row>
    <row r="186" ht="15.75" customHeight="1">
      <c r="A186" s="50" t="s">
        <v>1238</v>
      </c>
      <c r="B186" s="25">
        <v>1.0</v>
      </c>
      <c r="C186" s="27" t="s">
        <v>1239</v>
      </c>
      <c r="D186" s="51">
        <v>18.0</v>
      </c>
      <c r="E186" s="28">
        <f>ROUNDDOWN(Shop_Endless_Factor*Shop_Price_Modifier*(D186*Shop_Weapon_Price+(0.1*D186*Shop_Weapon_Price+1)*(Shop_Wave)),0)</f>
        <v>46</v>
      </c>
      <c r="F186" s="63">
        <f>IF('数值设定'!$D$4="默认",S186,S186)</f>
        <v>9.495224664</v>
      </c>
      <c r="G186" s="27"/>
      <c r="H186" s="35"/>
      <c r="I186" s="64" t="s">
        <v>673</v>
      </c>
      <c r="J186" s="17">
        <f>IFERROR(1/Shop_Ranged_Dmg,0)</f>
        <v>1</v>
      </c>
      <c r="K186" s="64" t="s">
        <v>948</v>
      </c>
      <c r="L186" s="17">
        <f>IFERROR(3/Shop_Dodge,0)</f>
        <v>1</v>
      </c>
      <c r="M186" s="17"/>
      <c r="N186" s="17"/>
      <c r="O186" s="17"/>
      <c r="P186" s="17"/>
      <c r="Q186" s="17"/>
      <c r="R186" s="17"/>
      <c r="S186" s="17">
        <f>Shop_Inflated_Price*W186/$E186*100</f>
        <v>9.495224664</v>
      </c>
      <c r="T186" s="17">
        <f>Shop_Inflated_Price*X186/$E186*100</f>
        <v>4.747612332</v>
      </c>
      <c r="U186" s="17"/>
      <c r="V186" s="67"/>
      <c r="W186" s="17">
        <f t="shared" si="51"/>
        <v>2</v>
      </c>
      <c r="X186" s="17">
        <f t="shared" si="53"/>
        <v>1</v>
      </c>
      <c r="Y186" s="17"/>
      <c r="Z186" s="18"/>
      <c r="AA186" s="18"/>
      <c r="AB186" s="18"/>
      <c r="AC186" s="18"/>
      <c r="AD186" s="18"/>
      <c r="AE186" s="18"/>
      <c r="AF186" s="18"/>
    </row>
    <row r="187" ht="15.75" customHeight="1">
      <c r="A187" s="50" t="s">
        <v>1240</v>
      </c>
      <c r="B187" s="27">
        <v>2.0</v>
      </c>
      <c r="C187" s="27" t="s">
        <v>1239</v>
      </c>
      <c r="D187" s="51">
        <v>30.0</v>
      </c>
      <c r="E187" s="28">
        <f>ROUNDDOWN(Shop_Endless_Factor*Shop_Price_Modifier*(D187*Shop_Weapon_Price+(0.1*D187*Shop_Weapon_Price+1)*(Shop_Wave)),0)</f>
        <v>70</v>
      </c>
      <c r="F187" s="63">
        <f>IF('数值设定'!$D$4="默认",S187,S187)</f>
        <v>4.679789299</v>
      </c>
      <c r="G187" s="27" t="s">
        <v>1241</v>
      </c>
      <c r="H187" s="35"/>
      <c r="I187" s="59" t="s">
        <v>665</v>
      </c>
      <c r="J187" s="17">
        <f>IFerror(10/Shop_Dmg,0)</f>
        <v>2.5</v>
      </c>
      <c r="K187" s="39" t="s">
        <v>513</v>
      </c>
      <c r="L187" s="17">
        <f>IFerror(-3/Shop_Max_HP,0)</f>
        <v>-1</v>
      </c>
      <c r="M187" s="17"/>
      <c r="N187" s="17"/>
      <c r="O187" s="17"/>
      <c r="P187" s="17"/>
      <c r="Q187" s="17"/>
      <c r="R187" s="17"/>
      <c r="S187" s="17">
        <f>Shop_Inflated_Price*W187/$E187*100</f>
        <v>4.679789299</v>
      </c>
      <c r="T187" s="17">
        <f>Shop_Inflated_Price*X187/$E187*100</f>
        <v>7.799648831</v>
      </c>
      <c r="U187" s="17"/>
      <c r="V187" s="67"/>
      <c r="W187" s="17">
        <f t="shared" si="51"/>
        <v>1.5</v>
      </c>
      <c r="X187" s="17">
        <f t="shared" si="53"/>
        <v>2.5</v>
      </c>
      <c r="Y187" s="17"/>
      <c r="Z187" s="18"/>
      <c r="AA187" s="18"/>
      <c r="AB187" s="18"/>
      <c r="AC187" s="18"/>
      <c r="AD187" s="18"/>
      <c r="AE187" s="18"/>
      <c r="AF187" s="18"/>
    </row>
    <row r="188" ht="15.75" customHeight="1">
      <c r="A188" s="50" t="s">
        <v>1242</v>
      </c>
      <c r="B188" s="27">
        <v>3.0</v>
      </c>
      <c r="C188" s="27" t="s">
        <v>1239</v>
      </c>
      <c r="D188" s="51">
        <v>65.0</v>
      </c>
      <c r="E188" s="28">
        <f>ROUNDDOWN(Shop_Endless_Factor*Shop_Price_Modifier*(D188*Shop_Weapon_Price+(0.1*D188*Shop_Weapon_Price+1)*(Shop_Wave)),0)</f>
        <v>140</v>
      </c>
      <c r="F188" s="63">
        <f>IF('数值设定'!$D$4="默认",S188,S188)</f>
        <v>4.679789299</v>
      </c>
      <c r="G188" s="27" t="s">
        <v>1243</v>
      </c>
      <c r="H188" s="35"/>
      <c r="I188" s="35" t="s">
        <v>1244</v>
      </c>
      <c r="J188" s="17">
        <f>IFERROR(15/Shop_Atk_Spd,0)</f>
        <v>3</v>
      </c>
      <c r="K188" s="59"/>
      <c r="L188" s="17"/>
      <c r="M188" s="17"/>
      <c r="N188" s="17"/>
      <c r="O188" s="17"/>
      <c r="P188" s="17"/>
      <c r="Q188" s="17"/>
      <c r="R188" s="17"/>
      <c r="S188" s="17">
        <f>Shop_Inflated_Price*W188/$E188*100</f>
        <v>4.679789299</v>
      </c>
      <c r="T188" s="17">
        <f>Shop_Inflated_Price*X188/$E188*100</f>
        <v>4.679789299</v>
      </c>
      <c r="U188" s="17"/>
      <c r="V188" s="67"/>
      <c r="W188" s="17">
        <f t="shared" si="51"/>
        <v>3</v>
      </c>
      <c r="X188" s="17">
        <f t="shared" si="53"/>
        <v>3</v>
      </c>
      <c r="Y188" s="17"/>
      <c r="Z188" s="18"/>
      <c r="AA188" s="18"/>
      <c r="AB188" s="18"/>
      <c r="AC188" s="18"/>
      <c r="AD188" s="18"/>
      <c r="AE188" s="18"/>
      <c r="AF188" s="18"/>
    </row>
    <row r="189" ht="15.75" customHeight="1">
      <c r="A189" s="50" t="s">
        <v>1245</v>
      </c>
      <c r="B189" s="27">
        <v>3.0</v>
      </c>
      <c r="C189" s="27" t="s">
        <v>1239</v>
      </c>
      <c r="D189" s="51">
        <v>80.0</v>
      </c>
      <c r="E189" s="28">
        <f>ROUNDDOWN(Shop_Endless_Factor*Shop_Price_Modifier*(D189*Shop_Weapon_Price+(0.1*D189*Shop_Weapon_Price+1)*(Shop_Wave)),0)</f>
        <v>170</v>
      </c>
      <c r="F189" s="63">
        <f>IF('数值设定'!$D$4="默认",S189,S189)</f>
        <v>6.851456228</v>
      </c>
      <c r="G189" s="27" t="s">
        <v>1246</v>
      </c>
      <c r="H189" s="35"/>
      <c r="I189" s="39" t="s">
        <v>1201</v>
      </c>
      <c r="J189" s="17">
        <f>IFerror(4/Shop_Melee_Dmg,0)</f>
        <v>2</v>
      </c>
      <c r="K189" s="35" t="s">
        <v>1247</v>
      </c>
      <c r="L189" s="17">
        <f>IFERROR(4/Shop_Speed,0)</f>
        <v>1.333333333</v>
      </c>
      <c r="M189" s="35" t="s">
        <v>1248</v>
      </c>
      <c r="N189" s="17">
        <f>IFerror(4/Shop_HP_Regen,0)</f>
        <v>2</v>
      </c>
      <c r="O189" s="17"/>
      <c r="P189" s="17"/>
      <c r="Q189" s="17"/>
      <c r="R189" s="17"/>
      <c r="S189" s="17">
        <f>Shop_Inflated_Price*W189/$E189*100</f>
        <v>6.851456228</v>
      </c>
      <c r="T189" s="17">
        <f>Shop_Inflated_Price*X189/$E189*100</f>
        <v>6.851456228</v>
      </c>
      <c r="U189" s="399">
        <f>Shop_Inflated_Price*Y189/$E189*100</f>
        <v>4.282160142</v>
      </c>
      <c r="V189" s="87" t="s">
        <v>1249</v>
      </c>
      <c r="W189" s="17">
        <f t="shared" si="51"/>
        <v>5.333333333</v>
      </c>
      <c r="X189" s="17">
        <f t="shared" ref="X189:X193" si="54">N189+L189+J189</f>
        <v>5.333333333</v>
      </c>
      <c r="Y189" s="17">
        <f t="shared" ref="Y189:Y190" si="55">L189+N189</f>
        <v>3.333333333</v>
      </c>
      <c r="Z189" s="386"/>
      <c r="AA189" s="386"/>
      <c r="AB189" s="386"/>
      <c r="AC189" s="386"/>
      <c r="AD189" s="386"/>
      <c r="AE189" s="386"/>
      <c r="AF189" s="386"/>
    </row>
    <row r="190" ht="15.75" customHeight="1">
      <c r="A190" s="50" t="s">
        <v>1250</v>
      </c>
      <c r="B190" s="27">
        <v>1.0</v>
      </c>
      <c r="C190" s="27" t="s">
        <v>1239</v>
      </c>
      <c r="D190" s="51">
        <v>25.0</v>
      </c>
      <c r="E190" s="28">
        <f>ROUNDDOWN(Shop_Endless_Factor*Shop_Price_Modifier*(D190*Shop_Weapon_Price+(0.1*D190*Shop_Weapon_Price+1)*(Shop_Wave)),0)</f>
        <v>60</v>
      </c>
      <c r="F190" s="63">
        <f>IF('数值设定'!$D$4="默认",S190,S190)</f>
        <v>3.639836121</v>
      </c>
      <c r="G190" s="27" t="s">
        <v>1251</v>
      </c>
      <c r="H190" s="35"/>
      <c r="I190" s="35" t="s">
        <v>119</v>
      </c>
      <c r="J190" s="17">
        <f>IFerror(2/Shop_HP_Regen,0)</f>
        <v>1</v>
      </c>
      <c r="K190" s="35"/>
      <c r="L190" s="17"/>
      <c r="M190" s="35"/>
      <c r="N190" s="17"/>
      <c r="O190" s="17"/>
      <c r="P190" s="17"/>
      <c r="Q190" s="17"/>
      <c r="R190" s="17"/>
      <c r="S190" s="17">
        <f>Shop_Inflated_Price*W190/$E190*100</f>
        <v>3.639836121</v>
      </c>
      <c r="T190" s="17">
        <f>Shop_Inflated_Price*X190/$E190*100</f>
        <v>3.639836121</v>
      </c>
      <c r="U190" s="399"/>
      <c r="V190" s="87"/>
      <c r="W190" s="17">
        <f t="shared" si="51"/>
        <v>1</v>
      </c>
      <c r="X190" s="17">
        <f t="shared" si="54"/>
        <v>1</v>
      </c>
      <c r="Y190" s="17">
        <f t="shared" si="55"/>
        <v>0</v>
      </c>
      <c r="Z190" s="386"/>
      <c r="AA190" s="386"/>
      <c r="AB190" s="386"/>
      <c r="AC190" s="386"/>
      <c r="AD190" s="386"/>
      <c r="AE190" s="386"/>
      <c r="AF190" s="386"/>
    </row>
    <row r="191" ht="15.75" customHeight="1">
      <c r="A191" s="50" t="s">
        <v>1252</v>
      </c>
      <c r="B191" s="27">
        <v>3.0</v>
      </c>
      <c r="C191" s="27" t="s">
        <v>1239</v>
      </c>
      <c r="D191" s="51">
        <v>80.0</v>
      </c>
      <c r="E191" s="28">
        <f>ROUNDDOWN(Shop_Endless_Factor*Shop_Price_Modifier*(D191*Shop_Weapon_Price+(0.1*D191*Shop_Weapon_Price+1)*(Shop_Wave)),0)</f>
        <v>170</v>
      </c>
      <c r="F191" s="63">
        <f>IF('数值设定'!$D$4="默认",S191,S191)</f>
        <v>15.41577651</v>
      </c>
      <c r="G191" s="27" t="s">
        <v>1253</v>
      </c>
      <c r="H191" s="35"/>
      <c r="I191" s="398" t="s">
        <v>1254</v>
      </c>
      <c r="J191" s="393">
        <f>IFERROR(18/Shop_Engineering,0)</f>
        <v>12</v>
      </c>
      <c r="K191" s="35"/>
      <c r="L191" s="17"/>
      <c r="M191" s="35"/>
      <c r="N191" s="17"/>
      <c r="O191" s="17"/>
      <c r="P191" s="17"/>
      <c r="Q191" s="17"/>
      <c r="R191" s="17"/>
      <c r="S191" s="17">
        <f>Shop_Inflated_Price*W191/$E191*100</f>
        <v>15.41577651</v>
      </c>
      <c r="T191" s="17">
        <f>Shop_Inflated_Price*X191/$E191*100</f>
        <v>15.41577651</v>
      </c>
      <c r="U191" s="399"/>
      <c r="V191" s="87"/>
      <c r="W191" s="17">
        <f t="shared" si="51"/>
        <v>12</v>
      </c>
      <c r="X191" s="17">
        <f t="shared" si="54"/>
        <v>12</v>
      </c>
      <c r="Y191" s="17"/>
      <c r="Z191" s="386"/>
      <c r="AA191" s="386"/>
      <c r="AB191" s="386"/>
      <c r="AC191" s="386"/>
      <c r="AD191" s="386"/>
      <c r="AE191" s="386"/>
      <c r="AF191" s="386"/>
    </row>
    <row r="192" ht="15.75" customHeight="1">
      <c r="A192" s="50" t="s">
        <v>1255</v>
      </c>
      <c r="B192" s="27">
        <v>4.0</v>
      </c>
      <c r="C192" s="27" t="s">
        <v>1239</v>
      </c>
      <c r="D192" s="51">
        <v>100.0</v>
      </c>
      <c r="E192" s="28">
        <f>ROUNDDOWN(Shop_Endless_Factor*Shop_Price_Modifier*(D192*Shop_Weapon_Price+(0.1*D192*Shop_Weapon_Price+1)*(Shop_Wave)),0)</f>
        <v>210</v>
      </c>
      <c r="F192" s="63">
        <f>IF('数值设定'!$D$4="默认",S192,S192)</f>
        <v>11.43948495</v>
      </c>
      <c r="G192" s="27" t="s">
        <v>1256</v>
      </c>
      <c r="H192" s="35"/>
      <c r="I192" s="59" t="s">
        <v>226</v>
      </c>
      <c r="J192" s="17">
        <f>IFerror(20/Shop_Dmg,0)</f>
        <v>5</v>
      </c>
      <c r="K192" s="35" t="s">
        <v>1257</v>
      </c>
      <c r="L192" s="17">
        <f>IFERROR(20/Shop_Atk_Spd,0)</f>
        <v>4</v>
      </c>
      <c r="M192" s="64" t="s">
        <v>1258</v>
      </c>
      <c r="N192" s="17">
        <f>IFERROR(100/Shop_Range,0)</f>
        <v>5</v>
      </c>
      <c r="O192" s="64" t="s">
        <v>596</v>
      </c>
      <c r="P192" s="17">
        <f>IFERROR(-3/Shop_Armor,0)</f>
        <v>-3</v>
      </c>
      <c r="Q192" s="17"/>
      <c r="R192" s="17"/>
      <c r="S192" s="17">
        <f>Shop_Inflated_Price*W192/$E192*100</f>
        <v>11.43948495</v>
      </c>
      <c r="T192" s="17">
        <f>Shop_Inflated_Price*X192/$E192*100</f>
        <v>14.55934448</v>
      </c>
      <c r="U192" s="399">
        <f>Shop_Inflated_Price*Y192/$E192*100</f>
        <v>6.239719065</v>
      </c>
      <c r="V192" s="87" t="s">
        <v>1259</v>
      </c>
      <c r="W192" s="17">
        <f t="shared" si="51"/>
        <v>11</v>
      </c>
      <c r="X192" s="17">
        <f t="shared" si="54"/>
        <v>14</v>
      </c>
      <c r="Y192" s="17">
        <f>L192+N192+P192</f>
        <v>6</v>
      </c>
      <c r="Z192" s="386"/>
      <c r="AA192" s="386"/>
      <c r="AB192" s="386"/>
      <c r="AC192" s="386"/>
      <c r="AD192" s="386"/>
      <c r="AE192" s="386"/>
      <c r="AF192" s="386"/>
    </row>
    <row r="193" ht="15.75" customHeight="1">
      <c r="A193" s="50" t="s">
        <v>1260</v>
      </c>
      <c r="B193" s="27">
        <v>2.0</v>
      </c>
      <c r="C193" s="27" t="s">
        <v>1239</v>
      </c>
      <c r="D193" s="51">
        <v>55.0</v>
      </c>
      <c r="E193" s="28">
        <f>ROUNDDOWN(Shop_Endless_Factor*Shop_Price_Modifier*(D193*Shop_Weapon_Price+(0.1*D193*Shop_Weapon_Price+1)*(Shop_Wave)),0)</f>
        <v>120</v>
      </c>
      <c r="F193" s="63">
        <f>IF('数值设定'!$D$4="默认",S193,S193)</f>
        <v>8.007639466</v>
      </c>
      <c r="G193" s="27" t="s">
        <v>1261</v>
      </c>
      <c r="H193" s="35"/>
      <c r="I193" s="35" t="s">
        <v>1262</v>
      </c>
      <c r="J193" s="17">
        <f>IFerror(10/Shop_HP_Regen,0)</f>
        <v>5</v>
      </c>
      <c r="K193" s="35" t="s">
        <v>1263</v>
      </c>
      <c r="L193" s="17">
        <f>IFERROR(-3/Shop_Atk_Spd,0)</f>
        <v>-0.6</v>
      </c>
      <c r="M193" s="27"/>
      <c r="N193" s="17"/>
      <c r="O193" s="27"/>
      <c r="P193" s="17"/>
      <c r="Q193" s="17"/>
      <c r="R193" s="17"/>
      <c r="S193" s="17">
        <f>Shop_Inflated_Price*W193/$E193*100</f>
        <v>8.007639466</v>
      </c>
      <c r="T193" s="17">
        <f>Shop_Inflated_Price*X193/$E193*100</f>
        <v>8.007639466</v>
      </c>
      <c r="U193" s="399"/>
      <c r="V193" s="87"/>
      <c r="W193" s="17">
        <f t="shared" si="51"/>
        <v>4.4</v>
      </c>
      <c r="X193" s="17">
        <f t="shared" si="54"/>
        <v>4.4</v>
      </c>
      <c r="Y193" s="17"/>
      <c r="Z193" s="386"/>
      <c r="AA193" s="386"/>
      <c r="AB193" s="386"/>
      <c r="AC193" s="386"/>
      <c r="AD193" s="386"/>
      <c r="AE193" s="386"/>
      <c r="AF193" s="386"/>
    </row>
    <row r="194" ht="15.75" customHeight="1">
      <c r="A194" s="50" t="s">
        <v>1264</v>
      </c>
      <c r="B194" s="27">
        <v>3.0</v>
      </c>
      <c r="C194" s="27" t="s">
        <v>1239</v>
      </c>
      <c r="D194" s="51">
        <v>85.0</v>
      </c>
      <c r="E194" s="28">
        <f>ROUNDDOWN(Shop_Endless_Factor*Shop_Price_Modifier*(D194*Shop_Weapon_Price+(0.1*D194*Shop_Weapon_Price+1)*(Shop_Wave)),0)</f>
        <v>180</v>
      </c>
      <c r="F194" s="91"/>
      <c r="G194" s="27" t="s">
        <v>150</v>
      </c>
      <c r="H194" s="35"/>
      <c r="I194" s="35"/>
      <c r="J194" s="17"/>
      <c r="K194" s="35"/>
      <c r="L194" s="17"/>
      <c r="M194" s="27"/>
      <c r="N194" s="17"/>
      <c r="O194" s="27"/>
      <c r="P194" s="17"/>
      <c r="Q194" s="17"/>
      <c r="R194" s="17"/>
      <c r="S194" s="17"/>
      <c r="T194" s="17"/>
      <c r="U194" s="399"/>
      <c r="V194" s="87"/>
      <c r="W194" s="17"/>
      <c r="X194" s="17"/>
      <c r="Y194" s="17"/>
      <c r="Z194" s="386"/>
      <c r="AA194" s="386"/>
      <c r="AB194" s="386"/>
      <c r="AC194" s="386"/>
      <c r="AD194" s="386"/>
      <c r="AE194" s="386"/>
      <c r="AF194" s="386"/>
    </row>
    <row r="195" ht="15.75" customHeight="1">
      <c r="A195" s="50" t="s">
        <v>1265</v>
      </c>
      <c r="B195" s="27">
        <v>3.0</v>
      </c>
      <c r="C195" s="27" t="s">
        <v>1239</v>
      </c>
      <c r="D195" s="51">
        <v>60.0</v>
      </c>
      <c r="E195" s="28">
        <f>ROUNDDOWN(Shop_Endless_Factor*Shop_Price_Modifier*(D195*Shop_Weapon_Price+(0.1*D195*Shop_Weapon_Price+1)*(Shop_Wave)),0)</f>
        <v>130</v>
      </c>
      <c r="F195" s="75"/>
      <c r="G195" s="27" t="s">
        <v>150</v>
      </c>
      <c r="H195" s="35"/>
      <c r="I195" s="35"/>
      <c r="J195" s="17"/>
      <c r="K195" s="35"/>
      <c r="L195" s="17"/>
      <c r="M195" s="27"/>
      <c r="N195" s="17"/>
      <c r="O195" s="27"/>
      <c r="P195" s="17"/>
      <c r="Q195" s="17"/>
      <c r="R195" s="17"/>
      <c r="S195" s="17"/>
      <c r="T195" s="17"/>
      <c r="U195" s="399"/>
      <c r="V195" s="87"/>
      <c r="W195" s="17"/>
      <c r="X195" s="17"/>
      <c r="Y195" s="17"/>
      <c r="Z195" s="386"/>
      <c r="AA195" s="386"/>
      <c r="AB195" s="386"/>
      <c r="AC195" s="386"/>
      <c r="AD195" s="386"/>
      <c r="AE195" s="386"/>
      <c r="AF195" s="386"/>
    </row>
    <row r="196" ht="15.75" customHeight="1">
      <c r="A196" s="50" t="s">
        <v>1266</v>
      </c>
      <c r="B196" s="27">
        <v>2.0</v>
      </c>
      <c r="C196" s="27" t="s">
        <v>1239</v>
      </c>
      <c r="D196" s="51">
        <v>35.0</v>
      </c>
      <c r="E196" s="28">
        <f>ROUNDDOWN(Shop_Endless_Factor*Shop_Price_Modifier*(D196*Shop_Weapon_Price+(0.1*D196*Shop_Weapon_Price+1)*(Shop_Wave)),0)</f>
        <v>80</v>
      </c>
      <c r="F196" s="63">
        <f>IF('数值设定'!$D$4="默认",S196,S196)</f>
        <v>10.91950836</v>
      </c>
      <c r="G196" s="27" t="s">
        <v>1267</v>
      </c>
      <c r="H196" s="35"/>
      <c r="I196" s="59" t="s">
        <v>226</v>
      </c>
      <c r="J196" s="17">
        <f>IFerror(20/Shop_Dmg,0)</f>
        <v>5</v>
      </c>
      <c r="K196" s="35" t="s">
        <v>538</v>
      </c>
      <c r="L196" s="17">
        <f>IFerror(-2/Shop_HP_Regen,0)</f>
        <v>-1</v>
      </c>
      <c r="M196" s="27"/>
      <c r="N196" s="17"/>
      <c r="O196" s="27"/>
      <c r="P196" s="17"/>
      <c r="Q196" s="17"/>
      <c r="R196" s="17"/>
      <c r="S196" s="17">
        <f>Shop_Inflated_Price*W196/$E196*100</f>
        <v>10.91950836</v>
      </c>
      <c r="T196" s="17">
        <f>Shop_Inflated_Price*X196/$E196*100</f>
        <v>10.91950836</v>
      </c>
      <c r="U196" s="399"/>
      <c r="V196" s="87"/>
      <c r="W196" s="17">
        <f t="shared" ref="W196:W200" si="56">J196+L196+N196+P196</f>
        <v>4</v>
      </c>
      <c r="X196" s="17">
        <f t="shared" ref="X196:X200" si="57">N196+L196+J196</f>
        <v>4</v>
      </c>
      <c r="Y196" s="17"/>
      <c r="Z196" s="386"/>
      <c r="AA196" s="386"/>
      <c r="AB196" s="386"/>
      <c r="AC196" s="386"/>
      <c r="AD196" s="386"/>
      <c r="AE196" s="386"/>
      <c r="AF196" s="386"/>
    </row>
    <row r="197" ht="15.75" customHeight="1">
      <c r="A197" s="50" t="s">
        <v>1268</v>
      </c>
      <c r="B197" s="27">
        <v>2.0</v>
      </c>
      <c r="C197" s="27" t="s">
        <v>1239</v>
      </c>
      <c r="D197" s="51">
        <v>40.0</v>
      </c>
      <c r="E197" s="28">
        <f>ROUNDDOWN(Shop_Endless_Factor*Shop_Price_Modifier*(D197*Shop_Weapon_Price+(0.1*D197*Shop_Weapon_Price+1)*(Shop_Wave)),0)</f>
        <v>90</v>
      </c>
      <c r="F197" s="63">
        <f>IF('数值设定'!$D$4="默认",S197,S197)</f>
        <v>10.91950836</v>
      </c>
      <c r="G197" s="27" t="s">
        <v>1269</v>
      </c>
      <c r="H197" s="35"/>
      <c r="I197" s="35" t="s">
        <v>1262</v>
      </c>
      <c r="J197" s="17">
        <f>IFerror(10/Shop_HP_Regen,0)</f>
        <v>5</v>
      </c>
      <c r="K197" s="64" t="s">
        <v>1270</v>
      </c>
      <c r="L197" s="17">
        <f>IFERROR(-10/Shop_Range,0)</f>
        <v>-0.5</v>
      </c>
      <c r="M197" s="27"/>
      <c r="N197" s="17"/>
      <c r="O197" s="27"/>
      <c r="P197" s="17"/>
      <c r="Q197" s="17"/>
      <c r="R197" s="17"/>
      <c r="S197" s="17">
        <f>Shop_Inflated_Price*W197/$E197*100</f>
        <v>10.91950836</v>
      </c>
      <c r="T197" s="17">
        <f>Shop_Inflated_Price*X197/$E197*100</f>
        <v>10.91950836</v>
      </c>
      <c r="U197" s="399"/>
      <c r="V197" s="87"/>
      <c r="W197" s="17">
        <f t="shared" si="56"/>
        <v>4.5</v>
      </c>
      <c r="X197" s="17">
        <f t="shared" si="57"/>
        <v>4.5</v>
      </c>
      <c r="Y197" s="17"/>
      <c r="Z197" s="386"/>
      <c r="AA197" s="386"/>
      <c r="AB197" s="386"/>
      <c r="AC197" s="386"/>
      <c r="AD197" s="386"/>
      <c r="AE197" s="386"/>
      <c r="AF197" s="386"/>
    </row>
    <row r="198" ht="15.75" customHeight="1">
      <c r="A198" s="50" t="s">
        <v>1271</v>
      </c>
      <c r="B198" s="27">
        <v>1.0</v>
      </c>
      <c r="C198" s="27" t="s">
        <v>1239</v>
      </c>
      <c r="D198" s="51">
        <v>12.0</v>
      </c>
      <c r="E198" s="28">
        <f>ROUNDDOWN(Shop_Endless_Factor*Shop_Price_Modifier*(D198*Shop_Weapon_Price+(0.1*D198*Shop_Weapon_Price+1)*(Shop_Wave)),0)</f>
        <v>34</v>
      </c>
      <c r="F198" s="63">
        <f>IF('数值设定'!$D$4="默认",S198,S198)</f>
        <v>4.81743016</v>
      </c>
      <c r="G198" s="27" t="s">
        <v>1272</v>
      </c>
      <c r="H198" s="35"/>
      <c r="I198" s="59" t="s">
        <v>796</v>
      </c>
      <c r="J198" s="17">
        <f>IFerror(3/Shop_Dmg,0)</f>
        <v>0.75</v>
      </c>
      <c r="K198" s="27"/>
      <c r="L198" s="17"/>
      <c r="M198" s="27"/>
      <c r="N198" s="17"/>
      <c r="O198" s="27"/>
      <c r="P198" s="17"/>
      <c r="Q198" s="17"/>
      <c r="R198" s="17"/>
      <c r="S198" s="17">
        <f>Shop_Inflated_Price*W198/$E198*100</f>
        <v>4.81743016</v>
      </c>
      <c r="T198" s="17">
        <f>Shop_Inflated_Price*X198/$E198*100</f>
        <v>4.81743016</v>
      </c>
      <c r="U198" s="399"/>
      <c r="V198" s="87"/>
      <c r="W198" s="17">
        <f t="shared" si="56"/>
        <v>0.75</v>
      </c>
      <c r="X198" s="17">
        <f t="shared" si="57"/>
        <v>0.75</v>
      </c>
      <c r="Y198" s="17"/>
      <c r="Z198" s="386"/>
      <c r="AA198" s="386"/>
      <c r="AB198" s="386"/>
      <c r="AC198" s="386"/>
      <c r="AD198" s="386"/>
      <c r="AE198" s="386"/>
      <c r="AF198" s="386"/>
    </row>
    <row r="199" ht="15.75" customHeight="1">
      <c r="A199" s="50" t="s">
        <v>1273</v>
      </c>
      <c r="B199" s="27">
        <v>2.0</v>
      </c>
      <c r="C199" s="27" t="s">
        <v>1239</v>
      </c>
      <c r="D199" s="51">
        <v>55.0</v>
      </c>
      <c r="E199" s="28">
        <f>ROUNDDOWN(Shop_Endless_Factor*Shop_Price_Modifier*(D199*Shop_Weapon_Price+(0.1*D199*Shop_Weapon_Price+1)*(Shop_Wave)),0)</f>
        <v>120</v>
      </c>
      <c r="F199" s="63">
        <f>IF('数值设定'!$D$4="默认",S199,S199)</f>
        <v>1.819918061</v>
      </c>
      <c r="G199" s="27" t="s">
        <v>1274</v>
      </c>
      <c r="H199" s="35"/>
      <c r="I199" s="64" t="s">
        <v>397</v>
      </c>
      <c r="J199" s="17">
        <f>IFERROR(3/Shop_Crit,0)</f>
        <v>1</v>
      </c>
      <c r="K199" s="27"/>
      <c r="L199" s="17"/>
      <c r="M199" s="27"/>
      <c r="N199" s="17"/>
      <c r="O199" s="27"/>
      <c r="P199" s="17"/>
      <c r="Q199" s="17"/>
      <c r="R199" s="17"/>
      <c r="S199" s="17">
        <f>Shop_Inflated_Price*W199/$E199*100</f>
        <v>1.819918061</v>
      </c>
      <c r="T199" s="17">
        <f>Shop_Inflated_Price*X199/$E199*100</f>
        <v>1.819918061</v>
      </c>
      <c r="U199" s="399"/>
      <c r="V199" s="87"/>
      <c r="W199" s="17">
        <f t="shared" si="56"/>
        <v>1</v>
      </c>
      <c r="X199" s="17">
        <f t="shared" si="57"/>
        <v>1</v>
      </c>
      <c r="Y199" s="17"/>
      <c r="Z199" s="386"/>
      <c r="AA199" s="386"/>
      <c r="AB199" s="386"/>
      <c r="AC199" s="386"/>
      <c r="AD199" s="386"/>
      <c r="AE199" s="386"/>
      <c r="AF199" s="386"/>
    </row>
    <row r="200" ht="15.75" customHeight="1">
      <c r="A200" s="50" t="s">
        <v>880</v>
      </c>
      <c r="B200" s="27">
        <v>2.0</v>
      </c>
      <c r="C200" s="27" t="s">
        <v>41</v>
      </c>
      <c r="D200" s="51">
        <v>45.0</v>
      </c>
      <c r="E200" s="28">
        <f>ROUNDDOWN(Shop_Endless_Factor*Shop_Price_Modifier*(D200*Shop_Weapon_Price+(0.1*D200*Shop_Weapon_Price+1)*(Shop_Wave)),0)</f>
        <v>100</v>
      </c>
      <c r="F200" s="63">
        <f>IF('数值设定'!$D$4="默认",S200,S200)</f>
        <v>4.367803345</v>
      </c>
      <c r="G200" s="27" t="s">
        <v>1275</v>
      </c>
      <c r="H200" s="35" t="s">
        <v>97</v>
      </c>
      <c r="I200" s="39" t="s">
        <v>1276</v>
      </c>
      <c r="J200" s="17">
        <f>IFerror(6/Shop_Max_HP,0)</f>
        <v>2</v>
      </c>
      <c r="K200" s="27"/>
      <c r="L200" s="17"/>
      <c r="M200" s="27"/>
      <c r="N200" s="17"/>
      <c r="O200" s="27"/>
      <c r="P200" s="17"/>
      <c r="Q200" s="17"/>
      <c r="R200" s="17"/>
      <c r="S200" s="17">
        <f>Shop_Inflated_Price*W200/$E200*100</f>
        <v>4.367803345</v>
      </c>
      <c r="T200" s="17">
        <f>Shop_Inflated_Price*X200/$E200*100</f>
        <v>4.367803345</v>
      </c>
      <c r="U200" s="399"/>
      <c r="V200" s="87"/>
      <c r="W200" s="17">
        <f t="shared" si="56"/>
        <v>2</v>
      </c>
      <c r="X200" s="17">
        <f t="shared" si="57"/>
        <v>2</v>
      </c>
      <c r="Y200" s="17"/>
      <c r="Z200" s="386"/>
      <c r="AA200" s="386"/>
      <c r="AB200" s="386"/>
      <c r="AC200" s="386"/>
      <c r="AD200" s="386"/>
      <c r="AE200" s="386"/>
      <c r="AF200" s="386"/>
    </row>
    <row r="201" ht="15.75" customHeight="1">
      <c r="A201" s="24"/>
      <c r="B201" s="25"/>
      <c r="C201" s="25"/>
      <c r="D201" s="28"/>
      <c r="E201" s="28"/>
      <c r="F201" s="404"/>
      <c r="G201" s="380"/>
      <c r="H201" s="300"/>
      <c r="I201" s="17"/>
      <c r="J201" s="17"/>
      <c r="K201" s="17"/>
      <c r="L201" s="17"/>
      <c r="M201" s="17"/>
      <c r="N201" s="17"/>
      <c r="O201" s="17"/>
      <c r="P201" s="17"/>
      <c r="Q201" s="17"/>
      <c r="R201" s="17"/>
      <c r="S201" s="17"/>
      <c r="T201" s="17"/>
      <c r="U201" s="300"/>
      <c r="V201" s="47"/>
      <c r="W201" s="17"/>
      <c r="X201" s="17"/>
      <c r="Y201" s="300"/>
      <c r="Z201" s="386"/>
      <c r="AA201" s="386"/>
      <c r="AB201" s="386"/>
      <c r="AC201" s="386"/>
      <c r="AD201" s="386"/>
      <c r="AE201" s="386"/>
      <c r="AF201" s="386"/>
    </row>
    <row r="202" ht="15.75" customHeight="1">
      <c r="A202" s="24"/>
      <c r="B202" s="25"/>
      <c r="C202" s="25"/>
      <c r="D202" s="28"/>
      <c r="E202" s="28"/>
      <c r="F202" s="383"/>
      <c r="G202" s="380"/>
      <c r="H202" s="300"/>
      <c r="I202" s="17"/>
      <c r="J202" s="17"/>
      <c r="K202" s="17"/>
      <c r="L202" s="17"/>
      <c r="M202" s="17"/>
      <c r="N202" s="17"/>
      <c r="O202" s="17"/>
      <c r="P202" s="17"/>
      <c r="Q202" s="17"/>
      <c r="R202" s="17"/>
      <c r="S202" s="17"/>
      <c r="T202" s="17"/>
      <c r="U202" s="300"/>
      <c r="V202" s="67"/>
      <c r="W202" s="17"/>
      <c r="X202" s="17"/>
      <c r="Y202" s="300"/>
      <c r="Z202" s="386"/>
      <c r="AA202" s="386"/>
      <c r="AB202" s="386"/>
      <c r="AC202" s="386"/>
      <c r="AD202" s="386"/>
      <c r="AE202" s="386"/>
      <c r="AF202" s="386"/>
    </row>
    <row r="203" ht="15.75" customHeight="1">
      <c r="A203" s="24"/>
      <c r="B203" s="25"/>
      <c r="C203" s="25"/>
      <c r="D203" s="28"/>
      <c r="E203" s="28"/>
      <c r="F203" s="404"/>
      <c r="G203" s="380"/>
      <c r="H203" s="300"/>
      <c r="I203" s="17"/>
      <c r="J203" s="17"/>
      <c r="K203" s="17"/>
      <c r="L203" s="17"/>
      <c r="M203" s="17"/>
      <c r="N203" s="17"/>
      <c r="O203" s="17"/>
      <c r="P203" s="17"/>
      <c r="Q203" s="17"/>
      <c r="R203" s="17"/>
      <c r="S203" s="17"/>
      <c r="T203" s="17"/>
      <c r="U203" s="300"/>
      <c r="V203" s="47"/>
      <c r="W203" s="17"/>
      <c r="X203" s="17"/>
      <c r="Y203" s="300"/>
      <c r="Z203" s="386"/>
      <c r="AA203" s="386"/>
      <c r="AB203" s="386"/>
      <c r="AC203" s="386"/>
      <c r="AD203" s="386"/>
      <c r="AE203" s="386"/>
      <c r="AF203" s="386"/>
    </row>
    <row r="204" ht="15.75" customHeight="1">
      <c r="A204" s="24"/>
      <c r="B204" s="25"/>
      <c r="C204" s="25"/>
      <c r="D204" s="28"/>
      <c r="E204" s="28"/>
      <c r="F204" s="383"/>
      <c r="G204" s="380"/>
      <c r="H204" s="300"/>
      <c r="I204" s="17"/>
      <c r="J204" s="17"/>
      <c r="K204" s="17"/>
      <c r="L204" s="17"/>
      <c r="M204" s="17"/>
      <c r="N204" s="17"/>
      <c r="O204" s="17"/>
      <c r="P204" s="17"/>
      <c r="Q204" s="17"/>
      <c r="R204" s="17"/>
      <c r="S204" s="17"/>
      <c r="T204" s="17"/>
      <c r="U204" s="300"/>
      <c r="V204" s="67"/>
      <c r="W204" s="17"/>
      <c r="X204" s="17"/>
      <c r="Y204" s="300"/>
      <c r="Z204" s="386"/>
      <c r="AA204" s="386"/>
      <c r="AB204" s="386"/>
      <c r="AC204" s="386"/>
      <c r="AD204" s="386"/>
      <c r="AE204" s="386"/>
      <c r="AF204" s="386"/>
    </row>
    <row r="205" ht="15.75" customHeight="1">
      <c r="A205" s="24"/>
      <c r="B205" s="25"/>
      <c r="C205" s="25"/>
      <c r="D205" s="28"/>
      <c r="E205" s="28"/>
      <c r="F205" s="404"/>
      <c r="G205" s="380"/>
      <c r="H205" s="300"/>
      <c r="I205" s="17"/>
      <c r="J205" s="17"/>
      <c r="K205" s="17"/>
      <c r="L205" s="17"/>
      <c r="M205" s="17"/>
      <c r="N205" s="17"/>
      <c r="O205" s="17"/>
      <c r="P205" s="17"/>
      <c r="Q205" s="17"/>
      <c r="R205" s="17"/>
      <c r="S205" s="17"/>
      <c r="T205" s="17"/>
      <c r="U205" s="300"/>
      <c r="V205" s="47"/>
      <c r="W205" s="17"/>
      <c r="X205" s="17"/>
      <c r="Y205" s="300"/>
      <c r="Z205" s="386"/>
      <c r="AA205" s="386"/>
      <c r="AB205" s="386"/>
      <c r="AC205" s="386"/>
      <c r="AD205" s="386"/>
      <c r="AE205" s="386"/>
      <c r="AF205" s="386"/>
    </row>
    <row r="206" ht="15.75" customHeight="1">
      <c r="A206" s="24"/>
      <c r="B206" s="25"/>
      <c r="C206" s="25"/>
      <c r="D206" s="28"/>
      <c r="E206" s="28"/>
      <c r="F206" s="383"/>
      <c r="G206" s="380"/>
      <c r="H206" s="300"/>
      <c r="I206" s="17"/>
      <c r="J206" s="17"/>
      <c r="K206" s="17"/>
      <c r="L206" s="17"/>
      <c r="M206" s="17"/>
      <c r="N206" s="17"/>
      <c r="O206" s="17"/>
      <c r="P206" s="17"/>
      <c r="Q206" s="17"/>
      <c r="R206" s="17"/>
      <c r="S206" s="17"/>
      <c r="T206" s="17"/>
      <c r="U206" s="300"/>
      <c r="V206" s="67"/>
      <c r="W206" s="17"/>
      <c r="X206" s="17"/>
      <c r="Y206" s="300"/>
      <c r="Z206" s="386"/>
      <c r="AA206" s="386"/>
      <c r="AB206" s="386"/>
      <c r="AC206" s="386"/>
      <c r="AD206" s="386"/>
      <c r="AE206" s="386"/>
      <c r="AF206" s="386"/>
    </row>
    <row r="207" ht="15.75" customHeight="1">
      <c r="A207" s="24"/>
      <c r="B207" s="25"/>
      <c r="C207" s="25"/>
      <c r="D207" s="28"/>
      <c r="E207" s="28"/>
      <c r="F207" s="404"/>
      <c r="G207" s="380"/>
      <c r="H207" s="300"/>
      <c r="I207" s="17"/>
      <c r="J207" s="17"/>
      <c r="K207" s="17"/>
      <c r="L207" s="17"/>
      <c r="M207" s="17"/>
      <c r="N207" s="17"/>
      <c r="O207" s="17"/>
      <c r="P207" s="17"/>
      <c r="Q207" s="17"/>
      <c r="R207" s="17"/>
      <c r="S207" s="17"/>
      <c r="T207" s="17"/>
      <c r="U207" s="300"/>
      <c r="V207" s="47"/>
      <c r="W207" s="17"/>
      <c r="X207" s="17"/>
      <c r="Y207" s="300"/>
      <c r="Z207" s="386"/>
      <c r="AA207" s="386"/>
      <c r="AB207" s="386"/>
      <c r="AC207" s="386"/>
      <c r="AD207" s="386"/>
      <c r="AE207" s="386"/>
      <c r="AF207" s="386"/>
    </row>
    <row r="208" ht="15.75" customHeight="1">
      <c r="A208" s="24"/>
      <c r="B208" s="25"/>
      <c r="C208" s="25"/>
      <c r="D208" s="28"/>
      <c r="E208" s="28"/>
      <c r="F208" s="383"/>
      <c r="G208" s="380"/>
      <c r="H208" s="300"/>
      <c r="I208" s="17"/>
      <c r="J208" s="17"/>
      <c r="K208" s="17"/>
      <c r="L208" s="17"/>
      <c r="M208" s="17"/>
      <c r="N208" s="17"/>
      <c r="O208" s="17"/>
      <c r="P208" s="17"/>
      <c r="Q208" s="17"/>
      <c r="R208" s="17"/>
      <c r="S208" s="17"/>
      <c r="T208" s="17"/>
      <c r="U208" s="300"/>
      <c r="V208" s="67"/>
      <c r="W208" s="17"/>
      <c r="X208" s="17"/>
      <c r="Y208" s="300"/>
      <c r="Z208" s="386"/>
      <c r="AA208" s="386"/>
      <c r="AB208" s="386"/>
      <c r="AC208" s="386"/>
      <c r="AD208" s="386"/>
      <c r="AE208" s="386"/>
      <c r="AF208" s="386"/>
    </row>
    <row r="209" ht="15.75" customHeight="1">
      <c r="A209" s="24"/>
      <c r="B209" s="25"/>
      <c r="C209" s="25"/>
      <c r="D209" s="28"/>
      <c r="E209" s="28"/>
      <c r="F209" s="404"/>
      <c r="G209" s="380"/>
      <c r="H209" s="300"/>
      <c r="I209" s="17"/>
      <c r="J209" s="17"/>
      <c r="K209" s="17"/>
      <c r="L209" s="17"/>
      <c r="M209" s="17"/>
      <c r="N209" s="17"/>
      <c r="O209" s="17"/>
      <c r="P209" s="17"/>
      <c r="Q209" s="17"/>
      <c r="R209" s="17"/>
      <c r="S209" s="17"/>
      <c r="T209" s="17"/>
      <c r="U209" s="300"/>
      <c r="V209" s="47"/>
      <c r="W209" s="17"/>
      <c r="X209" s="17"/>
      <c r="Y209" s="300"/>
      <c r="Z209" s="386"/>
      <c r="AA209" s="386"/>
      <c r="AB209" s="386"/>
      <c r="AC209" s="386"/>
      <c r="AD209" s="386"/>
      <c r="AE209" s="386"/>
      <c r="AF209" s="386"/>
    </row>
    <row r="210" ht="15.75" customHeight="1">
      <c r="A210" s="24"/>
      <c r="B210" s="25"/>
      <c r="C210" s="25"/>
      <c r="D210" s="28"/>
      <c r="E210" s="28"/>
      <c r="F210" s="383"/>
      <c r="G210" s="380"/>
      <c r="H210" s="300"/>
      <c r="I210" s="17"/>
      <c r="J210" s="17"/>
      <c r="K210" s="17"/>
      <c r="L210" s="17"/>
      <c r="M210" s="17"/>
      <c r="N210" s="17"/>
      <c r="O210" s="17"/>
      <c r="P210" s="17"/>
      <c r="Q210" s="17"/>
      <c r="R210" s="17"/>
      <c r="S210" s="17"/>
      <c r="T210" s="17"/>
      <c r="U210" s="300"/>
      <c r="V210" s="67"/>
      <c r="W210" s="17"/>
      <c r="X210" s="17"/>
      <c r="Y210" s="300"/>
      <c r="Z210" s="386"/>
      <c r="AA210" s="386"/>
      <c r="AB210" s="386"/>
      <c r="AC210" s="386"/>
      <c r="AD210" s="386"/>
      <c r="AE210" s="386"/>
      <c r="AF210" s="386"/>
    </row>
    <row r="211" ht="15.75" customHeight="1">
      <c r="A211" s="24"/>
      <c r="B211" s="25"/>
      <c r="C211" s="25"/>
      <c r="D211" s="28"/>
      <c r="E211" s="28"/>
      <c r="F211" s="404"/>
      <c r="G211" s="380"/>
      <c r="H211" s="300"/>
      <c r="I211" s="17"/>
      <c r="J211" s="17"/>
      <c r="K211" s="17"/>
      <c r="L211" s="17"/>
      <c r="M211" s="17"/>
      <c r="N211" s="17"/>
      <c r="O211" s="17"/>
      <c r="P211" s="17"/>
      <c r="Q211" s="17"/>
      <c r="R211" s="17"/>
      <c r="S211" s="17"/>
      <c r="T211" s="17"/>
      <c r="U211" s="300"/>
      <c r="V211" s="47"/>
      <c r="W211" s="17"/>
      <c r="X211" s="17"/>
      <c r="Y211" s="300"/>
      <c r="Z211" s="386"/>
      <c r="AA211" s="386"/>
      <c r="AB211" s="386"/>
      <c r="AC211" s="386"/>
      <c r="AD211" s="386"/>
      <c r="AE211" s="386"/>
      <c r="AF211" s="386"/>
    </row>
    <row r="212" ht="15.75" customHeight="1">
      <c r="A212" s="24"/>
      <c r="B212" s="25"/>
      <c r="C212" s="25"/>
      <c r="D212" s="28"/>
      <c r="E212" s="28"/>
      <c r="F212" s="383"/>
      <c r="G212" s="380"/>
      <c r="H212" s="300"/>
      <c r="I212" s="17"/>
      <c r="J212" s="17"/>
      <c r="K212" s="17"/>
      <c r="L212" s="17"/>
      <c r="M212" s="17"/>
      <c r="N212" s="17"/>
      <c r="O212" s="17"/>
      <c r="P212" s="17"/>
      <c r="Q212" s="17"/>
      <c r="R212" s="17"/>
      <c r="S212" s="17"/>
      <c r="T212" s="17"/>
      <c r="U212" s="300"/>
      <c r="V212" s="67"/>
      <c r="W212" s="17"/>
      <c r="X212" s="17"/>
      <c r="Y212" s="300"/>
      <c r="Z212" s="386"/>
      <c r="AA212" s="386"/>
      <c r="AB212" s="386"/>
      <c r="AC212" s="386"/>
      <c r="AD212" s="386"/>
      <c r="AE212" s="386"/>
      <c r="AF212" s="386"/>
    </row>
    <row r="213" ht="15.75" customHeight="1">
      <c r="A213" s="24"/>
      <c r="B213" s="25"/>
      <c r="C213" s="25"/>
      <c r="D213" s="28"/>
      <c r="E213" s="28"/>
      <c r="F213" s="404"/>
      <c r="G213" s="380"/>
      <c r="H213" s="300"/>
      <c r="I213" s="17"/>
      <c r="J213" s="17"/>
      <c r="K213" s="17"/>
      <c r="L213" s="17"/>
      <c r="M213" s="17"/>
      <c r="N213" s="17"/>
      <c r="O213" s="17"/>
      <c r="P213" s="17"/>
      <c r="Q213" s="17"/>
      <c r="R213" s="17"/>
      <c r="S213" s="17"/>
      <c r="T213" s="17"/>
      <c r="U213" s="300"/>
      <c r="V213" s="47"/>
      <c r="W213" s="17"/>
      <c r="X213" s="17"/>
      <c r="Y213" s="300"/>
      <c r="Z213" s="386"/>
      <c r="AA213" s="386"/>
      <c r="AB213" s="386"/>
      <c r="AC213" s="386"/>
      <c r="AD213" s="386"/>
      <c r="AE213" s="386"/>
      <c r="AF213" s="386"/>
    </row>
    <row r="214" ht="15.75" customHeight="1">
      <c r="A214" s="24"/>
      <c r="B214" s="25"/>
      <c r="C214" s="25"/>
      <c r="D214" s="28"/>
      <c r="E214" s="28"/>
      <c r="F214" s="383"/>
      <c r="G214" s="380"/>
      <c r="H214" s="300"/>
      <c r="I214" s="17"/>
      <c r="J214" s="17"/>
      <c r="K214" s="17"/>
      <c r="L214" s="17"/>
      <c r="M214" s="17"/>
      <c r="N214" s="17"/>
      <c r="O214" s="17"/>
      <c r="P214" s="17"/>
      <c r="Q214" s="17"/>
      <c r="R214" s="17"/>
      <c r="S214" s="17"/>
      <c r="T214" s="17"/>
      <c r="U214" s="300"/>
      <c r="V214" s="67"/>
      <c r="W214" s="17"/>
      <c r="X214" s="17"/>
      <c r="Y214" s="300"/>
      <c r="Z214" s="386"/>
      <c r="AA214" s="386"/>
      <c r="AB214" s="386"/>
      <c r="AC214" s="386"/>
      <c r="AD214" s="386"/>
      <c r="AE214" s="386"/>
      <c r="AF214" s="386"/>
    </row>
    <row r="215" ht="15.75" customHeight="1">
      <c r="A215" s="24"/>
      <c r="B215" s="25"/>
      <c r="C215" s="25"/>
      <c r="D215" s="28"/>
      <c r="E215" s="28"/>
      <c r="F215" s="404"/>
      <c r="G215" s="380"/>
      <c r="H215" s="300"/>
      <c r="I215" s="17"/>
      <c r="J215" s="17"/>
      <c r="K215" s="17"/>
      <c r="L215" s="17"/>
      <c r="M215" s="17"/>
      <c r="N215" s="17"/>
      <c r="O215" s="17"/>
      <c r="P215" s="17"/>
      <c r="Q215" s="17"/>
      <c r="R215" s="17"/>
      <c r="S215" s="17"/>
      <c r="T215" s="17"/>
      <c r="U215" s="300"/>
      <c r="V215" s="47"/>
      <c r="W215" s="17"/>
      <c r="X215" s="17"/>
      <c r="Y215" s="300"/>
      <c r="Z215" s="386"/>
      <c r="AA215" s="386"/>
      <c r="AB215" s="386"/>
      <c r="AC215" s="386"/>
      <c r="AD215" s="386"/>
      <c r="AE215" s="386"/>
      <c r="AF215" s="386"/>
    </row>
    <row r="216" ht="15.75" customHeight="1">
      <c r="A216" s="24"/>
      <c r="B216" s="25"/>
      <c r="C216" s="25"/>
      <c r="D216" s="28"/>
      <c r="E216" s="28"/>
      <c r="F216" s="383"/>
      <c r="G216" s="380"/>
      <c r="H216" s="300"/>
      <c r="I216" s="17"/>
      <c r="J216" s="17"/>
      <c r="K216" s="17"/>
      <c r="L216" s="17"/>
      <c r="M216" s="17"/>
      <c r="N216" s="17"/>
      <c r="O216" s="17"/>
      <c r="P216" s="17"/>
      <c r="Q216" s="17"/>
      <c r="R216" s="17"/>
      <c r="S216" s="17"/>
      <c r="T216" s="17"/>
      <c r="U216" s="300"/>
      <c r="V216" s="67"/>
      <c r="W216" s="17"/>
      <c r="X216" s="17"/>
      <c r="Y216" s="300"/>
      <c r="Z216" s="386"/>
      <c r="AA216" s="386"/>
      <c r="AB216" s="386"/>
      <c r="AC216" s="386"/>
      <c r="AD216" s="386"/>
      <c r="AE216" s="386"/>
      <c r="AF216" s="386"/>
    </row>
    <row r="217" ht="15.75" customHeight="1">
      <c r="A217" s="24"/>
      <c r="B217" s="25"/>
      <c r="C217" s="25"/>
      <c r="D217" s="28"/>
      <c r="E217" s="28"/>
      <c r="F217" s="404"/>
      <c r="G217" s="380"/>
      <c r="H217" s="300"/>
      <c r="I217" s="17"/>
      <c r="J217" s="17"/>
      <c r="K217" s="17"/>
      <c r="L217" s="17"/>
      <c r="M217" s="17"/>
      <c r="N217" s="17"/>
      <c r="O217" s="17"/>
      <c r="P217" s="17"/>
      <c r="Q217" s="17"/>
      <c r="R217" s="17"/>
      <c r="S217" s="17"/>
      <c r="T217" s="17"/>
      <c r="U217" s="300"/>
      <c r="V217" s="47"/>
      <c r="W217" s="17"/>
      <c r="X217" s="17"/>
      <c r="Y217" s="300"/>
      <c r="Z217" s="386"/>
      <c r="AA217" s="386"/>
      <c r="AB217" s="386"/>
      <c r="AC217" s="386"/>
      <c r="AD217" s="386"/>
      <c r="AE217" s="386"/>
      <c r="AF217" s="386"/>
    </row>
    <row r="218" ht="15.75" customHeight="1">
      <c r="A218" s="24"/>
      <c r="B218" s="25"/>
      <c r="C218" s="25"/>
      <c r="D218" s="28"/>
      <c r="E218" s="28"/>
      <c r="F218" s="383"/>
      <c r="G218" s="380"/>
      <c r="H218" s="300"/>
      <c r="I218" s="17"/>
      <c r="J218" s="17"/>
      <c r="K218" s="17"/>
      <c r="L218" s="17"/>
      <c r="M218" s="17"/>
      <c r="N218" s="17"/>
      <c r="O218" s="17"/>
      <c r="P218" s="17"/>
      <c r="Q218" s="17"/>
      <c r="R218" s="17"/>
      <c r="S218" s="17"/>
      <c r="T218" s="17"/>
      <c r="U218" s="300"/>
      <c r="V218" s="67"/>
      <c r="W218" s="17"/>
      <c r="X218" s="17"/>
      <c r="Y218" s="300"/>
      <c r="Z218" s="386"/>
      <c r="AA218" s="386"/>
      <c r="AB218" s="386"/>
      <c r="AC218" s="386"/>
      <c r="AD218" s="386"/>
      <c r="AE218" s="386"/>
      <c r="AF218" s="386"/>
    </row>
    <row r="219" ht="15.75" customHeight="1">
      <c r="A219" s="24"/>
      <c r="B219" s="25"/>
      <c r="C219" s="25"/>
      <c r="D219" s="28"/>
      <c r="E219" s="28"/>
      <c r="F219" s="404"/>
      <c r="G219" s="380"/>
      <c r="H219" s="300"/>
      <c r="I219" s="17"/>
      <c r="J219" s="17"/>
      <c r="K219" s="17"/>
      <c r="L219" s="17"/>
      <c r="M219" s="17"/>
      <c r="N219" s="17"/>
      <c r="O219" s="17"/>
      <c r="P219" s="17"/>
      <c r="Q219" s="17"/>
      <c r="R219" s="17"/>
      <c r="S219" s="17"/>
      <c r="T219" s="17"/>
      <c r="U219" s="300"/>
      <c r="V219" s="47"/>
      <c r="W219" s="17"/>
      <c r="X219" s="17"/>
      <c r="Y219" s="300"/>
      <c r="Z219" s="386"/>
      <c r="AA219" s="386"/>
      <c r="AB219" s="386"/>
      <c r="AC219" s="386"/>
      <c r="AD219" s="386"/>
      <c r="AE219" s="386"/>
      <c r="AF219" s="386"/>
    </row>
    <row r="220" ht="15.75" customHeight="1">
      <c r="A220" s="24"/>
      <c r="B220" s="25"/>
      <c r="C220" s="25"/>
      <c r="D220" s="28"/>
      <c r="E220" s="28"/>
      <c r="F220" s="383"/>
      <c r="G220" s="380"/>
      <c r="H220" s="300"/>
      <c r="I220" s="17"/>
      <c r="J220" s="17"/>
      <c r="K220" s="17"/>
      <c r="L220" s="17"/>
      <c r="M220" s="17"/>
      <c r="N220" s="17"/>
      <c r="O220" s="17"/>
      <c r="P220" s="17"/>
      <c r="Q220" s="17"/>
      <c r="R220" s="17"/>
      <c r="S220" s="17"/>
      <c r="T220" s="17"/>
      <c r="U220" s="300"/>
      <c r="V220" s="67"/>
      <c r="W220" s="17"/>
      <c r="X220" s="17"/>
      <c r="Y220" s="300"/>
      <c r="Z220" s="386"/>
      <c r="AA220" s="386"/>
      <c r="AB220" s="386"/>
      <c r="AC220" s="386"/>
      <c r="AD220" s="386"/>
      <c r="AE220" s="386"/>
      <c r="AF220" s="386"/>
    </row>
    <row r="221" ht="15.75" customHeight="1">
      <c r="A221" s="24"/>
      <c r="B221" s="25"/>
      <c r="C221" s="25"/>
      <c r="D221" s="28"/>
      <c r="E221" s="28"/>
      <c r="F221" s="404"/>
      <c r="G221" s="380"/>
      <c r="H221" s="300"/>
      <c r="I221" s="17"/>
      <c r="J221" s="17"/>
      <c r="K221" s="17"/>
      <c r="L221" s="17"/>
      <c r="M221" s="17"/>
      <c r="N221" s="17"/>
      <c r="O221" s="17"/>
      <c r="P221" s="17"/>
      <c r="Q221" s="17"/>
      <c r="R221" s="17"/>
      <c r="S221" s="17"/>
      <c r="T221" s="17"/>
      <c r="U221" s="300"/>
      <c r="V221" s="47"/>
      <c r="W221" s="17"/>
      <c r="X221" s="17"/>
      <c r="Y221" s="300"/>
      <c r="Z221" s="386"/>
      <c r="AA221" s="386"/>
      <c r="AB221" s="386"/>
      <c r="AC221" s="386"/>
      <c r="AD221" s="386"/>
      <c r="AE221" s="386"/>
      <c r="AF221" s="386"/>
    </row>
    <row r="222" ht="15.75" customHeight="1">
      <c r="A222" s="24"/>
      <c r="B222" s="25"/>
      <c r="C222" s="25"/>
      <c r="D222" s="28"/>
      <c r="E222" s="28"/>
      <c r="F222" s="383"/>
      <c r="G222" s="380"/>
      <c r="H222" s="300"/>
      <c r="I222" s="17"/>
      <c r="J222" s="17"/>
      <c r="K222" s="17"/>
      <c r="L222" s="17"/>
      <c r="M222" s="17"/>
      <c r="N222" s="17"/>
      <c r="O222" s="17"/>
      <c r="P222" s="17"/>
      <c r="Q222" s="17"/>
      <c r="R222" s="17"/>
      <c r="S222" s="17"/>
      <c r="T222" s="17"/>
      <c r="U222" s="300"/>
      <c r="V222" s="67"/>
      <c r="W222" s="17"/>
      <c r="X222" s="17"/>
      <c r="Y222" s="300"/>
      <c r="Z222" s="386"/>
      <c r="AA222" s="386"/>
      <c r="AB222" s="386"/>
      <c r="AC222" s="386"/>
      <c r="AD222" s="386"/>
      <c r="AE222" s="386"/>
      <c r="AF222" s="386"/>
    </row>
    <row r="223" ht="15.75" customHeight="1">
      <c r="A223" s="24"/>
      <c r="B223" s="25"/>
      <c r="C223" s="25"/>
      <c r="D223" s="28"/>
      <c r="E223" s="28"/>
      <c r="F223" s="404"/>
      <c r="G223" s="380"/>
      <c r="H223" s="300"/>
      <c r="I223" s="17"/>
      <c r="J223" s="17"/>
      <c r="K223" s="17"/>
      <c r="L223" s="17"/>
      <c r="M223" s="17"/>
      <c r="N223" s="17"/>
      <c r="O223" s="17"/>
      <c r="P223" s="17"/>
      <c r="Q223" s="17"/>
      <c r="R223" s="17"/>
      <c r="S223" s="17"/>
      <c r="T223" s="17"/>
      <c r="U223" s="300"/>
      <c r="V223" s="47"/>
      <c r="W223" s="17"/>
      <c r="X223" s="17"/>
      <c r="Y223" s="300"/>
      <c r="Z223" s="386"/>
      <c r="AA223" s="386"/>
      <c r="AB223" s="386"/>
      <c r="AC223" s="386"/>
      <c r="AD223" s="386"/>
      <c r="AE223" s="386"/>
      <c r="AF223" s="386"/>
    </row>
    <row r="224" ht="15.75" customHeight="1">
      <c r="A224" s="24"/>
      <c r="B224" s="25"/>
      <c r="C224" s="25"/>
      <c r="D224" s="28"/>
      <c r="E224" s="28"/>
      <c r="F224" s="383"/>
      <c r="G224" s="380"/>
      <c r="H224" s="300"/>
      <c r="I224" s="17"/>
      <c r="J224" s="17"/>
      <c r="K224" s="17"/>
      <c r="L224" s="17"/>
      <c r="M224" s="17"/>
      <c r="N224" s="17"/>
      <c r="O224" s="17"/>
      <c r="P224" s="17"/>
      <c r="Q224" s="17"/>
      <c r="R224" s="17"/>
      <c r="S224" s="17"/>
      <c r="T224" s="17"/>
      <c r="U224" s="300"/>
      <c r="V224" s="67"/>
      <c r="W224" s="17"/>
      <c r="X224" s="17"/>
      <c r="Y224" s="300"/>
      <c r="Z224" s="386"/>
      <c r="AA224" s="386"/>
      <c r="AB224" s="386"/>
      <c r="AC224" s="386"/>
      <c r="AD224" s="386"/>
      <c r="AE224" s="386"/>
      <c r="AF224" s="386"/>
    </row>
    <row r="225" ht="15.75" customHeight="1">
      <c r="A225" s="24"/>
      <c r="B225" s="25"/>
      <c r="C225" s="25"/>
      <c r="D225" s="28"/>
      <c r="E225" s="28"/>
      <c r="F225" s="404"/>
      <c r="G225" s="380"/>
      <c r="H225" s="300"/>
      <c r="I225" s="17"/>
      <c r="J225" s="17"/>
      <c r="K225" s="17"/>
      <c r="L225" s="17"/>
      <c r="M225" s="17"/>
      <c r="N225" s="17"/>
      <c r="O225" s="17"/>
      <c r="P225" s="17"/>
      <c r="Q225" s="17"/>
      <c r="R225" s="17"/>
      <c r="S225" s="17"/>
      <c r="T225" s="17"/>
      <c r="U225" s="300"/>
      <c r="V225" s="47"/>
      <c r="W225" s="17"/>
      <c r="X225" s="17"/>
      <c r="Y225" s="300"/>
      <c r="Z225" s="386"/>
      <c r="AA225" s="386"/>
      <c r="AB225" s="386"/>
      <c r="AC225" s="386"/>
      <c r="AD225" s="386"/>
      <c r="AE225" s="386"/>
      <c r="AF225" s="386"/>
    </row>
    <row r="226" ht="15.75" customHeight="1">
      <c r="A226" s="24"/>
      <c r="B226" s="25"/>
      <c r="C226" s="25"/>
      <c r="D226" s="28"/>
      <c r="E226" s="28"/>
      <c r="F226" s="383"/>
      <c r="G226" s="380"/>
      <c r="H226" s="300"/>
      <c r="I226" s="17"/>
      <c r="J226" s="17"/>
      <c r="K226" s="17"/>
      <c r="L226" s="17"/>
      <c r="M226" s="17"/>
      <c r="N226" s="17"/>
      <c r="O226" s="17"/>
      <c r="P226" s="17"/>
      <c r="Q226" s="17"/>
      <c r="R226" s="17"/>
      <c r="S226" s="17"/>
      <c r="T226" s="17"/>
      <c r="U226" s="300"/>
      <c r="V226" s="67"/>
      <c r="W226" s="17"/>
      <c r="X226" s="17"/>
      <c r="Y226" s="300"/>
      <c r="Z226" s="386"/>
      <c r="AA226" s="386"/>
      <c r="AB226" s="386"/>
      <c r="AC226" s="386"/>
      <c r="AD226" s="386"/>
      <c r="AE226" s="386"/>
      <c r="AF226" s="386"/>
    </row>
    <row r="227" ht="15.75" customHeight="1">
      <c r="A227" s="24"/>
      <c r="B227" s="25"/>
      <c r="C227" s="25"/>
      <c r="D227" s="28"/>
      <c r="E227" s="28"/>
      <c r="F227" s="404"/>
      <c r="G227" s="380"/>
      <c r="H227" s="300"/>
      <c r="I227" s="17"/>
      <c r="J227" s="17"/>
      <c r="K227" s="17"/>
      <c r="L227" s="17"/>
      <c r="M227" s="17"/>
      <c r="N227" s="17"/>
      <c r="O227" s="17"/>
      <c r="P227" s="17"/>
      <c r="Q227" s="17"/>
      <c r="R227" s="17"/>
      <c r="S227" s="17"/>
      <c r="T227" s="17"/>
      <c r="U227" s="300"/>
      <c r="V227" s="47"/>
      <c r="W227" s="17"/>
      <c r="X227" s="17"/>
      <c r="Y227" s="300"/>
      <c r="Z227" s="386"/>
      <c r="AA227" s="386"/>
      <c r="AB227" s="386"/>
      <c r="AC227" s="386"/>
      <c r="AD227" s="386"/>
      <c r="AE227" s="386"/>
      <c r="AF227" s="386"/>
    </row>
    <row r="228" ht="15.75" customHeight="1">
      <c r="A228" s="24"/>
      <c r="B228" s="25"/>
      <c r="C228" s="25"/>
      <c r="D228" s="28"/>
      <c r="E228" s="28"/>
      <c r="F228" s="383"/>
      <c r="G228" s="380"/>
      <c r="H228" s="300"/>
      <c r="I228" s="17"/>
      <c r="J228" s="17"/>
      <c r="K228" s="17"/>
      <c r="L228" s="17"/>
      <c r="M228" s="17"/>
      <c r="N228" s="17"/>
      <c r="O228" s="17"/>
      <c r="P228" s="17"/>
      <c r="Q228" s="17"/>
      <c r="R228" s="17"/>
      <c r="S228" s="17"/>
      <c r="T228" s="17"/>
      <c r="U228" s="300"/>
      <c r="V228" s="67"/>
      <c r="W228" s="17"/>
      <c r="X228" s="17"/>
      <c r="Y228" s="300"/>
      <c r="Z228" s="386"/>
      <c r="AA228" s="386"/>
      <c r="AB228" s="386"/>
      <c r="AC228" s="386"/>
      <c r="AD228" s="386"/>
      <c r="AE228" s="386"/>
      <c r="AF228" s="386"/>
    </row>
    <row r="229" ht="15.75" customHeight="1">
      <c r="A229" s="24"/>
      <c r="B229" s="25"/>
      <c r="C229" s="25"/>
      <c r="D229" s="28"/>
      <c r="E229" s="28"/>
      <c r="F229" s="404"/>
      <c r="G229" s="380"/>
      <c r="H229" s="300"/>
      <c r="I229" s="17"/>
      <c r="J229" s="17"/>
      <c r="K229" s="17"/>
      <c r="L229" s="17"/>
      <c r="M229" s="17"/>
      <c r="N229" s="17"/>
      <c r="O229" s="17"/>
      <c r="P229" s="17"/>
      <c r="Q229" s="17"/>
      <c r="R229" s="17"/>
      <c r="S229" s="17"/>
      <c r="T229" s="17"/>
      <c r="U229" s="300"/>
      <c r="V229" s="47"/>
      <c r="W229" s="17"/>
      <c r="X229" s="17"/>
      <c r="Y229" s="300"/>
      <c r="Z229" s="386"/>
      <c r="AA229" s="386"/>
      <c r="AB229" s="386"/>
      <c r="AC229" s="386"/>
      <c r="AD229" s="386"/>
      <c r="AE229" s="386"/>
      <c r="AF229" s="386"/>
    </row>
    <row r="230" ht="15.75" customHeight="1">
      <c r="A230" s="24"/>
      <c r="B230" s="25"/>
      <c r="C230" s="25"/>
      <c r="D230" s="28"/>
      <c r="E230" s="28"/>
      <c r="F230" s="383"/>
      <c r="G230" s="380"/>
      <c r="H230" s="300"/>
      <c r="I230" s="17"/>
      <c r="J230" s="17"/>
      <c r="K230" s="17"/>
      <c r="L230" s="17"/>
      <c r="M230" s="17"/>
      <c r="N230" s="17"/>
      <c r="O230" s="17"/>
      <c r="P230" s="17"/>
      <c r="Q230" s="17"/>
      <c r="R230" s="17"/>
      <c r="S230" s="17"/>
      <c r="T230" s="17"/>
      <c r="U230" s="300"/>
      <c r="V230" s="67"/>
      <c r="W230" s="17"/>
      <c r="X230" s="17"/>
      <c r="Y230" s="300"/>
      <c r="Z230" s="386"/>
      <c r="AA230" s="386"/>
      <c r="AB230" s="386"/>
      <c r="AC230" s="386"/>
      <c r="AD230" s="386"/>
      <c r="AE230" s="386"/>
      <c r="AF230" s="386"/>
    </row>
    <row r="231" ht="15.75" customHeight="1">
      <c r="A231" s="24"/>
      <c r="B231" s="25"/>
      <c r="C231" s="25"/>
      <c r="D231" s="28"/>
      <c r="E231" s="28"/>
      <c r="F231" s="404"/>
      <c r="G231" s="380"/>
      <c r="H231" s="300"/>
      <c r="I231" s="17"/>
      <c r="J231" s="17"/>
      <c r="K231" s="17"/>
      <c r="L231" s="17"/>
      <c r="M231" s="17"/>
      <c r="N231" s="17"/>
      <c r="O231" s="17"/>
      <c r="P231" s="17"/>
      <c r="Q231" s="17"/>
      <c r="R231" s="17"/>
      <c r="S231" s="17"/>
      <c r="T231" s="17"/>
      <c r="U231" s="300"/>
      <c r="V231" s="47"/>
      <c r="W231" s="17"/>
      <c r="X231" s="17"/>
      <c r="Y231" s="300"/>
      <c r="Z231" s="386"/>
      <c r="AA231" s="386"/>
      <c r="AB231" s="386"/>
      <c r="AC231" s="386"/>
      <c r="AD231" s="386"/>
      <c r="AE231" s="386"/>
      <c r="AF231" s="386"/>
    </row>
    <row r="232" ht="15.75" customHeight="1">
      <c r="A232" s="24"/>
      <c r="B232" s="25"/>
      <c r="C232" s="25"/>
      <c r="D232" s="28"/>
      <c r="E232" s="28"/>
      <c r="F232" s="383"/>
      <c r="G232" s="380"/>
      <c r="H232" s="300"/>
      <c r="I232" s="17"/>
      <c r="J232" s="17"/>
      <c r="K232" s="17"/>
      <c r="L232" s="17"/>
      <c r="M232" s="17"/>
      <c r="N232" s="17"/>
      <c r="O232" s="17"/>
      <c r="P232" s="17"/>
      <c r="Q232" s="17"/>
      <c r="R232" s="17"/>
      <c r="S232" s="17"/>
      <c r="T232" s="17"/>
      <c r="U232" s="300"/>
      <c r="V232" s="67"/>
      <c r="W232" s="17"/>
      <c r="X232" s="17"/>
      <c r="Y232" s="300"/>
      <c r="Z232" s="386"/>
      <c r="AA232" s="386"/>
      <c r="AB232" s="386"/>
      <c r="AC232" s="386"/>
      <c r="AD232" s="386"/>
      <c r="AE232" s="386"/>
      <c r="AF232" s="386"/>
    </row>
    <row r="233" ht="15.75" customHeight="1">
      <c r="A233" s="24"/>
      <c r="B233" s="25"/>
      <c r="C233" s="25"/>
      <c r="D233" s="28"/>
      <c r="E233" s="28"/>
      <c r="F233" s="404"/>
      <c r="G233" s="380"/>
      <c r="H233" s="300"/>
      <c r="I233" s="17"/>
      <c r="J233" s="17"/>
      <c r="K233" s="17"/>
      <c r="L233" s="17"/>
      <c r="M233" s="17"/>
      <c r="N233" s="17"/>
      <c r="O233" s="17"/>
      <c r="P233" s="17"/>
      <c r="Q233" s="17"/>
      <c r="R233" s="17"/>
      <c r="S233" s="17"/>
      <c r="T233" s="17"/>
      <c r="U233" s="300"/>
      <c r="V233" s="47"/>
      <c r="W233" s="17"/>
      <c r="X233" s="17"/>
      <c r="Y233" s="300"/>
      <c r="Z233" s="386"/>
      <c r="AA233" s="386"/>
      <c r="AB233" s="386"/>
      <c r="AC233" s="386"/>
      <c r="AD233" s="386"/>
      <c r="AE233" s="386"/>
      <c r="AF233" s="386"/>
    </row>
    <row r="234" ht="15.75" customHeight="1">
      <c r="A234" s="24"/>
      <c r="B234" s="25"/>
      <c r="C234" s="25"/>
      <c r="D234" s="28"/>
      <c r="E234" s="28"/>
      <c r="F234" s="383"/>
      <c r="G234" s="380"/>
      <c r="H234" s="300"/>
      <c r="I234" s="17"/>
      <c r="J234" s="17"/>
      <c r="K234" s="17"/>
      <c r="L234" s="17"/>
      <c r="M234" s="17"/>
      <c r="N234" s="17"/>
      <c r="O234" s="17"/>
      <c r="P234" s="17"/>
      <c r="Q234" s="17"/>
      <c r="R234" s="17"/>
      <c r="S234" s="17"/>
      <c r="T234" s="17"/>
      <c r="U234" s="300"/>
      <c r="V234" s="67"/>
      <c r="W234" s="17"/>
      <c r="X234" s="17"/>
      <c r="Y234" s="300"/>
      <c r="Z234" s="386"/>
      <c r="AA234" s="386"/>
      <c r="AB234" s="386"/>
      <c r="AC234" s="386"/>
      <c r="AD234" s="386"/>
      <c r="AE234" s="386"/>
      <c r="AF234" s="386"/>
    </row>
    <row r="235" ht="15.75" customHeight="1">
      <c r="A235" s="24"/>
      <c r="B235" s="25"/>
      <c r="C235" s="25"/>
      <c r="D235" s="28"/>
      <c r="E235" s="28"/>
      <c r="F235" s="404"/>
      <c r="G235" s="380"/>
      <c r="H235" s="300"/>
      <c r="I235" s="17"/>
      <c r="J235" s="17"/>
      <c r="K235" s="17"/>
      <c r="L235" s="17"/>
      <c r="M235" s="17"/>
      <c r="N235" s="17"/>
      <c r="O235" s="17"/>
      <c r="P235" s="17"/>
      <c r="Q235" s="17"/>
      <c r="R235" s="17"/>
      <c r="S235" s="17"/>
      <c r="T235" s="17"/>
      <c r="U235" s="300"/>
      <c r="V235" s="47"/>
      <c r="W235" s="17"/>
      <c r="X235" s="17"/>
      <c r="Y235" s="300"/>
      <c r="Z235" s="386"/>
      <c r="AA235" s="386"/>
      <c r="AB235" s="386"/>
      <c r="AC235" s="386"/>
      <c r="AD235" s="386"/>
      <c r="AE235" s="386"/>
      <c r="AF235" s="386"/>
    </row>
    <row r="236" ht="15.75" customHeight="1">
      <c r="A236" s="24"/>
      <c r="B236" s="25"/>
      <c r="C236" s="25"/>
      <c r="D236" s="28"/>
      <c r="E236" s="28"/>
      <c r="F236" s="383"/>
      <c r="G236" s="380"/>
      <c r="H236" s="300"/>
      <c r="I236" s="17"/>
      <c r="J236" s="17"/>
      <c r="K236" s="17"/>
      <c r="L236" s="17"/>
      <c r="M236" s="17"/>
      <c r="N236" s="17"/>
      <c r="O236" s="17"/>
      <c r="P236" s="17"/>
      <c r="Q236" s="17"/>
      <c r="R236" s="17"/>
      <c r="S236" s="17"/>
      <c r="T236" s="17"/>
      <c r="U236" s="300"/>
      <c r="V236" s="67"/>
      <c r="W236" s="17"/>
      <c r="X236" s="17"/>
      <c r="Y236" s="300"/>
      <c r="Z236" s="386"/>
      <c r="AA236" s="386"/>
      <c r="AB236" s="386"/>
      <c r="AC236" s="386"/>
      <c r="AD236" s="386"/>
      <c r="AE236" s="386"/>
      <c r="AF236" s="386"/>
    </row>
    <row r="237" ht="15.75" customHeight="1">
      <c r="A237" s="24"/>
      <c r="B237" s="25"/>
      <c r="C237" s="25"/>
      <c r="D237" s="28"/>
      <c r="E237" s="28"/>
      <c r="F237" s="404"/>
      <c r="G237" s="380"/>
      <c r="H237" s="300"/>
      <c r="I237" s="17"/>
      <c r="J237" s="17"/>
      <c r="K237" s="17"/>
      <c r="L237" s="17"/>
      <c r="M237" s="17"/>
      <c r="N237" s="17"/>
      <c r="O237" s="17"/>
      <c r="P237" s="17"/>
      <c r="Q237" s="17"/>
      <c r="R237" s="17"/>
      <c r="S237" s="17"/>
      <c r="T237" s="17"/>
      <c r="U237" s="300"/>
      <c r="V237" s="47"/>
      <c r="W237" s="17"/>
      <c r="X237" s="17"/>
      <c r="Y237" s="300"/>
      <c r="Z237" s="386"/>
      <c r="AA237" s="386"/>
      <c r="AB237" s="386"/>
      <c r="AC237" s="386"/>
      <c r="AD237" s="386"/>
      <c r="AE237" s="386"/>
      <c r="AF237" s="386"/>
    </row>
    <row r="238" ht="15.75" customHeight="1">
      <c r="A238" s="24"/>
      <c r="B238" s="25"/>
      <c r="C238" s="25"/>
      <c r="D238" s="28"/>
      <c r="E238" s="28"/>
      <c r="F238" s="383"/>
      <c r="G238" s="380"/>
      <c r="H238" s="300"/>
      <c r="I238" s="17"/>
      <c r="J238" s="17"/>
      <c r="K238" s="17"/>
      <c r="L238" s="17"/>
      <c r="M238" s="17"/>
      <c r="N238" s="17"/>
      <c r="O238" s="17"/>
      <c r="P238" s="17"/>
      <c r="Q238" s="17"/>
      <c r="R238" s="17"/>
      <c r="S238" s="17"/>
      <c r="T238" s="17"/>
      <c r="U238" s="300"/>
      <c r="V238" s="67"/>
      <c r="W238" s="17"/>
      <c r="X238" s="17"/>
      <c r="Y238" s="300"/>
      <c r="Z238" s="386"/>
      <c r="AA238" s="386"/>
      <c r="AB238" s="386"/>
      <c r="AC238" s="386"/>
      <c r="AD238" s="386"/>
      <c r="AE238" s="386"/>
      <c r="AF238" s="386"/>
    </row>
    <row r="239" ht="15.75" customHeight="1">
      <c r="A239" s="24"/>
      <c r="B239" s="25"/>
      <c r="C239" s="25"/>
      <c r="D239" s="28"/>
      <c r="E239" s="28"/>
      <c r="F239" s="404"/>
      <c r="G239" s="380"/>
      <c r="H239" s="300"/>
      <c r="I239" s="17"/>
      <c r="J239" s="17"/>
      <c r="K239" s="17"/>
      <c r="L239" s="17"/>
      <c r="M239" s="17"/>
      <c r="N239" s="17"/>
      <c r="O239" s="17"/>
      <c r="P239" s="17"/>
      <c r="Q239" s="17"/>
      <c r="R239" s="17"/>
      <c r="S239" s="17"/>
      <c r="T239" s="17"/>
      <c r="U239" s="300"/>
      <c r="V239" s="47"/>
      <c r="W239" s="17"/>
      <c r="X239" s="17"/>
      <c r="Y239" s="300"/>
      <c r="Z239" s="386"/>
      <c r="AA239" s="386"/>
      <c r="AB239" s="386"/>
      <c r="AC239" s="386"/>
      <c r="AD239" s="386"/>
      <c r="AE239" s="386"/>
      <c r="AF239" s="386"/>
    </row>
    <row r="240" ht="15.75" customHeight="1">
      <c r="A240" s="24"/>
      <c r="B240" s="25"/>
      <c r="C240" s="25"/>
      <c r="D240" s="28"/>
      <c r="E240" s="28"/>
      <c r="F240" s="383"/>
      <c r="G240" s="380"/>
      <c r="H240" s="300"/>
      <c r="I240" s="17"/>
      <c r="J240" s="17"/>
      <c r="K240" s="17"/>
      <c r="L240" s="17"/>
      <c r="M240" s="17"/>
      <c r="N240" s="17"/>
      <c r="O240" s="17"/>
      <c r="P240" s="17"/>
      <c r="Q240" s="17"/>
      <c r="R240" s="17"/>
      <c r="S240" s="17"/>
      <c r="T240" s="17"/>
      <c r="U240" s="300"/>
      <c r="V240" s="67"/>
      <c r="W240" s="17"/>
      <c r="X240" s="17"/>
      <c r="Y240" s="300"/>
      <c r="Z240" s="386"/>
      <c r="AA240" s="386"/>
      <c r="AB240" s="386"/>
      <c r="AC240" s="386"/>
      <c r="AD240" s="386"/>
      <c r="AE240" s="386"/>
      <c r="AF240" s="386"/>
    </row>
    <row r="241" ht="15.75" customHeight="1">
      <c r="A241" s="24"/>
      <c r="B241" s="25"/>
      <c r="C241" s="25"/>
      <c r="D241" s="28"/>
      <c r="E241" s="28"/>
      <c r="F241" s="404"/>
      <c r="G241" s="380"/>
      <c r="H241" s="300"/>
      <c r="I241" s="17"/>
      <c r="J241" s="17"/>
      <c r="K241" s="17"/>
      <c r="L241" s="17"/>
      <c r="M241" s="17"/>
      <c r="N241" s="17"/>
      <c r="O241" s="17"/>
      <c r="P241" s="17"/>
      <c r="Q241" s="17"/>
      <c r="R241" s="17"/>
      <c r="S241" s="17"/>
      <c r="T241" s="17"/>
      <c r="U241" s="300"/>
      <c r="V241" s="47"/>
      <c r="W241" s="17"/>
      <c r="X241" s="17"/>
      <c r="Y241" s="300"/>
      <c r="Z241" s="386"/>
      <c r="AA241" s="386"/>
      <c r="AB241" s="386"/>
      <c r="AC241" s="386"/>
      <c r="AD241" s="386"/>
      <c r="AE241" s="386"/>
      <c r="AF241" s="386"/>
    </row>
    <row r="242" ht="15.75" customHeight="1">
      <c r="A242" s="24"/>
      <c r="B242" s="25"/>
      <c r="C242" s="25"/>
      <c r="D242" s="28"/>
      <c r="E242" s="28"/>
      <c r="F242" s="383"/>
      <c r="G242" s="380"/>
      <c r="H242" s="300"/>
      <c r="I242" s="17"/>
      <c r="J242" s="17"/>
      <c r="K242" s="17"/>
      <c r="L242" s="17"/>
      <c r="M242" s="17"/>
      <c r="N242" s="17"/>
      <c r="O242" s="17"/>
      <c r="P242" s="17"/>
      <c r="Q242" s="17"/>
      <c r="R242" s="17"/>
      <c r="S242" s="17"/>
      <c r="T242" s="17"/>
      <c r="U242" s="300"/>
      <c r="V242" s="67"/>
      <c r="W242" s="17"/>
      <c r="X242" s="17"/>
      <c r="Y242" s="300"/>
      <c r="Z242" s="386"/>
      <c r="AA242" s="386"/>
      <c r="AB242" s="386"/>
      <c r="AC242" s="386"/>
      <c r="AD242" s="386"/>
      <c r="AE242" s="386"/>
      <c r="AF242" s="386"/>
    </row>
    <row r="243" ht="15.75" customHeight="1">
      <c r="A243" s="24"/>
      <c r="B243" s="25"/>
      <c r="C243" s="25"/>
      <c r="D243" s="28"/>
      <c r="E243" s="28"/>
      <c r="F243" s="404"/>
      <c r="G243" s="380"/>
      <c r="H243" s="300"/>
      <c r="I243" s="17"/>
      <c r="J243" s="17"/>
      <c r="K243" s="17"/>
      <c r="L243" s="17"/>
      <c r="M243" s="17"/>
      <c r="N243" s="17"/>
      <c r="O243" s="17"/>
      <c r="P243" s="17"/>
      <c r="Q243" s="17"/>
      <c r="R243" s="17"/>
      <c r="S243" s="17"/>
      <c r="T243" s="17"/>
      <c r="U243" s="300"/>
      <c r="V243" s="47"/>
      <c r="W243" s="17"/>
      <c r="X243" s="17"/>
      <c r="Y243" s="300"/>
      <c r="Z243" s="386"/>
      <c r="AA243" s="386"/>
      <c r="AB243" s="386"/>
      <c r="AC243" s="386"/>
      <c r="AD243" s="386"/>
      <c r="AE243" s="386"/>
      <c r="AF243" s="386"/>
    </row>
    <row r="244" ht="15.75" customHeight="1">
      <c r="A244" s="24"/>
      <c r="B244" s="25"/>
      <c r="C244" s="25"/>
      <c r="D244" s="28"/>
      <c r="E244" s="28"/>
      <c r="F244" s="383"/>
      <c r="G244" s="380"/>
      <c r="H244" s="300"/>
      <c r="I244" s="17"/>
      <c r="J244" s="17"/>
      <c r="K244" s="17"/>
      <c r="L244" s="17"/>
      <c r="M244" s="17"/>
      <c r="N244" s="17"/>
      <c r="O244" s="17"/>
      <c r="P244" s="17"/>
      <c r="Q244" s="17"/>
      <c r="R244" s="17"/>
      <c r="S244" s="17"/>
      <c r="T244" s="17"/>
      <c r="U244" s="300"/>
      <c r="V244" s="67"/>
      <c r="W244" s="17"/>
      <c r="X244" s="17"/>
      <c r="Y244" s="300"/>
      <c r="Z244" s="386"/>
      <c r="AA244" s="386"/>
      <c r="AB244" s="386"/>
      <c r="AC244" s="386"/>
      <c r="AD244" s="386"/>
      <c r="AE244" s="386"/>
      <c r="AF244" s="386"/>
    </row>
    <row r="245" ht="15.75" customHeight="1">
      <c r="A245" s="24"/>
      <c r="B245" s="25"/>
      <c r="C245" s="25"/>
      <c r="D245" s="28"/>
      <c r="E245" s="28"/>
      <c r="F245" s="404"/>
      <c r="G245" s="380"/>
      <c r="H245" s="300"/>
      <c r="I245" s="17"/>
      <c r="J245" s="17"/>
      <c r="K245" s="17"/>
      <c r="L245" s="17"/>
      <c r="M245" s="17"/>
      <c r="N245" s="17"/>
      <c r="O245" s="17"/>
      <c r="P245" s="17"/>
      <c r="Q245" s="17"/>
      <c r="R245" s="17"/>
      <c r="S245" s="17"/>
      <c r="T245" s="17"/>
      <c r="U245" s="300"/>
      <c r="V245" s="47"/>
      <c r="W245" s="17"/>
      <c r="X245" s="17"/>
      <c r="Y245" s="300"/>
      <c r="Z245" s="386"/>
      <c r="AA245" s="386"/>
      <c r="AB245" s="386"/>
      <c r="AC245" s="386"/>
      <c r="AD245" s="386"/>
      <c r="AE245" s="386"/>
      <c r="AF245" s="386"/>
    </row>
    <row r="246" ht="15.75" customHeight="1">
      <c r="A246" s="24"/>
      <c r="B246" s="25"/>
      <c r="C246" s="25"/>
      <c r="D246" s="28"/>
      <c r="E246" s="28"/>
      <c r="F246" s="383"/>
      <c r="G246" s="380"/>
      <c r="H246" s="300"/>
      <c r="I246" s="17"/>
      <c r="J246" s="17"/>
      <c r="K246" s="17"/>
      <c r="L246" s="17"/>
      <c r="M246" s="17"/>
      <c r="N246" s="17"/>
      <c r="O246" s="17"/>
      <c r="P246" s="17"/>
      <c r="Q246" s="17"/>
      <c r="R246" s="17"/>
      <c r="S246" s="17"/>
      <c r="T246" s="17"/>
      <c r="U246" s="300"/>
      <c r="V246" s="67"/>
      <c r="W246" s="17"/>
      <c r="X246" s="17"/>
      <c r="Y246" s="300"/>
      <c r="Z246" s="386"/>
      <c r="AA246" s="386"/>
      <c r="AB246" s="386"/>
      <c r="AC246" s="386"/>
      <c r="AD246" s="386"/>
      <c r="AE246" s="386"/>
      <c r="AF246" s="386"/>
    </row>
    <row r="247" ht="15.75" customHeight="1">
      <c r="A247" s="24"/>
      <c r="B247" s="25"/>
      <c r="C247" s="25"/>
      <c r="D247" s="28"/>
      <c r="E247" s="28"/>
      <c r="F247" s="404"/>
      <c r="G247" s="380"/>
      <c r="H247" s="300"/>
      <c r="I247" s="17"/>
      <c r="J247" s="17"/>
      <c r="K247" s="17"/>
      <c r="L247" s="17"/>
      <c r="M247" s="17"/>
      <c r="N247" s="17"/>
      <c r="O247" s="17"/>
      <c r="P247" s="17"/>
      <c r="Q247" s="17"/>
      <c r="R247" s="17"/>
      <c r="S247" s="17"/>
      <c r="T247" s="17"/>
      <c r="U247" s="300"/>
      <c r="V247" s="47"/>
      <c r="W247" s="17"/>
      <c r="X247" s="17"/>
      <c r="Y247" s="300"/>
      <c r="Z247" s="386"/>
      <c r="AA247" s="386"/>
      <c r="AB247" s="386"/>
      <c r="AC247" s="386"/>
      <c r="AD247" s="386"/>
      <c r="AE247" s="386"/>
      <c r="AF247" s="386"/>
    </row>
    <row r="248" ht="15.75" customHeight="1">
      <c r="A248" s="24"/>
      <c r="B248" s="25"/>
      <c r="C248" s="25"/>
      <c r="D248" s="28"/>
      <c r="E248" s="28"/>
      <c r="F248" s="383"/>
      <c r="G248" s="380"/>
      <c r="H248" s="300"/>
      <c r="I248" s="17"/>
      <c r="J248" s="17"/>
      <c r="K248" s="17"/>
      <c r="L248" s="17"/>
      <c r="M248" s="17"/>
      <c r="N248" s="17"/>
      <c r="O248" s="17"/>
      <c r="P248" s="17"/>
      <c r="Q248" s="17"/>
      <c r="R248" s="17"/>
      <c r="S248" s="17"/>
      <c r="T248" s="17"/>
      <c r="U248" s="300"/>
      <c r="V248" s="67"/>
      <c r="W248" s="17"/>
      <c r="X248" s="17"/>
      <c r="Y248" s="300"/>
      <c r="Z248" s="386"/>
      <c r="AA248" s="386"/>
      <c r="AB248" s="386"/>
      <c r="AC248" s="386"/>
      <c r="AD248" s="386"/>
      <c r="AE248" s="386"/>
      <c r="AF248" s="386"/>
    </row>
    <row r="249" ht="15.75" customHeight="1">
      <c r="A249" s="24"/>
      <c r="B249" s="25"/>
      <c r="C249" s="25"/>
      <c r="D249" s="28"/>
      <c r="E249" s="28"/>
      <c r="F249" s="404"/>
      <c r="G249" s="380"/>
      <c r="H249" s="300"/>
      <c r="I249" s="17"/>
      <c r="J249" s="17"/>
      <c r="K249" s="17"/>
      <c r="L249" s="17"/>
      <c r="M249" s="17"/>
      <c r="N249" s="17"/>
      <c r="O249" s="17"/>
      <c r="P249" s="17"/>
      <c r="Q249" s="17"/>
      <c r="R249" s="17"/>
      <c r="S249" s="17"/>
      <c r="T249" s="17"/>
      <c r="U249" s="300"/>
      <c r="V249" s="47"/>
      <c r="W249" s="17"/>
      <c r="X249" s="17"/>
      <c r="Y249" s="300"/>
      <c r="Z249" s="386"/>
      <c r="AA249" s="386"/>
      <c r="AB249" s="386"/>
      <c r="AC249" s="386"/>
      <c r="AD249" s="386"/>
      <c r="AE249" s="386"/>
      <c r="AF249" s="386"/>
    </row>
    <row r="250" ht="15.75" customHeight="1">
      <c r="A250" s="24"/>
      <c r="B250" s="25"/>
      <c r="C250" s="25"/>
      <c r="D250" s="28"/>
      <c r="E250" s="28"/>
      <c r="F250" s="383"/>
      <c r="G250" s="380"/>
      <c r="H250" s="300"/>
      <c r="I250" s="17"/>
      <c r="J250" s="17"/>
      <c r="K250" s="17"/>
      <c r="L250" s="17"/>
      <c r="M250" s="17"/>
      <c r="N250" s="17"/>
      <c r="O250" s="17"/>
      <c r="P250" s="17"/>
      <c r="Q250" s="17"/>
      <c r="R250" s="17"/>
      <c r="S250" s="17"/>
      <c r="T250" s="17"/>
      <c r="U250" s="300"/>
      <c r="V250" s="67"/>
      <c r="W250" s="17"/>
      <c r="X250" s="17"/>
      <c r="Y250" s="300"/>
      <c r="Z250" s="386"/>
      <c r="AA250" s="386"/>
      <c r="AB250" s="386"/>
      <c r="AC250" s="386"/>
      <c r="AD250" s="386"/>
      <c r="AE250" s="386"/>
      <c r="AF250" s="386"/>
    </row>
    <row r="251" ht="15.75" customHeight="1">
      <c r="A251" s="24"/>
      <c r="B251" s="25"/>
      <c r="C251" s="25"/>
      <c r="D251" s="28"/>
      <c r="E251" s="28"/>
      <c r="F251" s="404"/>
      <c r="G251" s="380"/>
      <c r="H251" s="300"/>
      <c r="I251" s="17"/>
      <c r="J251" s="17"/>
      <c r="K251" s="17"/>
      <c r="L251" s="17"/>
      <c r="M251" s="17"/>
      <c r="N251" s="17"/>
      <c r="O251" s="17"/>
      <c r="P251" s="17"/>
      <c r="Q251" s="17"/>
      <c r="R251" s="17"/>
      <c r="S251" s="17"/>
      <c r="T251" s="17"/>
      <c r="U251" s="300"/>
      <c r="V251" s="47"/>
      <c r="W251" s="17"/>
      <c r="X251" s="17"/>
      <c r="Y251" s="300"/>
      <c r="Z251" s="386"/>
      <c r="AA251" s="386"/>
      <c r="AB251" s="386"/>
      <c r="AC251" s="386"/>
      <c r="AD251" s="386"/>
      <c r="AE251" s="386"/>
      <c r="AF251" s="386"/>
    </row>
    <row r="252" ht="15.75" customHeight="1">
      <c r="A252" s="24"/>
      <c r="B252" s="25"/>
      <c r="C252" s="25"/>
      <c r="D252" s="28"/>
      <c r="E252" s="28"/>
      <c r="F252" s="383"/>
      <c r="G252" s="380"/>
      <c r="H252" s="300"/>
      <c r="I252" s="17"/>
      <c r="J252" s="17"/>
      <c r="K252" s="17"/>
      <c r="L252" s="17"/>
      <c r="M252" s="17"/>
      <c r="N252" s="17"/>
      <c r="O252" s="17"/>
      <c r="P252" s="17"/>
      <c r="Q252" s="17"/>
      <c r="R252" s="17"/>
      <c r="S252" s="17"/>
      <c r="T252" s="17"/>
      <c r="U252" s="300"/>
      <c r="V252" s="67"/>
      <c r="W252" s="17"/>
      <c r="X252" s="17"/>
      <c r="Y252" s="300"/>
      <c r="Z252" s="386"/>
      <c r="AA252" s="386"/>
      <c r="AB252" s="386"/>
      <c r="AC252" s="386"/>
      <c r="AD252" s="386"/>
      <c r="AE252" s="386"/>
      <c r="AF252" s="386"/>
    </row>
    <row r="253" ht="15.75" customHeight="1">
      <c r="A253" s="24"/>
      <c r="B253" s="25"/>
      <c r="C253" s="25"/>
      <c r="D253" s="28"/>
      <c r="E253" s="28"/>
      <c r="F253" s="404"/>
      <c r="G253" s="380"/>
      <c r="H253" s="300"/>
      <c r="I253" s="17"/>
      <c r="J253" s="17"/>
      <c r="K253" s="17"/>
      <c r="L253" s="17"/>
      <c r="M253" s="17"/>
      <c r="N253" s="17"/>
      <c r="O253" s="17"/>
      <c r="P253" s="17"/>
      <c r="Q253" s="17"/>
      <c r="R253" s="17"/>
      <c r="S253" s="17"/>
      <c r="T253" s="17"/>
      <c r="U253" s="300"/>
      <c r="V253" s="47"/>
      <c r="W253" s="17"/>
      <c r="X253" s="17"/>
      <c r="Y253" s="300"/>
      <c r="Z253" s="386"/>
      <c r="AA253" s="386"/>
      <c r="AB253" s="386"/>
      <c r="AC253" s="386"/>
      <c r="AD253" s="386"/>
      <c r="AE253" s="386"/>
      <c r="AF253" s="386"/>
    </row>
    <row r="254" ht="15.75" customHeight="1">
      <c r="A254" s="24"/>
      <c r="B254" s="25"/>
      <c r="C254" s="25"/>
      <c r="D254" s="28"/>
      <c r="E254" s="28"/>
      <c r="F254" s="383"/>
      <c r="G254" s="380"/>
      <c r="H254" s="300"/>
      <c r="I254" s="17"/>
      <c r="J254" s="17"/>
      <c r="K254" s="17"/>
      <c r="L254" s="17"/>
      <c r="M254" s="17"/>
      <c r="N254" s="17"/>
      <c r="O254" s="17"/>
      <c r="P254" s="17"/>
      <c r="Q254" s="17"/>
      <c r="R254" s="17"/>
      <c r="S254" s="17"/>
      <c r="T254" s="17"/>
      <c r="U254" s="300"/>
      <c r="V254" s="67"/>
      <c r="W254" s="17"/>
      <c r="X254" s="17"/>
      <c r="Y254" s="300"/>
      <c r="Z254" s="386"/>
      <c r="AA254" s="386"/>
      <c r="AB254" s="386"/>
      <c r="AC254" s="386"/>
      <c r="AD254" s="386"/>
      <c r="AE254" s="386"/>
      <c r="AF254" s="386"/>
    </row>
    <row r="255" ht="15.75" customHeight="1">
      <c r="A255" s="24"/>
      <c r="B255" s="25"/>
      <c r="C255" s="25"/>
      <c r="D255" s="28"/>
      <c r="E255" s="28"/>
      <c r="F255" s="404"/>
      <c r="G255" s="380"/>
      <c r="H255" s="300"/>
      <c r="I255" s="17"/>
      <c r="J255" s="17"/>
      <c r="K255" s="17"/>
      <c r="L255" s="17"/>
      <c r="M255" s="17"/>
      <c r="N255" s="17"/>
      <c r="O255" s="17"/>
      <c r="P255" s="17"/>
      <c r="Q255" s="17"/>
      <c r="R255" s="17"/>
      <c r="S255" s="17"/>
      <c r="T255" s="17"/>
      <c r="U255" s="300"/>
      <c r="V255" s="47"/>
      <c r="W255" s="17"/>
      <c r="X255" s="17"/>
      <c r="Y255" s="300"/>
      <c r="Z255" s="386"/>
      <c r="AA255" s="386"/>
      <c r="AB255" s="386"/>
      <c r="AC255" s="386"/>
      <c r="AD255" s="386"/>
      <c r="AE255" s="386"/>
      <c r="AF255" s="386"/>
    </row>
    <row r="256" ht="15.75" customHeight="1">
      <c r="A256" s="24"/>
      <c r="B256" s="25"/>
      <c r="C256" s="25"/>
      <c r="D256" s="28"/>
      <c r="E256" s="28"/>
      <c r="F256" s="383"/>
      <c r="G256" s="380"/>
      <c r="H256" s="300"/>
      <c r="I256" s="17"/>
      <c r="J256" s="17"/>
      <c r="K256" s="17"/>
      <c r="L256" s="17"/>
      <c r="M256" s="17"/>
      <c r="N256" s="17"/>
      <c r="O256" s="17"/>
      <c r="P256" s="17"/>
      <c r="Q256" s="17"/>
      <c r="R256" s="17"/>
      <c r="S256" s="17"/>
      <c r="T256" s="17"/>
      <c r="U256" s="300"/>
      <c r="V256" s="67"/>
      <c r="W256" s="17"/>
      <c r="X256" s="17"/>
      <c r="Y256" s="300"/>
      <c r="Z256" s="386"/>
      <c r="AA256" s="386"/>
      <c r="AB256" s="386"/>
      <c r="AC256" s="386"/>
      <c r="AD256" s="386"/>
      <c r="AE256" s="386"/>
      <c r="AF256" s="386"/>
    </row>
    <row r="257" ht="15.75" customHeight="1">
      <c r="A257" s="24"/>
      <c r="B257" s="25"/>
      <c r="C257" s="25"/>
      <c r="D257" s="28"/>
      <c r="E257" s="28"/>
      <c r="F257" s="404"/>
      <c r="G257" s="380"/>
      <c r="H257" s="300"/>
      <c r="I257" s="17"/>
      <c r="J257" s="17"/>
      <c r="K257" s="17"/>
      <c r="L257" s="17"/>
      <c r="M257" s="17"/>
      <c r="N257" s="17"/>
      <c r="O257" s="17"/>
      <c r="P257" s="17"/>
      <c r="Q257" s="17"/>
      <c r="R257" s="17"/>
      <c r="S257" s="17"/>
      <c r="T257" s="17"/>
      <c r="U257" s="300"/>
      <c r="V257" s="47"/>
      <c r="W257" s="17"/>
      <c r="X257" s="17"/>
      <c r="Y257" s="300"/>
      <c r="Z257" s="386"/>
      <c r="AA257" s="386"/>
      <c r="AB257" s="386"/>
      <c r="AC257" s="386"/>
      <c r="AD257" s="386"/>
      <c r="AE257" s="386"/>
      <c r="AF257" s="386"/>
    </row>
    <row r="258" ht="15.75" customHeight="1">
      <c r="A258" s="24"/>
      <c r="B258" s="25"/>
      <c r="C258" s="25"/>
      <c r="D258" s="28"/>
      <c r="E258" s="28"/>
      <c r="F258" s="383"/>
      <c r="G258" s="380"/>
      <c r="H258" s="300"/>
      <c r="I258" s="17"/>
      <c r="J258" s="17"/>
      <c r="K258" s="17"/>
      <c r="L258" s="17"/>
      <c r="M258" s="17"/>
      <c r="N258" s="17"/>
      <c r="O258" s="17"/>
      <c r="P258" s="17"/>
      <c r="Q258" s="17"/>
      <c r="R258" s="17"/>
      <c r="S258" s="17"/>
      <c r="T258" s="17"/>
      <c r="U258" s="300"/>
      <c r="V258" s="67"/>
      <c r="W258" s="17"/>
      <c r="X258" s="17"/>
      <c r="Y258" s="300"/>
      <c r="Z258" s="386"/>
      <c r="AA258" s="386"/>
      <c r="AB258" s="386"/>
      <c r="AC258" s="386"/>
      <c r="AD258" s="386"/>
      <c r="AE258" s="386"/>
      <c r="AF258" s="386"/>
    </row>
    <row r="259" ht="15.75" customHeight="1">
      <c r="A259" s="24"/>
      <c r="B259" s="25"/>
      <c r="C259" s="25"/>
      <c r="D259" s="28"/>
      <c r="E259" s="28"/>
      <c r="F259" s="404"/>
      <c r="G259" s="380"/>
      <c r="H259" s="300"/>
      <c r="I259" s="17"/>
      <c r="J259" s="17"/>
      <c r="K259" s="17"/>
      <c r="L259" s="17"/>
      <c r="M259" s="17"/>
      <c r="N259" s="17"/>
      <c r="O259" s="17"/>
      <c r="P259" s="17"/>
      <c r="Q259" s="17"/>
      <c r="R259" s="17"/>
      <c r="S259" s="17"/>
      <c r="T259" s="17"/>
      <c r="U259" s="300"/>
      <c r="V259" s="47"/>
      <c r="W259" s="17"/>
      <c r="X259" s="17"/>
      <c r="Y259" s="300"/>
      <c r="Z259" s="386"/>
      <c r="AA259" s="386"/>
      <c r="AB259" s="386"/>
      <c r="AC259" s="386"/>
      <c r="AD259" s="386"/>
      <c r="AE259" s="386"/>
      <c r="AF259" s="386"/>
    </row>
    <row r="260" ht="15.75" customHeight="1">
      <c r="A260" s="24"/>
      <c r="B260" s="25"/>
      <c r="C260" s="25"/>
      <c r="D260" s="28"/>
      <c r="E260" s="28"/>
      <c r="F260" s="383"/>
      <c r="G260" s="380"/>
      <c r="H260" s="300"/>
      <c r="I260" s="17"/>
      <c r="J260" s="17"/>
      <c r="K260" s="17"/>
      <c r="L260" s="17"/>
      <c r="M260" s="17"/>
      <c r="N260" s="17"/>
      <c r="O260" s="17"/>
      <c r="P260" s="17"/>
      <c r="Q260" s="17"/>
      <c r="R260" s="17"/>
      <c r="S260" s="17"/>
      <c r="T260" s="17"/>
      <c r="U260" s="300"/>
      <c r="V260" s="67"/>
      <c r="W260" s="17"/>
      <c r="X260" s="17"/>
      <c r="Y260" s="300"/>
      <c r="Z260" s="386"/>
      <c r="AA260" s="386"/>
      <c r="AB260" s="386"/>
      <c r="AC260" s="386"/>
      <c r="AD260" s="386"/>
      <c r="AE260" s="386"/>
      <c r="AF260" s="386"/>
    </row>
    <row r="261" ht="15.75" customHeight="1">
      <c r="A261" s="24"/>
      <c r="B261" s="25"/>
      <c r="C261" s="25"/>
      <c r="D261" s="28"/>
      <c r="E261" s="28"/>
      <c r="F261" s="404"/>
      <c r="G261" s="380"/>
      <c r="H261" s="300"/>
      <c r="I261" s="17"/>
      <c r="J261" s="17"/>
      <c r="K261" s="17"/>
      <c r="L261" s="17"/>
      <c r="M261" s="17"/>
      <c r="N261" s="17"/>
      <c r="O261" s="17"/>
      <c r="P261" s="17"/>
      <c r="Q261" s="17"/>
      <c r="R261" s="17"/>
      <c r="S261" s="17"/>
      <c r="T261" s="17"/>
      <c r="U261" s="300"/>
      <c r="V261" s="47"/>
      <c r="W261" s="17"/>
      <c r="X261" s="17"/>
      <c r="Y261" s="300"/>
      <c r="Z261" s="386"/>
      <c r="AA261" s="386"/>
      <c r="AB261" s="386"/>
      <c r="AC261" s="386"/>
      <c r="AD261" s="386"/>
      <c r="AE261" s="386"/>
      <c r="AF261" s="386"/>
    </row>
    <row r="262" ht="15.75" customHeight="1">
      <c r="A262" s="24"/>
      <c r="B262" s="25"/>
      <c r="C262" s="25"/>
      <c r="D262" s="28"/>
      <c r="E262" s="28"/>
      <c r="F262" s="383"/>
      <c r="G262" s="380"/>
      <c r="H262" s="300"/>
      <c r="I262" s="17"/>
      <c r="J262" s="17"/>
      <c r="K262" s="17"/>
      <c r="L262" s="17"/>
      <c r="M262" s="17"/>
      <c r="N262" s="17"/>
      <c r="O262" s="17"/>
      <c r="P262" s="17"/>
      <c r="Q262" s="17"/>
      <c r="R262" s="17"/>
      <c r="S262" s="17"/>
      <c r="T262" s="17"/>
      <c r="U262" s="300"/>
      <c r="V262" s="67"/>
      <c r="W262" s="17"/>
      <c r="X262" s="17"/>
      <c r="Y262" s="300"/>
      <c r="Z262" s="386"/>
      <c r="AA262" s="386"/>
      <c r="AB262" s="386"/>
      <c r="AC262" s="386"/>
      <c r="AD262" s="386"/>
      <c r="AE262" s="386"/>
      <c r="AF262" s="386"/>
    </row>
    <row r="263" ht="15.75" customHeight="1">
      <c r="A263" s="24"/>
      <c r="B263" s="25"/>
      <c r="C263" s="25"/>
      <c r="D263" s="28"/>
      <c r="E263" s="28"/>
      <c r="F263" s="404"/>
      <c r="G263" s="380"/>
      <c r="H263" s="300"/>
      <c r="I263" s="17"/>
      <c r="J263" s="17"/>
      <c r="K263" s="17"/>
      <c r="L263" s="17"/>
      <c r="M263" s="17"/>
      <c r="N263" s="17"/>
      <c r="O263" s="17"/>
      <c r="P263" s="17"/>
      <c r="Q263" s="17"/>
      <c r="R263" s="17"/>
      <c r="S263" s="17"/>
      <c r="T263" s="17"/>
      <c r="U263" s="300"/>
      <c r="V263" s="47"/>
      <c r="W263" s="17"/>
      <c r="X263" s="17"/>
      <c r="Y263" s="300"/>
      <c r="Z263" s="386"/>
      <c r="AA263" s="386"/>
      <c r="AB263" s="386"/>
      <c r="AC263" s="386"/>
      <c r="AD263" s="386"/>
      <c r="AE263" s="386"/>
      <c r="AF263" s="386"/>
    </row>
    <row r="264" ht="15.75" customHeight="1">
      <c r="A264" s="24"/>
      <c r="B264" s="25"/>
      <c r="C264" s="25"/>
      <c r="D264" s="28"/>
      <c r="E264" s="28"/>
      <c r="F264" s="383"/>
      <c r="G264" s="380"/>
      <c r="H264" s="300"/>
      <c r="I264" s="17"/>
      <c r="J264" s="17"/>
      <c r="K264" s="17"/>
      <c r="L264" s="17"/>
      <c r="M264" s="17"/>
      <c r="N264" s="17"/>
      <c r="O264" s="17"/>
      <c r="P264" s="17"/>
      <c r="Q264" s="17"/>
      <c r="R264" s="17"/>
      <c r="S264" s="17"/>
      <c r="T264" s="17"/>
      <c r="U264" s="300"/>
      <c r="V264" s="67"/>
      <c r="W264" s="17"/>
      <c r="X264" s="17"/>
      <c r="Y264" s="300"/>
      <c r="Z264" s="386"/>
      <c r="AA264" s="386"/>
      <c r="AB264" s="386"/>
      <c r="AC264" s="386"/>
      <c r="AD264" s="386"/>
      <c r="AE264" s="386"/>
      <c r="AF264" s="386"/>
    </row>
    <row r="265" ht="15.75" customHeight="1">
      <c r="A265" s="24"/>
      <c r="B265" s="25"/>
      <c r="C265" s="25"/>
      <c r="D265" s="28"/>
      <c r="E265" s="28"/>
      <c r="F265" s="404"/>
      <c r="G265" s="380"/>
      <c r="H265" s="300"/>
      <c r="I265" s="17"/>
      <c r="J265" s="17"/>
      <c r="K265" s="17"/>
      <c r="L265" s="17"/>
      <c r="M265" s="17"/>
      <c r="N265" s="17"/>
      <c r="O265" s="17"/>
      <c r="P265" s="17"/>
      <c r="Q265" s="17"/>
      <c r="R265" s="17"/>
      <c r="S265" s="17"/>
      <c r="T265" s="17"/>
      <c r="U265" s="300"/>
      <c r="V265" s="47"/>
      <c r="W265" s="17"/>
      <c r="X265" s="17"/>
      <c r="Y265" s="300"/>
      <c r="Z265" s="386"/>
      <c r="AA265" s="386"/>
      <c r="AB265" s="386"/>
      <c r="AC265" s="386"/>
      <c r="AD265" s="386"/>
      <c r="AE265" s="386"/>
      <c r="AF265" s="386"/>
    </row>
    <row r="266" ht="15.75" customHeight="1">
      <c r="A266" s="24"/>
      <c r="B266" s="25"/>
      <c r="C266" s="25"/>
      <c r="D266" s="28"/>
      <c r="E266" s="28"/>
      <c r="F266" s="383"/>
      <c r="G266" s="380"/>
      <c r="H266" s="300"/>
      <c r="I266" s="17"/>
      <c r="J266" s="17"/>
      <c r="K266" s="17"/>
      <c r="L266" s="17"/>
      <c r="M266" s="17"/>
      <c r="N266" s="17"/>
      <c r="O266" s="17"/>
      <c r="P266" s="17"/>
      <c r="Q266" s="17"/>
      <c r="R266" s="17"/>
      <c r="S266" s="17"/>
      <c r="T266" s="17"/>
      <c r="U266" s="300"/>
      <c r="V266" s="67"/>
      <c r="W266" s="17"/>
      <c r="X266" s="17"/>
      <c r="Y266" s="300"/>
      <c r="Z266" s="386"/>
      <c r="AA266" s="386"/>
      <c r="AB266" s="386"/>
      <c r="AC266" s="386"/>
      <c r="AD266" s="386"/>
      <c r="AE266" s="386"/>
      <c r="AF266" s="386"/>
    </row>
    <row r="267" ht="15.75" customHeight="1">
      <c r="A267" s="24"/>
      <c r="B267" s="25"/>
      <c r="C267" s="25"/>
      <c r="D267" s="28"/>
      <c r="E267" s="28"/>
      <c r="F267" s="404"/>
      <c r="G267" s="380"/>
      <c r="H267" s="300"/>
      <c r="I267" s="17"/>
      <c r="J267" s="17"/>
      <c r="K267" s="17"/>
      <c r="L267" s="17"/>
      <c r="M267" s="17"/>
      <c r="N267" s="17"/>
      <c r="O267" s="17"/>
      <c r="P267" s="17"/>
      <c r="Q267" s="17"/>
      <c r="R267" s="17"/>
      <c r="S267" s="17"/>
      <c r="T267" s="17"/>
      <c r="U267" s="300"/>
      <c r="V267" s="47"/>
      <c r="W267" s="17"/>
      <c r="X267" s="17"/>
      <c r="Y267" s="300"/>
      <c r="Z267" s="386"/>
      <c r="AA267" s="386"/>
      <c r="AB267" s="386"/>
      <c r="AC267" s="386"/>
      <c r="AD267" s="386"/>
      <c r="AE267" s="386"/>
      <c r="AF267" s="386"/>
    </row>
    <row r="268" ht="15.75" customHeight="1">
      <c r="A268" s="24"/>
      <c r="B268" s="25"/>
      <c r="C268" s="25"/>
      <c r="D268" s="28"/>
      <c r="E268" s="28"/>
      <c r="F268" s="383"/>
      <c r="G268" s="380"/>
      <c r="H268" s="300"/>
      <c r="I268" s="17"/>
      <c r="J268" s="17"/>
      <c r="K268" s="17"/>
      <c r="L268" s="17"/>
      <c r="M268" s="17"/>
      <c r="N268" s="17"/>
      <c r="O268" s="17"/>
      <c r="P268" s="17"/>
      <c r="Q268" s="17"/>
      <c r="R268" s="17"/>
      <c r="S268" s="17"/>
      <c r="T268" s="17"/>
      <c r="U268" s="300"/>
      <c r="V268" s="67"/>
      <c r="W268" s="17"/>
      <c r="X268" s="17"/>
      <c r="Y268" s="300"/>
      <c r="Z268" s="386"/>
      <c r="AA268" s="386"/>
      <c r="AB268" s="386"/>
      <c r="AC268" s="386"/>
      <c r="AD268" s="386"/>
      <c r="AE268" s="386"/>
      <c r="AF268" s="386"/>
    </row>
    <row r="269" ht="15.75" customHeight="1">
      <c r="A269" s="24"/>
      <c r="B269" s="25"/>
      <c r="C269" s="25"/>
      <c r="D269" s="28"/>
      <c r="E269" s="28"/>
      <c r="F269" s="404"/>
      <c r="G269" s="380"/>
      <c r="H269" s="300"/>
      <c r="I269" s="17"/>
      <c r="J269" s="17"/>
      <c r="K269" s="17"/>
      <c r="L269" s="17"/>
      <c r="M269" s="17"/>
      <c r="N269" s="17"/>
      <c r="O269" s="17"/>
      <c r="P269" s="17"/>
      <c r="Q269" s="17"/>
      <c r="R269" s="17"/>
      <c r="S269" s="17"/>
      <c r="T269" s="17"/>
      <c r="U269" s="300"/>
      <c r="V269" s="47"/>
      <c r="W269" s="17"/>
      <c r="X269" s="17"/>
      <c r="Y269" s="300"/>
      <c r="Z269" s="386"/>
      <c r="AA269" s="386"/>
      <c r="AB269" s="386"/>
      <c r="AC269" s="386"/>
      <c r="AD269" s="386"/>
      <c r="AE269" s="386"/>
      <c r="AF269" s="386"/>
    </row>
    <row r="270" ht="15.75" customHeight="1">
      <c r="A270" s="24"/>
      <c r="B270" s="25"/>
      <c r="C270" s="25"/>
      <c r="D270" s="28"/>
      <c r="E270" s="28"/>
      <c r="F270" s="383"/>
      <c r="G270" s="380"/>
      <c r="H270" s="300"/>
      <c r="I270" s="17"/>
      <c r="J270" s="17"/>
      <c r="K270" s="17"/>
      <c r="L270" s="17"/>
      <c r="M270" s="17"/>
      <c r="N270" s="17"/>
      <c r="O270" s="17"/>
      <c r="P270" s="17"/>
      <c r="Q270" s="17"/>
      <c r="R270" s="17"/>
      <c r="S270" s="17"/>
      <c r="T270" s="17"/>
      <c r="U270" s="300"/>
      <c r="V270" s="67"/>
      <c r="W270" s="17"/>
      <c r="X270" s="17"/>
      <c r="Y270" s="300"/>
      <c r="Z270" s="386"/>
      <c r="AA270" s="386"/>
      <c r="AB270" s="386"/>
      <c r="AC270" s="386"/>
      <c r="AD270" s="386"/>
      <c r="AE270" s="386"/>
      <c r="AF270" s="386"/>
    </row>
    <row r="271" ht="15.75" customHeight="1">
      <c r="A271" s="24"/>
      <c r="B271" s="25"/>
      <c r="C271" s="25"/>
      <c r="D271" s="28"/>
      <c r="E271" s="28"/>
      <c r="F271" s="404"/>
      <c r="G271" s="380"/>
      <c r="H271" s="300"/>
      <c r="I271" s="17"/>
      <c r="J271" s="17"/>
      <c r="K271" s="17"/>
      <c r="L271" s="17"/>
      <c r="M271" s="17"/>
      <c r="N271" s="17"/>
      <c r="O271" s="17"/>
      <c r="P271" s="17"/>
      <c r="Q271" s="17"/>
      <c r="R271" s="17"/>
      <c r="S271" s="17"/>
      <c r="T271" s="17"/>
      <c r="U271" s="300"/>
      <c r="V271" s="47"/>
      <c r="W271" s="17"/>
      <c r="X271" s="17"/>
      <c r="Y271" s="300"/>
      <c r="Z271" s="386"/>
      <c r="AA271" s="386"/>
      <c r="AB271" s="386"/>
      <c r="AC271" s="386"/>
      <c r="AD271" s="386"/>
      <c r="AE271" s="386"/>
      <c r="AF271" s="386"/>
    </row>
    <row r="272" ht="15.75" customHeight="1">
      <c r="A272" s="24"/>
      <c r="B272" s="25"/>
      <c r="C272" s="25"/>
      <c r="D272" s="28"/>
      <c r="E272" s="28"/>
      <c r="F272" s="383"/>
      <c r="G272" s="380"/>
      <c r="H272" s="300"/>
      <c r="I272" s="17"/>
      <c r="J272" s="17"/>
      <c r="K272" s="17"/>
      <c r="L272" s="17"/>
      <c r="M272" s="17"/>
      <c r="N272" s="17"/>
      <c r="O272" s="17"/>
      <c r="P272" s="17"/>
      <c r="Q272" s="17"/>
      <c r="R272" s="17"/>
      <c r="S272" s="17"/>
      <c r="T272" s="17"/>
      <c r="U272" s="300"/>
      <c r="V272" s="67"/>
      <c r="W272" s="17"/>
      <c r="X272" s="17"/>
      <c r="Y272" s="300"/>
      <c r="Z272" s="386"/>
      <c r="AA272" s="386"/>
      <c r="AB272" s="386"/>
      <c r="AC272" s="386"/>
      <c r="AD272" s="386"/>
      <c r="AE272" s="386"/>
      <c r="AF272" s="386"/>
    </row>
    <row r="273" ht="15.75" customHeight="1">
      <c r="A273" s="24"/>
      <c r="B273" s="25"/>
      <c r="C273" s="25"/>
      <c r="D273" s="28"/>
      <c r="E273" s="28"/>
      <c r="F273" s="404"/>
      <c r="G273" s="380"/>
      <c r="H273" s="300"/>
      <c r="I273" s="17"/>
      <c r="J273" s="17"/>
      <c r="K273" s="17"/>
      <c r="L273" s="17"/>
      <c r="M273" s="17"/>
      <c r="N273" s="17"/>
      <c r="O273" s="17"/>
      <c r="P273" s="17"/>
      <c r="Q273" s="17"/>
      <c r="R273" s="17"/>
      <c r="S273" s="17"/>
      <c r="T273" s="17"/>
      <c r="U273" s="300"/>
      <c r="V273" s="47"/>
      <c r="W273" s="17"/>
      <c r="X273" s="17"/>
      <c r="Y273" s="300"/>
      <c r="Z273" s="386"/>
      <c r="AA273" s="386"/>
      <c r="AB273" s="386"/>
      <c r="AC273" s="386"/>
      <c r="AD273" s="386"/>
      <c r="AE273" s="386"/>
      <c r="AF273" s="386"/>
    </row>
    <row r="274" ht="15.75" customHeight="1">
      <c r="A274" s="24"/>
      <c r="B274" s="25"/>
      <c r="C274" s="25"/>
      <c r="D274" s="28"/>
      <c r="E274" s="28"/>
      <c r="F274" s="383"/>
      <c r="G274" s="380"/>
      <c r="H274" s="300"/>
      <c r="I274" s="17"/>
      <c r="J274" s="17"/>
      <c r="K274" s="17"/>
      <c r="L274" s="17"/>
      <c r="M274" s="17"/>
      <c r="N274" s="17"/>
      <c r="O274" s="17"/>
      <c r="P274" s="17"/>
      <c r="Q274" s="17"/>
      <c r="R274" s="17"/>
      <c r="S274" s="17"/>
      <c r="T274" s="17"/>
      <c r="U274" s="300"/>
      <c r="V274" s="67"/>
      <c r="W274" s="17"/>
      <c r="X274" s="17"/>
      <c r="Y274" s="300"/>
      <c r="Z274" s="386"/>
      <c r="AA274" s="386"/>
      <c r="AB274" s="386"/>
      <c r="AC274" s="386"/>
      <c r="AD274" s="386"/>
      <c r="AE274" s="386"/>
      <c r="AF274" s="386"/>
    </row>
    <row r="275" ht="15.75" customHeight="1">
      <c r="A275" s="24"/>
      <c r="B275" s="25"/>
      <c r="C275" s="25"/>
      <c r="D275" s="28"/>
      <c r="E275" s="28"/>
      <c r="F275" s="404"/>
      <c r="G275" s="380"/>
      <c r="H275" s="300"/>
      <c r="I275" s="17"/>
      <c r="J275" s="17"/>
      <c r="K275" s="17"/>
      <c r="L275" s="17"/>
      <c r="M275" s="17"/>
      <c r="N275" s="17"/>
      <c r="O275" s="17"/>
      <c r="P275" s="17"/>
      <c r="Q275" s="17"/>
      <c r="R275" s="17"/>
      <c r="S275" s="17"/>
      <c r="T275" s="17"/>
      <c r="U275" s="300"/>
      <c r="V275" s="47"/>
      <c r="W275" s="17"/>
      <c r="X275" s="17"/>
      <c r="Y275" s="300"/>
      <c r="Z275" s="386"/>
      <c r="AA275" s="386"/>
      <c r="AB275" s="386"/>
      <c r="AC275" s="386"/>
      <c r="AD275" s="386"/>
      <c r="AE275" s="386"/>
      <c r="AF275" s="386"/>
    </row>
    <row r="276" ht="15.75" customHeight="1">
      <c r="A276" s="24"/>
      <c r="B276" s="25"/>
      <c r="C276" s="25"/>
      <c r="D276" s="28"/>
      <c r="E276" s="28"/>
      <c r="F276" s="383"/>
      <c r="G276" s="380"/>
      <c r="H276" s="300"/>
      <c r="I276" s="17"/>
      <c r="J276" s="17"/>
      <c r="K276" s="17"/>
      <c r="L276" s="17"/>
      <c r="M276" s="17"/>
      <c r="N276" s="17"/>
      <c r="O276" s="17"/>
      <c r="P276" s="17"/>
      <c r="Q276" s="17"/>
      <c r="R276" s="17"/>
      <c r="S276" s="17"/>
      <c r="T276" s="17"/>
      <c r="U276" s="300"/>
      <c r="V276" s="67"/>
      <c r="W276" s="17"/>
      <c r="X276" s="17"/>
      <c r="Y276" s="300"/>
      <c r="Z276" s="386"/>
      <c r="AA276" s="386"/>
      <c r="AB276" s="386"/>
      <c r="AC276" s="386"/>
      <c r="AD276" s="386"/>
      <c r="AE276" s="386"/>
      <c r="AF276" s="386"/>
    </row>
    <row r="277" ht="15.75" customHeight="1">
      <c r="A277" s="24"/>
      <c r="B277" s="25"/>
      <c r="C277" s="25"/>
      <c r="D277" s="28"/>
      <c r="E277" s="28"/>
      <c r="F277" s="404"/>
      <c r="G277" s="380"/>
      <c r="H277" s="300"/>
      <c r="I277" s="17"/>
      <c r="J277" s="17"/>
      <c r="K277" s="17"/>
      <c r="L277" s="17"/>
      <c r="M277" s="17"/>
      <c r="N277" s="17"/>
      <c r="O277" s="17"/>
      <c r="P277" s="17"/>
      <c r="Q277" s="17"/>
      <c r="R277" s="17"/>
      <c r="S277" s="17"/>
      <c r="T277" s="17"/>
      <c r="U277" s="300"/>
      <c r="V277" s="47"/>
      <c r="W277" s="17"/>
      <c r="X277" s="17"/>
      <c r="Y277" s="300"/>
      <c r="Z277" s="386"/>
      <c r="AA277" s="386"/>
      <c r="AB277" s="386"/>
      <c r="AC277" s="386"/>
      <c r="AD277" s="386"/>
      <c r="AE277" s="386"/>
      <c r="AF277" s="386"/>
    </row>
    <row r="278" ht="15.75" customHeight="1">
      <c r="A278" s="24"/>
      <c r="B278" s="25"/>
      <c r="C278" s="25"/>
      <c r="D278" s="28"/>
      <c r="E278" s="28"/>
      <c r="F278" s="383"/>
      <c r="G278" s="380"/>
      <c r="H278" s="300"/>
      <c r="I278" s="17"/>
      <c r="J278" s="17"/>
      <c r="K278" s="17"/>
      <c r="L278" s="17"/>
      <c r="M278" s="17"/>
      <c r="N278" s="17"/>
      <c r="O278" s="17"/>
      <c r="P278" s="17"/>
      <c r="Q278" s="17"/>
      <c r="R278" s="17"/>
      <c r="S278" s="17"/>
      <c r="T278" s="17"/>
      <c r="U278" s="300"/>
      <c r="V278" s="67"/>
      <c r="W278" s="17"/>
      <c r="X278" s="17"/>
      <c r="Y278" s="300"/>
      <c r="Z278" s="386"/>
      <c r="AA278" s="386"/>
      <c r="AB278" s="386"/>
      <c r="AC278" s="386"/>
      <c r="AD278" s="386"/>
      <c r="AE278" s="386"/>
      <c r="AF278" s="386"/>
    </row>
    <row r="279" ht="15.75" customHeight="1">
      <c r="A279" s="24"/>
      <c r="B279" s="25"/>
      <c r="C279" s="25"/>
      <c r="D279" s="28"/>
      <c r="E279" s="28"/>
      <c r="F279" s="404"/>
      <c r="G279" s="380"/>
      <c r="H279" s="300"/>
      <c r="I279" s="17"/>
      <c r="J279" s="17"/>
      <c r="K279" s="17"/>
      <c r="L279" s="17"/>
      <c r="M279" s="17"/>
      <c r="N279" s="17"/>
      <c r="O279" s="17"/>
      <c r="P279" s="17"/>
      <c r="Q279" s="17"/>
      <c r="R279" s="17"/>
      <c r="S279" s="17"/>
      <c r="T279" s="17"/>
      <c r="U279" s="300"/>
      <c r="V279" s="47"/>
      <c r="W279" s="17"/>
      <c r="X279" s="17"/>
      <c r="Y279" s="300"/>
      <c r="Z279" s="386"/>
      <c r="AA279" s="386"/>
      <c r="AB279" s="386"/>
      <c r="AC279" s="386"/>
      <c r="AD279" s="386"/>
      <c r="AE279" s="386"/>
      <c r="AF279" s="386"/>
    </row>
    <row r="280" ht="15.75" customHeight="1">
      <c r="A280" s="24"/>
      <c r="B280" s="25"/>
      <c r="C280" s="25"/>
      <c r="D280" s="28"/>
      <c r="E280" s="28"/>
      <c r="F280" s="383"/>
      <c r="G280" s="380"/>
      <c r="H280" s="300"/>
      <c r="I280" s="17"/>
      <c r="J280" s="17"/>
      <c r="K280" s="17"/>
      <c r="L280" s="17"/>
      <c r="M280" s="17"/>
      <c r="N280" s="17"/>
      <c r="O280" s="17"/>
      <c r="P280" s="17"/>
      <c r="Q280" s="17"/>
      <c r="R280" s="17"/>
      <c r="S280" s="17"/>
      <c r="T280" s="17"/>
      <c r="U280" s="300"/>
      <c r="V280" s="67"/>
      <c r="W280" s="17"/>
      <c r="X280" s="17"/>
      <c r="Y280" s="300"/>
      <c r="Z280" s="386"/>
      <c r="AA280" s="386"/>
      <c r="AB280" s="386"/>
      <c r="AC280" s="386"/>
      <c r="AD280" s="386"/>
      <c r="AE280" s="386"/>
      <c r="AF280" s="386"/>
    </row>
    <row r="281" ht="15.75" customHeight="1">
      <c r="A281" s="24"/>
      <c r="B281" s="25"/>
      <c r="C281" s="25"/>
      <c r="D281" s="28"/>
      <c r="E281" s="28"/>
      <c r="F281" s="404"/>
      <c r="G281" s="380"/>
      <c r="H281" s="300"/>
      <c r="I281" s="17"/>
      <c r="J281" s="17"/>
      <c r="K281" s="17"/>
      <c r="L281" s="17"/>
      <c r="M281" s="17"/>
      <c r="N281" s="17"/>
      <c r="O281" s="17"/>
      <c r="P281" s="17"/>
      <c r="Q281" s="17"/>
      <c r="R281" s="17"/>
      <c r="S281" s="17"/>
      <c r="T281" s="17"/>
      <c r="U281" s="300"/>
      <c r="V281" s="47"/>
      <c r="W281" s="17"/>
      <c r="X281" s="17"/>
      <c r="Y281" s="300"/>
      <c r="Z281" s="386"/>
      <c r="AA281" s="386"/>
      <c r="AB281" s="386"/>
      <c r="AC281" s="386"/>
      <c r="AD281" s="386"/>
      <c r="AE281" s="386"/>
      <c r="AF281" s="386"/>
    </row>
    <row r="282" ht="15.75" customHeight="1">
      <c r="A282" s="24"/>
      <c r="B282" s="25"/>
      <c r="C282" s="25"/>
      <c r="D282" s="28"/>
      <c r="E282" s="28"/>
      <c r="F282" s="383"/>
      <c r="G282" s="380"/>
      <c r="H282" s="300"/>
      <c r="I282" s="17"/>
      <c r="J282" s="17"/>
      <c r="K282" s="17"/>
      <c r="L282" s="17"/>
      <c r="M282" s="17"/>
      <c r="N282" s="17"/>
      <c r="O282" s="17"/>
      <c r="P282" s="17"/>
      <c r="Q282" s="17"/>
      <c r="R282" s="17"/>
      <c r="S282" s="17"/>
      <c r="T282" s="17"/>
      <c r="U282" s="300"/>
      <c r="V282" s="67"/>
      <c r="W282" s="17"/>
      <c r="X282" s="17"/>
      <c r="Y282" s="300"/>
      <c r="Z282" s="386"/>
      <c r="AA282" s="386"/>
      <c r="AB282" s="386"/>
      <c r="AC282" s="386"/>
      <c r="AD282" s="386"/>
      <c r="AE282" s="386"/>
      <c r="AF282" s="386"/>
    </row>
    <row r="283" ht="15.75" customHeight="1">
      <c r="A283" s="24"/>
      <c r="B283" s="25"/>
      <c r="C283" s="25"/>
      <c r="D283" s="28"/>
      <c r="E283" s="28"/>
      <c r="F283" s="404"/>
      <c r="G283" s="380"/>
      <c r="H283" s="300"/>
      <c r="I283" s="17"/>
      <c r="J283" s="17"/>
      <c r="K283" s="17"/>
      <c r="L283" s="17"/>
      <c r="M283" s="17"/>
      <c r="N283" s="17"/>
      <c r="O283" s="17"/>
      <c r="P283" s="17"/>
      <c r="Q283" s="17"/>
      <c r="R283" s="17"/>
      <c r="S283" s="17"/>
      <c r="T283" s="17"/>
      <c r="U283" s="300"/>
      <c r="V283" s="47"/>
      <c r="W283" s="17"/>
      <c r="X283" s="17"/>
      <c r="Y283" s="300"/>
      <c r="Z283" s="386"/>
      <c r="AA283" s="386"/>
      <c r="AB283" s="386"/>
      <c r="AC283" s="386"/>
      <c r="AD283" s="386"/>
      <c r="AE283" s="386"/>
      <c r="AF283" s="386"/>
    </row>
    <row r="284" ht="15.75" customHeight="1">
      <c r="A284" s="24"/>
      <c r="B284" s="25"/>
      <c r="C284" s="25"/>
      <c r="D284" s="28"/>
      <c r="E284" s="28"/>
      <c r="F284" s="383"/>
      <c r="G284" s="380"/>
      <c r="H284" s="300"/>
      <c r="I284" s="17"/>
      <c r="J284" s="17"/>
      <c r="K284" s="17"/>
      <c r="L284" s="17"/>
      <c r="M284" s="17"/>
      <c r="N284" s="17"/>
      <c r="O284" s="17"/>
      <c r="P284" s="17"/>
      <c r="Q284" s="17"/>
      <c r="R284" s="17"/>
      <c r="S284" s="17"/>
      <c r="T284" s="17"/>
      <c r="U284" s="300"/>
      <c r="V284" s="67"/>
      <c r="W284" s="17"/>
      <c r="X284" s="17"/>
      <c r="Y284" s="300"/>
      <c r="Z284" s="386"/>
      <c r="AA284" s="386"/>
      <c r="AB284" s="386"/>
      <c r="AC284" s="386"/>
      <c r="AD284" s="386"/>
      <c r="AE284" s="386"/>
      <c r="AF284" s="386"/>
    </row>
    <row r="285" ht="15.75" customHeight="1">
      <c r="A285" s="24"/>
      <c r="B285" s="25"/>
      <c r="C285" s="25"/>
      <c r="D285" s="28"/>
      <c r="E285" s="28"/>
      <c r="F285" s="404"/>
      <c r="G285" s="380"/>
      <c r="H285" s="300"/>
      <c r="I285" s="17"/>
      <c r="J285" s="17"/>
      <c r="K285" s="17"/>
      <c r="L285" s="17"/>
      <c r="M285" s="17"/>
      <c r="N285" s="17"/>
      <c r="O285" s="17"/>
      <c r="P285" s="17"/>
      <c r="Q285" s="17"/>
      <c r="R285" s="17"/>
      <c r="S285" s="17"/>
      <c r="T285" s="17"/>
      <c r="U285" s="300"/>
      <c r="V285" s="47"/>
      <c r="W285" s="17"/>
      <c r="X285" s="17"/>
      <c r="Y285" s="300"/>
      <c r="Z285" s="386"/>
      <c r="AA285" s="386"/>
      <c r="AB285" s="386"/>
      <c r="AC285" s="386"/>
      <c r="AD285" s="386"/>
      <c r="AE285" s="386"/>
      <c r="AF285" s="386"/>
    </row>
    <row r="286" ht="15.75" customHeight="1">
      <c r="A286" s="24"/>
      <c r="B286" s="25"/>
      <c r="C286" s="25"/>
      <c r="D286" s="28"/>
      <c r="E286" s="28"/>
      <c r="F286" s="383"/>
      <c r="G286" s="380"/>
      <c r="H286" s="300"/>
      <c r="I286" s="17"/>
      <c r="J286" s="17"/>
      <c r="K286" s="17"/>
      <c r="L286" s="17"/>
      <c r="M286" s="17"/>
      <c r="N286" s="17"/>
      <c r="O286" s="17"/>
      <c r="P286" s="17"/>
      <c r="Q286" s="17"/>
      <c r="R286" s="17"/>
      <c r="S286" s="17"/>
      <c r="T286" s="17"/>
      <c r="U286" s="300"/>
      <c r="V286" s="67"/>
      <c r="W286" s="17"/>
      <c r="X286" s="17"/>
      <c r="Y286" s="300"/>
      <c r="Z286" s="386"/>
      <c r="AA286" s="386"/>
      <c r="AB286" s="386"/>
      <c r="AC286" s="386"/>
      <c r="AD286" s="386"/>
      <c r="AE286" s="386"/>
      <c r="AF286" s="386"/>
    </row>
    <row r="287" ht="15.75" customHeight="1">
      <c r="A287" s="24"/>
      <c r="B287" s="25"/>
      <c r="C287" s="25"/>
      <c r="D287" s="28"/>
      <c r="E287" s="28"/>
      <c r="F287" s="404"/>
      <c r="G287" s="380"/>
      <c r="H287" s="300"/>
      <c r="I287" s="17"/>
      <c r="J287" s="17"/>
      <c r="K287" s="17"/>
      <c r="L287" s="17"/>
      <c r="M287" s="17"/>
      <c r="N287" s="17"/>
      <c r="O287" s="17"/>
      <c r="P287" s="17"/>
      <c r="Q287" s="17"/>
      <c r="R287" s="17"/>
      <c r="S287" s="17"/>
      <c r="T287" s="17"/>
      <c r="U287" s="300"/>
      <c r="V287" s="47"/>
      <c r="W287" s="17"/>
      <c r="X287" s="17"/>
      <c r="Y287" s="300"/>
      <c r="Z287" s="386"/>
      <c r="AA287" s="386"/>
      <c r="AB287" s="386"/>
      <c r="AC287" s="386"/>
      <c r="AD287" s="386"/>
      <c r="AE287" s="386"/>
      <c r="AF287" s="386"/>
    </row>
    <row r="288" ht="15.75" customHeight="1">
      <c r="A288" s="24"/>
      <c r="B288" s="25"/>
      <c r="C288" s="25"/>
      <c r="D288" s="28"/>
      <c r="E288" s="28"/>
      <c r="F288" s="383"/>
      <c r="G288" s="380"/>
      <c r="H288" s="300"/>
      <c r="I288" s="17"/>
      <c r="J288" s="17"/>
      <c r="K288" s="17"/>
      <c r="L288" s="17"/>
      <c r="M288" s="17"/>
      <c r="N288" s="17"/>
      <c r="O288" s="17"/>
      <c r="P288" s="17"/>
      <c r="Q288" s="17"/>
      <c r="R288" s="17"/>
      <c r="S288" s="17"/>
      <c r="T288" s="17"/>
      <c r="U288" s="300"/>
      <c r="V288" s="67"/>
      <c r="W288" s="17"/>
      <c r="X288" s="17"/>
      <c r="Y288" s="300"/>
      <c r="Z288" s="386"/>
      <c r="AA288" s="386"/>
      <c r="AB288" s="386"/>
      <c r="AC288" s="386"/>
      <c r="AD288" s="386"/>
      <c r="AE288" s="386"/>
      <c r="AF288" s="386"/>
    </row>
    <row r="289" ht="15.75" customHeight="1">
      <c r="A289" s="24"/>
      <c r="B289" s="25"/>
      <c r="C289" s="25"/>
      <c r="D289" s="28"/>
      <c r="E289" s="28"/>
      <c r="F289" s="404"/>
      <c r="G289" s="380"/>
      <c r="H289" s="300"/>
      <c r="I289" s="17"/>
      <c r="J289" s="17"/>
      <c r="K289" s="17"/>
      <c r="L289" s="17"/>
      <c r="M289" s="17"/>
      <c r="N289" s="17"/>
      <c r="O289" s="17"/>
      <c r="P289" s="17"/>
      <c r="Q289" s="17"/>
      <c r="R289" s="17"/>
      <c r="S289" s="17"/>
      <c r="T289" s="17"/>
      <c r="U289" s="300"/>
      <c r="V289" s="47"/>
      <c r="W289" s="17"/>
      <c r="X289" s="17"/>
      <c r="Y289" s="300"/>
      <c r="Z289" s="386"/>
      <c r="AA289" s="386"/>
      <c r="AB289" s="386"/>
      <c r="AC289" s="386"/>
      <c r="AD289" s="386"/>
      <c r="AE289" s="386"/>
      <c r="AF289" s="386"/>
    </row>
    <row r="290" ht="15.75" customHeight="1">
      <c r="A290" s="24"/>
      <c r="B290" s="25"/>
      <c r="C290" s="25"/>
      <c r="D290" s="28"/>
      <c r="E290" s="28"/>
      <c r="F290" s="383"/>
      <c r="G290" s="380"/>
      <c r="H290" s="300"/>
      <c r="I290" s="17"/>
      <c r="J290" s="17"/>
      <c r="K290" s="17"/>
      <c r="L290" s="17"/>
      <c r="M290" s="17"/>
      <c r="N290" s="17"/>
      <c r="O290" s="17"/>
      <c r="P290" s="17"/>
      <c r="Q290" s="17"/>
      <c r="R290" s="17"/>
      <c r="S290" s="17"/>
      <c r="T290" s="17"/>
      <c r="U290" s="300"/>
      <c r="V290" s="67"/>
      <c r="W290" s="17"/>
      <c r="X290" s="17"/>
      <c r="Y290" s="300"/>
      <c r="Z290" s="386"/>
      <c r="AA290" s="386"/>
      <c r="AB290" s="386"/>
      <c r="AC290" s="386"/>
      <c r="AD290" s="386"/>
      <c r="AE290" s="386"/>
      <c r="AF290" s="386"/>
    </row>
    <row r="291" ht="15.75" customHeight="1">
      <c r="A291" s="24"/>
      <c r="B291" s="25"/>
      <c r="C291" s="25"/>
      <c r="D291" s="28"/>
      <c r="E291" s="28"/>
      <c r="F291" s="404"/>
      <c r="G291" s="380"/>
      <c r="H291" s="300"/>
      <c r="I291" s="17"/>
      <c r="J291" s="17"/>
      <c r="K291" s="17"/>
      <c r="L291" s="17"/>
      <c r="M291" s="17"/>
      <c r="N291" s="17"/>
      <c r="O291" s="17"/>
      <c r="P291" s="17"/>
      <c r="Q291" s="17"/>
      <c r="R291" s="17"/>
      <c r="S291" s="17"/>
      <c r="T291" s="17"/>
      <c r="U291" s="300"/>
      <c r="V291" s="47"/>
      <c r="W291" s="17"/>
      <c r="X291" s="17"/>
      <c r="Y291" s="300"/>
      <c r="Z291" s="386"/>
      <c r="AA291" s="386"/>
      <c r="AB291" s="386"/>
      <c r="AC291" s="386"/>
      <c r="AD291" s="386"/>
      <c r="AE291" s="386"/>
      <c r="AF291" s="386"/>
    </row>
    <row r="292" ht="15.75" customHeight="1">
      <c r="A292" s="24"/>
      <c r="B292" s="25"/>
      <c r="C292" s="25"/>
      <c r="D292" s="28"/>
      <c r="E292" s="28"/>
      <c r="F292" s="383"/>
      <c r="G292" s="380"/>
      <c r="H292" s="300"/>
      <c r="I292" s="17"/>
      <c r="J292" s="17"/>
      <c r="K292" s="17"/>
      <c r="L292" s="17"/>
      <c r="M292" s="17"/>
      <c r="N292" s="17"/>
      <c r="O292" s="17"/>
      <c r="P292" s="17"/>
      <c r="Q292" s="17"/>
      <c r="R292" s="17"/>
      <c r="S292" s="17"/>
      <c r="T292" s="17"/>
      <c r="U292" s="300"/>
      <c r="V292" s="67"/>
      <c r="W292" s="17"/>
      <c r="X292" s="17"/>
      <c r="Y292" s="300"/>
      <c r="Z292" s="386"/>
      <c r="AA292" s="386"/>
      <c r="AB292" s="386"/>
      <c r="AC292" s="386"/>
      <c r="AD292" s="386"/>
      <c r="AE292" s="386"/>
      <c r="AF292" s="386"/>
    </row>
    <row r="293" ht="15.75" customHeight="1">
      <c r="A293" s="24"/>
      <c r="B293" s="25"/>
      <c r="C293" s="25"/>
      <c r="D293" s="28"/>
      <c r="E293" s="28"/>
      <c r="F293" s="404"/>
      <c r="G293" s="380"/>
      <c r="H293" s="300"/>
      <c r="I293" s="17"/>
      <c r="J293" s="17"/>
      <c r="K293" s="17"/>
      <c r="L293" s="17"/>
      <c r="M293" s="17"/>
      <c r="N293" s="17"/>
      <c r="O293" s="17"/>
      <c r="P293" s="17"/>
      <c r="Q293" s="17"/>
      <c r="R293" s="17"/>
      <c r="S293" s="17"/>
      <c r="T293" s="17"/>
      <c r="U293" s="300"/>
      <c r="V293" s="47"/>
      <c r="W293" s="17"/>
      <c r="X293" s="17"/>
      <c r="Y293" s="300"/>
      <c r="Z293" s="386"/>
      <c r="AA293" s="386"/>
      <c r="AB293" s="386"/>
      <c r="AC293" s="386"/>
      <c r="AD293" s="386"/>
      <c r="AE293" s="386"/>
      <c r="AF293" s="386"/>
    </row>
    <row r="294" ht="15.75" customHeight="1">
      <c r="A294" s="24"/>
      <c r="B294" s="25"/>
      <c r="C294" s="25"/>
      <c r="D294" s="28"/>
      <c r="E294" s="28"/>
      <c r="F294" s="383"/>
      <c r="G294" s="380"/>
      <c r="H294" s="300"/>
      <c r="I294" s="17"/>
      <c r="J294" s="17"/>
      <c r="K294" s="17"/>
      <c r="L294" s="17"/>
      <c r="M294" s="17"/>
      <c r="N294" s="17"/>
      <c r="O294" s="17"/>
      <c r="P294" s="17"/>
      <c r="Q294" s="17"/>
      <c r="R294" s="17"/>
      <c r="S294" s="17"/>
      <c r="T294" s="17"/>
      <c r="U294" s="300"/>
      <c r="V294" s="67"/>
      <c r="W294" s="17"/>
      <c r="X294" s="17"/>
      <c r="Y294" s="300"/>
      <c r="Z294" s="386"/>
      <c r="AA294" s="386"/>
      <c r="AB294" s="386"/>
      <c r="AC294" s="386"/>
      <c r="AD294" s="386"/>
      <c r="AE294" s="386"/>
      <c r="AF294" s="386"/>
    </row>
    <row r="295" ht="15.75" customHeight="1">
      <c r="A295" s="24"/>
      <c r="B295" s="25"/>
      <c r="C295" s="25"/>
      <c r="D295" s="28"/>
      <c r="E295" s="28"/>
      <c r="F295" s="404"/>
      <c r="G295" s="380"/>
      <c r="H295" s="300"/>
      <c r="I295" s="17"/>
      <c r="J295" s="17"/>
      <c r="K295" s="17"/>
      <c r="L295" s="17"/>
      <c r="M295" s="17"/>
      <c r="N295" s="17"/>
      <c r="O295" s="17"/>
      <c r="P295" s="17"/>
      <c r="Q295" s="17"/>
      <c r="R295" s="17"/>
      <c r="S295" s="17"/>
      <c r="T295" s="17"/>
      <c r="U295" s="300"/>
      <c r="V295" s="47"/>
      <c r="W295" s="17"/>
      <c r="X295" s="17"/>
      <c r="Y295" s="300"/>
      <c r="Z295" s="386"/>
      <c r="AA295" s="386"/>
      <c r="AB295" s="386"/>
      <c r="AC295" s="386"/>
      <c r="AD295" s="386"/>
      <c r="AE295" s="386"/>
      <c r="AF295" s="386"/>
    </row>
    <row r="296" ht="15.75" customHeight="1">
      <c r="A296" s="24"/>
      <c r="B296" s="25"/>
      <c r="C296" s="25"/>
      <c r="D296" s="28"/>
      <c r="E296" s="28"/>
      <c r="F296" s="383"/>
      <c r="G296" s="380"/>
      <c r="H296" s="300"/>
      <c r="I296" s="17"/>
      <c r="J296" s="17"/>
      <c r="K296" s="17"/>
      <c r="L296" s="17"/>
      <c r="M296" s="17"/>
      <c r="N296" s="17"/>
      <c r="O296" s="17"/>
      <c r="P296" s="17"/>
      <c r="Q296" s="17"/>
      <c r="R296" s="17"/>
      <c r="S296" s="17"/>
      <c r="T296" s="17"/>
      <c r="U296" s="300"/>
      <c r="V296" s="67"/>
      <c r="W296" s="17"/>
      <c r="X296" s="17"/>
      <c r="Y296" s="300"/>
      <c r="Z296" s="386"/>
      <c r="AA296" s="386"/>
      <c r="AB296" s="386"/>
      <c r="AC296" s="386"/>
      <c r="AD296" s="386"/>
      <c r="AE296" s="386"/>
      <c r="AF296" s="386"/>
    </row>
    <row r="297" ht="15.75" customHeight="1">
      <c r="A297" s="24"/>
      <c r="B297" s="25"/>
      <c r="C297" s="25"/>
      <c r="D297" s="28"/>
      <c r="E297" s="28"/>
      <c r="F297" s="404"/>
      <c r="G297" s="380"/>
      <c r="H297" s="300"/>
      <c r="I297" s="17"/>
      <c r="J297" s="17"/>
      <c r="K297" s="17"/>
      <c r="L297" s="17"/>
      <c r="M297" s="17"/>
      <c r="N297" s="17"/>
      <c r="O297" s="17"/>
      <c r="P297" s="17"/>
      <c r="Q297" s="17"/>
      <c r="R297" s="17"/>
      <c r="S297" s="17"/>
      <c r="T297" s="17"/>
      <c r="U297" s="300"/>
      <c r="V297" s="47"/>
      <c r="W297" s="17"/>
      <c r="X297" s="17"/>
      <c r="Y297" s="300"/>
      <c r="Z297" s="386"/>
      <c r="AA297" s="386"/>
      <c r="AB297" s="386"/>
      <c r="AC297" s="386"/>
      <c r="AD297" s="386"/>
      <c r="AE297" s="386"/>
      <c r="AF297" s="386"/>
    </row>
    <row r="298" ht="15.75" customHeight="1">
      <c r="A298" s="24"/>
      <c r="B298" s="25"/>
      <c r="C298" s="25"/>
      <c r="D298" s="28"/>
      <c r="E298" s="28"/>
      <c r="F298" s="383"/>
      <c r="G298" s="380"/>
      <c r="H298" s="300"/>
      <c r="I298" s="17"/>
      <c r="J298" s="17"/>
      <c r="K298" s="17"/>
      <c r="L298" s="17"/>
      <c r="M298" s="17"/>
      <c r="N298" s="17"/>
      <c r="O298" s="17"/>
      <c r="P298" s="17"/>
      <c r="Q298" s="17"/>
      <c r="R298" s="17"/>
      <c r="S298" s="17"/>
      <c r="T298" s="17"/>
      <c r="U298" s="300"/>
      <c r="V298" s="67"/>
      <c r="W298" s="17"/>
      <c r="X298" s="17"/>
      <c r="Y298" s="300"/>
      <c r="Z298" s="386"/>
      <c r="AA298" s="386"/>
      <c r="AB298" s="386"/>
      <c r="AC298" s="386"/>
      <c r="AD298" s="386"/>
      <c r="AE298" s="386"/>
      <c r="AF298" s="386"/>
    </row>
    <row r="299" ht="15.75" customHeight="1">
      <c r="A299" s="24"/>
      <c r="B299" s="25"/>
      <c r="C299" s="25"/>
      <c r="D299" s="28"/>
      <c r="E299" s="28"/>
      <c r="F299" s="404"/>
      <c r="G299" s="380"/>
      <c r="H299" s="300"/>
      <c r="I299" s="17"/>
      <c r="J299" s="17"/>
      <c r="K299" s="17"/>
      <c r="L299" s="17"/>
      <c r="M299" s="17"/>
      <c r="N299" s="17"/>
      <c r="O299" s="17"/>
      <c r="P299" s="17"/>
      <c r="Q299" s="17"/>
      <c r="R299" s="17"/>
      <c r="S299" s="17"/>
      <c r="T299" s="17"/>
      <c r="U299" s="300"/>
      <c r="V299" s="47"/>
      <c r="W299" s="17"/>
      <c r="X299" s="17"/>
      <c r="Y299" s="300"/>
      <c r="Z299" s="386"/>
      <c r="AA299" s="386"/>
      <c r="AB299" s="386"/>
      <c r="AC299" s="386"/>
      <c r="AD299" s="386"/>
      <c r="AE299" s="386"/>
      <c r="AF299" s="386"/>
    </row>
    <row r="300" ht="15.75" customHeight="1">
      <c r="A300" s="24"/>
      <c r="B300" s="25"/>
      <c r="C300" s="25"/>
      <c r="D300" s="28"/>
      <c r="E300" s="28"/>
      <c r="F300" s="383"/>
      <c r="G300" s="380"/>
      <c r="H300" s="300"/>
      <c r="I300" s="17"/>
      <c r="J300" s="17"/>
      <c r="K300" s="17"/>
      <c r="L300" s="17"/>
      <c r="M300" s="17"/>
      <c r="N300" s="17"/>
      <c r="O300" s="17"/>
      <c r="P300" s="17"/>
      <c r="Q300" s="17"/>
      <c r="R300" s="17"/>
      <c r="S300" s="17"/>
      <c r="T300" s="17"/>
      <c r="U300" s="300"/>
      <c r="V300" s="67"/>
      <c r="W300" s="17"/>
      <c r="X300" s="17"/>
      <c r="Y300" s="300"/>
      <c r="Z300" s="386"/>
      <c r="AA300" s="386"/>
      <c r="AB300" s="386"/>
      <c r="AC300" s="386"/>
      <c r="AD300" s="386"/>
      <c r="AE300" s="386"/>
      <c r="AF300" s="386"/>
    </row>
    <row r="301" ht="15.75" customHeight="1">
      <c r="A301" s="24"/>
      <c r="B301" s="25"/>
      <c r="C301" s="25"/>
      <c r="D301" s="28"/>
      <c r="E301" s="28"/>
      <c r="F301" s="404"/>
      <c r="G301" s="380"/>
      <c r="H301" s="300"/>
      <c r="I301" s="17"/>
      <c r="J301" s="17"/>
      <c r="K301" s="17"/>
      <c r="L301" s="17"/>
      <c r="M301" s="17"/>
      <c r="N301" s="17"/>
      <c r="O301" s="17"/>
      <c r="P301" s="17"/>
      <c r="Q301" s="17"/>
      <c r="R301" s="17"/>
      <c r="S301" s="17"/>
      <c r="T301" s="17"/>
      <c r="U301" s="300"/>
      <c r="V301" s="47"/>
      <c r="W301" s="17"/>
      <c r="X301" s="17"/>
      <c r="Y301" s="300"/>
      <c r="Z301" s="386"/>
      <c r="AA301" s="386"/>
      <c r="AB301" s="386"/>
      <c r="AC301" s="386"/>
      <c r="AD301" s="386"/>
      <c r="AE301" s="386"/>
      <c r="AF301" s="386"/>
    </row>
    <row r="302" ht="15.75" customHeight="1">
      <c r="A302" s="24"/>
      <c r="B302" s="25"/>
      <c r="C302" s="25"/>
      <c r="D302" s="28"/>
      <c r="E302" s="28"/>
      <c r="F302" s="383"/>
      <c r="G302" s="380"/>
      <c r="H302" s="300"/>
      <c r="I302" s="17"/>
      <c r="J302" s="17"/>
      <c r="K302" s="17"/>
      <c r="L302" s="17"/>
      <c r="M302" s="17"/>
      <c r="N302" s="17"/>
      <c r="O302" s="17"/>
      <c r="P302" s="17"/>
      <c r="Q302" s="17"/>
      <c r="R302" s="17"/>
      <c r="S302" s="17"/>
      <c r="T302" s="17"/>
      <c r="U302" s="300"/>
      <c r="V302" s="67"/>
      <c r="W302" s="17"/>
      <c r="X302" s="17"/>
      <c r="Y302" s="300"/>
      <c r="Z302" s="386"/>
      <c r="AA302" s="386"/>
      <c r="AB302" s="386"/>
      <c r="AC302" s="386"/>
      <c r="AD302" s="386"/>
      <c r="AE302" s="386"/>
      <c r="AF302" s="386"/>
    </row>
    <row r="303" ht="15.75" customHeight="1">
      <c r="A303" s="24"/>
      <c r="B303" s="25"/>
      <c r="C303" s="25"/>
      <c r="D303" s="28"/>
      <c r="E303" s="28"/>
      <c r="F303" s="404"/>
      <c r="G303" s="380"/>
      <c r="H303" s="300"/>
      <c r="I303" s="17"/>
      <c r="J303" s="17"/>
      <c r="K303" s="17"/>
      <c r="L303" s="17"/>
      <c r="M303" s="17"/>
      <c r="N303" s="17"/>
      <c r="O303" s="17"/>
      <c r="P303" s="17"/>
      <c r="Q303" s="17"/>
      <c r="R303" s="17"/>
      <c r="S303" s="17"/>
      <c r="T303" s="17"/>
      <c r="U303" s="300"/>
      <c r="V303" s="47"/>
      <c r="W303" s="17"/>
      <c r="X303" s="17"/>
      <c r="Y303" s="300"/>
      <c r="Z303" s="386"/>
      <c r="AA303" s="386"/>
      <c r="AB303" s="386"/>
      <c r="AC303" s="386"/>
      <c r="AD303" s="386"/>
      <c r="AE303" s="386"/>
      <c r="AF303" s="386"/>
    </row>
    <row r="304" ht="15.75" customHeight="1">
      <c r="A304" s="24"/>
      <c r="B304" s="25"/>
      <c r="C304" s="25"/>
      <c r="D304" s="28"/>
      <c r="E304" s="28"/>
      <c r="F304" s="383"/>
      <c r="G304" s="380"/>
      <c r="H304" s="300"/>
      <c r="I304" s="17"/>
      <c r="J304" s="17"/>
      <c r="K304" s="17"/>
      <c r="L304" s="17"/>
      <c r="M304" s="17"/>
      <c r="N304" s="17"/>
      <c r="O304" s="17"/>
      <c r="P304" s="17"/>
      <c r="Q304" s="17"/>
      <c r="R304" s="17"/>
      <c r="S304" s="17"/>
      <c r="T304" s="17"/>
      <c r="U304" s="300"/>
      <c r="V304" s="67"/>
      <c r="W304" s="17"/>
      <c r="X304" s="17"/>
      <c r="Y304" s="300"/>
      <c r="Z304" s="386"/>
      <c r="AA304" s="386"/>
      <c r="AB304" s="386"/>
      <c r="AC304" s="386"/>
      <c r="AD304" s="386"/>
      <c r="AE304" s="386"/>
      <c r="AF304" s="386"/>
    </row>
    <row r="305" ht="15.75" customHeight="1">
      <c r="A305" s="24"/>
      <c r="B305" s="25"/>
      <c r="C305" s="25"/>
      <c r="D305" s="28"/>
      <c r="E305" s="28"/>
      <c r="F305" s="404"/>
      <c r="G305" s="380"/>
      <c r="H305" s="300"/>
      <c r="I305" s="17"/>
      <c r="J305" s="17"/>
      <c r="K305" s="17"/>
      <c r="L305" s="17"/>
      <c r="M305" s="17"/>
      <c r="N305" s="17"/>
      <c r="O305" s="17"/>
      <c r="P305" s="17"/>
      <c r="Q305" s="17"/>
      <c r="R305" s="17"/>
      <c r="S305" s="17"/>
      <c r="T305" s="17"/>
      <c r="U305" s="300"/>
      <c r="V305" s="47"/>
      <c r="W305" s="17"/>
      <c r="X305" s="17"/>
      <c r="Y305" s="300"/>
      <c r="Z305" s="386"/>
      <c r="AA305" s="386"/>
      <c r="AB305" s="386"/>
      <c r="AC305" s="386"/>
      <c r="AD305" s="386"/>
      <c r="AE305" s="386"/>
      <c r="AF305" s="386"/>
    </row>
    <row r="306" ht="15.75" customHeight="1">
      <c r="A306" s="24"/>
      <c r="B306" s="25"/>
      <c r="C306" s="25"/>
      <c r="D306" s="28"/>
      <c r="E306" s="28"/>
      <c r="F306" s="383"/>
      <c r="G306" s="380"/>
      <c r="H306" s="300"/>
      <c r="I306" s="17"/>
      <c r="J306" s="17"/>
      <c r="K306" s="17"/>
      <c r="L306" s="17"/>
      <c r="M306" s="17"/>
      <c r="N306" s="17"/>
      <c r="O306" s="17"/>
      <c r="P306" s="17"/>
      <c r="Q306" s="17"/>
      <c r="R306" s="17"/>
      <c r="S306" s="17"/>
      <c r="T306" s="17"/>
      <c r="U306" s="300"/>
      <c r="V306" s="67"/>
      <c r="W306" s="17"/>
      <c r="X306" s="17"/>
      <c r="Y306" s="300"/>
      <c r="Z306" s="386"/>
      <c r="AA306" s="386"/>
      <c r="AB306" s="386"/>
      <c r="AC306" s="386"/>
      <c r="AD306" s="386"/>
      <c r="AE306" s="386"/>
      <c r="AF306" s="386"/>
    </row>
    <row r="307" ht="15.75" customHeight="1">
      <c r="A307" s="24"/>
      <c r="B307" s="25"/>
      <c r="C307" s="25"/>
      <c r="D307" s="28"/>
      <c r="E307" s="28"/>
      <c r="F307" s="404"/>
      <c r="G307" s="380"/>
      <c r="H307" s="300"/>
      <c r="I307" s="17"/>
      <c r="J307" s="17"/>
      <c r="K307" s="17"/>
      <c r="L307" s="17"/>
      <c r="M307" s="17"/>
      <c r="N307" s="17"/>
      <c r="O307" s="17"/>
      <c r="P307" s="17"/>
      <c r="Q307" s="17"/>
      <c r="R307" s="17"/>
      <c r="S307" s="17"/>
      <c r="T307" s="17"/>
      <c r="U307" s="300"/>
      <c r="V307" s="47"/>
      <c r="W307" s="17"/>
      <c r="X307" s="17"/>
      <c r="Y307" s="300"/>
      <c r="Z307" s="386"/>
      <c r="AA307" s="386"/>
      <c r="AB307" s="386"/>
      <c r="AC307" s="386"/>
      <c r="AD307" s="386"/>
      <c r="AE307" s="386"/>
      <c r="AF307" s="386"/>
    </row>
    <row r="308" ht="15.75" customHeight="1">
      <c r="A308" s="24"/>
      <c r="B308" s="25"/>
      <c r="C308" s="25"/>
      <c r="D308" s="28"/>
      <c r="E308" s="28"/>
      <c r="F308" s="383"/>
      <c r="G308" s="380"/>
      <c r="H308" s="300"/>
      <c r="I308" s="17"/>
      <c r="J308" s="17"/>
      <c r="K308" s="17"/>
      <c r="L308" s="17"/>
      <c r="M308" s="17"/>
      <c r="N308" s="17"/>
      <c r="O308" s="17"/>
      <c r="P308" s="17"/>
      <c r="Q308" s="17"/>
      <c r="R308" s="17"/>
      <c r="S308" s="17"/>
      <c r="T308" s="17"/>
      <c r="U308" s="300"/>
      <c r="V308" s="67"/>
      <c r="W308" s="17"/>
      <c r="X308" s="17"/>
      <c r="Y308" s="300"/>
      <c r="Z308" s="386"/>
      <c r="AA308" s="386"/>
      <c r="AB308" s="386"/>
      <c r="AC308" s="386"/>
      <c r="AD308" s="386"/>
      <c r="AE308" s="386"/>
      <c r="AF308" s="386"/>
    </row>
    <row r="309" ht="15.75" customHeight="1">
      <c r="A309" s="24"/>
      <c r="B309" s="25"/>
      <c r="C309" s="25"/>
      <c r="D309" s="28"/>
      <c r="E309" s="28"/>
      <c r="F309" s="404"/>
      <c r="G309" s="380"/>
      <c r="H309" s="300"/>
      <c r="I309" s="17"/>
      <c r="J309" s="17"/>
      <c r="K309" s="17"/>
      <c r="L309" s="17"/>
      <c r="M309" s="17"/>
      <c r="N309" s="17"/>
      <c r="O309" s="17"/>
      <c r="P309" s="17"/>
      <c r="Q309" s="17"/>
      <c r="R309" s="17"/>
      <c r="S309" s="17"/>
      <c r="T309" s="17"/>
      <c r="U309" s="300"/>
      <c r="V309" s="47"/>
      <c r="W309" s="17"/>
      <c r="X309" s="17"/>
      <c r="Y309" s="300"/>
      <c r="Z309" s="386"/>
      <c r="AA309" s="386"/>
      <c r="AB309" s="386"/>
      <c r="AC309" s="386"/>
      <c r="AD309" s="386"/>
      <c r="AE309" s="386"/>
      <c r="AF309" s="386"/>
    </row>
    <row r="310" ht="15.75" customHeight="1">
      <c r="A310" s="24"/>
      <c r="B310" s="25"/>
      <c r="C310" s="25"/>
      <c r="D310" s="28"/>
      <c r="E310" s="28"/>
      <c r="F310" s="383"/>
      <c r="G310" s="380"/>
      <c r="H310" s="300"/>
      <c r="I310" s="17"/>
      <c r="J310" s="17"/>
      <c r="K310" s="17"/>
      <c r="L310" s="17"/>
      <c r="M310" s="17"/>
      <c r="N310" s="17"/>
      <c r="O310" s="17"/>
      <c r="P310" s="17"/>
      <c r="Q310" s="17"/>
      <c r="R310" s="17"/>
      <c r="S310" s="17"/>
      <c r="T310" s="17"/>
      <c r="U310" s="300"/>
      <c r="V310" s="67"/>
      <c r="W310" s="17"/>
      <c r="X310" s="17"/>
      <c r="Y310" s="300"/>
      <c r="Z310" s="386"/>
      <c r="AA310" s="386"/>
      <c r="AB310" s="386"/>
      <c r="AC310" s="386"/>
      <c r="AD310" s="386"/>
      <c r="AE310" s="386"/>
      <c r="AF310" s="386"/>
    </row>
    <row r="311" ht="15.75" customHeight="1">
      <c r="A311" s="24"/>
      <c r="B311" s="25"/>
      <c r="C311" s="25"/>
      <c r="D311" s="28"/>
      <c r="E311" s="28"/>
      <c r="F311" s="404"/>
      <c r="G311" s="380"/>
      <c r="H311" s="300"/>
      <c r="I311" s="17"/>
      <c r="J311" s="17"/>
      <c r="K311" s="17"/>
      <c r="L311" s="17"/>
      <c r="M311" s="17"/>
      <c r="N311" s="17"/>
      <c r="O311" s="17"/>
      <c r="P311" s="17"/>
      <c r="Q311" s="17"/>
      <c r="R311" s="17"/>
      <c r="S311" s="17"/>
      <c r="T311" s="17"/>
      <c r="U311" s="300"/>
      <c r="V311" s="47"/>
      <c r="W311" s="17"/>
      <c r="X311" s="17"/>
      <c r="Y311" s="300"/>
      <c r="Z311" s="386"/>
      <c r="AA311" s="386"/>
      <c r="AB311" s="386"/>
      <c r="AC311" s="386"/>
      <c r="AD311" s="386"/>
      <c r="AE311" s="386"/>
      <c r="AF311" s="386"/>
    </row>
    <row r="312" ht="15.75" customHeight="1">
      <c r="A312" s="24"/>
      <c r="B312" s="25"/>
      <c r="C312" s="25"/>
      <c r="D312" s="28"/>
      <c r="E312" s="28"/>
      <c r="F312" s="383"/>
      <c r="G312" s="380"/>
      <c r="H312" s="300"/>
      <c r="I312" s="17"/>
      <c r="J312" s="17"/>
      <c r="K312" s="17"/>
      <c r="L312" s="17"/>
      <c r="M312" s="17"/>
      <c r="N312" s="17"/>
      <c r="O312" s="17"/>
      <c r="P312" s="17"/>
      <c r="Q312" s="17"/>
      <c r="R312" s="17"/>
      <c r="S312" s="17"/>
      <c r="T312" s="17"/>
      <c r="U312" s="300"/>
      <c r="V312" s="67"/>
      <c r="W312" s="17"/>
      <c r="X312" s="17"/>
      <c r="Y312" s="300"/>
      <c r="Z312" s="386"/>
      <c r="AA312" s="386"/>
      <c r="AB312" s="386"/>
      <c r="AC312" s="386"/>
      <c r="AD312" s="386"/>
      <c r="AE312" s="386"/>
      <c r="AF312" s="386"/>
    </row>
    <row r="313" ht="15.75" customHeight="1">
      <c r="A313" s="24"/>
      <c r="B313" s="25"/>
      <c r="C313" s="25"/>
      <c r="D313" s="28"/>
      <c r="E313" s="28"/>
      <c r="F313" s="404"/>
      <c r="G313" s="380"/>
      <c r="H313" s="300"/>
      <c r="I313" s="17"/>
      <c r="J313" s="17"/>
      <c r="K313" s="17"/>
      <c r="L313" s="17"/>
      <c r="M313" s="17"/>
      <c r="N313" s="17"/>
      <c r="O313" s="17"/>
      <c r="P313" s="17"/>
      <c r="Q313" s="17"/>
      <c r="R313" s="17"/>
      <c r="S313" s="17"/>
      <c r="T313" s="17"/>
      <c r="U313" s="300"/>
      <c r="V313" s="47"/>
      <c r="W313" s="17"/>
      <c r="X313" s="17"/>
      <c r="Y313" s="300"/>
      <c r="Z313" s="386"/>
      <c r="AA313" s="386"/>
      <c r="AB313" s="386"/>
      <c r="AC313" s="386"/>
      <c r="AD313" s="386"/>
      <c r="AE313" s="386"/>
      <c r="AF313" s="386"/>
    </row>
    <row r="314" ht="15.75" customHeight="1">
      <c r="A314" s="24"/>
      <c r="B314" s="25"/>
      <c r="C314" s="25"/>
      <c r="D314" s="28"/>
      <c r="E314" s="28"/>
      <c r="F314" s="383"/>
      <c r="G314" s="380"/>
      <c r="H314" s="300"/>
      <c r="I314" s="17"/>
      <c r="J314" s="17"/>
      <c r="K314" s="17"/>
      <c r="L314" s="17"/>
      <c r="M314" s="17"/>
      <c r="N314" s="17"/>
      <c r="O314" s="17"/>
      <c r="P314" s="17"/>
      <c r="Q314" s="17"/>
      <c r="R314" s="17"/>
      <c r="S314" s="17"/>
      <c r="T314" s="17"/>
      <c r="U314" s="300"/>
      <c r="V314" s="67"/>
      <c r="W314" s="17"/>
      <c r="X314" s="17"/>
      <c r="Y314" s="300"/>
      <c r="Z314" s="386"/>
      <c r="AA314" s="386"/>
      <c r="AB314" s="386"/>
      <c r="AC314" s="386"/>
      <c r="AD314" s="386"/>
      <c r="AE314" s="386"/>
      <c r="AF314" s="386"/>
    </row>
    <row r="315" ht="15.75" customHeight="1">
      <c r="A315" s="24"/>
      <c r="B315" s="25"/>
      <c r="C315" s="25"/>
      <c r="D315" s="28"/>
      <c r="E315" s="28"/>
      <c r="F315" s="404"/>
      <c r="G315" s="380"/>
      <c r="H315" s="300"/>
      <c r="I315" s="17"/>
      <c r="J315" s="17"/>
      <c r="K315" s="17"/>
      <c r="L315" s="17"/>
      <c r="M315" s="17"/>
      <c r="N315" s="17"/>
      <c r="O315" s="17"/>
      <c r="P315" s="17"/>
      <c r="Q315" s="17"/>
      <c r="R315" s="17"/>
      <c r="S315" s="17"/>
      <c r="T315" s="17"/>
      <c r="U315" s="300"/>
      <c r="V315" s="47"/>
      <c r="W315" s="17"/>
      <c r="X315" s="17"/>
      <c r="Y315" s="300"/>
      <c r="Z315" s="386"/>
      <c r="AA315" s="386"/>
      <c r="AB315" s="386"/>
      <c r="AC315" s="386"/>
      <c r="AD315" s="386"/>
      <c r="AE315" s="386"/>
      <c r="AF315" s="386"/>
    </row>
    <row r="316" ht="15.75" customHeight="1">
      <c r="A316" s="24"/>
      <c r="B316" s="25"/>
      <c r="C316" s="25"/>
      <c r="D316" s="28"/>
      <c r="E316" s="28"/>
      <c r="F316" s="383"/>
      <c r="G316" s="380"/>
      <c r="H316" s="300"/>
      <c r="I316" s="17"/>
      <c r="J316" s="17"/>
      <c r="K316" s="17"/>
      <c r="L316" s="17"/>
      <c r="M316" s="17"/>
      <c r="N316" s="17"/>
      <c r="O316" s="17"/>
      <c r="P316" s="17"/>
      <c r="Q316" s="17"/>
      <c r="R316" s="17"/>
      <c r="S316" s="17"/>
      <c r="T316" s="17"/>
      <c r="U316" s="300"/>
      <c r="V316" s="67"/>
      <c r="W316" s="17"/>
      <c r="X316" s="17"/>
      <c r="Y316" s="300"/>
      <c r="Z316" s="386"/>
      <c r="AA316" s="386"/>
      <c r="AB316" s="386"/>
      <c r="AC316" s="386"/>
      <c r="AD316" s="386"/>
      <c r="AE316" s="386"/>
      <c r="AF316" s="386"/>
    </row>
    <row r="317" ht="15.75" customHeight="1">
      <c r="A317" s="24"/>
      <c r="B317" s="25"/>
      <c r="C317" s="25"/>
      <c r="D317" s="28"/>
      <c r="E317" s="28"/>
      <c r="F317" s="404"/>
      <c r="G317" s="380"/>
      <c r="H317" s="300"/>
      <c r="I317" s="17"/>
      <c r="J317" s="17"/>
      <c r="K317" s="17"/>
      <c r="L317" s="17"/>
      <c r="M317" s="17"/>
      <c r="N317" s="17"/>
      <c r="O317" s="17"/>
      <c r="P317" s="17"/>
      <c r="Q317" s="17"/>
      <c r="R317" s="17"/>
      <c r="S317" s="17"/>
      <c r="T317" s="17"/>
      <c r="U317" s="300"/>
      <c r="V317" s="47"/>
      <c r="W317" s="17"/>
      <c r="X317" s="17"/>
      <c r="Y317" s="300"/>
      <c r="Z317" s="386"/>
      <c r="AA317" s="386"/>
      <c r="AB317" s="386"/>
      <c r="AC317" s="386"/>
      <c r="AD317" s="386"/>
      <c r="AE317" s="386"/>
      <c r="AF317" s="386"/>
    </row>
    <row r="318" ht="15.75" customHeight="1">
      <c r="A318" s="24"/>
      <c r="B318" s="25"/>
      <c r="C318" s="25"/>
      <c r="D318" s="28"/>
      <c r="E318" s="28"/>
      <c r="F318" s="383"/>
      <c r="G318" s="380"/>
      <c r="H318" s="300"/>
      <c r="I318" s="17"/>
      <c r="J318" s="17"/>
      <c r="K318" s="17"/>
      <c r="L318" s="17"/>
      <c r="M318" s="17"/>
      <c r="N318" s="17"/>
      <c r="O318" s="17"/>
      <c r="P318" s="17"/>
      <c r="Q318" s="17"/>
      <c r="R318" s="17"/>
      <c r="S318" s="17"/>
      <c r="T318" s="17"/>
      <c r="U318" s="300"/>
      <c r="V318" s="67"/>
      <c r="W318" s="17"/>
      <c r="X318" s="17"/>
      <c r="Y318" s="300"/>
      <c r="Z318" s="386"/>
      <c r="AA318" s="386"/>
      <c r="AB318" s="386"/>
      <c r="AC318" s="386"/>
      <c r="AD318" s="386"/>
      <c r="AE318" s="386"/>
      <c r="AF318" s="386"/>
    </row>
    <row r="319" ht="15.75" customHeight="1">
      <c r="A319" s="24"/>
      <c r="B319" s="25"/>
      <c r="C319" s="25"/>
      <c r="D319" s="28"/>
      <c r="E319" s="28"/>
      <c r="F319" s="404"/>
      <c r="G319" s="380"/>
      <c r="H319" s="300"/>
      <c r="I319" s="17"/>
      <c r="J319" s="17"/>
      <c r="K319" s="17"/>
      <c r="L319" s="17"/>
      <c r="M319" s="17"/>
      <c r="N319" s="17"/>
      <c r="O319" s="17"/>
      <c r="P319" s="17"/>
      <c r="Q319" s="17"/>
      <c r="R319" s="17"/>
      <c r="S319" s="17"/>
      <c r="T319" s="17"/>
      <c r="U319" s="300"/>
      <c r="V319" s="47"/>
      <c r="W319" s="17"/>
      <c r="X319" s="17"/>
      <c r="Y319" s="300"/>
      <c r="Z319" s="386"/>
      <c r="AA319" s="386"/>
      <c r="AB319" s="386"/>
      <c r="AC319" s="386"/>
      <c r="AD319" s="386"/>
      <c r="AE319" s="386"/>
      <c r="AF319" s="386"/>
    </row>
    <row r="320" ht="15.75" customHeight="1">
      <c r="A320" s="24"/>
      <c r="B320" s="25"/>
      <c r="C320" s="25"/>
      <c r="D320" s="28"/>
      <c r="E320" s="28"/>
      <c r="F320" s="383"/>
      <c r="G320" s="380"/>
      <c r="H320" s="300"/>
      <c r="I320" s="17"/>
      <c r="J320" s="17"/>
      <c r="K320" s="17"/>
      <c r="L320" s="17"/>
      <c r="M320" s="17"/>
      <c r="N320" s="17"/>
      <c r="O320" s="17"/>
      <c r="P320" s="17"/>
      <c r="Q320" s="17"/>
      <c r="R320" s="17"/>
      <c r="S320" s="17"/>
      <c r="T320" s="17"/>
      <c r="U320" s="300"/>
      <c r="V320" s="67"/>
      <c r="W320" s="17"/>
      <c r="X320" s="17"/>
      <c r="Y320" s="300"/>
      <c r="Z320" s="386"/>
      <c r="AA320" s="386"/>
      <c r="AB320" s="386"/>
      <c r="AC320" s="386"/>
      <c r="AD320" s="386"/>
      <c r="AE320" s="386"/>
      <c r="AF320" s="386"/>
    </row>
    <row r="321" ht="15.75" customHeight="1">
      <c r="A321" s="24"/>
      <c r="B321" s="25"/>
      <c r="C321" s="25"/>
      <c r="D321" s="28"/>
      <c r="E321" s="28"/>
      <c r="F321" s="404"/>
      <c r="G321" s="380"/>
      <c r="H321" s="300"/>
      <c r="I321" s="17"/>
      <c r="J321" s="17"/>
      <c r="K321" s="17"/>
      <c r="L321" s="17"/>
      <c r="M321" s="17"/>
      <c r="N321" s="17"/>
      <c r="O321" s="17"/>
      <c r="P321" s="17"/>
      <c r="Q321" s="17"/>
      <c r="R321" s="17"/>
      <c r="S321" s="17"/>
      <c r="T321" s="17"/>
      <c r="U321" s="300"/>
      <c r="V321" s="47"/>
      <c r="W321" s="17"/>
      <c r="X321" s="17"/>
      <c r="Y321" s="300"/>
      <c r="Z321" s="386"/>
      <c r="AA321" s="386"/>
      <c r="AB321" s="386"/>
      <c r="AC321" s="386"/>
      <c r="AD321" s="386"/>
      <c r="AE321" s="386"/>
      <c r="AF321" s="386"/>
    </row>
    <row r="322" ht="15.75" customHeight="1">
      <c r="A322" s="24"/>
      <c r="B322" s="25"/>
      <c r="C322" s="25"/>
      <c r="D322" s="28"/>
      <c r="E322" s="28"/>
      <c r="F322" s="383"/>
      <c r="G322" s="380"/>
      <c r="H322" s="300"/>
      <c r="I322" s="17"/>
      <c r="J322" s="17"/>
      <c r="K322" s="17"/>
      <c r="L322" s="17"/>
      <c r="M322" s="17"/>
      <c r="N322" s="17"/>
      <c r="O322" s="17"/>
      <c r="P322" s="17"/>
      <c r="Q322" s="17"/>
      <c r="R322" s="17"/>
      <c r="S322" s="17"/>
      <c r="T322" s="17"/>
      <c r="U322" s="300"/>
      <c r="V322" s="67"/>
      <c r="W322" s="17"/>
      <c r="X322" s="17"/>
      <c r="Y322" s="300"/>
      <c r="Z322" s="386"/>
      <c r="AA322" s="386"/>
      <c r="AB322" s="386"/>
      <c r="AC322" s="386"/>
      <c r="AD322" s="386"/>
      <c r="AE322" s="386"/>
      <c r="AF322" s="386"/>
    </row>
    <row r="323" ht="15.75" customHeight="1">
      <c r="A323" s="24"/>
      <c r="B323" s="25"/>
      <c r="C323" s="25"/>
      <c r="D323" s="28"/>
      <c r="E323" s="28"/>
      <c r="F323" s="404"/>
      <c r="G323" s="380"/>
      <c r="H323" s="300"/>
      <c r="I323" s="17"/>
      <c r="J323" s="17"/>
      <c r="K323" s="17"/>
      <c r="L323" s="17"/>
      <c r="M323" s="17"/>
      <c r="N323" s="17"/>
      <c r="O323" s="17"/>
      <c r="P323" s="17"/>
      <c r="Q323" s="17"/>
      <c r="R323" s="17"/>
      <c r="S323" s="17"/>
      <c r="T323" s="17"/>
      <c r="U323" s="300"/>
      <c r="V323" s="47"/>
      <c r="W323" s="17"/>
      <c r="X323" s="17"/>
      <c r="Y323" s="300"/>
      <c r="Z323" s="386"/>
      <c r="AA323" s="386"/>
      <c r="AB323" s="386"/>
      <c r="AC323" s="386"/>
      <c r="AD323" s="386"/>
      <c r="AE323" s="386"/>
      <c r="AF323" s="386"/>
    </row>
    <row r="324" ht="15.75" customHeight="1">
      <c r="A324" s="24"/>
      <c r="B324" s="25"/>
      <c r="C324" s="25"/>
      <c r="D324" s="28"/>
      <c r="E324" s="28"/>
      <c r="F324" s="383"/>
      <c r="G324" s="380"/>
      <c r="H324" s="300"/>
      <c r="I324" s="17"/>
      <c r="J324" s="17"/>
      <c r="K324" s="17"/>
      <c r="L324" s="17"/>
      <c r="M324" s="17"/>
      <c r="N324" s="17"/>
      <c r="O324" s="17"/>
      <c r="P324" s="17"/>
      <c r="Q324" s="17"/>
      <c r="R324" s="17"/>
      <c r="S324" s="17"/>
      <c r="T324" s="17"/>
      <c r="U324" s="300"/>
      <c r="V324" s="67"/>
      <c r="W324" s="17"/>
      <c r="X324" s="17"/>
      <c r="Y324" s="300"/>
      <c r="Z324" s="386"/>
      <c r="AA324" s="386"/>
      <c r="AB324" s="386"/>
      <c r="AC324" s="386"/>
      <c r="AD324" s="386"/>
      <c r="AE324" s="386"/>
      <c r="AF324" s="386"/>
    </row>
    <row r="325" ht="15.75" customHeight="1">
      <c r="A325" s="24"/>
      <c r="B325" s="25"/>
      <c r="C325" s="25"/>
      <c r="D325" s="28"/>
      <c r="E325" s="28"/>
      <c r="F325" s="404"/>
      <c r="G325" s="380"/>
      <c r="H325" s="300"/>
      <c r="I325" s="17"/>
      <c r="J325" s="17"/>
      <c r="K325" s="17"/>
      <c r="L325" s="17"/>
      <c r="M325" s="17"/>
      <c r="N325" s="17"/>
      <c r="O325" s="17"/>
      <c r="P325" s="17"/>
      <c r="Q325" s="17"/>
      <c r="R325" s="17"/>
      <c r="S325" s="17"/>
      <c r="T325" s="17"/>
      <c r="U325" s="300"/>
      <c r="V325" s="47"/>
      <c r="W325" s="17"/>
      <c r="X325" s="17"/>
      <c r="Y325" s="300"/>
      <c r="Z325" s="386"/>
      <c r="AA325" s="386"/>
      <c r="AB325" s="386"/>
      <c r="AC325" s="386"/>
      <c r="AD325" s="386"/>
      <c r="AE325" s="386"/>
      <c r="AF325" s="386"/>
    </row>
    <row r="326" ht="15.75" customHeight="1">
      <c r="A326" s="24"/>
      <c r="B326" s="25"/>
      <c r="C326" s="25"/>
      <c r="D326" s="28"/>
      <c r="E326" s="28"/>
      <c r="F326" s="383"/>
      <c r="G326" s="380"/>
      <c r="H326" s="300"/>
      <c r="I326" s="17"/>
      <c r="J326" s="17"/>
      <c r="K326" s="17"/>
      <c r="L326" s="17"/>
      <c r="M326" s="17"/>
      <c r="N326" s="17"/>
      <c r="O326" s="17"/>
      <c r="P326" s="17"/>
      <c r="Q326" s="17"/>
      <c r="R326" s="17"/>
      <c r="S326" s="17"/>
      <c r="T326" s="17"/>
      <c r="U326" s="300"/>
      <c r="V326" s="67"/>
      <c r="W326" s="17"/>
      <c r="X326" s="17"/>
      <c r="Y326" s="300"/>
      <c r="Z326" s="386"/>
      <c r="AA326" s="386"/>
      <c r="AB326" s="386"/>
      <c r="AC326" s="386"/>
      <c r="AD326" s="386"/>
      <c r="AE326" s="386"/>
      <c r="AF326" s="386"/>
    </row>
    <row r="327" ht="15.75" customHeight="1">
      <c r="A327" s="24"/>
      <c r="B327" s="25"/>
      <c r="C327" s="25"/>
      <c r="D327" s="28"/>
      <c r="E327" s="28"/>
      <c r="F327" s="404"/>
      <c r="G327" s="380"/>
      <c r="H327" s="300"/>
      <c r="I327" s="17"/>
      <c r="J327" s="17"/>
      <c r="K327" s="17"/>
      <c r="L327" s="17"/>
      <c r="M327" s="17"/>
      <c r="N327" s="17"/>
      <c r="O327" s="17"/>
      <c r="P327" s="17"/>
      <c r="Q327" s="17"/>
      <c r="R327" s="17"/>
      <c r="S327" s="17"/>
      <c r="T327" s="17"/>
      <c r="U327" s="300"/>
      <c r="V327" s="47"/>
      <c r="W327" s="17"/>
      <c r="X327" s="17"/>
      <c r="Y327" s="300"/>
      <c r="Z327" s="386"/>
      <c r="AA327" s="386"/>
      <c r="AB327" s="386"/>
      <c r="AC327" s="386"/>
      <c r="AD327" s="386"/>
      <c r="AE327" s="386"/>
      <c r="AF327" s="386"/>
    </row>
    <row r="328" ht="15.75" customHeight="1">
      <c r="A328" s="24"/>
      <c r="B328" s="25"/>
      <c r="C328" s="25"/>
      <c r="D328" s="28"/>
      <c r="E328" s="28"/>
      <c r="F328" s="383"/>
      <c r="G328" s="380"/>
      <c r="H328" s="300"/>
      <c r="I328" s="17"/>
      <c r="J328" s="17"/>
      <c r="K328" s="17"/>
      <c r="L328" s="17"/>
      <c r="M328" s="17"/>
      <c r="N328" s="17"/>
      <c r="O328" s="17"/>
      <c r="P328" s="17"/>
      <c r="Q328" s="17"/>
      <c r="R328" s="17"/>
      <c r="S328" s="17"/>
      <c r="T328" s="17"/>
      <c r="U328" s="300"/>
      <c r="V328" s="67"/>
      <c r="W328" s="17"/>
      <c r="X328" s="17"/>
      <c r="Y328" s="300"/>
      <c r="Z328" s="386"/>
      <c r="AA328" s="386"/>
      <c r="AB328" s="386"/>
      <c r="AC328" s="386"/>
      <c r="AD328" s="386"/>
      <c r="AE328" s="386"/>
      <c r="AF328" s="386"/>
    </row>
    <row r="329" ht="15.75" customHeight="1">
      <c r="A329" s="24"/>
      <c r="B329" s="25"/>
      <c r="C329" s="25"/>
      <c r="D329" s="28"/>
      <c r="E329" s="28"/>
      <c r="F329" s="404"/>
      <c r="G329" s="380"/>
      <c r="H329" s="300"/>
      <c r="I329" s="17"/>
      <c r="J329" s="17"/>
      <c r="K329" s="17"/>
      <c r="L329" s="17"/>
      <c r="M329" s="17"/>
      <c r="N329" s="17"/>
      <c r="O329" s="17"/>
      <c r="P329" s="17"/>
      <c r="Q329" s="17"/>
      <c r="R329" s="17"/>
      <c r="S329" s="17"/>
      <c r="T329" s="17"/>
      <c r="U329" s="300"/>
      <c r="V329" s="47"/>
      <c r="W329" s="17"/>
      <c r="X329" s="17"/>
      <c r="Y329" s="300"/>
      <c r="Z329" s="386"/>
      <c r="AA329" s="386"/>
      <c r="AB329" s="386"/>
      <c r="AC329" s="386"/>
      <c r="AD329" s="386"/>
      <c r="AE329" s="386"/>
      <c r="AF329" s="386"/>
    </row>
    <row r="330" ht="15.75" customHeight="1">
      <c r="A330" s="24"/>
      <c r="B330" s="25"/>
      <c r="C330" s="25"/>
      <c r="D330" s="28"/>
      <c r="E330" s="28"/>
      <c r="F330" s="383"/>
      <c r="G330" s="380"/>
      <c r="H330" s="300"/>
      <c r="I330" s="17"/>
      <c r="J330" s="17"/>
      <c r="K330" s="17"/>
      <c r="L330" s="17"/>
      <c r="M330" s="17"/>
      <c r="N330" s="17"/>
      <c r="O330" s="17"/>
      <c r="P330" s="17"/>
      <c r="Q330" s="17"/>
      <c r="R330" s="17"/>
      <c r="S330" s="17"/>
      <c r="T330" s="17"/>
      <c r="U330" s="300"/>
      <c r="V330" s="67"/>
      <c r="W330" s="17"/>
      <c r="X330" s="17"/>
      <c r="Y330" s="300"/>
      <c r="Z330" s="386"/>
      <c r="AA330" s="386"/>
      <c r="AB330" s="386"/>
      <c r="AC330" s="386"/>
      <c r="AD330" s="386"/>
      <c r="AE330" s="386"/>
      <c r="AF330" s="386"/>
    </row>
    <row r="331" ht="15.75" customHeight="1">
      <c r="A331" s="24"/>
      <c r="B331" s="25"/>
      <c r="C331" s="25"/>
      <c r="D331" s="28"/>
      <c r="E331" s="28"/>
      <c r="F331" s="404"/>
      <c r="G331" s="380"/>
      <c r="H331" s="300"/>
      <c r="I331" s="17"/>
      <c r="J331" s="17"/>
      <c r="K331" s="17"/>
      <c r="L331" s="17"/>
      <c r="M331" s="17"/>
      <c r="N331" s="17"/>
      <c r="O331" s="17"/>
      <c r="P331" s="17"/>
      <c r="Q331" s="17"/>
      <c r="R331" s="17"/>
      <c r="S331" s="17"/>
      <c r="T331" s="17"/>
      <c r="U331" s="300"/>
      <c r="V331" s="47"/>
      <c r="W331" s="17"/>
      <c r="X331" s="17"/>
      <c r="Y331" s="300"/>
      <c r="Z331" s="386"/>
      <c r="AA331" s="386"/>
      <c r="AB331" s="386"/>
      <c r="AC331" s="386"/>
      <c r="AD331" s="386"/>
      <c r="AE331" s="386"/>
      <c r="AF331" s="386"/>
    </row>
    <row r="332" ht="15.75" customHeight="1">
      <c r="A332" s="24"/>
      <c r="B332" s="25"/>
      <c r="C332" s="25"/>
      <c r="D332" s="28"/>
      <c r="E332" s="28"/>
      <c r="F332" s="383"/>
      <c r="G332" s="380"/>
      <c r="H332" s="300"/>
      <c r="I332" s="17"/>
      <c r="J332" s="17"/>
      <c r="K332" s="17"/>
      <c r="L332" s="17"/>
      <c r="M332" s="17"/>
      <c r="N332" s="17"/>
      <c r="O332" s="17"/>
      <c r="P332" s="17"/>
      <c r="Q332" s="17"/>
      <c r="R332" s="17"/>
      <c r="S332" s="17"/>
      <c r="T332" s="17"/>
      <c r="U332" s="300"/>
      <c r="V332" s="67"/>
      <c r="W332" s="17"/>
      <c r="X332" s="17"/>
      <c r="Y332" s="300"/>
      <c r="Z332" s="386"/>
      <c r="AA332" s="386"/>
      <c r="AB332" s="386"/>
      <c r="AC332" s="386"/>
      <c r="AD332" s="386"/>
      <c r="AE332" s="386"/>
      <c r="AF332" s="386"/>
    </row>
    <row r="333" ht="15.75" customHeight="1">
      <c r="A333" s="24"/>
      <c r="B333" s="25"/>
      <c r="C333" s="25"/>
      <c r="D333" s="28"/>
      <c r="E333" s="28"/>
      <c r="F333" s="404"/>
      <c r="G333" s="380"/>
      <c r="H333" s="300"/>
      <c r="I333" s="17"/>
      <c r="J333" s="17"/>
      <c r="K333" s="17"/>
      <c r="L333" s="17"/>
      <c r="M333" s="17"/>
      <c r="N333" s="17"/>
      <c r="O333" s="17"/>
      <c r="P333" s="17"/>
      <c r="Q333" s="17"/>
      <c r="R333" s="17"/>
      <c r="S333" s="17"/>
      <c r="T333" s="17"/>
      <c r="U333" s="300"/>
      <c r="V333" s="47"/>
      <c r="W333" s="17"/>
      <c r="X333" s="17"/>
      <c r="Y333" s="300"/>
      <c r="Z333" s="386"/>
      <c r="AA333" s="386"/>
      <c r="AB333" s="386"/>
      <c r="AC333" s="386"/>
      <c r="AD333" s="386"/>
      <c r="AE333" s="386"/>
      <c r="AF333" s="386"/>
    </row>
    <row r="334" ht="15.75" customHeight="1">
      <c r="A334" s="24"/>
      <c r="B334" s="25"/>
      <c r="C334" s="25"/>
      <c r="D334" s="28"/>
      <c r="E334" s="28"/>
      <c r="F334" s="383"/>
      <c r="G334" s="380"/>
      <c r="H334" s="300"/>
      <c r="I334" s="17"/>
      <c r="J334" s="17"/>
      <c r="K334" s="17"/>
      <c r="L334" s="17"/>
      <c r="M334" s="17"/>
      <c r="N334" s="17"/>
      <c r="O334" s="17"/>
      <c r="P334" s="17"/>
      <c r="Q334" s="17"/>
      <c r="R334" s="17"/>
      <c r="S334" s="17"/>
      <c r="T334" s="17"/>
      <c r="U334" s="300"/>
      <c r="V334" s="67"/>
      <c r="W334" s="17"/>
      <c r="X334" s="17"/>
      <c r="Y334" s="300"/>
      <c r="Z334" s="386"/>
      <c r="AA334" s="386"/>
      <c r="AB334" s="386"/>
      <c r="AC334" s="386"/>
      <c r="AD334" s="386"/>
      <c r="AE334" s="386"/>
      <c r="AF334" s="386"/>
    </row>
    <row r="335" ht="15.75" customHeight="1">
      <c r="A335" s="24"/>
      <c r="B335" s="25"/>
      <c r="C335" s="25"/>
      <c r="D335" s="28"/>
      <c r="E335" s="28"/>
      <c r="F335" s="404"/>
      <c r="G335" s="380"/>
      <c r="H335" s="300"/>
      <c r="I335" s="17"/>
      <c r="J335" s="17"/>
      <c r="K335" s="17"/>
      <c r="L335" s="17"/>
      <c r="M335" s="17"/>
      <c r="N335" s="17"/>
      <c r="O335" s="17"/>
      <c r="P335" s="17"/>
      <c r="Q335" s="17"/>
      <c r="R335" s="17"/>
      <c r="S335" s="17"/>
      <c r="T335" s="17"/>
      <c r="U335" s="300"/>
      <c r="V335" s="47"/>
      <c r="W335" s="17"/>
      <c r="X335" s="17"/>
      <c r="Y335" s="300"/>
      <c r="Z335" s="386"/>
      <c r="AA335" s="386"/>
      <c r="AB335" s="386"/>
      <c r="AC335" s="386"/>
      <c r="AD335" s="386"/>
      <c r="AE335" s="386"/>
      <c r="AF335" s="386"/>
    </row>
    <row r="336" ht="15.75" customHeight="1">
      <c r="A336" s="24"/>
      <c r="B336" s="25"/>
      <c r="C336" s="25"/>
      <c r="D336" s="28"/>
      <c r="E336" s="28"/>
      <c r="F336" s="383"/>
      <c r="G336" s="380"/>
      <c r="H336" s="300"/>
      <c r="I336" s="17"/>
      <c r="J336" s="17"/>
      <c r="K336" s="17"/>
      <c r="L336" s="17"/>
      <c r="M336" s="17"/>
      <c r="N336" s="17"/>
      <c r="O336" s="17"/>
      <c r="P336" s="17"/>
      <c r="Q336" s="17"/>
      <c r="R336" s="17"/>
      <c r="S336" s="17"/>
      <c r="T336" s="17"/>
      <c r="U336" s="300"/>
      <c r="V336" s="67"/>
      <c r="W336" s="17"/>
      <c r="X336" s="17"/>
      <c r="Y336" s="300"/>
      <c r="Z336" s="386"/>
      <c r="AA336" s="386"/>
      <c r="AB336" s="386"/>
      <c r="AC336" s="386"/>
      <c r="AD336" s="386"/>
      <c r="AE336" s="386"/>
      <c r="AF336" s="386"/>
    </row>
    <row r="337" ht="15.75" customHeight="1">
      <c r="A337" s="24"/>
      <c r="B337" s="25"/>
      <c r="C337" s="25"/>
      <c r="D337" s="28"/>
      <c r="E337" s="28"/>
      <c r="F337" s="404"/>
      <c r="G337" s="380"/>
      <c r="H337" s="300"/>
      <c r="I337" s="17"/>
      <c r="J337" s="17"/>
      <c r="K337" s="17"/>
      <c r="L337" s="17"/>
      <c r="M337" s="17"/>
      <c r="N337" s="17"/>
      <c r="O337" s="17"/>
      <c r="P337" s="17"/>
      <c r="Q337" s="17"/>
      <c r="R337" s="17"/>
      <c r="S337" s="17"/>
      <c r="T337" s="17"/>
      <c r="U337" s="300"/>
      <c r="V337" s="47"/>
      <c r="W337" s="17"/>
      <c r="X337" s="17"/>
      <c r="Y337" s="300"/>
      <c r="Z337" s="386"/>
      <c r="AA337" s="386"/>
      <c r="AB337" s="386"/>
      <c r="AC337" s="386"/>
      <c r="AD337" s="386"/>
      <c r="AE337" s="386"/>
      <c r="AF337" s="386"/>
    </row>
    <row r="338" ht="15.75" customHeight="1">
      <c r="A338" s="24"/>
      <c r="B338" s="25"/>
      <c r="C338" s="25"/>
      <c r="D338" s="28"/>
      <c r="E338" s="28"/>
      <c r="F338" s="383"/>
      <c r="G338" s="380"/>
      <c r="H338" s="300"/>
      <c r="I338" s="17"/>
      <c r="J338" s="17"/>
      <c r="K338" s="17"/>
      <c r="L338" s="17"/>
      <c r="M338" s="17"/>
      <c r="N338" s="17"/>
      <c r="O338" s="17"/>
      <c r="P338" s="17"/>
      <c r="Q338" s="17"/>
      <c r="R338" s="17"/>
      <c r="S338" s="17"/>
      <c r="T338" s="17"/>
      <c r="U338" s="300"/>
      <c r="V338" s="67"/>
      <c r="W338" s="17"/>
      <c r="X338" s="17"/>
      <c r="Y338" s="300"/>
      <c r="Z338" s="386"/>
      <c r="AA338" s="386"/>
      <c r="AB338" s="386"/>
      <c r="AC338" s="386"/>
      <c r="AD338" s="386"/>
      <c r="AE338" s="386"/>
      <c r="AF338" s="386"/>
    </row>
    <row r="339" ht="15.75" customHeight="1">
      <c r="A339" s="24"/>
      <c r="B339" s="25"/>
      <c r="C339" s="25"/>
      <c r="D339" s="28"/>
      <c r="E339" s="28"/>
      <c r="F339" s="404"/>
      <c r="G339" s="380"/>
      <c r="H339" s="300"/>
      <c r="I339" s="17"/>
      <c r="J339" s="17"/>
      <c r="K339" s="17"/>
      <c r="L339" s="17"/>
      <c r="M339" s="17"/>
      <c r="N339" s="17"/>
      <c r="O339" s="17"/>
      <c r="P339" s="17"/>
      <c r="Q339" s="17"/>
      <c r="R339" s="17"/>
      <c r="S339" s="17"/>
      <c r="T339" s="17"/>
      <c r="U339" s="300"/>
      <c r="V339" s="47"/>
      <c r="W339" s="17"/>
      <c r="X339" s="17"/>
      <c r="Y339" s="300"/>
      <c r="Z339" s="386"/>
      <c r="AA339" s="386"/>
      <c r="AB339" s="386"/>
      <c r="AC339" s="386"/>
      <c r="AD339" s="386"/>
      <c r="AE339" s="386"/>
      <c r="AF339" s="386"/>
    </row>
    <row r="340" ht="15.75" customHeight="1">
      <c r="A340" s="24"/>
      <c r="B340" s="25"/>
      <c r="C340" s="25"/>
      <c r="D340" s="28"/>
      <c r="E340" s="28"/>
      <c r="F340" s="383"/>
      <c r="G340" s="380"/>
      <c r="H340" s="300"/>
      <c r="I340" s="17"/>
      <c r="J340" s="17"/>
      <c r="K340" s="17"/>
      <c r="L340" s="17"/>
      <c r="M340" s="17"/>
      <c r="N340" s="17"/>
      <c r="O340" s="17"/>
      <c r="P340" s="17"/>
      <c r="Q340" s="17"/>
      <c r="R340" s="17"/>
      <c r="S340" s="17"/>
      <c r="T340" s="17"/>
      <c r="U340" s="300"/>
      <c r="V340" s="67"/>
      <c r="W340" s="17"/>
      <c r="X340" s="17"/>
      <c r="Y340" s="300"/>
      <c r="Z340" s="386"/>
      <c r="AA340" s="386"/>
      <c r="AB340" s="386"/>
      <c r="AC340" s="386"/>
      <c r="AD340" s="386"/>
      <c r="AE340" s="386"/>
      <c r="AF340" s="386"/>
    </row>
    <row r="341" ht="15.75" customHeight="1">
      <c r="A341" s="24"/>
      <c r="B341" s="25"/>
      <c r="C341" s="25"/>
      <c r="D341" s="28"/>
      <c r="E341" s="28"/>
      <c r="F341" s="404"/>
      <c r="G341" s="380"/>
      <c r="H341" s="300"/>
      <c r="I341" s="17"/>
      <c r="J341" s="17"/>
      <c r="K341" s="17"/>
      <c r="L341" s="17"/>
      <c r="M341" s="17"/>
      <c r="N341" s="17"/>
      <c r="O341" s="17"/>
      <c r="P341" s="17"/>
      <c r="Q341" s="17"/>
      <c r="R341" s="17"/>
      <c r="S341" s="17"/>
      <c r="T341" s="17"/>
      <c r="U341" s="300"/>
      <c r="V341" s="47"/>
      <c r="W341" s="17"/>
      <c r="X341" s="17"/>
      <c r="Y341" s="300"/>
      <c r="Z341" s="386"/>
      <c r="AA341" s="386"/>
      <c r="AB341" s="386"/>
      <c r="AC341" s="386"/>
      <c r="AD341" s="386"/>
      <c r="AE341" s="386"/>
      <c r="AF341" s="386"/>
    </row>
    <row r="342" ht="15.75" customHeight="1">
      <c r="A342" s="24"/>
      <c r="B342" s="25"/>
      <c r="C342" s="25"/>
      <c r="D342" s="28"/>
      <c r="E342" s="28"/>
      <c r="F342" s="383"/>
      <c r="G342" s="380"/>
      <c r="H342" s="300"/>
      <c r="I342" s="17"/>
      <c r="J342" s="17"/>
      <c r="K342" s="17"/>
      <c r="L342" s="17"/>
      <c r="M342" s="17"/>
      <c r="N342" s="17"/>
      <c r="O342" s="17"/>
      <c r="P342" s="17"/>
      <c r="Q342" s="17"/>
      <c r="R342" s="17"/>
      <c r="S342" s="17"/>
      <c r="T342" s="17"/>
      <c r="U342" s="300"/>
      <c r="V342" s="67"/>
      <c r="W342" s="17"/>
      <c r="X342" s="17"/>
      <c r="Y342" s="300"/>
      <c r="Z342" s="386"/>
      <c r="AA342" s="386"/>
      <c r="AB342" s="386"/>
      <c r="AC342" s="386"/>
      <c r="AD342" s="386"/>
      <c r="AE342" s="386"/>
      <c r="AF342" s="386"/>
    </row>
    <row r="343" ht="15.75" customHeight="1">
      <c r="A343" s="24"/>
      <c r="B343" s="25"/>
      <c r="C343" s="25"/>
      <c r="D343" s="28"/>
      <c r="E343" s="28"/>
      <c r="F343" s="404"/>
      <c r="G343" s="380"/>
      <c r="H343" s="300"/>
      <c r="I343" s="17"/>
      <c r="J343" s="17"/>
      <c r="K343" s="17"/>
      <c r="L343" s="17"/>
      <c r="M343" s="17"/>
      <c r="N343" s="17"/>
      <c r="O343" s="17"/>
      <c r="P343" s="17"/>
      <c r="Q343" s="17"/>
      <c r="R343" s="17"/>
      <c r="S343" s="17"/>
      <c r="T343" s="17"/>
      <c r="U343" s="300"/>
      <c r="V343" s="47"/>
      <c r="W343" s="17"/>
      <c r="X343" s="17"/>
      <c r="Y343" s="300"/>
      <c r="Z343" s="386"/>
      <c r="AA343" s="386"/>
      <c r="AB343" s="386"/>
      <c r="AC343" s="386"/>
      <c r="AD343" s="386"/>
      <c r="AE343" s="386"/>
      <c r="AF343" s="386"/>
    </row>
    <row r="344" ht="15.75" customHeight="1">
      <c r="A344" s="24"/>
      <c r="B344" s="25"/>
      <c r="C344" s="25"/>
      <c r="D344" s="28"/>
      <c r="E344" s="28"/>
      <c r="F344" s="383"/>
      <c r="G344" s="380"/>
      <c r="H344" s="300"/>
      <c r="I344" s="17"/>
      <c r="J344" s="17"/>
      <c r="K344" s="17"/>
      <c r="L344" s="17"/>
      <c r="M344" s="17"/>
      <c r="N344" s="17"/>
      <c r="O344" s="17"/>
      <c r="P344" s="17"/>
      <c r="Q344" s="17"/>
      <c r="R344" s="17"/>
      <c r="S344" s="17"/>
      <c r="T344" s="17"/>
      <c r="U344" s="300"/>
      <c r="V344" s="67"/>
      <c r="W344" s="17"/>
      <c r="X344" s="17"/>
      <c r="Y344" s="300"/>
      <c r="Z344" s="386"/>
      <c r="AA344" s="386"/>
      <c r="AB344" s="386"/>
      <c r="AC344" s="386"/>
      <c r="AD344" s="386"/>
      <c r="AE344" s="386"/>
      <c r="AF344" s="386"/>
    </row>
    <row r="345" ht="15.75" customHeight="1">
      <c r="A345" s="24"/>
      <c r="B345" s="25"/>
      <c r="C345" s="25"/>
      <c r="D345" s="28"/>
      <c r="E345" s="28"/>
      <c r="F345" s="404"/>
      <c r="G345" s="380"/>
      <c r="H345" s="300"/>
      <c r="I345" s="17"/>
      <c r="J345" s="17"/>
      <c r="K345" s="17"/>
      <c r="L345" s="17"/>
      <c r="M345" s="17"/>
      <c r="N345" s="17"/>
      <c r="O345" s="17"/>
      <c r="P345" s="17"/>
      <c r="Q345" s="17"/>
      <c r="R345" s="17"/>
      <c r="S345" s="17"/>
      <c r="T345" s="17"/>
      <c r="U345" s="300"/>
      <c r="V345" s="47"/>
      <c r="W345" s="17"/>
      <c r="X345" s="17"/>
      <c r="Y345" s="300"/>
      <c r="Z345" s="386"/>
      <c r="AA345" s="386"/>
      <c r="AB345" s="386"/>
      <c r="AC345" s="386"/>
      <c r="AD345" s="386"/>
      <c r="AE345" s="386"/>
      <c r="AF345" s="386"/>
    </row>
    <row r="346" ht="15.75" customHeight="1">
      <c r="A346" s="24"/>
      <c r="B346" s="25"/>
      <c r="C346" s="25"/>
      <c r="D346" s="28"/>
      <c r="E346" s="28"/>
      <c r="F346" s="383"/>
      <c r="G346" s="380"/>
      <c r="H346" s="300"/>
      <c r="I346" s="17"/>
      <c r="J346" s="17"/>
      <c r="K346" s="17"/>
      <c r="L346" s="17"/>
      <c r="M346" s="17"/>
      <c r="N346" s="17"/>
      <c r="O346" s="17"/>
      <c r="P346" s="17"/>
      <c r="Q346" s="17"/>
      <c r="R346" s="17"/>
      <c r="S346" s="17"/>
      <c r="T346" s="17"/>
      <c r="U346" s="300"/>
      <c r="V346" s="67"/>
      <c r="W346" s="17"/>
      <c r="X346" s="17"/>
      <c r="Y346" s="300"/>
      <c r="Z346" s="386"/>
      <c r="AA346" s="386"/>
      <c r="AB346" s="386"/>
      <c r="AC346" s="386"/>
      <c r="AD346" s="386"/>
      <c r="AE346" s="386"/>
      <c r="AF346" s="386"/>
    </row>
    <row r="347" ht="15.75" customHeight="1">
      <c r="A347" s="24"/>
      <c r="B347" s="25"/>
      <c r="C347" s="25"/>
      <c r="D347" s="28"/>
      <c r="E347" s="28"/>
      <c r="F347" s="404"/>
      <c r="G347" s="380"/>
      <c r="H347" s="300"/>
      <c r="I347" s="17"/>
      <c r="J347" s="17"/>
      <c r="K347" s="17"/>
      <c r="L347" s="17"/>
      <c r="M347" s="17"/>
      <c r="N347" s="17"/>
      <c r="O347" s="17"/>
      <c r="P347" s="17"/>
      <c r="Q347" s="17"/>
      <c r="R347" s="17"/>
      <c r="S347" s="17"/>
      <c r="T347" s="17"/>
      <c r="U347" s="300"/>
      <c r="V347" s="47"/>
      <c r="W347" s="17"/>
      <c r="X347" s="17"/>
      <c r="Y347" s="300"/>
      <c r="Z347" s="386"/>
      <c r="AA347" s="386"/>
      <c r="AB347" s="386"/>
      <c r="AC347" s="386"/>
      <c r="AD347" s="386"/>
      <c r="AE347" s="386"/>
      <c r="AF347" s="386"/>
    </row>
    <row r="348" ht="15.75" customHeight="1">
      <c r="A348" s="24"/>
      <c r="B348" s="25"/>
      <c r="C348" s="25"/>
      <c r="D348" s="28"/>
      <c r="E348" s="28"/>
      <c r="F348" s="383"/>
      <c r="G348" s="380"/>
      <c r="H348" s="300"/>
      <c r="I348" s="17"/>
      <c r="J348" s="17"/>
      <c r="K348" s="17"/>
      <c r="L348" s="17"/>
      <c r="M348" s="17"/>
      <c r="N348" s="17"/>
      <c r="O348" s="17"/>
      <c r="P348" s="17"/>
      <c r="Q348" s="17"/>
      <c r="R348" s="17"/>
      <c r="S348" s="17"/>
      <c r="T348" s="17"/>
      <c r="U348" s="300"/>
      <c r="V348" s="67"/>
      <c r="W348" s="17"/>
      <c r="X348" s="17"/>
      <c r="Y348" s="300"/>
      <c r="Z348" s="386"/>
      <c r="AA348" s="386"/>
      <c r="AB348" s="386"/>
      <c r="AC348" s="386"/>
      <c r="AD348" s="386"/>
      <c r="AE348" s="386"/>
      <c r="AF348" s="386"/>
    </row>
    <row r="349" ht="15.75" customHeight="1">
      <c r="A349" s="24"/>
      <c r="B349" s="25"/>
      <c r="C349" s="25"/>
      <c r="D349" s="28"/>
      <c r="E349" s="28"/>
      <c r="F349" s="404"/>
      <c r="G349" s="380"/>
      <c r="H349" s="300"/>
      <c r="I349" s="17"/>
      <c r="J349" s="17"/>
      <c r="K349" s="17"/>
      <c r="L349" s="17"/>
      <c r="M349" s="17"/>
      <c r="N349" s="17"/>
      <c r="O349" s="17"/>
      <c r="P349" s="17"/>
      <c r="Q349" s="17"/>
      <c r="R349" s="17"/>
      <c r="S349" s="17"/>
      <c r="T349" s="17"/>
      <c r="U349" s="300"/>
      <c r="V349" s="47"/>
      <c r="W349" s="17"/>
      <c r="X349" s="17"/>
      <c r="Y349" s="300"/>
      <c r="Z349" s="386"/>
      <c r="AA349" s="386"/>
      <c r="AB349" s="386"/>
      <c r="AC349" s="386"/>
      <c r="AD349" s="386"/>
      <c r="AE349" s="386"/>
      <c r="AF349" s="386"/>
    </row>
    <row r="350" ht="15.75" customHeight="1">
      <c r="A350" s="24"/>
      <c r="B350" s="25"/>
      <c r="C350" s="25"/>
      <c r="D350" s="28"/>
      <c r="E350" s="28"/>
      <c r="F350" s="383"/>
      <c r="G350" s="380"/>
      <c r="H350" s="300"/>
      <c r="I350" s="17"/>
      <c r="J350" s="17"/>
      <c r="K350" s="17"/>
      <c r="L350" s="17"/>
      <c r="M350" s="17"/>
      <c r="N350" s="17"/>
      <c r="O350" s="17"/>
      <c r="P350" s="17"/>
      <c r="Q350" s="17"/>
      <c r="R350" s="17"/>
      <c r="S350" s="17"/>
      <c r="T350" s="17"/>
      <c r="U350" s="300"/>
      <c r="V350" s="67"/>
      <c r="W350" s="17"/>
      <c r="X350" s="17"/>
      <c r="Y350" s="300"/>
      <c r="Z350" s="386"/>
      <c r="AA350" s="386"/>
      <c r="AB350" s="386"/>
      <c r="AC350" s="386"/>
      <c r="AD350" s="386"/>
      <c r="AE350" s="386"/>
      <c r="AF350" s="386"/>
    </row>
    <row r="351" ht="15.75" customHeight="1">
      <c r="A351" s="24"/>
      <c r="B351" s="25"/>
      <c r="C351" s="25"/>
      <c r="D351" s="28"/>
      <c r="E351" s="28"/>
      <c r="F351" s="404"/>
      <c r="G351" s="380"/>
      <c r="H351" s="300"/>
      <c r="I351" s="17"/>
      <c r="J351" s="17"/>
      <c r="K351" s="17"/>
      <c r="L351" s="17"/>
      <c r="M351" s="17"/>
      <c r="N351" s="17"/>
      <c r="O351" s="17"/>
      <c r="P351" s="17"/>
      <c r="Q351" s="17"/>
      <c r="R351" s="17"/>
      <c r="S351" s="17"/>
      <c r="T351" s="17"/>
      <c r="U351" s="300"/>
      <c r="V351" s="47"/>
      <c r="W351" s="17"/>
      <c r="X351" s="17"/>
      <c r="Y351" s="300"/>
      <c r="Z351" s="386"/>
      <c r="AA351" s="386"/>
      <c r="AB351" s="386"/>
      <c r="AC351" s="386"/>
      <c r="AD351" s="386"/>
      <c r="AE351" s="386"/>
      <c r="AF351" s="386"/>
    </row>
    <row r="352" ht="15.75" customHeight="1">
      <c r="A352" s="24"/>
      <c r="B352" s="25"/>
      <c r="C352" s="25"/>
      <c r="D352" s="28"/>
      <c r="E352" s="28"/>
      <c r="F352" s="383"/>
      <c r="G352" s="380"/>
      <c r="H352" s="300"/>
      <c r="I352" s="17"/>
      <c r="J352" s="17"/>
      <c r="K352" s="17"/>
      <c r="L352" s="17"/>
      <c r="M352" s="17"/>
      <c r="N352" s="17"/>
      <c r="O352" s="17"/>
      <c r="P352" s="17"/>
      <c r="Q352" s="17"/>
      <c r="R352" s="17"/>
      <c r="S352" s="17"/>
      <c r="T352" s="17"/>
      <c r="U352" s="300"/>
      <c r="V352" s="67"/>
      <c r="W352" s="17"/>
      <c r="X352" s="17"/>
      <c r="Y352" s="300"/>
      <c r="Z352" s="386"/>
      <c r="AA352" s="386"/>
      <c r="AB352" s="386"/>
      <c r="AC352" s="386"/>
      <c r="AD352" s="386"/>
      <c r="AE352" s="386"/>
      <c r="AF352" s="386"/>
    </row>
    <row r="353" ht="15.75" customHeight="1">
      <c r="A353" s="24"/>
      <c r="B353" s="25"/>
      <c r="C353" s="25"/>
      <c r="D353" s="28"/>
      <c r="E353" s="28"/>
      <c r="F353" s="404"/>
      <c r="G353" s="380"/>
      <c r="H353" s="300"/>
      <c r="I353" s="17"/>
      <c r="J353" s="17"/>
      <c r="K353" s="17"/>
      <c r="L353" s="17"/>
      <c r="M353" s="17"/>
      <c r="N353" s="17"/>
      <c r="O353" s="17"/>
      <c r="P353" s="17"/>
      <c r="Q353" s="17"/>
      <c r="R353" s="17"/>
      <c r="S353" s="17"/>
      <c r="T353" s="17"/>
      <c r="U353" s="300"/>
      <c r="V353" s="47"/>
      <c r="W353" s="17"/>
      <c r="X353" s="17"/>
      <c r="Y353" s="300"/>
      <c r="Z353" s="386"/>
      <c r="AA353" s="386"/>
      <c r="AB353" s="386"/>
      <c r="AC353" s="386"/>
      <c r="AD353" s="386"/>
      <c r="AE353" s="386"/>
      <c r="AF353" s="386"/>
    </row>
    <row r="354" ht="15.75" customHeight="1">
      <c r="A354" s="24"/>
      <c r="B354" s="25"/>
      <c r="C354" s="25"/>
      <c r="D354" s="28"/>
      <c r="E354" s="28"/>
      <c r="F354" s="383"/>
      <c r="G354" s="380"/>
      <c r="H354" s="300"/>
      <c r="I354" s="17"/>
      <c r="J354" s="17"/>
      <c r="K354" s="17"/>
      <c r="L354" s="17"/>
      <c r="M354" s="17"/>
      <c r="N354" s="17"/>
      <c r="O354" s="17"/>
      <c r="P354" s="17"/>
      <c r="Q354" s="17"/>
      <c r="R354" s="17"/>
      <c r="S354" s="17"/>
      <c r="T354" s="17"/>
      <c r="U354" s="300"/>
      <c r="V354" s="67"/>
      <c r="W354" s="17"/>
      <c r="X354" s="17"/>
      <c r="Y354" s="300"/>
      <c r="Z354" s="386"/>
      <c r="AA354" s="386"/>
      <c r="AB354" s="386"/>
      <c r="AC354" s="386"/>
      <c r="AD354" s="386"/>
      <c r="AE354" s="386"/>
      <c r="AF354" s="386"/>
    </row>
    <row r="355" ht="15.75" customHeight="1">
      <c r="A355" s="24"/>
      <c r="B355" s="25"/>
      <c r="C355" s="25"/>
      <c r="D355" s="28"/>
      <c r="E355" s="28"/>
      <c r="F355" s="404"/>
      <c r="G355" s="380"/>
      <c r="H355" s="300"/>
      <c r="I355" s="17"/>
      <c r="J355" s="17"/>
      <c r="K355" s="17"/>
      <c r="L355" s="17"/>
      <c r="M355" s="17"/>
      <c r="N355" s="17"/>
      <c r="O355" s="17"/>
      <c r="P355" s="17"/>
      <c r="Q355" s="17"/>
      <c r="R355" s="17"/>
      <c r="S355" s="17"/>
      <c r="T355" s="17"/>
      <c r="U355" s="300"/>
      <c r="V355" s="47"/>
      <c r="W355" s="17"/>
      <c r="X355" s="17"/>
      <c r="Y355" s="300"/>
      <c r="Z355" s="386"/>
      <c r="AA355" s="386"/>
      <c r="AB355" s="386"/>
      <c r="AC355" s="386"/>
      <c r="AD355" s="386"/>
      <c r="AE355" s="386"/>
      <c r="AF355" s="386"/>
    </row>
    <row r="356" ht="15.75" customHeight="1">
      <c r="A356" s="24"/>
      <c r="B356" s="25"/>
      <c r="C356" s="25"/>
      <c r="D356" s="28"/>
      <c r="E356" s="28"/>
      <c r="F356" s="383"/>
      <c r="G356" s="380"/>
      <c r="H356" s="300"/>
      <c r="I356" s="17"/>
      <c r="J356" s="17"/>
      <c r="K356" s="17"/>
      <c r="L356" s="17"/>
      <c r="M356" s="17"/>
      <c r="N356" s="17"/>
      <c r="O356" s="17"/>
      <c r="P356" s="17"/>
      <c r="Q356" s="17"/>
      <c r="R356" s="17"/>
      <c r="S356" s="17"/>
      <c r="T356" s="17"/>
      <c r="U356" s="300"/>
      <c r="V356" s="67"/>
      <c r="W356" s="17"/>
      <c r="X356" s="17"/>
      <c r="Y356" s="300"/>
      <c r="Z356" s="386"/>
      <c r="AA356" s="386"/>
      <c r="AB356" s="386"/>
      <c r="AC356" s="386"/>
      <c r="AD356" s="386"/>
      <c r="AE356" s="386"/>
      <c r="AF356" s="386"/>
    </row>
    <row r="357" ht="15.75" customHeight="1">
      <c r="A357" s="24"/>
      <c r="B357" s="25"/>
      <c r="C357" s="25"/>
      <c r="D357" s="28"/>
      <c r="E357" s="28"/>
      <c r="F357" s="404"/>
      <c r="G357" s="380"/>
      <c r="H357" s="300"/>
      <c r="I357" s="17"/>
      <c r="J357" s="17"/>
      <c r="K357" s="17"/>
      <c r="L357" s="17"/>
      <c r="M357" s="17"/>
      <c r="N357" s="17"/>
      <c r="O357" s="17"/>
      <c r="P357" s="17"/>
      <c r="Q357" s="17"/>
      <c r="R357" s="17"/>
      <c r="S357" s="17"/>
      <c r="T357" s="17"/>
      <c r="U357" s="300"/>
      <c r="V357" s="47"/>
      <c r="W357" s="17"/>
      <c r="X357" s="17"/>
      <c r="Y357" s="300"/>
      <c r="Z357" s="386"/>
      <c r="AA357" s="386"/>
      <c r="AB357" s="386"/>
      <c r="AC357" s="386"/>
      <c r="AD357" s="386"/>
      <c r="AE357" s="386"/>
      <c r="AF357" s="386"/>
    </row>
    <row r="358" ht="15.75" customHeight="1">
      <c r="A358" s="24"/>
      <c r="B358" s="25"/>
      <c r="C358" s="25"/>
      <c r="D358" s="28"/>
      <c r="E358" s="28"/>
      <c r="F358" s="383"/>
      <c r="G358" s="380"/>
      <c r="H358" s="300"/>
      <c r="I358" s="17"/>
      <c r="J358" s="17"/>
      <c r="K358" s="17"/>
      <c r="L358" s="17"/>
      <c r="M358" s="17"/>
      <c r="N358" s="17"/>
      <c r="O358" s="17"/>
      <c r="P358" s="17"/>
      <c r="Q358" s="17"/>
      <c r="R358" s="17"/>
      <c r="S358" s="17"/>
      <c r="T358" s="17"/>
      <c r="U358" s="300"/>
      <c r="V358" s="67"/>
      <c r="W358" s="17"/>
      <c r="X358" s="17"/>
      <c r="Y358" s="300"/>
      <c r="Z358" s="386"/>
      <c r="AA358" s="386"/>
      <c r="AB358" s="386"/>
      <c r="AC358" s="386"/>
      <c r="AD358" s="386"/>
      <c r="AE358" s="386"/>
      <c r="AF358" s="386"/>
    </row>
    <row r="359" ht="15.75" customHeight="1">
      <c r="A359" s="24"/>
      <c r="B359" s="25"/>
      <c r="C359" s="25"/>
      <c r="D359" s="28"/>
      <c r="E359" s="28"/>
      <c r="F359" s="404"/>
      <c r="G359" s="380"/>
      <c r="H359" s="300"/>
      <c r="I359" s="17"/>
      <c r="J359" s="17"/>
      <c r="K359" s="17"/>
      <c r="L359" s="17"/>
      <c r="M359" s="17"/>
      <c r="N359" s="17"/>
      <c r="O359" s="17"/>
      <c r="P359" s="17"/>
      <c r="Q359" s="17"/>
      <c r="R359" s="17"/>
      <c r="S359" s="17"/>
      <c r="T359" s="17"/>
      <c r="U359" s="300"/>
      <c r="V359" s="47"/>
      <c r="W359" s="17"/>
      <c r="X359" s="17"/>
      <c r="Y359" s="300"/>
      <c r="Z359" s="386"/>
      <c r="AA359" s="386"/>
      <c r="AB359" s="386"/>
      <c r="AC359" s="386"/>
      <c r="AD359" s="386"/>
      <c r="AE359" s="386"/>
      <c r="AF359" s="386"/>
    </row>
    <row r="360" ht="15.75" customHeight="1">
      <c r="A360" s="24"/>
      <c r="B360" s="25"/>
      <c r="C360" s="25"/>
      <c r="D360" s="28"/>
      <c r="E360" s="28"/>
      <c r="F360" s="383"/>
      <c r="G360" s="380"/>
      <c r="H360" s="300"/>
      <c r="I360" s="17"/>
      <c r="J360" s="17"/>
      <c r="K360" s="17"/>
      <c r="L360" s="17"/>
      <c r="M360" s="17"/>
      <c r="N360" s="17"/>
      <c r="O360" s="17"/>
      <c r="P360" s="17"/>
      <c r="Q360" s="17"/>
      <c r="R360" s="17"/>
      <c r="S360" s="17"/>
      <c r="T360" s="17"/>
      <c r="U360" s="300"/>
      <c r="V360" s="67"/>
      <c r="W360" s="17"/>
      <c r="X360" s="17"/>
      <c r="Y360" s="300"/>
      <c r="Z360" s="386"/>
      <c r="AA360" s="386"/>
      <c r="AB360" s="386"/>
      <c r="AC360" s="386"/>
      <c r="AD360" s="386"/>
      <c r="AE360" s="386"/>
      <c r="AF360" s="386"/>
    </row>
    <row r="361" ht="15.75" customHeight="1">
      <c r="A361" s="24"/>
      <c r="B361" s="25"/>
      <c r="C361" s="25"/>
      <c r="D361" s="28"/>
      <c r="E361" s="28"/>
      <c r="F361" s="404"/>
      <c r="G361" s="380"/>
      <c r="H361" s="300"/>
      <c r="I361" s="17"/>
      <c r="J361" s="17"/>
      <c r="K361" s="17"/>
      <c r="L361" s="17"/>
      <c r="M361" s="17"/>
      <c r="N361" s="17"/>
      <c r="O361" s="17"/>
      <c r="P361" s="17"/>
      <c r="Q361" s="17"/>
      <c r="R361" s="17"/>
      <c r="S361" s="17"/>
      <c r="T361" s="17"/>
      <c r="U361" s="300"/>
      <c r="V361" s="47"/>
      <c r="W361" s="17"/>
      <c r="X361" s="17"/>
      <c r="Y361" s="300"/>
      <c r="Z361" s="386"/>
      <c r="AA361" s="386"/>
      <c r="AB361" s="386"/>
      <c r="AC361" s="386"/>
      <c r="AD361" s="386"/>
      <c r="AE361" s="386"/>
      <c r="AF361" s="386"/>
    </row>
    <row r="362" ht="15.75" customHeight="1">
      <c r="A362" s="24"/>
      <c r="B362" s="25"/>
      <c r="C362" s="25"/>
      <c r="D362" s="28"/>
      <c r="E362" s="28"/>
      <c r="F362" s="383"/>
      <c r="G362" s="380"/>
      <c r="H362" s="300"/>
      <c r="I362" s="17"/>
      <c r="J362" s="17"/>
      <c r="K362" s="17"/>
      <c r="L362" s="17"/>
      <c r="M362" s="17"/>
      <c r="N362" s="17"/>
      <c r="O362" s="17"/>
      <c r="P362" s="17"/>
      <c r="Q362" s="17"/>
      <c r="R362" s="17"/>
      <c r="S362" s="17"/>
      <c r="T362" s="17"/>
      <c r="U362" s="300"/>
      <c r="V362" s="67"/>
      <c r="W362" s="17"/>
      <c r="X362" s="17"/>
      <c r="Y362" s="300"/>
      <c r="Z362" s="386"/>
      <c r="AA362" s="386"/>
      <c r="AB362" s="386"/>
      <c r="AC362" s="386"/>
      <c r="AD362" s="386"/>
      <c r="AE362" s="386"/>
      <c r="AF362" s="386"/>
    </row>
    <row r="363" ht="15.75" customHeight="1">
      <c r="A363" s="24"/>
      <c r="B363" s="25"/>
      <c r="C363" s="25"/>
      <c r="D363" s="28"/>
      <c r="E363" s="28"/>
      <c r="F363" s="404"/>
      <c r="G363" s="380"/>
      <c r="H363" s="300"/>
      <c r="I363" s="17"/>
      <c r="J363" s="17"/>
      <c r="K363" s="17"/>
      <c r="L363" s="17"/>
      <c r="M363" s="17"/>
      <c r="N363" s="17"/>
      <c r="O363" s="17"/>
      <c r="P363" s="17"/>
      <c r="Q363" s="17"/>
      <c r="R363" s="17"/>
      <c r="S363" s="17"/>
      <c r="T363" s="17"/>
      <c r="U363" s="300"/>
      <c r="V363" s="47"/>
      <c r="W363" s="17"/>
      <c r="X363" s="17"/>
      <c r="Y363" s="300"/>
      <c r="Z363" s="386"/>
      <c r="AA363" s="386"/>
      <c r="AB363" s="386"/>
      <c r="AC363" s="386"/>
      <c r="AD363" s="386"/>
      <c r="AE363" s="386"/>
      <c r="AF363" s="386"/>
    </row>
    <row r="364" ht="15.75" customHeight="1">
      <c r="A364" s="24"/>
      <c r="B364" s="25"/>
      <c r="C364" s="25"/>
      <c r="D364" s="28"/>
      <c r="E364" s="28"/>
      <c r="F364" s="383"/>
      <c r="G364" s="380"/>
      <c r="H364" s="300"/>
      <c r="I364" s="17"/>
      <c r="J364" s="17"/>
      <c r="K364" s="17"/>
      <c r="L364" s="17"/>
      <c r="M364" s="17"/>
      <c r="N364" s="17"/>
      <c r="O364" s="17"/>
      <c r="P364" s="17"/>
      <c r="Q364" s="17"/>
      <c r="R364" s="17"/>
      <c r="S364" s="17"/>
      <c r="T364" s="17"/>
      <c r="U364" s="300"/>
      <c r="V364" s="67"/>
      <c r="W364" s="17"/>
      <c r="X364" s="17"/>
      <c r="Y364" s="300"/>
      <c r="Z364" s="386"/>
      <c r="AA364" s="386"/>
      <c r="AB364" s="386"/>
      <c r="AC364" s="386"/>
      <c r="AD364" s="386"/>
      <c r="AE364" s="386"/>
      <c r="AF364" s="386"/>
    </row>
    <row r="365" ht="15.75" customHeight="1">
      <c r="A365" s="24"/>
      <c r="B365" s="25"/>
      <c r="C365" s="25"/>
      <c r="D365" s="28"/>
      <c r="E365" s="28"/>
      <c r="F365" s="404"/>
      <c r="G365" s="380"/>
      <c r="H365" s="300"/>
      <c r="I365" s="17"/>
      <c r="J365" s="17"/>
      <c r="K365" s="17"/>
      <c r="L365" s="17"/>
      <c r="M365" s="17"/>
      <c r="N365" s="17"/>
      <c r="O365" s="17"/>
      <c r="P365" s="17"/>
      <c r="Q365" s="17"/>
      <c r="R365" s="17"/>
      <c r="S365" s="17"/>
      <c r="T365" s="17"/>
      <c r="U365" s="300"/>
      <c r="V365" s="47"/>
      <c r="W365" s="17"/>
      <c r="X365" s="17"/>
      <c r="Y365" s="300"/>
      <c r="Z365" s="386"/>
      <c r="AA365" s="386"/>
      <c r="AB365" s="386"/>
      <c r="AC365" s="386"/>
      <c r="AD365" s="386"/>
      <c r="AE365" s="386"/>
      <c r="AF365" s="386"/>
    </row>
    <row r="366" ht="15.75" customHeight="1">
      <c r="A366" s="24"/>
      <c r="B366" s="25"/>
      <c r="C366" s="25"/>
      <c r="D366" s="28"/>
      <c r="E366" s="28"/>
      <c r="F366" s="383"/>
      <c r="G366" s="380"/>
      <c r="H366" s="300"/>
      <c r="I366" s="17"/>
      <c r="J366" s="17"/>
      <c r="K366" s="17"/>
      <c r="L366" s="17"/>
      <c r="M366" s="17"/>
      <c r="N366" s="17"/>
      <c r="O366" s="17"/>
      <c r="P366" s="17"/>
      <c r="Q366" s="17"/>
      <c r="R366" s="17"/>
      <c r="S366" s="17"/>
      <c r="T366" s="17"/>
      <c r="U366" s="300"/>
      <c r="V366" s="67"/>
      <c r="W366" s="17"/>
      <c r="X366" s="17"/>
      <c r="Y366" s="300"/>
      <c r="Z366" s="386"/>
      <c r="AA366" s="386"/>
      <c r="AB366" s="386"/>
      <c r="AC366" s="386"/>
      <c r="AD366" s="386"/>
      <c r="AE366" s="386"/>
      <c r="AF366" s="386"/>
    </row>
    <row r="367" ht="15.75" customHeight="1">
      <c r="A367" s="24"/>
      <c r="B367" s="25"/>
      <c r="C367" s="25"/>
      <c r="D367" s="28"/>
      <c r="E367" s="28"/>
      <c r="F367" s="404"/>
      <c r="G367" s="380"/>
      <c r="H367" s="300"/>
      <c r="I367" s="17"/>
      <c r="J367" s="17"/>
      <c r="K367" s="17"/>
      <c r="L367" s="17"/>
      <c r="M367" s="17"/>
      <c r="N367" s="17"/>
      <c r="O367" s="17"/>
      <c r="P367" s="17"/>
      <c r="Q367" s="17"/>
      <c r="R367" s="17"/>
      <c r="S367" s="17"/>
      <c r="T367" s="17"/>
      <c r="U367" s="300"/>
      <c r="V367" s="47"/>
      <c r="W367" s="17"/>
      <c r="X367" s="17"/>
      <c r="Y367" s="300"/>
      <c r="Z367" s="386"/>
      <c r="AA367" s="386"/>
      <c r="AB367" s="386"/>
      <c r="AC367" s="386"/>
      <c r="AD367" s="386"/>
      <c r="AE367" s="386"/>
      <c r="AF367" s="386"/>
    </row>
    <row r="368" ht="15.75" customHeight="1">
      <c r="A368" s="24"/>
      <c r="B368" s="25"/>
      <c r="C368" s="25"/>
      <c r="D368" s="28"/>
      <c r="E368" s="28"/>
      <c r="F368" s="383"/>
      <c r="G368" s="380"/>
      <c r="H368" s="300"/>
      <c r="I368" s="17"/>
      <c r="J368" s="17"/>
      <c r="K368" s="17"/>
      <c r="L368" s="17"/>
      <c r="M368" s="17"/>
      <c r="N368" s="17"/>
      <c r="O368" s="17"/>
      <c r="P368" s="17"/>
      <c r="Q368" s="17"/>
      <c r="R368" s="17"/>
      <c r="S368" s="17"/>
      <c r="T368" s="17"/>
      <c r="U368" s="300"/>
      <c r="V368" s="67"/>
      <c r="W368" s="17"/>
      <c r="X368" s="17"/>
      <c r="Y368" s="300"/>
      <c r="Z368" s="386"/>
      <c r="AA368" s="386"/>
      <c r="AB368" s="386"/>
      <c r="AC368" s="386"/>
      <c r="AD368" s="386"/>
      <c r="AE368" s="386"/>
      <c r="AF368" s="386"/>
    </row>
    <row r="369" ht="15.75" customHeight="1">
      <c r="A369" s="24"/>
      <c r="B369" s="25"/>
      <c r="C369" s="25"/>
      <c r="D369" s="28"/>
      <c r="E369" s="28"/>
      <c r="F369" s="404"/>
      <c r="G369" s="380"/>
      <c r="H369" s="300"/>
      <c r="I369" s="17"/>
      <c r="J369" s="17"/>
      <c r="K369" s="17"/>
      <c r="L369" s="17"/>
      <c r="M369" s="17"/>
      <c r="N369" s="17"/>
      <c r="O369" s="17"/>
      <c r="P369" s="17"/>
      <c r="Q369" s="17"/>
      <c r="R369" s="17"/>
      <c r="S369" s="17"/>
      <c r="T369" s="17"/>
      <c r="U369" s="300"/>
      <c r="V369" s="47"/>
      <c r="W369" s="17"/>
      <c r="X369" s="17"/>
      <c r="Y369" s="300"/>
      <c r="Z369" s="386"/>
      <c r="AA369" s="386"/>
      <c r="AB369" s="386"/>
      <c r="AC369" s="386"/>
      <c r="AD369" s="386"/>
      <c r="AE369" s="386"/>
      <c r="AF369" s="386"/>
    </row>
    <row r="370" ht="15.75" customHeight="1">
      <c r="A370" s="24"/>
      <c r="B370" s="25"/>
      <c r="C370" s="25"/>
      <c r="D370" s="28"/>
      <c r="E370" s="28"/>
      <c r="F370" s="383"/>
      <c r="G370" s="380"/>
      <c r="H370" s="300"/>
      <c r="I370" s="17"/>
      <c r="J370" s="17"/>
      <c r="K370" s="17"/>
      <c r="L370" s="17"/>
      <c r="M370" s="17"/>
      <c r="N370" s="17"/>
      <c r="O370" s="17"/>
      <c r="P370" s="17"/>
      <c r="Q370" s="17"/>
      <c r="R370" s="17"/>
      <c r="S370" s="17"/>
      <c r="T370" s="17"/>
      <c r="U370" s="300"/>
      <c r="V370" s="67"/>
      <c r="W370" s="17"/>
      <c r="X370" s="17"/>
      <c r="Y370" s="300"/>
      <c r="Z370" s="386"/>
      <c r="AA370" s="386"/>
      <c r="AB370" s="386"/>
      <c r="AC370" s="386"/>
      <c r="AD370" s="386"/>
      <c r="AE370" s="386"/>
      <c r="AF370" s="386"/>
    </row>
    <row r="371" ht="15.75" customHeight="1">
      <c r="A371" s="24"/>
      <c r="B371" s="25"/>
      <c r="C371" s="25"/>
      <c r="D371" s="28"/>
      <c r="E371" s="28"/>
      <c r="F371" s="404"/>
      <c r="G371" s="380"/>
      <c r="H371" s="300"/>
      <c r="I371" s="17"/>
      <c r="J371" s="17"/>
      <c r="K371" s="17"/>
      <c r="L371" s="17"/>
      <c r="M371" s="17"/>
      <c r="N371" s="17"/>
      <c r="O371" s="17"/>
      <c r="P371" s="17"/>
      <c r="Q371" s="17"/>
      <c r="R371" s="17"/>
      <c r="S371" s="17"/>
      <c r="T371" s="17"/>
      <c r="U371" s="300"/>
      <c r="V371" s="47"/>
      <c r="W371" s="17"/>
      <c r="X371" s="17"/>
      <c r="Y371" s="300"/>
      <c r="Z371" s="386"/>
      <c r="AA371" s="386"/>
      <c r="AB371" s="386"/>
      <c r="AC371" s="386"/>
      <c r="AD371" s="386"/>
      <c r="AE371" s="386"/>
      <c r="AF371" s="386"/>
    </row>
    <row r="372" ht="15.75" customHeight="1">
      <c r="A372" s="24"/>
      <c r="B372" s="25"/>
      <c r="C372" s="25"/>
      <c r="D372" s="28"/>
      <c r="E372" s="28"/>
      <c r="F372" s="383"/>
      <c r="G372" s="380"/>
      <c r="H372" s="300"/>
      <c r="I372" s="17"/>
      <c r="J372" s="17"/>
      <c r="K372" s="17"/>
      <c r="L372" s="17"/>
      <c r="M372" s="17"/>
      <c r="N372" s="17"/>
      <c r="O372" s="17"/>
      <c r="P372" s="17"/>
      <c r="Q372" s="17"/>
      <c r="R372" s="17"/>
      <c r="S372" s="17"/>
      <c r="T372" s="17"/>
      <c r="U372" s="300"/>
      <c r="V372" s="67"/>
      <c r="W372" s="17"/>
      <c r="X372" s="17"/>
      <c r="Y372" s="300"/>
      <c r="Z372" s="386"/>
      <c r="AA372" s="386"/>
      <c r="AB372" s="386"/>
      <c r="AC372" s="386"/>
      <c r="AD372" s="386"/>
      <c r="AE372" s="386"/>
      <c r="AF372" s="386"/>
    </row>
    <row r="373" ht="15.75" customHeight="1">
      <c r="A373" s="24"/>
      <c r="B373" s="25"/>
      <c r="C373" s="25"/>
      <c r="D373" s="28"/>
      <c r="E373" s="28"/>
      <c r="F373" s="404"/>
      <c r="G373" s="380"/>
      <c r="H373" s="300"/>
      <c r="I373" s="17"/>
      <c r="J373" s="17"/>
      <c r="K373" s="17"/>
      <c r="L373" s="17"/>
      <c r="M373" s="17"/>
      <c r="N373" s="17"/>
      <c r="O373" s="17"/>
      <c r="P373" s="17"/>
      <c r="Q373" s="17"/>
      <c r="R373" s="17"/>
      <c r="S373" s="17"/>
      <c r="T373" s="17"/>
      <c r="U373" s="300"/>
      <c r="V373" s="47"/>
      <c r="W373" s="17"/>
      <c r="X373" s="17"/>
      <c r="Y373" s="300"/>
      <c r="Z373" s="386"/>
      <c r="AA373" s="386"/>
      <c r="AB373" s="386"/>
      <c r="AC373" s="386"/>
      <c r="AD373" s="386"/>
      <c r="AE373" s="386"/>
      <c r="AF373" s="386"/>
    </row>
    <row r="374" ht="15.75" customHeight="1">
      <c r="A374" s="24"/>
      <c r="B374" s="25"/>
      <c r="C374" s="25"/>
      <c r="D374" s="28"/>
      <c r="E374" s="28"/>
      <c r="F374" s="383"/>
      <c r="G374" s="380"/>
      <c r="H374" s="300"/>
      <c r="I374" s="17"/>
      <c r="J374" s="17"/>
      <c r="K374" s="17"/>
      <c r="L374" s="17"/>
      <c r="M374" s="17"/>
      <c r="N374" s="17"/>
      <c r="O374" s="17"/>
      <c r="P374" s="17"/>
      <c r="Q374" s="17"/>
      <c r="R374" s="17"/>
      <c r="S374" s="17"/>
      <c r="T374" s="17"/>
      <c r="U374" s="300"/>
      <c r="V374" s="67"/>
      <c r="W374" s="17"/>
      <c r="X374" s="17"/>
      <c r="Y374" s="300"/>
      <c r="Z374" s="386"/>
      <c r="AA374" s="386"/>
      <c r="AB374" s="386"/>
      <c r="AC374" s="386"/>
      <c r="AD374" s="386"/>
      <c r="AE374" s="386"/>
      <c r="AF374" s="386"/>
    </row>
    <row r="375" ht="15.75" customHeight="1">
      <c r="A375" s="24"/>
      <c r="B375" s="25"/>
      <c r="C375" s="25"/>
      <c r="D375" s="28"/>
      <c r="E375" s="28"/>
      <c r="F375" s="404"/>
      <c r="G375" s="380"/>
      <c r="H375" s="300"/>
      <c r="I375" s="17"/>
      <c r="J375" s="17"/>
      <c r="K375" s="17"/>
      <c r="L375" s="17"/>
      <c r="M375" s="17"/>
      <c r="N375" s="17"/>
      <c r="O375" s="17"/>
      <c r="P375" s="17"/>
      <c r="Q375" s="17"/>
      <c r="R375" s="17"/>
      <c r="S375" s="17"/>
      <c r="T375" s="17"/>
      <c r="U375" s="300"/>
      <c r="V375" s="47"/>
      <c r="W375" s="17"/>
      <c r="X375" s="17"/>
      <c r="Y375" s="300"/>
      <c r="Z375" s="386"/>
      <c r="AA375" s="386"/>
      <c r="AB375" s="386"/>
      <c r="AC375" s="386"/>
      <c r="AD375" s="386"/>
      <c r="AE375" s="386"/>
      <c r="AF375" s="386"/>
    </row>
    <row r="376" ht="15.75" customHeight="1">
      <c r="A376" s="24"/>
      <c r="B376" s="25"/>
      <c r="C376" s="25"/>
      <c r="D376" s="28"/>
      <c r="E376" s="28"/>
      <c r="F376" s="383"/>
      <c r="G376" s="380"/>
      <c r="H376" s="300"/>
      <c r="I376" s="17"/>
      <c r="J376" s="17"/>
      <c r="K376" s="17"/>
      <c r="L376" s="17"/>
      <c r="M376" s="17"/>
      <c r="N376" s="17"/>
      <c r="O376" s="17"/>
      <c r="P376" s="17"/>
      <c r="Q376" s="17"/>
      <c r="R376" s="17"/>
      <c r="S376" s="17"/>
      <c r="T376" s="17"/>
      <c r="U376" s="300"/>
      <c r="V376" s="67"/>
      <c r="W376" s="17"/>
      <c r="X376" s="17"/>
      <c r="Y376" s="300"/>
      <c r="Z376" s="386"/>
      <c r="AA376" s="386"/>
      <c r="AB376" s="386"/>
      <c r="AC376" s="386"/>
      <c r="AD376" s="386"/>
      <c r="AE376" s="386"/>
      <c r="AF376" s="386"/>
    </row>
    <row r="377" ht="15.75" customHeight="1">
      <c r="A377" s="24"/>
      <c r="B377" s="25"/>
      <c r="C377" s="25"/>
      <c r="D377" s="28"/>
      <c r="E377" s="28"/>
      <c r="F377" s="404"/>
      <c r="G377" s="380"/>
      <c r="H377" s="300"/>
      <c r="I377" s="17"/>
      <c r="J377" s="17"/>
      <c r="K377" s="17"/>
      <c r="L377" s="17"/>
      <c r="M377" s="17"/>
      <c r="N377" s="17"/>
      <c r="O377" s="17"/>
      <c r="P377" s="17"/>
      <c r="Q377" s="17"/>
      <c r="R377" s="17"/>
      <c r="S377" s="17"/>
      <c r="T377" s="17"/>
      <c r="U377" s="300"/>
      <c r="V377" s="47"/>
      <c r="W377" s="17"/>
      <c r="X377" s="17"/>
      <c r="Y377" s="300"/>
      <c r="Z377" s="386"/>
      <c r="AA377" s="386"/>
      <c r="AB377" s="386"/>
      <c r="AC377" s="386"/>
      <c r="AD377" s="386"/>
      <c r="AE377" s="386"/>
      <c r="AF377" s="386"/>
    </row>
    <row r="378" ht="15.75" customHeight="1">
      <c r="A378" s="24"/>
      <c r="B378" s="25"/>
      <c r="C378" s="25"/>
      <c r="D378" s="28"/>
      <c r="E378" s="28"/>
      <c r="F378" s="383"/>
      <c r="G378" s="380"/>
      <c r="H378" s="300"/>
      <c r="I378" s="17"/>
      <c r="J378" s="17"/>
      <c r="K378" s="17"/>
      <c r="L378" s="17"/>
      <c r="M378" s="17"/>
      <c r="N378" s="17"/>
      <c r="O378" s="17"/>
      <c r="P378" s="17"/>
      <c r="Q378" s="17"/>
      <c r="R378" s="17"/>
      <c r="S378" s="17"/>
      <c r="T378" s="17"/>
      <c r="U378" s="300"/>
      <c r="V378" s="67"/>
      <c r="W378" s="17"/>
      <c r="X378" s="17"/>
      <c r="Y378" s="300"/>
      <c r="Z378" s="386"/>
      <c r="AA378" s="386"/>
      <c r="AB378" s="386"/>
      <c r="AC378" s="386"/>
      <c r="AD378" s="386"/>
      <c r="AE378" s="386"/>
      <c r="AF378" s="386"/>
    </row>
    <row r="379" ht="15.75" customHeight="1">
      <c r="A379" s="24"/>
      <c r="B379" s="25"/>
      <c r="C379" s="25"/>
      <c r="D379" s="28"/>
      <c r="E379" s="28"/>
      <c r="F379" s="404"/>
      <c r="G379" s="380"/>
      <c r="H379" s="300"/>
      <c r="I379" s="17"/>
      <c r="J379" s="17"/>
      <c r="K379" s="17"/>
      <c r="L379" s="17"/>
      <c r="M379" s="17"/>
      <c r="N379" s="17"/>
      <c r="O379" s="17"/>
      <c r="P379" s="17"/>
      <c r="Q379" s="17"/>
      <c r="R379" s="17"/>
      <c r="S379" s="17"/>
      <c r="T379" s="17"/>
      <c r="U379" s="300"/>
      <c r="V379" s="47"/>
      <c r="W379" s="17"/>
      <c r="X379" s="17"/>
      <c r="Y379" s="300"/>
      <c r="Z379" s="386"/>
      <c r="AA379" s="386"/>
      <c r="AB379" s="386"/>
      <c r="AC379" s="386"/>
      <c r="AD379" s="386"/>
      <c r="AE379" s="386"/>
      <c r="AF379" s="386"/>
    </row>
    <row r="380" ht="15.75" customHeight="1">
      <c r="A380" s="24"/>
      <c r="B380" s="25"/>
      <c r="C380" s="25"/>
      <c r="D380" s="28"/>
      <c r="E380" s="28"/>
      <c r="F380" s="383"/>
      <c r="G380" s="380"/>
      <c r="H380" s="300"/>
      <c r="I380" s="17"/>
      <c r="J380" s="17"/>
      <c r="K380" s="17"/>
      <c r="L380" s="17"/>
      <c r="M380" s="17"/>
      <c r="N380" s="17"/>
      <c r="O380" s="17"/>
      <c r="P380" s="17"/>
      <c r="Q380" s="17"/>
      <c r="R380" s="17"/>
      <c r="S380" s="17"/>
      <c r="T380" s="17"/>
      <c r="U380" s="300"/>
      <c r="V380" s="67"/>
      <c r="W380" s="17"/>
      <c r="X380" s="17"/>
      <c r="Y380" s="300"/>
      <c r="Z380" s="386"/>
      <c r="AA380" s="386"/>
      <c r="AB380" s="386"/>
      <c r="AC380" s="386"/>
      <c r="AD380" s="386"/>
      <c r="AE380" s="386"/>
      <c r="AF380" s="386"/>
    </row>
    <row r="381" ht="15.75" customHeight="1">
      <c r="A381" s="24"/>
      <c r="B381" s="25"/>
      <c r="C381" s="25"/>
      <c r="D381" s="28"/>
      <c r="E381" s="28"/>
      <c r="F381" s="404"/>
      <c r="G381" s="380"/>
      <c r="H381" s="300"/>
      <c r="I381" s="17"/>
      <c r="J381" s="17"/>
      <c r="K381" s="17"/>
      <c r="L381" s="17"/>
      <c r="M381" s="17"/>
      <c r="N381" s="17"/>
      <c r="O381" s="17"/>
      <c r="P381" s="17"/>
      <c r="Q381" s="17"/>
      <c r="R381" s="17"/>
      <c r="S381" s="17"/>
      <c r="T381" s="17"/>
      <c r="U381" s="300"/>
      <c r="V381" s="47"/>
      <c r="W381" s="17"/>
      <c r="X381" s="17"/>
      <c r="Y381" s="300"/>
      <c r="Z381" s="386"/>
      <c r="AA381" s="386"/>
      <c r="AB381" s="386"/>
      <c r="AC381" s="386"/>
      <c r="AD381" s="386"/>
      <c r="AE381" s="386"/>
      <c r="AF381" s="386"/>
    </row>
    <row r="382" ht="15.75" customHeight="1">
      <c r="A382" s="24"/>
      <c r="B382" s="25"/>
      <c r="C382" s="25"/>
      <c r="D382" s="28"/>
      <c r="E382" s="28"/>
      <c r="F382" s="383"/>
      <c r="G382" s="380"/>
      <c r="H382" s="300"/>
      <c r="I382" s="17"/>
      <c r="J382" s="17"/>
      <c r="K382" s="17"/>
      <c r="L382" s="17"/>
      <c r="M382" s="17"/>
      <c r="N382" s="17"/>
      <c r="O382" s="17"/>
      <c r="P382" s="17"/>
      <c r="Q382" s="17"/>
      <c r="R382" s="17"/>
      <c r="S382" s="17"/>
      <c r="T382" s="17"/>
      <c r="U382" s="300"/>
      <c r="V382" s="67"/>
      <c r="W382" s="17"/>
      <c r="X382" s="17"/>
      <c r="Y382" s="300"/>
      <c r="Z382" s="386"/>
      <c r="AA382" s="386"/>
      <c r="AB382" s="386"/>
      <c r="AC382" s="386"/>
      <c r="AD382" s="386"/>
      <c r="AE382" s="386"/>
      <c r="AF382" s="386"/>
    </row>
    <row r="383" ht="15.75" customHeight="1">
      <c r="A383" s="24"/>
      <c r="B383" s="25"/>
      <c r="C383" s="25"/>
      <c r="D383" s="28"/>
      <c r="E383" s="28"/>
      <c r="F383" s="404"/>
      <c r="G383" s="380"/>
      <c r="H383" s="300"/>
      <c r="I383" s="17"/>
      <c r="J383" s="17"/>
      <c r="K383" s="17"/>
      <c r="L383" s="17"/>
      <c r="M383" s="17"/>
      <c r="N383" s="17"/>
      <c r="O383" s="17"/>
      <c r="P383" s="17"/>
      <c r="Q383" s="17"/>
      <c r="R383" s="17"/>
      <c r="S383" s="17"/>
      <c r="T383" s="17"/>
      <c r="U383" s="300"/>
      <c r="V383" s="47"/>
      <c r="W383" s="17"/>
      <c r="X383" s="17"/>
      <c r="Y383" s="300"/>
      <c r="Z383" s="386"/>
      <c r="AA383" s="386"/>
      <c r="AB383" s="386"/>
      <c r="AC383" s="386"/>
      <c r="AD383" s="386"/>
      <c r="AE383" s="386"/>
      <c r="AF383" s="386"/>
    </row>
    <row r="384" ht="15.75" customHeight="1">
      <c r="A384" s="24"/>
      <c r="B384" s="25"/>
      <c r="C384" s="25"/>
      <c r="D384" s="28"/>
      <c r="E384" s="28"/>
      <c r="F384" s="383"/>
      <c r="G384" s="380"/>
      <c r="H384" s="300"/>
      <c r="I384" s="17"/>
      <c r="J384" s="17"/>
      <c r="K384" s="17"/>
      <c r="L384" s="17"/>
      <c r="M384" s="17"/>
      <c r="N384" s="17"/>
      <c r="O384" s="17"/>
      <c r="P384" s="17"/>
      <c r="Q384" s="17"/>
      <c r="R384" s="17"/>
      <c r="S384" s="17"/>
      <c r="T384" s="17"/>
      <c r="U384" s="300"/>
      <c r="V384" s="67"/>
      <c r="W384" s="17"/>
      <c r="X384" s="17"/>
      <c r="Y384" s="300"/>
      <c r="Z384" s="386"/>
      <c r="AA384" s="386"/>
      <c r="AB384" s="386"/>
      <c r="AC384" s="386"/>
      <c r="AD384" s="386"/>
      <c r="AE384" s="386"/>
      <c r="AF384" s="386"/>
    </row>
    <row r="385" ht="15.75" customHeight="1">
      <c r="A385" s="24"/>
      <c r="B385" s="25"/>
      <c r="C385" s="25"/>
      <c r="D385" s="28"/>
      <c r="E385" s="28"/>
      <c r="F385" s="404"/>
      <c r="G385" s="380"/>
      <c r="H385" s="300"/>
      <c r="I385" s="17"/>
      <c r="J385" s="17"/>
      <c r="K385" s="17"/>
      <c r="L385" s="17"/>
      <c r="M385" s="17"/>
      <c r="N385" s="17"/>
      <c r="O385" s="17"/>
      <c r="P385" s="17"/>
      <c r="Q385" s="17"/>
      <c r="R385" s="17"/>
      <c r="S385" s="17"/>
      <c r="T385" s="17"/>
      <c r="U385" s="300"/>
      <c r="V385" s="47"/>
      <c r="W385" s="17"/>
      <c r="X385" s="17"/>
      <c r="Y385" s="300"/>
      <c r="Z385" s="386"/>
      <c r="AA385" s="386"/>
      <c r="AB385" s="386"/>
      <c r="AC385" s="386"/>
      <c r="AD385" s="386"/>
      <c r="AE385" s="386"/>
      <c r="AF385" s="386"/>
    </row>
    <row r="386" ht="15.75" customHeight="1">
      <c r="A386" s="24"/>
      <c r="B386" s="25"/>
      <c r="C386" s="25"/>
      <c r="D386" s="28"/>
      <c r="E386" s="28"/>
      <c r="F386" s="383"/>
      <c r="G386" s="380"/>
      <c r="H386" s="300"/>
      <c r="I386" s="17"/>
      <c r="J386" s="17"/>
      <c r="K386" s="17"/>
      <c r="L386" s="17"/>
      <c r="M386" s="17"/>
      <c r="N386" s="17"/>
      <c r="O386" s="17"/>
      <c r="P386" s="17"/>
      <c r="Q386" s="17"/>
      <c r="R386" s="17"/>
      <c r="S386" s="17"/>
      <c r="T386" s="17"/>
      <c r="U386" s="300"/>
      <c r="V386" s="67"/>
      <c r="W386" s="17"/>
      <c r="X386" s="17"/>
      <c r="Y386" s="300"/>
      <c r="Z386" s="386"/>
      <c r="AA386" s="386"/>
      <c r="AB386" s="386"/>
      <c r="AC386" s="386"/>
      <c r="AD386" s="386"/>
      <c r="AE386" s="386"/>
      <c r="AF386" s="386"/>
    </row>
    <row r="387" ht="15.75" customHeight="1">
      <c r="A387" s="24"/>
      <c r="B387" s="25"/>
      <c r="C387" s="25"/>
      <c r="D387" s="28"/>
      <c r="E387" s="28"/>
      <c r="F387" s="404"/>
      <c r="G387" s="380"/>
      <c r="H387" s="300"/>
      <c r="I387" s="17"/>
      <c r="J387" s="17"/>
      <c r="K387" s="17"/>
      <c r="L387" s="17"/>
      <c r="M387" s="17"/>
      <c r="N387" s="17"/>
      <c r="O387" s="17"/>
      <c r="P387" s="17"/>
      <c r="Q387" s="17"/>
      <c r="R387" s="17"/>
      <c r="S387" s="17"/>
      <c r="T387" s="17"/>
      <c r="U387" s="300"/>
      <c r="V387" s="47"/>
      <c r="W387" s="17"/>
      <c r="X387" s="17"/>
      <c r="Y387" s="300"/>
      <c r="Z387" s="386"/>
      <c r="AA387" s="386"/>
      <c r="AB387" s="386"/>
      <c r="AC387" s="386"/>
      <c r="AD387" s="386"/>
      <c r="AE387" s="386"/>
      <c r="AF387" s="386"/>
    </row>
    <row r="388" ht="15.75" customHeight="1">
      <c r="A388" s="24"/>
      <c r="B388" s="25"/>
      <c r="C388" s="25"/>
      <c r="D388" s="28"/>
      <c r="E388" s="28"/>
      <c r="F388" s="383"/>
      <c r="G388" s="380"/>
      <c r="H388" s="300"/>
      <c r="I388" s="17"/>
      <c r="J388" s="17"/>
      <c r="K388" s="17"/>
      <c r="L388" s="17"/>
      <c r="M388" s="17"/>
      <c r="N388" s="17"/>
      <c r="O388" s="17"/>
      <c r="P388" s="17"/>
      <c r="Q388" s="17"/>
      <c r="R388" s="17"/>
      <c r="S388" s="17"/>
      <c r="T388" s="17"/>
      <c r="U388" s="300"/>
      <c r="V388" s="67"/>
      <c r="W388" s="17"/>
      <c r="X388" s="17"/>
      <c r="Y388" s="300"/>
      <c r="Z388" s="386"/>
      <c r="AA388" s="386"/>
      <c r="AB388" s="386"/>
      <c r="AC388" s="386"/>
      <c r="AD388" s="386"/>
      <c r="AE388" s="386"/>
      <c r="AF388" s="386"/>
    </row>
    <row r="389" ht="15.75" customHeight="1">
      <c r="A389" s="24"/>
      <c r="B389" s="25"/>
      <c r="C389" s="25"/>
      <c r="D389" s="28"/>
      <c r="E389" s="28"/>
      <c r="F389" s="404"/>
      <c r="G389" s="380"/>
      <c r="H389" s="300"/>
      <c r="I389" s="17"/>
      <c r="J389" s="17"/>
      <c r="K389" s="17"/>
      <c r="L389" s="17"/>
      <c r="M389" s="17"/>
      <c r="N389" s="17"/>
      <c r="O389" s="17"/>
      <c r="P389" s="17"/>
      <c r="Q389" s="17"/>
      <c r="R389" s="17"/>
      <c r="S389" s="17"/>
      <c r="T389" s="17"/>
      <c r="U389" s="300"/>
      <c r="V389" s="47"/>
      <c r="W389" s="17"/>
      <c r="X389" s="17"/>
      <c r="Y389" s="300"/>
      <c r="Z389" s="386"/>
      <c r="AA389" s="386"/>
      <c r="AB389" s="386"/>
      <c r="AC389" s="386"/>
      <c r="AD389" s="386"/>
      <c r="AE389" s="386"/>
      <c r="AF389" s="386"/>
    </row>
    <row r="390" ht="15.75" customHeight="1">
      <c r="A390" s="24"/>
      <c r="B390" s="25"/>
      <c r="C390" s="25"/>
      <c r="D390" s="28"/>
      <c r="E390" s="28"/>
      <c r="F390" s="383"/>
      <c r="G390" s="380"/>
      <c r="H390" s="300"/>
      <c r="I390" s="17"/>
      <c r="J390" s="17"/>
      <c r="K390" s="17"/>
      <c r="L390" s="17"/>
      <c r="M390" s="17"/>
      <c r="N390" s="17"/>
      <c r="O390" s="17"/>
      <c r="P390" s="17"/>
      <c r="Q390" s="17"/>
      <c r="R390" s="17"/>
      <c r="S390" s="17"/>
      <c r="T390" s="17"/>
      <c r="U390" s="300"/>
      <c r="V390" s="67"/>
      <c r="W390" s="17"/>
      <c r="X390" s="17"/>
      <c r="Y390" s="300"/>
      <c r="Z390" s="386"/>
      <c r="AA390" s="386"/>
      <c r="AB390" s="386"/>
      <c r="AC390" s="386"/>
      <c r="AD390" s="386"/>
      <c r="AE390" s="386"/>
      <c r="AF390" s="386"/>
    </row>
    <row r="391" ht="15.75" customHeight="1">
      <c r="A391" s="24"/>
      <c r="B391" s="25"/>
      <c r="C391" s="25"/>
      <c r="D391" s="28"/>
      <c r="E391" s="28"/>
      <c r="F391" s="404"/>
      <c r="G391" s="380"/>
      <c r="H391" s="300"/>
      <c r="I391" s="17"/>
      <c r="J391" s="17"/>
      <c r="K391" s="17"/>
      <c r="L391" s="17"/>
      <c r="M391" s="17"/>
      <c r="N391" s="17"/>
      <c r="O391" s="17"/>
      <c r="P391" s="17"/>
      <c r="Q391" s="17"/>
      <c r="R391" s="17"/>
      <c r="S391" s="17"/>
      <c r="T391" s="17"/>
      <c r="U391" s="300"/>
      <c r="V391" s="47"/>
      <c r="W391" s="17"/>
      <c r="X391" s="17"/>
      <c r="Y391" s="300"/>
      <c r="Z391" s="386"/>
      <c r="AA391" s="386"/>
      <c r="AB391" s="386"/>
      <c r="AC391" s="386"/>
      <c r="AD391" s="386"/>
      <c r="AE391" s="386"/>
      <c r="AF391" s="386"/>
    </row>
    <row r="392" ht="15.75" customHeight="1">
      <c r="A392" s="24"/>
      <c r="B392" s="25"/>
      <c r="C392" s="25"/>
      <c r="D392" s="28"/>
      <c r="E392" s="28"/>
      <c r="F392" s="383"/>
      <c r="G392" s="380"/>
      <c r="H392" s="300"/>
      <c r="I392" s="17"/>
      <c r="J392" s="17"/>
      <c r="K392" s="17"/>
      <c r="L392" s="17"/>
      <c r="M392" s="17"/>
      <c r="N392" s="17"/>
      <c r="O392" s="17"/>
      <c r="P392" s="17"/>
      <c r="Q392" s="17"/>
      <c r="R392" s="17"/>
      <c r="S392" s="17"/>
      <c r="T392" s="17"/>
      <c r="U392" s="300"/>
      <c r="V392" s="67"/>
      <c r="W392" s="17"/>
      <c r="X392" s="17"/>
      <c r="Y392" s="300"/>
      <c r="Z392" s="386"/>
      <c r="AA392" s="386"/>
      <c r="AB392" s="386"/>
      <c r="AC392" s="386"/>
      <c r="AD392" s="386"/>
      <c r="AE392" s="386"/>
      <c r="AF392" s="386"/>
    </row>
    <row r="393" ht="15.75" customHeight="1">
      <c r="A393" s="24"/>
      <c r="B393" s="25"/>
      <c r="C393" s="25"/>
      <c r="D393" s="28"/>
      <c r="E393" s="28"/>
      <c r="F393" s="404"/>
      <c r="G393" s="380"/>
      <c r="H393" s="300"/>
      <c r="I393" s="17"/>
      <c r="J393" s="17"/>
      <c r="K393" s="17"/>
      <c r="L393" s="17"/>
      <c r="M393" s="17"/>
      <c r="N393" s="17"/>
      <c r="O393" s="17"/>
      <c r="P393" s="17"/>
      <c r="Q393" s="17"/>
      <c r="R393" s="17"/>
      <c r="S393" s="17"/>
      <c r="T393" s="17"/>
      <c r="U393" s="300"/>
      <c r="V393" s="47"/>
      <c r="W393" s="17"/>
      <c r="X393" s="17"/>
      <c r="Y393" s="300"/>
      <c r="Z393" s="386"/>
      <c r="AA393" s="386"/>
      <c r="AB393" s="386"/>
      <c r="AC393" s="386"/>
      <c r="AD393" s="386"/>
      <c r="AE393" s="386"/>
      <c r="AF393" s="386"/>
    </row>
    <row r="394" ht="15.75" customHeight="1">
      <c r="A394" s="24"/>
      <c r="B394" s="25"/>
      <c r="C394" s="25"/>
      <c r="D394" s="28"/>
      <c r="E394" s="28"/>
      <c r="F394" s="383"/>
      <c r="G394" s="380"/>
      <c r="H394" s="300"/>
      <c r="I394" s="17"/>
      <c r="J394" s="17"/>
      <c r="K394" s="17"/>
      <c r="L394" s="17"/>
      <c r="M394" s="17"/>
      <c r="N394" s="17"/>
      <c r="O394" s="17"/>
      <c r="P394" s="17"/>
      <c r="Q394" s="17"/>
      <c r="R394" s="17"/>
      <c r="S394" s="17"/>
      <c r="T394" s="17"/>
      <c r="U394" s="300"/>
      <c r="V394" s="67"/>
      <c r="W394" s="17"/>
      <c r="X394" s="17"/>
      <c r="Y394" s="300"/>
      <c r="Z394" s="386"/>
      <c r="AA394" s="386"/>
      <c r="AB394" s="386"/>
      <c r="AC394" s="386"/>
      <c r="AD394" s="386"/>
      <c r="AE394" s="386"/>
      <c r="AF394" s="386"/>
    </row>
    <row r="395" ht="15.75" customHeight="1">
      <c r="A395" s="24"/>
      <c r="B395" s="25"/>
      <c r="C395" s="25"/>
      <c r="D395" s="28"/>
      <c r="E395" s="28"/>
      <c r="F395" s="404"/>
      <c r="G395" s="380"/>
      <c r="H395" s="300"/>
      <c r="I395" s="17"/>
      <c r="J395" s="17"/>
      <c r="K395" s="17"/>
      <c r="L395" s="17"/>
      <c r="M395" s="17"/>
      <c r="N395" s="17"/>
      <c r="O395" s="17"/>
      <c r="P395" s="17"/>
      <c r="Q395" s="17"/>
      <c r="R395" s="17"/>
      <c r="S395" s="17"/>
      <c r="T395" s="17"/>
      <c r="U395" s="300"/>
      <c r="V395" s="47"/>
      <c r="W395" s="17"/>
      <c r="X395" s="17"/>
      <c r="Y395" s="300"/>
      <c r="Z395" s="386"/>
      <c r="AA395" s="386"/>
      <c r="AB395" s="386"/>
      <c r="AC395" s="386"/>
      <c r="AD395" s="386"/>
      <c r="AE395" s="386"/>
      <c r="AF395" s="386"/>
    </row>
    <row r="396" ht="15.75" customHeight="1">
      <c r="A396" s="24"/>
      <c r="B396" s="25"/>
      <c r="C396" s="25"/>
      <c r="D396" s="28"/>
      <c r="E396" s="28"/>
      <c r="F396" s="383"/>
      <c r="G396" s="380"/>
      <c r="H396" s="300"/>
      <c r="I396" s="17"/>
      <c r="J396" s="17"/>
      <c r="K396" s="17"/>
      <c r="L396" s="17"/>
      <c r="M396" s="17"/>
      <c r="N396" s="17"/>
      <c r="O396" s="17"/>
      <c r="P396" s="17"/>
      <c r="Q396" s="17"/>
      <c r="R396" s="17"/>
      <c r="S396" s="17"/>
      <c r="T396" s="17"/>
      <c r="U396" s="300"/>
      <c r="V396" s="67"/>
      <c r="W396" s="17"/>
      <c r="X396" s="17"/>
      <c r="Y396" s="300"/>
      <c r="Z396" s="386"/>
      <c r="AA396" s="386"/>
      <c r="AB396" s="386"/>
      <c r="AC396" s="386"/>
      <c r="AD396" s="386"/>
      <c r="AE396" s="386"/>
      <c r="AF396" s="386"/>
    </row>
    <row r="397" ht="15.75" customHeight="1">
      <c r="A397" s="24"/>
      <c r="B397" s="25"/>
      <c r="C397" s="25"/>
      <c r="D397" s="28"/>
      <c r="E397" s="28"/>
      <c r="F397" s="404"/>
      <c r="G397" s="380"/>
      <c r="H397" s="300"/>
      <c r="I397" s="17"/>
      <c r="J397" s="17"/>
      <c r="K397" s="17"/>
      <c r="L397" s="17"/>
      <c r="M397" s="17"/>
      <c r="N397" s="17"/>
      <c r="O397" s="17"/>
      <c r="P397" s="17"/>
      <c r="Q397" s="17"/>
      <c r="R397" s="17"/>
      <c r="S397" s="17"/>
      <c r="T397" s="17"/>
      <c r="U397" s="300"/>
      <c r="V397" s="47"/>
      <c r="W397" s="17"/>
      <c r="X397" s="17"/>
      <c r="Y397" s="300"/>
      <c r="Z397" s="386"/>
      <c r="AA397" s="386"/>
      <c r="AB397" s="386"/>
      <c r="AC397" s="386"/>
      <c r="AD397" s="386"/>
      <c r="AE397" s="386"/>
      <c r="AF397" s="386"/>
    </row>
    <row r="398" ht="15.75" customHeight="1">
      <c r="A398" s="24"/>
      <c r="B398" s="25"/>
      <c r="C398" s="25"/>
      <c r="D398" s="28"/>
      <c r="E398" s="28"/>
      <c r="F398" s="383"/>
      <c r="G398" s="380"/>
      <c r="H398" s="300"/>
      <c r="I398" s="17"/>
      <c r="J398" s="17"/>
      <c r="K398" s="17"/>
      <c r="L398" s="17"/>
      <c r="M398" s="17"/>
      <c r="N398" s="17"/>
      <c r="O398" s="17"/>
      <c r="P398" s="17"/>
      <c r="Q398" s="17"/>
      <c r="R398" s="17"/>
      <c r="S398" s="17"/>
      <c r="T398" s="17"/>
      <c r="U398" s="300"/>
      <c r="V398" s="67"/>
      <c r="W398" s="17"/>
      <c r="X398" s="17"/>
      <c r="Y398" s="300"/>
      <c r="Z398" s="386"/>
      <c r="AA398" s="386"/>
      <c r="AB398" s="386"/>
      <c r="AC398" s="386"/>
      <c r="AD398" s="386"/>
      <c r="AE398" s="386"/>
      <c r="AF398" s="386"/>
    </row>
    <row r="399" ht="15.75" customHeight="1">
      <c r="A399" s="24"/>
      <c r="B399" s="25"/>
      <c r="C399" s="25"/>
      <c r="D399" s="28"/>
      <c r="E399" s="28"/>
      <c r="F399" s="404"/>
      <c r="G399" s="380"/>
      <c r="H399" s="300"/>
      <c r="I399" s="17"/>
      <c r="J399" s="17"/>
      <c r="K399" s="17"/>
      <c r="L399" s="17"/>
      <c r="M399" s="17"/>
      <c r="N399" s="17"/>
      <c r="O399" s="17"/>
      <c r="P399" s="17"/>
      <c r="Q399" s="17"/>
      <c r="R399" s="17"/>
      <c r="S399" s="17"/>
      <c r="T399" s="17"/>
      <c r="U399" s="300"/>
      <c r="V399" s="47"/>
      <c r="W399" s="17"/>
      <c r="X399" s="17"/>
      <c r="Y399" s="300"/>
      <c r="Z399" s="386"/>
      <c r="AA399" s="386"/>
      <c r="AB399" s="386"/>
      <c r="AC399" s="386"/>
      <c r="AD399" s="386"/>
      <c r="AE399" s="386"/>
      <c r="AF399" s="386"/>
    </row>
    <row r="400" ht="15.75" customHeight="1">
      <c r="A400" s="24"/>
      <c r="B400" s="25"/>
      <c r="C400" s="25"/>
      <c r="D400" s="28"/>
      <c r="E400" s="28"/>
      <c r="F400" s="383"/>
      <c r="G400" s="380"/>
      <c r="H400" s="300"/>
      <c r="I400" s="17"/>
      <c r="J400" s="17"/>
      <c r="K400" s="17"/>
      <c r="L400" s="17"/>
      <c r="M400" s="17"/>
      <c r="N400" s="17"/>
      <c r="O400" s="17"/>
      <c r="P400" s="17"/>
      <c r="Q400" s="17"/>
      <c r="R400" s="17"/>
      <c r="S400" s="17"/>
      <c r="T400" s="17"/>
      <c r="U400" s="300"/>
      <c r="V400" s="67"/>
      <c r="W400" s="17"/>
      <c r="X400" s="17"/>
      <c r="Y400" s="300"/>
      <c r="Z400" s="386"/>
      <c r="AA400" s="386"/>
      <c r="AB400" s="386"/>
      <c r="AC400" s="386"/>
      <c r="AD400" s="386"/>
      <c r="AE400" s="386"/>
      <c r="AF400" s="386"/>
    </row>
    <row r="401" ht="15.75" customHeight="1">
      <c r="A401" s="24"/>
      <c r="B401" s="25"/>
      <c r="C401" s="25"/>
      <c r="D401" s="28"/>
      <c r="E401" s="28"/>
      <c r="F401" s="404"/>
      <c r="G401" s="380"/>
      <c r="H401" s="300"/>
      <c r="I401" s="17"/>
      <c r="J401" s="17"/>
      <c r="K401" s="17"/>
      <c r="L401" s="17"/>
      <c r="M401" s="17"/>
      <c r="N401" s="17"/>
      <c r="O401" s="17"/>
      <c r="P401" s="17"/>
      <c r="Q401" s="17"/>
      <c r="R401" s="17"/>
      <c r="S401" s="17"/>
      <c r="T401" s="17"/>
      <c r="U401" s="300"/>
      <c r="V401" s="47"/>
      <c r="W401" s="17"/>
      <c r="X401" s="17"/>
      <c r="Y401" s="300"/>
      <c r="Z401" s="386"/>
      <c r="AA401" s="386"/>
      <c r="AB401" s="386"/>
      <c r="AC401" s="386"/>
      <c r="AD401" s="386"/>
      <c r="AE401" s="386"/>
      <c r="AF401" s="386"/>
    </row>
    <row r="402" ht="15.75" customHeight="1">
      <c r="A402" s="24"/>
      <c r="B402" s="25"/>
      <c r="C402" s="25"/>
      <c r="D402" s="28"/>
      <c r="E402" s="28"/>
      <c r="F402" s="383"/>
      <c r="G402" s="380"/>
      <c r="H402" s="300"/>
      <c r="I402" s="17"/>
      <c r="J402" s="17"/>
      <c r="K402" s="17"/>
      <c r="L402" s="17"/>
      <c r="M402" s="17"/>
      <c r="N402" s="17"/>
      <c r="O402" s="17"/>
      <c r="P402" s="17"/>
      <c r="Q402" s="17"/>
      <c r="R402" s="17"/>
      <c r="S402" s="17"/>
      <c r="T402" s="17"/>
      <c r="U402" s="300"/>
      <c r="V402" s="67"/>
      <c r="W402" s="17"/>
      <c r="X402" s="17"/>
      <c r="Y402" s="300"/>
      <c r="Z402" s="386"/>
      <c r="AA402" s="386"/>
      <c r="AB402" s="386"/>
      <c r="AC402" s="386"/>
      <c r="AD402" s="386"/>
      <c r="AE402" s="386"/>
      <c r="AF402" s="386"/>
    </row>
    <row r="403" ht="15.75" customHeight="1">
      <c r="A403" s="24"/>
      <c r="B403" s="25"/>
      <c r="C403" s="25"/>
      <c r="D403" s="28"/>
      <c r="E403" s="28"/>
      <c r="F403" s="404"/>
      <c r="G403" s="380"/>
      <c r="H403" s="300"/>
      <c r="I403" s="17"/>
      <c r="J403" s="17"/>
      <c r="K403" s="17"/>
      <c r="L403" s="17"/>
      <c r="M403" s="17"/>
      <c r="N403" s="17"/>
      <c r="O403" s="17"/>
      <c r="P403" s="17"/>
      <c r="Q403" s="17"/>
      <c r="R403" s="17"/>
      <c r="S403" s="17"/>
      <c r="T403" s="17"/>
      <c r="U403" s="300"/>
      <c r="V403" s="47"/>
      <c r="W403" s="17"/>
      <c r="X403" s="17"/>
      <c r="Y403" s="300"/>
      <c r="Z403" s="386"/>
      <c r="AA403" s="386"/>
      <c r="AB403" s="386"/>
      <c r="AC403" s="386"/>
      <c r="AD403" s="386"/>
      <c r="AE403" s="386"/>
      <c r="AF403" s="386"/>
    </row>
    <row r="404" ht="15.75" customHeight="1">
      <c r="A404" s="24"/>
      <c r="B404" s="25"/>
      <c r="C404" s="25"/>
      <c r="D404" s="28"/>
      <c r="E404" s="28"/>
      <c r="F404" s="383"/>
      <c r="G404" s="380"/>
      <c r="H404" s="300"/>
      <c r="I404" s="17"/>
      <c r="J404" s="17"/>
      <c r="K404" s="17"/>
      <c r="L404" s="17"/>
      <c r="M404" s="17"/>
      <c r="N404" s="17"/>
      <c r="O404" s="17"/>
      <c r="P404" s="17"/>
      <c r="Q404" s="17"/>
      <c r="R404" s="17"/>
      <c r="S404" s="17"/>
      <c r="T404" s="17"/>
      <c r="U404" s="300"/>
      <c r="V404" s="67"/>
      <c r="W404" s="17"/>
      <c r="X404" s="17"/>
      <c r="Y404" s="300"/>
      <c r="Z404" s="386"/>
      <c r="AA404" s="386"/>
      <c r="AB404" s="386"/>
      <c r="AC404" s="386"/>
      <c r="AD404" s="386"/>
      <c r="AE404" s="386"/>
      <c r="AF404" s="386"/>
    </row>
    <row r="405" ht="15.75" customHeight="1">
      <c r="A405" s="24"/>
      <c r="B405" s="25"/>
      <c r="C405" s="25"/>
      <c r="D405" s="28"/>
      <c r="E405" s="28"/>
      <c r="F405" s="404"/>
      <c r="G405" s="380"/>
      <c r="H405" s="300"/>
      <c r="I405" s="17"/>
      <c r="J405" s="17"/>
      <c r="K405" s="17"/>
      <c r="L405" s="17"/>
      <c r="M405" s="17"/>
      <c r="N405" s="17"/>
      <c r="O405" s="17"/>
      <c r="P405" s="17"/>
      <c r="Q405" s="17"/>
      <c r="R405" s="17"/>
      <c r="S405" s="17"/>
      <c r="T405" s="17"/>
      <c r="U405" s="300"/>
      <c r="V405" s="47"/>
      <c r="W405" s="17"/>
      <c r="X405" s="17"/>
      <c r="Y405" s="300"/>
      <c r="Z405" s="386"/>
      <c r="AA405" s="386"/>
      <c r="AB405" s="386"/>
      <c r="AC405" s="386"/>
      <c r="AD405" s="386"/>
      <c r="AE405" s="386"/>
      <c r="AF405" s="386"/>
    </row>
    <row r="406" ht="15.75" customHeight="1">
      <c r="A406" s="24"/>
      <c r="B406" s="25"/>
      <c r="C406" s="25"/>
      <c r="D406" s="28"/>
      <c r="E406" s="28"/>
      <c r="F406" s="383"/>
      <c r="G406" s="380"/>
      <c r="H406" s="300"/>
      <c r="I406" s="17"/>
      <c r="J406" s="17"/>
      <c r="K406" s="17"/>
      <c r="L406" s="17"/>
      <c r="M406" s="17"/>
      <c r="N406" s="17"/>
      <c r="O406" s="17"/>
      <c r="P406" s="17"/>
      <c r="Q406" s="17"/>
      <c r="R406" s="17"/>
      <c r="S406" s="17"/>
      <c r="T406" s="17"/>
      <c r="U406" s="300"/>
      <c r="V406" s="67"/>
      <c r="W406" s="17"/>
      <c r="X406" s="17"/>
      <c r="Y406" s="300"/>
      <c r="Z406" s="386"/>
      <c r="AA406" s="386"/>
      <c r="AB406" s="386"/>
      <c r="AC406" s="386"/>
      <c r="AD406" s="386"/>
      <c r="AE406" s="386"/>
      <c r="AF406" s="386"/>
    </row>
    <row r="407" ht="15.75" customHeight="1">
      <c r="A407" s="24"/>
      <c r="B407" s="25"/>
      <c r="C407" s="25"/>
      <c r="D407" s="28"/>
      <c r="E407" s="28"/>
      <c r="F407" s="404"/>
      <c r="G407" s="380"/>
      <c r="H407" s="300"/>
      <c r="I407" s="17"/>
      <c r="J407" s="17"/>
      <c r="K407" s="17"/>
      <c r="L407" s="17"/>
      <c r="M407" s="17"/>
      <c r="N407" s="17"/>
      <c r="O407" s="17"/>
      <c r="P407" s="17"/>
      <c r="Q407" s="17"/>
      <c r="R407" s="17"/>
      <c r="S407" s="17"/>
      <c r="T407" s="17"/>
      <c r="U407" s="300"/>
      <c r="V407" s="47"/>
      <c r="W407" s="17"/>
      <c r="X407" s="17"/>
      <c r="Y407" s="300"/>
      <c r="Z407" s="386"/>
      <c r="AA407" s="386"/>
      <c r="AB407" s="386"/>
      <c r="AC407" s="386"/>
      <c r="AD407" s="386"/>
      <c r="AE407" s="386"/>
      <c r="AF407" s="386"/>
    </row>
    <row r="408" ht="15.75" customHeight="1">
      <c r="A408" s="24"/>
      <c r="B408" s="25"/>
      <c r="C408" s="25"/>
      <c r="D408" s="28"/>
      <c r="E408" s="28"/>
      <c r="F408" s="383"/>
      <c r="G408" s="380"/>
      <c r="H408" s="300"/>
      <c r="I408" s="17"/>
      <c r="J408" s="17"/>
      <c r="K408" s="17"/>
      <c r="L408" s="17"/>
      <c r="M408" s="17"/>
      <c r="N408" s="17"/>
      <c r="O408" s="17"/>
      <c r="P408" s="17"/>
      <c r="Q408" s="17"/>
      <c r="R408" s="17"/>
      <c r="S408" s="17"/>
      <c r="T408" s="17"/>
      <c r="U408" s="300"/>
      <c r="V408" s="67"/>
      <c r="W408" s="17"/>
      <c r="X408" s="17"/>
      <c r="Y408" s="300"/>
      <c r="Z408" s="386"/>
      <c r="AA408" s="386"/>
      <c r="AB408" s="386"/>
      <c r="AC408" s="386"/>
      <c r="AD408" s="386"/>
      <c r="AE408" s="386"/>
      <c r="AF408" s="386"/>
    </row>
    <row r="409" ht="15.75" customHeight="1">
      <c r="A409" s="24"/>
      <c r="B409" s="25"/>
      <c r="C409" s="25"/>
      <c r="D409" s="28"/>
      <c r="E409" s="28"/>
      <c r="F409" s="404"/>
      <c r="G409" s="380"/>
      <c r="H409" s="300"/>
      <c r="I409" s="17"/>
      <c r="J409" s="17"/>
      <c r="K409" s="17"/>
      <c r="L409" s="17"/>
      <c r="M409" s="17"/>
      <c r="N409" s="17"/>
      <c r="O409" s="17"/>
      <c r="P409" s="17"/>
      <c r="Q409" s="17"/>
      <c r="R409" s="17"/>
      <c r="S409" s="17"/>
      <c r="T409" s="17"/>
      <c r="U409" s="300"/>
      <c r="V409" s="47"/>
      <c r="W409" s="17"/>
      <c r="X409" s="17"/>
      <c r="Y409" s="300"/>
      <c r="Z409" s="386"/>
      <c r="AA409" s="386"/>
      <c r="AB409" s="386"/>
      <c r="AC409" s="386"/>
      <c r="AD409" s="386"/>
      <c r="AE409" s="386"/>
      <c r="AF409" s="386"/>
    </row>
    <row r="410" ht="15.75" customHeight="1">
      <c r="A410" s="24"/>
      <c r="B410" s="25"/>
      <c r="C410" s="25"/>
      <c r="D410" s="28"/>
      <c r="E410" s="28"/>
      <c r="F410" s="383"/>
      <c r="G410" s="380"/>
      <c r="H410" s="300"/>
      <c r="I410" s="17"/>
      <c r="J410" s="17"/>
      <c r="K410" s="17"/>
      <c r="L410" s="17"/>
      <c r="M410" s="17"/>
      <c r="N410" s="17"/>
      <c r="O410" s="17"/>
      <c r="P410" s="17"/>
      <c r="Q410" s="17"/>
      <c r="R410" s="17"/>
      <c r="S410" s="17"/>
      <c r="T410" s="17"/>
      <c r="U410" s="300"/>
      <c r="V410" s="67"/>
      <c r="W410" s="17"/>
      <c r="X410" s="17"/>
      <c r="Y410" s="300"/>
      <c r="Z410" s="386"/>
      <c r="AA410" s="386"/>
      <c r="AB410" s="386"/>
      <c r="AC410" s="386"/>
      <c r="AD410" s="386"/>
      <c r="AE410" s="386"/>
      <c r="AF410" s="386"/>
    </row>
    <row r="411" ht="15.75" customHeight="1">
      <c r="A411" s="24"/>
      <c r="B411" s="25"/>
      <c r="C411" s="25"/>
      <c r="D411" s="28"/>
      <c r="E411" s="28"/>
      <c r="F411" s="404"/>
      <c r="G411" s="380"/>
      <c r="H411" s="300"/>
      <c r="I411" s="17"/>
      <c r="J411" s="17"/>
      <c r="K411" s="17"/>
      <c r="L411" s="17"/>
      <c r="M411" s="17"/>
      <c r="N411" s="17"/>
      <c r="O411" s="17"/>
      <c r="P411" s="17"/>
      <c r="Q411" s="17"/>
      <c r="R411" s="17"/>
      <c r="S411" s="17"/>
      <c r="T411" s="17"/>
      <c r="U411" s="300"/>
      <c r="V411" s="47"/>
      <c r="W411" s="17"/>
      <c r="X411" s="17"/>
      <c r="Y411" s="300"/>
      <c r="Z411" s="386"/>
      <c r="AA411" s="386"/>
      <c r="AB411" s="386"/>
      <c r="AC411" s="386"/>
      <c r="AD411" s="386"/>
      <c r="AE411" s="386"/>
      <c r="AF411" s="386"/>
    </row>
    <row r="412" ht="15.75" customHeight="1">
      <c r="A412" s="24"/>
      <c r="B412" s="25"/>
      <c r="C412" s="25"/>
      <c r="D412" s="28"/>
      <c r="E412" s="28"/>
      <c r="F412" s="383"/>
      <c r="G412" s="380"/>
      <c r="H412" s="300"/>
      <c r="I412" s="17"/>
      <c r="J412" s="17"/>
      <c r="K412" s="17"/>
      <c r="L412" s="17"/>
      <c r="M412" s="17"/>
      <c r="N412" s="17"/>
      <c r="O412" s="17"/>
      <c r="P412" s="17"/>
      <c r="Q412" s="17"/>
      <c r="R412" s="17"/>
      <c r="S412" s="17"/>
      <c r="T412" s="17"/>
      <c r="U412" s="300"/>
      <c r="V412" s="67"/>
      <c r="W412" s="17"/>
      <c r="X412" s="17"/>
      <c r="Y412" s="300"/>
      <c r="Z412" s="386"/>
      <c r="AA412" s="386"/>
      <c r="AB412" s="386"/>
      <c r="AC412" s="386"/>
      <c r="AD412" s="386"/>
      <c r="AE412" s="386"/>
      <c r="AF412" s="386"/>
    </row>
    <row r="413" ht="15.75" customHeight="1">
      <c r="A413" s="24"/>
      <c r="B413" s="25"/>
      <c r="C413" s="25"/>
      <c r="D413" s="28"/>
      <c r="E413" s="28"/>
      <c r="F413" s="404"/>
      <c r="G413" s="380"/>
      <c r="H413" s="300"/>
      <c r="I413" s="17"/>
      <c r="J413" s="17"/>
      <c r="K413" s="17"/>
      <c r="L413" s="17"/>
      <c r="M413" s="17"/>
      <c r="N413" s="17"/>
      <c r="O413" s="17"/>
      <c r="P413" s="17"/>
      <c r="Q413" s="17"/>
      <c r="R413" s="17"/>
      <c r="S413" s="17"/>
      <c r="T413" s="17"/>
      <c r="U413" s="300"/>
      <c r="V413" s="47"/>
      <c r="W413" s="17"/>
      <c r="X413" s="17"/>
      <c r="Y413" s="300"/>
      <c r="Z413" s="386"/>
      <c r="AA413" s="386"/>
      <c r="AB413" s="386"/>
      <c r="AC413" s="386"/>
      <c r="AD413" s="386"/>
      <c r="AE413" s="386"/>
      <c r="AF413" s="386"/>
    </row>
    <row r="414" ht="15.75" customHeight="1">
      <c r="A414" s="24"/>
      <c r="B414" s="25"/>
      <c r="C414" s="25"/>
      <c r="D414" s="28"/>
      <c r="E414" s="28"/>
      <c r="F414" s="383"/>
      <c r="G414" s="380"/>
      <c r="H414" s="300"/>
      <c r="I414" s="17"/>
      <c r="J414" s="17"/>
      <c r="K414" s="17"/>
      <c r="L414" s="17"/>
      <c r="M414" s="17"/>
      <c r="N414" s="17"/>
      <c r="O414" s="17"/>
      <c r="P414" s="17"/>
      <c r="Q414" s="17"/>
      <c r="R414" s="17"/>
      <c r="S414" s="17"/>
      <c r="T414" s="17"/>
      <c r="U414" s="300"/>
      <c r="V414" s="67"/>
      <c r="W414" s="17"/>
      <c r="X414" s="17"/>
      <c r="Y414" s="300"/>
      <c r="Z414" s="386"/>
      <c r="AA414" s="386"/>
      <c r="AB414" s="386"/>
      <c r="AC414" s="386"/>
      <c r="AD414" s="386"/>
      <c r="AE414" s="386"/>
      <c r="AF414" s="386"/>
    </row>
    <row r="415" ht="15.75" customHeight="1">
      <c r="A415" s="24"/>
      <c r="B415" s="25"/>
      <c r="C415" s="25"/>
      <c r="D415" s="28"/>
      <c r="E415" s="28"/>
      <c r="F415" s="404"/>
      <c r="G415" s="380"/>
      <c r="H415" s="300"/>
      <c r="I415" s="17"/>
      <c r="J415" s="17"/>
      <c r="K415" s="17"/>
      <c r="L415" s="17"/>
      <c r="M415" s="17"/>
      <c r="N415" s="17"/>
      <c r="O415" s="17"/>
      <c r="P415" s="17"/>
      <c r="Q415" s="17"/>
      <c r="R415" s="17"/>
      <c r="S415" s="17"/>
      <c r="T415" s="17"/>
      <c r="U415" s="300"/>
      <c r="V415" s="47"/>
      <c r="W415" s="17"/>
      <c r="X415" s="17"/>
      <c r="Y415" s="300"/>
      <c r="Z415" s="386"/>
      <c r="AA415" s="386"/>
      <c r="AB415" s="386"/>
      <c r="AC415" s="386"/>
      <c r="AD415" s="386"/>
      <c r="AE415" s="386"/>
      <c r="AF415" s="386"/>
    </row>
    <row r="416" ht="15.75" customHeight="1">
      <c r="A416" s="24"/>
      <c r="B416" s="25"/>
      <c r="C416" s="25"/>
      <c r="D416" s="28"/>
      <c r="E416" s="28"/>
      <c r="F416" s="383"/>
      <c r="G416" s="380"/>
      <c r="H416" s="300"/>
      <c r="I416" s="17"/>
      <c r="J416" s="17"/>
      <c r="K416" s="17"/>
      <c r="L416" s="17"/>
      <c r="M416" s="17"/>
      <c r="N416" s="17"/>
      <c r="O416" s="17"/>
      <c r="P416" s="17"/>
      <c r="Q416" s="17"/>
      <c r="R416" s="17"/>
      <c r="S416" s="17"/>
      <c r="T416" s="17"/>
      <c r="U416" s="300"/>
      <c r="V416" s="67"/>
      <c r="W416" s="17"/>
      <c r="X416" s="17"/>
      <c r="Y416" s="300"/>
      <c r="Z416" s="386"/>
      <c r="AA416" s="386"/>
      <c r="AB416" s="386"/>
      <c r="AC416" s="386"/>
      <c r="AD416" s="386"/>
      <c r="AE416" s="386"/>
      <c r="AF416" s="386"/>
    </row>
    <row r="417" ht="15.75" customHeight="1">
      <c r="A417" s="24"/>
      <c r="B417" s="25"/>
      <c r="C417" s="25"/>
      <c r="D417" s="28"/>
      <c r="E417" s="28"/>
      <c r="F417" s="404"/>
      <c r="G417" s="380"/>
      <c r="H417" s="300"/>
      <c r="I417" s="17"/>
      <c r="J417" s="17"/>
      <c r="K417" s="17"/>
      <c r="L417" s="17"/>
      <c r="M417" s="17"/>
      <c r="N417" s="17"/>
      <c r="O417" s="17"/>
      <c r="P417" s="17"/>
      <c r="Q417" s="17"/>
      <c r="R417" s="17"/>
      <c r="S417" s="17"/>
      <c r="T417" s="17"/>
      <c r="U417" s="300"/>
      <c r="V417" s="47"/>
      <c r="W417" s="17"/>
      <c r="X417" s="17"/>
      <c r="Y417" s="300"/>
      <c r="Z417" s="386"/>
      <c r="AA417" s="386"/>
      <c r="AB417" s="386"/>
      <c r="AC417" s="386"/>
      <c r="AD417" s="386"/>
      <c r="AE417" s="386"/>
      <c r="AF417" s="386"/>
    </row>
    <row r="418" ht="15.75" customHeight="1">
      <c r="A418" s="24"/>
      <c r="B418" s="25"/>
      <c r="C418" s="25"/>
      <c r="D418" s="28"/>
      <c r="E418" s="28"/>
      <c r="F418" s="383"/>
      <c r="G418" s="380"/>
      <c r="H418" s="300"/>
      <c r="I418" s="17"/>
      <c r="J418" s="17"/>
      <c r="K418" s="17"/>
      <c r="L418" s="17"/>
      <c r="M418" s="17"/>
      <c r="N418" s="17"/>
      <c r="O418" s="17"/>
      <c r="P418" s="17"/>
      <c r="Q418" s="17"/>
      <c r="R418" s="17"/>
      <c r="S418" s="17"/>
      <c r="T418" s="17"/>
      <c r="U418" s="300"/>
      <c r="V418" s="67"/>
      <c r="W418" s="17"/>
      <c r="X418" s="17"/>
      <c r="Y418" s="300"/>
      <c r="Z418" s="386"/>
      <c r="AA418" s="386"/>
      <c r="AB418" s="386"/>
      <c r="AC418" s="386"/>
      <c r="AD418" s="386"/>
      <c r="AE418" s="386"/>
      <c r="AF418" s="386"/>
    </row>
    <row r="419" ht="15.75" customHeight="1">
      <c r="A419" s="24"/>
      <c r="B419" s="25"/>
      <c r="C419" s="25"/>
      <c r="D419" s="28"/>
      <c r="E419" s="28"/>
      <c r="F419" s="404"/>
      <c r="G419" s="380"/>
      <c r="H419" s="300"/>
      <c r="I419" s="17"/>
      <c r="J419" s="17"/>
      <c r="K419" s="17"/>
      <c r="L419" s="17"/>
      <c r="M419" s="17"/>
      <c r="N419" s="17"/>
      <c r="O419" s="17"/>
      <c r="P419" s="17"/>
      <c r="Q419" s="17"/>
      <c r="R419" s="17"/>
      <c r="S419" s="17"/>
      <c r="T419" s="17"/>
      <c r="U419" s="300"/>
      <c r="V419" s="47"/>
      <c r="W419" s="17"/>
      <c r="X419" s="17"/>
      <c r="Y419" s="300"/>
      <c r="Z419" s="386"/>
      <c r="AA419" s="386"/>
      <c r="AB419" s="386"/>
      <c r="AC419" s="386"/>
      <c r="AD419" s="386"/>
      <c r="AE419" s="386"/>
      <c r="AF419" s="386"/>
    </row>
    <row r="420" ht="15.75" customHeight="1">
      <c r="A420" s="24"/>
      <c r="B420" s="25"/>
      <c r="C420" s="25"/>
      <c r="D420" s="28"/>
      <c r="E420" s="28"/>
      <c r="F420" s="383"/>
      <c r="G420" s="380"/>
      <c r="H420" s="300"/>
      <c r="I420" s="17"/>
      <c r="J420" s="17"/>
      <c r="K420" s="17"/>
      <c r="L420" s="17"/>
      <c r="M420" s="17"/>
      <c r="N420" s="17"/>
      <c r="O420" s="17"/>
      <c r="P420" s="17"/>
      <c r="Q420" s="17"/>
      <c r="R420" s="17"/>
      <c r="S420" s="17"/>
      <c r="T420" s="17"/>
      <c r="U420" s="300"/>
      <c r="V420" s="67"/>
      <c r="W420" s="17"/>
      <c r="X420" s="17"/>
      <c r="Y420" s="300"/>
      <c r="Z420" s="386"/>
      <c r="AA420" s="386"/>
      <c r="AB420" s="386"/>
      <c r="AC420" s="386"/>
      <c r="AD420" s="386"/>
      <c r="AE420" s="386"/>
      <c r="AF420" s="386"/>
    </row>
    <row r="421" ht="15.75" customHeight="1">
      <c r="A421" s="24"/>
      <c r="B421" s="25"/>
      <c r="C421" s="25"/>
      <c r="D421" s="28"/>
      <c r="E421" s="28"/>
      <c r="F421" s="404"/>
      <c r="G421" s="380"/>
      <c r="H421" s="300"/>
      <c r="I421" s="17"/>
      <c r="J421" s="17"/>
      <c r="K421" s="17"/>
      <c r="L421" s="17"/>
      <c r="M421" s="17"/>
      <c r="N421" s="17"/>
      <c r="O421" s="17"/>
      <c r="P421" s="17"/>
      <c r="Q421" s="17"/>
      <c r="R421" s="17"/>
      <c r="S421" s="17"/>
      <c r="T421" s="17"/>
      <c r="U421" s="300"/>
      <c r="V421" s="47"/>
      <c r="W421" s="17"/>
      <c r="X421" s="17"/>
      <c r="Y421" s="300"/>
      <c r="Z421" s="386"/>
      <c r="AA421" s="386"/>
      <c r="AB421" s="386"/>
      <c r="AC421" s="386"/>
      <c r="AD421" s="386"/>
      <c r="AE421" s="386"/>
      <c r="AF421" s="386"/>
    </row>
    <row r="422" ht="15.75" customHeight="1">
      <c r="A422" s="24"/>
      <c r="B422" s="25"/>
      <c r="C422" s="25"/>
      <c r="D422" s="28"/>
      <c r="E422" s="28"/>
      <c r="F422" s="383"/>
      <c r="G422" s="380"/>
      <c r="H422" s="300"/>
      <c r="I422" s="17"/>
      <c r="J422" s="17"/>
      <c r="K422" s="17"/>
      <c r="L422" s="17"/>
      <c r="M422" s="17"/>
      <c r="N422" s="17"/>
      <c r="O422" s="17"/>
      <c r="P422" s="17"/>
      <c r="Q422" s="17"/>
      <c r="R422" s="17"/>
      <c r="S422" s="17"/>
      <c r="T422" s="17"/>
      <c r="U422" s="300"/>
      <c r="V422" s="67"/>
      <c r="W422" s="17"/>
      <c r="X422" s="17"/>
      <c r="Y422" s="300"/>
      <c r="Z422" s="386"/>
      <c r="AA422" s="386"/>
      <c r="AB422" s="386"/>
      <c r="AC422" s="386"/>
      <c r="AD422" s="386"/>
      <c r="AE422" s="386"/>
      <c r="AF422" s="386"/>
    </row>
    <row r="423" ht="15.75" customHeight="1">
      <c r="A423" s="24"/>
      <c r="B423" s="25"/>
      <c r="C423" s="25"/>
      <c r="D423" s="28"/>
      <c r="E423" s="28"/>
      <c r="F423" s="404"/>
      <c r="G423" s="380"/>
      <c r="H423" s="300"/>
      <c r="I423" s="17"/>
      <c r="J423" s="17"/>
      <c r="K423" s="17"/>
      <c r="L423" s="17"/>
      <c r="M423" s="17"/>
      <c r="N423" s="17"/>
      <c r="O423" s="17"/>
      <c r="P423" s="17"/>
      <c r="Q423" s="17"/>
      <c r="R423" s="17"/>
      <c r="S423" s="17"/>
      <c r="T423" s="17"/>
      <c r="U423" s="300"/>
      <c r="V423" s="47"/>
      <c r="W423" s="17"/>
      <c r="X423" s="17"/>
      <c r="Y423" s="300"/>
      <c r="Z423" s="386"/>
      <c r="AA423" s="386"/>
      <c r="AB423" s="386"/>
      <c r="AC423" s="386"/>
      <c r="AD423" s="386"/>
      <c r="AE423" s="386"/>
      <c r="AF423" s="386"/>
    </row>
    <row r="424" ht="15.75" customHeight="1">
      <c r="A424" s="24"/>
      <c r="B424" s="25"/>
      <c r="C424" s="25"/>
      <c r="D424" s="28"/>
      <c r="E424" s="28"/>
      <c r="F424" s="383"/>
      <c r="G424" s="380"/>
      <c r="H424" s="300"/>
      <c r="I424" s="17"/>
      <c r="J424" s="17"/>
      <c r="K424" s="17"/>
      <c r="L424" s="17"/>
      <c r="M424" s="17"/>
      <c r="N424" s="17"/>
      <c r="O424" s="17"/>
      <c r="P424" s="17"/>
      <c r="Q424" s="17"/>
      <c r="R424" s="17"/>
      <c r="S424" s="17"/>
      <c r="T424" s="17"/>
      <c r="U424" s="300"/>
      <c r="V424" s="67"/>
      <c r="W424" s="17"/>
      <c r="X424" s="17"/>
      <c r="Y424" s="300"/>
      <c r="Z424" s="386"/>
      <c r="AA424" s="386"/>
      <c r="AB424" s="386"/>
      <c r="AC424" s="386"/>
      <c r="AD424" s="386"/>
      <c r="AE424" s="386"/>
      <c r="AF424" s="386"/>
    </row>
    <row r="425" ht="15.75" customHeight="1">
      <c r="A425" s="24"/>
      <c r="B425" s="25"/>
      <c r="C425" s="25"/>
      <c r="D425" s="28"/>
      <c r="E425" s="28"/>
      <c r="F425" s="404"/>
      <c r="G425" s="380"/>
      <c r="H425" s="300"/>
      <c r="I425" s="17"/>
      <c r="J425" s="17"/>
      <c r="K425" s="17"/>
      <c r="L425" s="17"/>
      <c r="M425" s="17"/>
      <c r="N425" s="17"/>
      <c r="O425" s="17"/>
      <c r="P425" s="17"/>
      <c r="Q425" s="17"/>
      <c r="R425" s="17"/>
      <c r="S425" s="17"/>
      <c r="T425" s="17"/>
      <c r="U425" s="300"/>
      <c r="V425" s="47"/>
      <c r="W425" s="17"/>
      <c r="X425" s="17"/>
      <c r="Y425" s="300"/>
      <c r="Z425" s="386"/>
      <c r="AA425" s="386"/>
      <c r="AB425" s="386"/>
      <c r="AC425" s="386"/>
      <c r="AD425" s="386"/>
      <c r="AE425" s="386"/>
      <c r="AF425" s="386"/>
    </row>
    <row r="426" ht="15.75" customHeight="1">
      <c r="A426" s="24"/>
      <c r="B426" s="25"/>
      <c r="C426" s="25"/>
      <c r="D426" s="28"/>
      <c r="E426" s="28"/>
      <c r="F426" s="383"/>
      <c r="G426" s="380"/>
      <c r="H426" s="300"/>
      <c r="I426" s="17"/>
      <c r="J426" s="17"/>
      <c r="K426" s="17"/>
      <c r="L426" s="17"/>
      <c r="M426" s="17"/>
      <c r="N426" s="17"/>
      <c r="O426" s="17"/>
      <c r="P426" s="17"/>
      <c r="Q426" s="17"/>
      <c r="R426" s="17"/>
      <c r="S426" s="17"/>
      <c r="T426" s="17"/>
      <c r="U426" s="300"/>
      <c r="V426" s="67"/>
      <c r="W426" s="17"/>
      <c r="X426" s="17"/>
      <c r="Y426" s="300"/>
      <c r="Z426" s="386"/>
      <c r="AA426" s="386"/>
      <c r="AB426" s="386"/>
      <c r="AC426" s="386"/>
      <c r="AD426" s="386"/>
      <c r="AE426" s="386"/>
      <c r="AF426" s="386"/>
    </row>
    <row r="427" ht="15.75" customHeight="1">
      <c r="A427" s="24"/>
      <c r="B427" s="25"/>
      <c r="C427" s="25"/>
      <c r="D427" s="28"/>
      <c r="E427" s="28"/>
      <c r="F427" s="404"/>
      <c r="G427" s="380"/>
      <c r="H427" s="300"/>
      <c r="I427" s="17"/>
      <c r="J427" s="17"/>
      <c r="K427" s="17"/>
      <c r="L427" s="17"/>
      <c r="M427" s="17"/>
      <c r="N427" s="17"/>
      <c r="O427" s="17"/>
      <c r="P427" s="17"/>
      <c r="Q427" s="17"/>
      <c r="R427" s="17"/>
      <c r="S427" s="17"/>
      <c r="T427" s="17"/>
      <c r="U427" s="300"/>
      <c r="V427" s="47"/>
      <c r="W427" s="17"/>
      <c r="X427" s="17"/>
      <c r="Y427" s="300"/>
      <c r="Z427" s="386"/>
      <c r="AA427" s="386"/>
      <c r="AB427" s="386"/>
      <c r="AC427" s="386"/>
      <c r="AD427" s="386"/>
      <c r="AE427" s="386"/>
      <c r="AF427" s="386"/>
    </row>
    <row r="428" ht="15.75" customHeight="1">
      <c r="A428" s="24"/>
      <c r="B428" s="25"/>
      <c r="C428" s="25"/>
      <c r="D428" s="28"/>
      <c r="E428" s="28"/>
      <c r="F428" s="383"/>
      <c r="G428" s="380"/>
      <c r="H428" s="300"/>
      <c r="I428" s="17"/>
      <c r="J428" s="17"/>
      <c r="K428" s="17"/>
      <c r="L428" s="17"/>
      <c r="M428" s="17"/>
      <c r="N428" s="17"/>
      <c r="O428" s="17"/>
      <c r="P428" s="17"/>
      <c r="Q428" s="17"/>
      <c r="R428" s="17"/>
      <c r="S428" s="17"/>
      <c r="T428" s="17"/>
      <c r="U428" s="300"/>
      <c r="V428" s="67"/>
      <c r="W428" s="17"/>
      <c r="X428" s="17"/>
      <c r="Y428" s="300"/>
      <c r="Z428" s="386"/>
      <c r="AA428" s="386"/>
      <c r="AB428" s="386"/>
      <c r="AC428" s="386"/>
      <c r="AD428" s="386"/>
      <c r="AE428" s="386"/>
      <c r="AF428" s="386"/>
    </row>
    <row r="429" ht="15.75" customHeight="1">
      <c r="A429" s="24"/>
      <c r="B429" s="25"/>
      <c r="C429" s="25"/>
      <c r="D429" s="28"/>
      <c r="E429" s="28"/>
      <c r="F429" s="404"/>
      <c r="G429" s="380"/>
      <c r="H429" s="300"/>
      <c r="I429" s="17"/>
      <c r="J429" s="17"/>
      <c r="K429" s="17"/>
      <c r="L429" s="17"/>
      <c r="M429" s="17"/>
      <c r="N429" s="17"/>
      <c r="O429" s="17"/>
      <c r="P429" s="17"/>
      <c r="Q429" s="17"/>
      <c r="R429" s="17"/>
      <c r="S429" s="17"/>
      <c r="T429" s="17"/>
      <c r="U429" s="300"/>
      <c r="V429" s="47"/>
      <c r="W429" s="17"/>
      <c r="X429" s="17"/>
      <c r="Y429" s="300"/>
      <c r="Z429" s="386"/>
      <c r="AA429" s="386"/>
      <c r="AB429" s="386"/>
      <c r="AC429" s="386"/>
      <c r="AD429" s="386"/>
      <c r="AE429" s="386"/>
      <c r="AF429" s="386"/>
    </row>
    <row r="430" ht="15.75" customHeight="1">
      <c r="A430" s="24"/>
      <c r="B430" s="25"/>
      <c r="C430" s="25"/>
      <c r="D430" s="28"/>
      <c r="E430" s="28"/>
      <c r="F430" s="383"/>
      <c r="G430" s="380"/>
      <c r="H430" s="300"/>
      <c r="I430" s="17"/>
      <c r="J430" s="17"/>
      <c r="K430" s="17"/>
      <c r="L430" s="17"/>
      <c r="M430" s="17"/>
      <c r="N430" s="17"/>
      <c r="O430" s="17"/>
      <c r="P430" s="17"/>
      <c r="Q430" s="17"/>
      <c r="R430" s="17"/>
      <c r="S430" s="17"/>
      <c r="T430" s="17"/>
      <c r="U430" s="300"/>
      <c r="V430" s="67"/>
      <c r="W430" s="17"/>
      <c r="X430" s="17"/>
      <c r="Y430" s="300"/>
      <c r="Z430" s="386"/>
      <c r="AA430" s="386"/>
      <c r="AB430" s="386"/>
      <c r="AC430" s="386"/>
      <c r="AD430" s="386"/>
      <c r="AE430" s="386"/>
      <c r="AF430" s="386"/>
    </row>
    <row r="431" ht="15.75" customHeight="1">
      <c r="A431" s="24"/>
      <c r="B431" s="25"/>
      <c r="C431" s="25"/>
      <c r="D431" s="28"/>
      <c r="E431" s="28"/>
      <c r="F431" s="404"/>
      <c r="G431" s="380"/>
      <c r="H431" s="300"/>
      <c r="I431" s="17"/>
      <c r="J431" s="17"/>
      <c r="K431" s="17"/>
      <c r="L431" s="17"/>
      <c r="M431" s="17"/>
      <c r="N431" s="17"/>
      <c r="O431" s="17"/>
      <c r="P431" s="17"/>
      <c r="Q431" s="17"/>
      <c r="R431" s="17"/>
      <c r="S431" s="17"/>
      <c r="T431" s="17"/>
      <c r="U431" s="300"/>
      <c r="V431" s="47"/>
      <c r="W431" s="17"/>
      <c r="X431" s="17"/>
      <c r="Y431" s="300"/>
      <c r="Z431" s="386"/>
      <c r="AA431" s="386"/>
      <c r="AB431" s="386"/>
      <c r="AC431" s="386"/>
      <c r="AD431" s="386"/>
      <c r="AE431" s="386"/>
      <c r="AF431" s="386"/>
    </row>
    <row r="432" ht="15.75" customHeight="1">
      <c r="A432" s="24"/>
      <c r="B432" s="25"/>
      <c r="C432" s="25"/>
      <c r="D432" s="28"/>
      <c r="E432" s="28"/>
      <c r="F432" s="383"/>
      <c r="G432" s="380"/>
      <c r="H432" s="300"/>
      <c r="I432" s="17"/>
      <c r="J432" s="17"/>
      <c r="K432" s="17"/>
      <c r="L432" s="17"/>
      <c r="M432" s="17"/>
      <c r="N432" s="17"/>
      <c r="O432" s="17"/>
      <c r="P432" s="17"/>
      <c r="Q432" s="17"/>
      <c r="R432" s="17"/>
      <c r="S432" s="17"/>
      <c r="T432" s="17"/>
      <c r="U432" s="300"/>
      <c r="V432" s="67"/>
      <c r="W432" s="17"/>
      <c r="X432" s="17"/>
      <c r="Y432" s="300"/>
      <c r="Z432" s="386"/>
      <c r="AA432" s="386"/>
      <c r="AB432" s="386"/>
      <c r="AC432" s="386"/>
      <c r="AD432" s="386"/>
      <c r="AE432" s="386"/>
      <c r="AF432" s="386"/>
    </row>
    <row r="433" ht="15.75" customHeight="1">
      <c r="A433" s="24"/>
      <c r="B433" s="25"/>
      <c r="C433" s="25"/>
      <c r="D433" s="28"/>
      <c r="E433" s="28"/>
      <c r="F433" s="404"/>
      <c r="G433" s="380"/>
      <c r="H433" s="300"/>
      <c r="I433" s="17"/>
      <c r="J433" s="17"/>
      <c r="K433" s="17"/>
      <c r="L433" s="17"/>
      <c r="M433" s="17"/>
      <c r="N433" s="17"/>
      <c r="O433" s="17"/>
      <c r="P433" s="17"/>
      <c r="Q433" s="17"/>
      <c r="R433" s="17"/>
      <c r="S433" s="17"/>
      <c r="T433" s="17"/>
      <c r="U433" s="300"/>
      <c r="V433" s="47"/>
      <c r="W433" s="17"/>
      <c r="X433" s="17"/>
      <c r="Y433" s="300"/>
      <c r="Z433" s="386"/>
      <c r="AA433" s="386"/>
      <c r="AB433" s="386"/>
      <c r="AC433" s="386"/>
      <c r="AD433" s="386"/>
      <c r="AE433" s="386"/>
      <c r="AF433" s="386"/>
    </row>
    <row r="434" ht="15.75" customHeight="1">
      <c r="A434" s="24"/>
      <c r="B434" s="25"/>
      <c r="C434" s="25"/>
      <c r="D434" s="28"/>
      <c r="E434" s="28"/>
      <c r="F434" s="383"/>
      <c r="G434" s="380"/>
      <c r="H434" s="300"/>
      <c r="I434" s="17"/>
      <c r="J434" s="17"/>
      <c r="K434" s="17"/>
      <c r="L434" s="17"/>
      <c r="M434" s="17"/>
      <c r="N434" s="17"/>
      <c r="O434" s="17"/>
      <c r="P434" s="17"/>
      <c r="Q434" s="17"/>
      <c r="R434" s="17"/>
      <c r="S434" s="17"/>
      <c r="T434" s="17"/>
      <c r="U434" s="300"/>
      <c r="V434" s="67"/>
      <c r="W434" s="17"/>
      <c r="X434" s="17"/>
      <c r="Y434" s="300"/>
      <c r="Z434" s="386"/>
      <c r="AA434" s="386"/>
      <c r="AB434" s="386"/>
      <c r="AC434" s="386"/>
      <c r="AD434" s="386"/>
      <c r="AE434" s="386"/>
      <c r="AF434" s="386"/>
    </row>
    <row r="435" ht="15.75" customHeight="1">
      <c r="A435" s="24"/>
      <c r="B435" s="25"/>
      <c r="C435" s="25"/>
      <c r="D435" s="28"/>
      <c r="E435" s="28"/>
      <c r="F435" s="404"/>
      <c r="G435" s="380"/>
      <c r="H435" s="300"/>
      <c r="I435" s="17"/>
      <c r="J435" s="17"/>
      <c r="K435" s="17"/>
      <c r="L435" s="17"/>
      <c r="M435" s="17"/>
      <c r="N435" s="17"/>
      <c r="O435" s="17"/>
      <c r="P435" s="17"/>
      <c r="Q435" s="17"/>
      <c r="R435" s="17"/>
      <c r="S435" s="17"/>
      <c r="T435" s="17"/>
      <c r="U435" s="300"/>
      <c r="V435" s="47"/>
      <c r="W435" s="17"/>
      <c r="X435" s="17"/>
      <c r="Y435" s="300"/>
      <c r="Z435" s="386"/>
      <c r="AA435" s="386"/>
      <c r="AB435" s="386"/>
      <c r="AC435" s="386"/>
      <c r="AD435" s="386"/>
      <c r="AE435" s="386"/>
      <c r="AF435" s="386"/>
    </row>
    <row r="436" ht="15.75" customHeight="1">
      <c r="A436" s="24"/>
      <c r="B436" s="25"/>
      <c r="C436" s="25"/>
      <c r="D436" s="28"/>
      <c r="E436" s="28"/>
      <c r="F436" s="383"/>
      <c r="G436" s="380"/>
      <c r="H436" s="300"/>
      <c r="I436" s="17"/>
      <c r="J436" s="17"/>
      <c r="K436" s="17"/>
      <c r="L436" s="17"/>
      <c r="M436" s="17"/>
      <c r="N436" s="17"/>
      <c r="O436" s="17"/>
      <c r="P436" s="17"/>
      <c r="Q436" s="17"/>
      <c r="R436" s="17"/>
      <c r="S436" s="17"/>
      <c r="T436" s="17"/>
      <c r="U436" s="300"/>
      <c r="V436" s="67"/>
      <c r="W436" s="17"/>
      <c r="X436" s="17"/>
      <c r="Y436" s="300"/>
      <c r="Z436" s="386"/>
      <c r="AA436" s="386"/>
      <c r="AB436" s="386"/>
      <c r="AC436" s="386"/>
      <c r="AD436" s="386"/>
      <c r="AE436" s="386"/>
      <c r="AF436" s="386"/>
    </row>
    <row r="437" ht="15.75" customHeight="1">
      <c r="A437" s="24"/>
      <c r="B437" s="25"/>
      <c r="C437" s="25"/>
      <c r="D437" s="28"/>
      <c r="E437" s="28"/>
      <c r="F437" s="404"/>
      <c r="G437" s="380"/>
      <c r="H437" s="300"/>
      <c r="I437" s="17"/>
      <c r="J437" s="17"/>
      <c r="K437" s="17"/>
      <c r="L437" s="17"/>
      <c r="M437" s="17"/>
      <c r="N437" s="17"/>
      <c r="O437" s="17"/>
      <c r="P437" s="17"/>
      <c r="Q437" s="17"/>
      <c r="R437" s="17"/>
      <c r="S437" s="17"/>
      <c r="T437" s="17"/>
      <c r="U437" s="300"/>
      <c r="V437" s="47"/>
      <c r="W437" s="17"/>
      <c r="X437" s="17"/>
      <c r="Y437" s="300"/>
      <c r="Z437" s="386"/>
      <c r="AA437" s="386"/>
      <c r="AB437" s="386"/>
      <c r="AC437" s="386"/>
      <c r="AD437" s="386"/>
      <c r="AE437" s="386"/>
      <c r="AF437" s="386"/>
    </row>
    <row r="438" ht="15.75" customHeight="1">
      <c r="A438" s="24"/>
      <c r="B438" s="25"/>
      <c r="C438" s="25"/>
      <c r="D438" s="28"/>
      <c r="E438" s="28"/>
      <c r="F438" s="383"/>
      <c r="G438" s="380"/>
      <c r="H438" s="300"/>
      <c r="I438" s="17"/>
      <c r="J438" s="17"/>
      <c r="K438" s="17"/>
      <c r="L438" s="17"/>
      <c r="M438" s="17"/>
      <c r="N438" s="17"/>
      <c r="O438" s="17"/>
      <c r="P438" s="17"/>
      <c r="Q438" s="17"/>
      <c r="R438" s="17"/>
      <c r="S438" s="17"/>
      <c r="T438" s="17"/>
      <c r="U438" s="300"/>
      <c r="V438" s="67"/>
      <c r="W438" s="17"/>
      <c r="X438" s="17"/>
      <c r="Y438" s="300"/>
      <c r="Z438" s="386"/>
      <c r="AA438" s="386"/>
      <c r="AB438" s="386"/>
      <c r="AC438" s="386"/>
      <c r="AD438" s="386"/>
      <c r="AE438" s="386"/>
      <c r="AF438" s="386"/>
    </row>
    <row r="439" ht="15.75" customHeight="1">
      <c r="A439" s="24"/>
      <c r="B439" s="25"/>
      <c r="C439" s="25"/>
      <c r="D439" s="28"/>
      <c r="E439" s="28"/>
      <c r="F439" s="404"/>
      <c r="G439" s="380"/>
      <c r="H439" s="300"/>
      <c r="I439" s="17"/>
      <c r="J439" s="17"/>
      <c r="K439" s="17"/>
      <c r="L439" s="17"/>
      <c r="M439" s="17"/>
      <c r="N439" s="17"/>
      <c r="O439" s="17"/>
      <c r="P439" s="17"/>
      <c r="Q439" s="17"/>
      <c r="R439" s="17"/>
      <c r="S439" s="17"/>
      <c r="T439" s="17"/>
      <c r="U439" s="300"/>
      <c r="V439" s="47"/>
      <c r="W439" s="17"/>
      <c r="X439" s="17"/>
      <c r="Y439" s="300"/>
      <c r="Z439" s="386"/>
      <c r="AA439" s="386"/>
      <c r="AB439" s="386"/>
      <c r="AC439" s="386"/>
      <c r="AD439" s="386"/>
      <c r="AE439" s="386"/>
      <c r="AF439" s="386"/>
    </row>
    <row r="440" ht="15.75" customHeight="1">
      <c r="A440" s="24"/>
      <c r="B440" s="25"/>
      <c r="C440" s="25"/>
      <c r="D440" s="28"/>
      <c r="E440" s="28"/>
      <c r="F440" s="383"/>
      <c r="G440" s="380"/>
      <c r="H440" s="300"/>
      <c r="I440" s="17"/>
      <c r="J440" s="17"/>
      <c r="K440" s="17"/>
      <c r="L440" s="17"/>
      <c r="M440" s="17"/>
      <c r="N440" s="17"/>
      <c r="O440" s="17"/>
      <c r="P440" s="17"/>
      <c r="Q440" s="17"/>
      <c r="R440" s="17"/>
      <c r="S440" s="17"/>
      <c r="T440" s="17"/>
      <c r="U440" s="300"/>
      <c r="V440" s="67"/>
      <c r="W440" s="17"/>
      <c r="X440" s="17"/>
      <c r="Y440" s="300"/>
      <c r="Z440" s="386"/>
      <c r="AA440" s="386"/>
      <c r="AB440" s="386"/>
      <c r="AC440" s="386"/>
      <c r="AD440" s="386"/>
      <c r="AE440" s="386"/>
      <c r="AF440" s="386"/>
    </row>
    <row r="441" ht="15.75" customHeight="1">
      <c r="A441" s="24"/>
      <c r="B441" s="25"/>
      <c r="C441" s="25"/>
      <c r="D441" s="28"/>
      <c r="E441" s="28"/>
      <c r="F441" s="404"/>
      <c r="G441" s="380"/>
      <c r="H441" s="300"/>
      <c r="I441" s="17"/>
      <c r="J441" s="17"/>
      <c r="K441" s="17"/>
      <c r="L441" s="17"/>
      <c r="M441" s="17"/>
      <c r="N441" s="17"/>
      <c r="O441" s="17"/>
      <c r="P441" s="17"/>
      <c r="Q441" s="17"/>
      <c r="R441" s="17"/>
      <c r="S441" s="17"/>
      <c r="T441" s="17"/>
      <c r="U441" s="300"/>
      <c r="V441" s="47"/>
      <c r="W441" s="17"/>
      <c r="X441" s="17"/>
      <c r="Y441" s="300"/>
      <c r="Z441" s="386"/>
      <c r="AA441" s="386"/>
      <c r="AB441" s="386"/>
      <c r="AC441" s="386"/>
      <c r="AD441" s="386"/>
      <c r="AE441" s="386"/>
      <c r="AF441" s="386"/>
    </row>
    <row r="442" ht="15.75" customHeight="1">
      <c r="A442" s="24"/>
      <c r="B442" s="25"/>
      <c r="C442" s="25"/>
      <c r="D442" s="28"/>
      <c r="E442" s="28"/>
      <c r="F442" s="383"/>
      <c r="G442" s="380"/>
      <c r="H442" s="300"/>
      <c r="I442" s="17"/>
      <c r="J442" s="17"/>
      <c r="K442" s="17"/>
      <c r="L442" s="17"/>
      <c r="M442" s="17"/>
      <c r="N442" s="17"/>
      <c r="O442" s="17"/>
      <c r="P442" s="17"/>
      <c r="Q442" s="17"/>
      <c r="R442" s="17"/>
      <c r="S442" s="17"/>
      <c r="T442" s="17"/>
      <c r="U442" s="300"/>
      <c r="V442" s="67"/>
      <c r="W442" s="17"/>
      <c r="X442" s="17"/>
      <c r="Y442" s="300"/>
      <c r="Z442" s="386"/>
      <c r="AA442" s="386"/>
      <c r="AB442" s="386"/>
      <c r="AC442" s="386"/>
      <c r="AD442" s="386"/>
      <c r="AE442" s="386"/>
      <c r="AF442" s="386"/>
    </row>
    <row r="443" ht="15.75" customHeight="1">
      <c r="A443" s="24"/>
      <c r="B443" s="25"/>
      <c r="C443" s="25"/>
      <c r="D443" s="28"/>
      <c r="E443" s="28"/>
      <c r="F443" s="404"/>
      <c r="G443" s="380"/>
      <c r="H443" s="300"/>
      <c r="I443" s="17"/>
      <c r="J443" s="17"/>
      <c r="K443" s="17"/>
      <c r="L443" s="17"/>
      <c r="M443" s="17"/>
      <c r="N443" s="17"/>
      <c r="O443" s="17"/>
      <c r="P443" s="17"/>
      <c r="Q443" s="17"/>
      <c r="R443" s="17"/>
      <c r="S443" s="17"/>
      <c r="T443" s="17"/>
      <c r="U443" s="300"/>
      <c r="V443" s="47"/>
      <c r="W443" s="17"/>
      <c r="X443" s="17"/>
      <c r="Y443" s="300"/>
      <c r="Z443" s="386"/>
      <c r="AA443" s="386"/>
      <c r="AB443" s="386"/>
      <c r="AC443" s="386"/>
      <c r="AD443" s="386"/>
      <c r="AE443" s="386"/>
      <c r="AF443" s="386"/>
    </row>
    <row r="444" ht="15.75" customHeight="1">
      <c r="A444" s="24"/>
      <c r="B444" s="25"/>
      <c r="C444" s="25"/>
      <c r="D444" s="28"/>
      <c r="E444" s="28"/>
      <c r="F444" s="383"/>
      <c r="G444" s="380"/>
      <c r="H444" s="300"/>
      <c r="I444" s="17"/>
      <c r="J444" s="17"/>
      <c r="K444" s="17"/>
      <c r="L444" s="17"/>
      <c r="M444" s="17"/>
      <c r="N444" s="17"/>
      <c r="O444" s="17"/>
      <c r="P444" s="17"/>
      <c r="Q444" s="17"/>
      <c r="R444" s="17"/>
      <c r="S444" s="17"/>
      <c r="T444" s="17"/>
      <c r="U444" s="300"/>
      <c r="V444" s="67"/>
      <c r="W444" s="17"/>
      <c r="X444" s="17"/>
      <c r="Y444" s="300"/>
      <c r="Z444" s="386"/>
      <c r="AA444" s="386"/>
      <c r="AB444" s="386"/>
      <c r="AC444" s="386"/>
      <c r="AD444" s="386"/>
      <c r="AE444" s="386"/>
      <c r="AF444" s="386"/>
    </row>
    <row r="445" ht="15.75" customHeight="1">
      <c r="A445" s="24"/>
      <c r="B445" s="25"/>
      <c r="C445" s="25"/>
      <c r="D445" s="28"/>
      <c r="E445" s="28"/>
      <c r="F445" s="404"/>
      <c r="G445" s="380"/>
      <c r="H445" s="300"/>
      <c r="I445" s="17"/>
      <c r="J445" s="17"/>
      <c r="K445" s="17"/>
      <c r="L445" s="17"/>
      <c r="M445" s="17"/>
      <c r="N445" s="17"/>
      <c r="O445" s="17"/>
      <c r="P445" s="17"/>
      <c r="Q445" s="17"/>
      <c r="R445" s="17"/>
      <c r="S445" s="17"/>
      <c r="T445" s="17"/>
      <c r="U445" s="300"/>
      <c r="V445" s="47"/>
      <c r="W445" s="17"/>
      <c r="X445" s="17"/>
      <c r="Y445" s="300"/>
      <c r="Z445" s="386"/>
      <c r="AA445" s="386"/>
      <c r="AB445" s="386"/>
      <c r="AC445" s="386"/>
      <c r="AD445" s="386"/>
      <c r="AE445" s="386"/>
      <c r="AF445" s="386"/>
    </row>
    <row r="446" ht="15.75" customHeight="1">
      <c r="A446" s="24"/>
      <c r="B446" s="25"/>
      <c r="C446" s="25"/>
      <c r="D446" s="28"/>
      <c r="E446" s="28"/>
      <c r="F446" s="383"/>
      <c r="G446" s="380"/>
      <c r="H446" s="300"/>
      <c r="I446" s="17"/>
      <c r="J446" s="17"/>
      <c r="K446" s="17"/>
      <c r="L446" s="17"/>
      <c r="M446" s="17"/>
      <c r="N446" s="17"/>
      <c r="O446" s="17"/>
      <c r="P446" s="17"/>
      <c r="Q446" s="17"/>
      <c r="R446" s="17"/>
      <c r="S446" s="17"/>
      <c r="T446" s="17"/>
      <c r="U446" s="300"/>
      <c r="V446" s="67"/>
      <c r="W446" s="17"/>
      <c r="X446" s="17"/>
      <c r="Y446" s="300"/>
      <c r="Z446" s="386"/>
      <c r="AA446" s="386"/>
      <c r="AB446" s="386"/>
      <c r="AC446" s="386"/>
      <c r="AD446" s="386"/>
      <c r="AE446" s="386"/>
      <c r="AF446" s="386"/>
    </row>
    <row r="447" ht="15.75" customHeight="1">
      <c r="A447" s="24"/>
      <c r="B447" s="25"/>
      <c r="C447" s="25"/>
      <c r="D447" s="28"/>
      <c r="E447" s="28"/>
      <c r="F447" s="404"/>
      <c r="G447" s="380"/>
      <c r="H447" s="300"/>
      <c r="I447" s="17"/>
      <c r="J447" s="17"/>
      <c r="K447" s="17"/>
      <c r="L447" s="17"/>
      <c r="M447" s="17"/>
      <c r="N447" s="17"/>
      <c r="O447" s="17"/>
      <c r="P447" s="17"/>
      <c r="Q447" s="17"/>
      <c r="R447" s="17"/>
      <c r="S447" s="17"/>
      <c r="T447" s="17"/>
      <c r="U447" s="300"/>
      <c r="V447" s="47"/>
      <c r="W447" s="17"/>
      <c r="X447" s="17"/>
      <c r="Y447" s="300"/>
      <c r="Z447" s="386"/>
      <c r="AA447" s="386"/>
      <c r="AB447" s="386"/>
      <c r="AC447" s="386"/>
      <c r="AD447" s="386"/>
      <c r="AE447" s="386"/>
      <c r="AF447" s="386"/>
    </row>
    <row r="448" ht="15.75" customHeight="1">
      <c r="A448" s="24"/>
      <c r="B448" s="25"/>
      <c r="C448" s="25"/>
      <c r="D448" s="28"/>
      <c r="E448" s="28"/>
      <c r="F448" s="383"/>
      <c r="G448" s="380"/>
      <c r="H448" s="300"/>
      <c r="I448" s="17"/>
      <c r="J448" s="17"/>
      <c r="K448" s="17"/>
      <c r="L448" s="17"/>
      <c r="M448" s="17"/>
      <c r="N448" s="17"/>
      <c r="O448" s="17"/>
      <c r="P448" s="17"/>
      <c r="Q448" s="17"/>
      <c r="R448" s="17"/>
      <c r="S448" s="17"/>
      <c r="T448" s="17"/>
      <c r="U448" s="300"/>
      <c r="V448" s="67"/>
      <c r="W448" s="17"/>
      <c r="X448" s="17"/>
      <c r="Y448" s="300"/>
      <c r="Z448" s="386"/>
      <c r="AA448" s="386"/>
      <c r="AB448" s="386"/>
      <c r="AC448" s="386"/>
      <c r="AD448" s="386"/>
      <c r="AE448" s="386"/>
      <c r="AF448" s="386"/>
    </row>
    <row r="449" ht="15.75" customHeight="1">
      <c r="A449" s="24"/>
      <c r="B449" s="25"/>
      <c r="C449" s="25"/>
      <c r="D449" s="28"/>
      <c r="E449" s="28"/>
      <c r="F449" s="404"/>
      <c r="G449" s="380"/>
      <c r="H449" s="300"/>
      <c r="I449" s="17"/>
      <c r="J449" s="17"/>
      <c r="K449" s="17"/>
      <c r="L449" s="17"/>
      <c r="M449" s="17"/>
      <c r="N449" s="17"/>
      <c r="O449" s="17"/>
      <c r="P449" s="17"/>
      <c r="Q449" s="17"/>
      <c r="R449" s="17"/>
      <c r="S449" s="17"/>
      <c r="T449" s="17"/>
      <c r="U449" s="300"/>
      <c r="V449" s="47"/>
      <c r="W449" s="17"/>
      <c r="X449" s="17"/>
      <c r="Y449" s="300"/>
      <c r="Z449" s="386"/>
      <c r="AA449" s="386"/>
      <c r="AB449" s="386"/>
      <c r="AC449" s="386"/>
      <c r="AD449" s="386"/>
      <c r="AE449" s="386"/>
      <c r="AF449" s="386"/>
    </row>
    <row r="450" ht="15.75" customHeight="1">
      <c r="A450" s="24"/>
      <c r="B450" s="25"/>
      <c r="C450" s="25"/>
      <c r="D450" s="28"/>
      <c r="E450" s="28"/>
      <c r="F450" s="383"/>
      <c r="G450" s="380"/>
      <c r="H450" s="300"/>
      <c r="I450" s="17"/>
      <c r="J450" s="17"/>
      <c r="K450" s="17"/>
      <c r="L450" s="17"/>
      <c r="M450" s="17"/>
      <c r="N450" s="17"/>
      <c r="O450" s="17"/>
      <c r="P450" s="17"/>
      <c r="Q450" s="17"/>
      <c r="R450" s="17"/>
      <c r="S450" s="17"/>
      <c r="T450" s="17"/>
      <c r="U450" s="300"/>
      <c r="V450" s="67"/>
      <c r="W450" s="17"/>
      <c r="X450" s="17"/>
      <c r="Y450" s="300"/>
      <c r="Z450" s="386"/>
      <c r="AA450" s="386"/>
      <c r="AB450" s="386"/>
      <c r="AC450" s="386"/>
      <c r="AD450" s="386"/>
      <c r="AE450" s="386"/>
      <c r="AF450" s="386"/>
    </row>
    <row r="451" ht="15.75" customHeight="1">
      <c r="A451" s="24"/>
      <c r="B451" s="25"/>
      <c r="C451" s="25"/>
      <c r="D451" s="28"/>
      <c r="E451" s="28"/>
      <c r="F451" s="404"/>
      <c r="G451" s="380"/>
      <c r="H451" s="300"/>
      <c r="I451" s="17"/>
      <c r="J451" s="17"/>
      <c r="K451" s="17"/>
      <c r="L451" s="17"/>
      <c r="M451" s="17"/>
      <c r="N451" s="17"/>
      <c r="O451" s="17"/>
      <c r="P451" s="17"/>
      <c r="Q451" s="17"/>
      <c r="R451" s="17"/>
      <c r="S451" s="17"/>
      <c r="T451" s="17"/>
      <c r="U451" s="300"/>
      <c r="V451" s="47"/>
      <c r="W451" s="17"/>
      <c r="X451" s="17"/>
      <c r="Y451" s="300"/>
      <c r="Z451" s="386"/>
      <c r="AA451" s="386"/>
      <c r="AB451" s="386"/>
      <c r="AC451" s="386"/>
      <c r="AD451" s="386"/>
      <c r="AE451" s="386"/>
      <c r="AF451" s="386"/>
    </row>
    <row r="452" ht="15.75" customHeight="1">
      <c r="A452" s="24"/>
      <c r="B452" s="25"/>
      <c r="C452" s="25"/>
      <c r="D452" s="28"/>
      <c r="E452" s="28"/>
      <c r="F452" s="383"/>
      <c r="G452" s="380"/>
      <c r="H452" s="300"/>
      <c r="I452" s="17"/>
      <c r="J452" s="17"/>
      <c r="K452" s="17"/>
      <c r="L452" s="17"/>
      <c r="M452" s="17"/>
      <c r="N452" s="17"/>
      <c r="O452" s="17"/>
      <c r="P452" s="17"/>
      <c r="Q452" s="17"/>
      <c r="R452" s="17"/>
      <c r="S452" s="17"/>
      <c r="T452" s="17"/>
      <c r="U452" s="300"/>
      <c r="V452" s="67"/>
      <c r="W452" s="17"/>
      <c r="X452" s="17"/>
      <c r="Y452" s="300"/>
      <c r="Z452" s="386"/>
      <c r="AA452" s="386"/>
      <c r="AB452" s="386"/>
      <c r="AC452" s="386"/>
      <c r="AD452" s="386"/>
      <c r="AE452" s="386"/>
      <c r="AF452" s="386"/>
    </row>
    <row r="453" ht="15.75" customHeight="1">
      <c r="A453" s="24"/>
      <c r="B453" s="25"/>
      <c r="C453" s="25"/>
      <c r="D453" s="28"/>
      <c r="E453" s="28"/>
      <c r="F453" s="404"/>
      <c r="G453" s="380"/>
      <c r="H453" s="300"/>
      <c r="I453" s="17"/>
      <c r="J453" s="17"/>
      <c r="K453" s="17"/>
      <c r="L453" s="17"/>
      <c r="M453" s="17"/>
      <c r="N453" s="17"/>
      <c r="O453" s="17"/>
      <c r="P453" s="17"/>
      <c r="Q453" s="17"/>
      <c r="R453" s="17"/>
      <c r="S453" s="17"/>
      <c r="T453" s="17"/>
      <c r="U453" s="300"/>
      <c r="V453" s="47"/>
      <c r="W453" s="17"/>
      <c r="X453" s="17"/>
      <c r="Y453" s="300"/>
      <c r="Z453" s="386"/>
      <c r="AA453" s="386"/>
      <c r="AB453" s="386"/>
      <c r="AC453" s="386"/>
      <c r="AD453" s="386"/>
      <c r="AE453" s="386"/>
      <c r="AF453" s="386"/>
    </row>
    <row r="454" ht="15.75" customHeight="1">
      <c r="A454" s="24"/>
      <c r="B454" s="25"/>
      <c r="C454" s="25"/>
      <c r="D454" s="28"/>
      <c r="E454" s="28"/>
      <c r="F454" s="383"/>
      <c r="G454" s="380"/>
      <c r="H454" s="300"/>
      <c r="I454" s="17"/>
      <c r="J454" s="17"/>
      <c r="K454" s="17"/>
      <c r="L454" s="17"/>
      <c r="M454" s="17"/>
      <c r="N454" s="17"/>
      <c r="O454" s="17"/>
      <c r="P454" s="17"/>
      <c r="Q454" s="17"/>
      <c r="R454" s="17"/>
      <c r="S454" s="17"/>
      <c r="T454" s="17"/>
      <c r="U454" s="300"/>
      <c r="V454" s="67"/>
      <c r="W454" s="17"/>
      <c r="X454" s="17"/>
      <c r="Y454" s="300"/>
      <c r="Z454" s="386"/>
      <c r="AA454" s="386"/>
      <c r="AB454" s="386"/>
      <c r="AC454" s="386"/>
      <c r="AD454" s="386"/>
      <c r="AE454" s="386"/>
      <c r="AF454" s="386"/>
    </row>
    <row r="455" ht="15.75" customHeight="1">
      <c r="A455" s="24"/>
      <c r="B455" s="25"/>
      <c r="C455" s="25"/>
      <c r="D455" s="28"/>
      <c r="E455" s="28"/>
      <c r="F455" s="404"/>
      <c r="G455" s="380"/>
      <c r="H455" s="300"/>
      <c r="I455" s="17"/>
      <c r="J455" s="17"/>
      <c r="K455" s="17"/>
      <c r="L455" s="17"/>
      <c r="M455" s="17"/>
      <c r="N455" s="17"/>
      <c r="O455" s="17"/>
      <c r="P455" s="17"/>
      <c r="Q455" s="17"/>
      <c r="R455" s="17"/>
      <c r="S455" s="17"/>
      <c r="T455" s="17"/>
      <c r="U455" s="300"/>
      <c r="V455" s="47"/>
      <c r="W455" s="17"/>
      <c r="X455" s="17"/>
      <c r="Y455" s="300"/>
      <c r="Z455" s="386"/>
      <c r="AA455" s="386"/>
      <c r="AB455" s="386"/>
      <c r="AC455" s="386"/>
      <c r="AD455" s="386"/>
      <c r="AE455" s="386"/>
      <c r="AF455" s="386"/>
    </row>
    <row r="456" ht="15.75" customHeight="1">
      <c r="A456" s="24"/>
      <c r="B456" s="25"/>
      <c r="C456" s="25"/>
      <c r="D456" s="28"/>
      <c r="E456" s="28"/>
      <c r="F456" s="383"/>
      <c r="G456" s="380"/>
      <c r="H456" s="300"/>
      <c r="I456" s="17"/>
      <c r="J456" s="17"/>
      <c r="K456" s="17"/>
      <c r="L456" s="17"/>
      <c r="M456" s="17"/>
      <c r="N456" s="17"/>
      <c r="O456" s="17"/>
      <c r="P456" s="17"/>
      <c r="Q456" s="17"/>
      <c r="R456" s="17"/>
      <c r="S456" s="17"/>
      <c r="T456" s="17"/>
      <c r="U456" s="300"/>
      <c r="V456" s="67"/>
      <c r="W456" s="17"/>
      <c r="X456" s="17"/>
      <c r="Y456" s="300"/>
      <c r="Z456" s="386"/>
      <c r="AA456" s="386"/>
      <c r="AB456" s="386"/>
      <c r="AC456" s="386"/>
      <c r="AD456" s="386"/>
      <c r="AE456" s="386"/>
      <c r="AF456" s="386"/>
    </row>
    <row r="457" ht="15.75" customHeight="1">
      <c r="A457" s="24"/>
      <c r="B457" s="25"/>
      <c r="C457" s="25"/>
      <c r="D457" s="28"/>
      <c r="E457" s="28"/>
      <c r="F457" s="404"/>
      <c r="G457" s="380"/>
      <c r="H457" s="300"/>
      <c r="I457" s="17"/>
      <c r="J457" s="17"/>
      <c r="K457" s="17"/>
      <c r="L457" s="17"/>
      <c r="M457" s="17"/>
      <c r="N457" s="17"/>
      <c r="O457" s="17"/>
      <c r="P457" s="17"/>
      <c r="Q457" s="17"/>
      <c r="R457" s="17"/>
      <c r="S457" s="17"/>
      <c r="T457" s="17"/>
      <c r="U457" s="300"/>
      <c r="V457" s="47"/>
      <c r="W457" s="17"/>
      <c r="X457" s="17"/>
      <c r="Y457" s="300"/>
      <c r="Z457" s="386"/>
      <c r="AA457" s="386"/>
      <c r="AB457" s="386"/>
      <c r="AC457" s="386"/>
      <c r="AD457" s="386"/>
      <c r="AE457" s="386"/>
      <c r="AF457" s="386"/>
    </row>
    <row r="458" ht="15.75" customHeight="1">
      <c r="A458" s="24"/>
      <c r="B458" s="25"/>
      <c r="C458" s="25"/>
      <c r="D458" s="28"/>
      <c r="E458" s="28"/>
      <c r="F458" s="383"/>
      <c r="G458" s="380"/>
      <c r="H458" s="300"/>
      <c r="I458" s="17"/>
      <c r="J458" s="17"/>
      <c r="K458" s="17"/>
      <c r="L458" s="17"/>
      <c r="M458" s="17"/>
      <c r="N458" s="17"/>
      <c r="O458" s="17"/>
      <c r="P458" s="17"/>
      <c r="Q458" s="17"/>
      <c r="R458" s="17"/>
      <c r="S458" s="17"/>
      <c r="T458" s="17"/>
      <c r="U458" s="300"/>
      <c r="V458" s="67"/>
      <c r="W458" s="17"/>
      <c r="X458" s="17"/>
      <c r="Y458" s="300"/>
      <c r="Z458" s="386"/>
      <c r="AA458" s="386"/>
      <c r="AB458" s="386"/>
      <c r="AC458" s="386"/>
      <c r="AD458" s="386"/>
      <c r="AE458" s="386"/>
      <c r="AF458" s="386"/>
    </row>
    <row r="459" ht="15.75" customHeight="1">
      <c r="A459" s="24"/>
      <c r="B459" s="25"/>
      <c r="C459" s="25"/>
      <c r="D459" s="28"/>
      <c r="E459" s="28"/>
      <c r="F459" s="404"/>
      <c r="G459" s="380"/>
      <c r="H459" s="300"/>
      <c r="I459" s="17"/>
      <c r="J459" s="17"/>
      <c r="K459" s="17"/>
      <c r="L459" s="17"/>
      <c r="M459" s="17"/>
      <c r="N459" s="17"/>
      <c r="O459" s="17"/>
      <c r="P459" s="17"/>
      <c r="Q459" s="17"/>
      <c r="R459" s="17"/>
      <c r="S459" s="17"/>
      <c r="T459" s="17"/>
      <c r="U459" s="300"/>
      <c r="V459" s="47"/>
      <c r="W459" s="17"/>
      <c r="X459" s="17"/>
      <c r="Y459" s="300"/>
      <c r="Z459" s="386"/>
      <c r="AA459" s="386"/>
      <c r="AB459" s="386"/>
      <c r="AC459" s="386"/>
      <c r="AD459" s="386"/>
      <c r="AE459" s="386"/>
      <c r="AF459" s="386"/>
    </row>
    <row r="460" ht="15.75" customHeight="1">
      <c r="A460" s="24"/>
      <c r="B460" s="25"/>
      <c r="C460" s="25"/>
      <c r="D460" s="28"/>
      <c r="E460" s="28"/>
      <c r="F460" s="383"/>
      <c r="G460" s="380"/>
      <c r="H460" s="300"/>
      <c r="I460" s="17"/>
      <c r="J460" s="17"/>
      <c r="K460" s="17"/>
      <c r="L460" s="17"/>
      <c r="M460" s="17"/>
      <c r="N460" s="17"/>
      <c r="O460" s="17"/>
      <c r="P460" s="17"/>
      <c r="Q460" s="17"/>
      <c r="R460" s="17"/>
      <c r="S460" s="17"/>
      <c r="T460" s="17"/>
      <c r="U460" s="300"/>
      <c r="V460" s="67"/>
      <c r="W460" s="17"/>
      <c r="X460" s="17"/>
      <c r="Y460" s="300"/>
      <c r="Z460" s="386"/>
      <c r="AA460" s="386"/>
      <c r="AB460" s="386"/>
      <c r="AC460" s="386"/>
      <c r="AD460" s="386"/>
      <c r="AE460" s="386"/>
      <c r="AF460" s="386"/>
    </row>
    <row r="461" ht="15.75" customHeight="1">
      <c r="A461" s="24"/>
      <c r="B461" s="25"/>
      <c r="C461" s="25"/>
      <c r="D461" s="28"/>
      <c r="E461" s="28"/>
      <c r="F461" s="404"/>
      <c r="G461" s="380"/>
      <c r="H461" s="300"/>
      <c r="I461" s="17"/>
      <c r="J461" s="17"/>
      <c r="K461" s="17"/>
      <c r="L461" s="17"/>
      <c r="M461" s="17"/>
      <c r="N461" s="17"/>
      <c r="O461" s="17"/>
      <c r="P461" s="17"/>
      <c r="Q461" s="17"/>
      <c r="R461" s="17"/>
      <c r="S461" s="17"/>
      <c r="T461" s="17"/>
      <c r="U461" s="300"/>
      <c r="V461" s="47"/>
      <c r="W461" s="17"/>
      <c r="X461" s="17"/>
      <c r="Y461" s="300"/>
      <c r="Z461" s="386"/>
      <c r="AA461" s="386"/>
      <c r="AB461" s="386"/>
      <c r="AC461" s="386"/>
      <c r="AD461" s="386"/>
      <c r="AE461" s="386"/>
      <c r="AF461" s="386"/>
    </row>
    <row r="462" ht="15.75" customHeight="1">
      <c r="A462" s="24"/>
      <c r="B462" s="25"/>
      <c r="C462" s="25"/>
      <c r="D462" s="28"/>
      <c r="E462" s="28"/>
      <c r="F462" s="383"/>
      <c r="G462" s="380"/>
      <c r="H462" s="300"/>
      <c r="I462" s="17"/>
      <c r="J462" s="17"/>
      <c r="K462" s="17"/>
      <c r="L462" s="17"/>
      <c r="M462" s="17"/>
      <c r="N462" s="17"/>
      <c r="O462" s="17"/>
      <c r="P462" s="17"/>
      <c r="Q462" s="17"/>
      <c r="R462" s="17"/>
      <c r="S462" s="17"/>
      <c r="T462" s="17"/>
      <c r="U462" s="300"/>
      <c r="V462" s="67"/>
      <c r="W462" s="17"/>
      <c r="X462" s="17"/>
      <c r="Y462" s="300"/>
      <c r="Z462" s="386"/>
      <c r="AA462" s="386"/>
      <c r="AB462" s="386"/>
      <c r="AC462" s="386"/>
      <c r="AD462" s="386"/>
      <c r="AE462" s="386"/>
      <c r="AF462" s="386"/>
    </row>
    <row r="463" ht="15.75" customHeight="1">
      <c r="A463" s="24"/>
      <c r="B463" s="25"/>
      <c r="C463" s="25"/>
      <c r="D463" s="28"/>
      <c r="E463" s="28"/>
      <c r="F463" s="404"/>
      <c r="G463" s="380"/>
      <c r="H463" s="300"/>
      <c r="I463" s="17"/>
      <c r="J463" s="17"/>
      <c r="K463" s="17"/>
      <c r="L463" s="17"/>
      <c r="M463" s="17"/>
      <c r="N463" s="17"/>
      <c r="O463" s="17"/>
      <c r="P463" s="17"/>
      <c r="Q463" s="17"/>
      <c r="R463" s="17"/>
      <c r="S463" s="17"/>
      <c r="T463" s="17"/>
      <c r="U463" s="300"/>
      <c r="V463" s="47"/>
      <c r="W463" s="17"/>
      <c r="X463" s="17"/>
      <c r="Y463" s="300"/>
      <c r="Z463" s="386"/>
      <c r="AA463" s="386"/>
      <c r="AB463" s="386"/>
      <c r="AC463" s="386"/>
      <c r="AD463" s="386"/>
      <c r="AE463" s="386"/>
      <c r="AF463" s="386"/>
    </row>
    <row r="464" ht="15.75" customHeight="1">
      <c r="A464" s="24"/>
      <c r="B464" s="25"/>
      <c r="C464" s="25"/>
      <c r="D464" s="28"/>
      <c r="E464" s="28"/>
      <c r="F464" s="383"/>
      <c r="G464" s="380"/>
      <c r="H464" s="300"/>
      <c r="I464" s="17"/>
      <c r="J464" s="17"/>
      <c r="K464" s="17"/>
      <c r="L464" s="17"/>
      <c r="M464" s="17"/>
      <c r="N464" s="17"/>
      <c r="O464" s="17"/>
      <c r="P464" s="17"/>
      <c r="Q464" s="17"/>
      <c r="R464" s="17"/>
      <c r="S464" s="17"/>
      <c r="T464" s="17"/>
      <c r="U464" s="300"/>
      <c r="V464" s="67"/>
      <c r="W464" s="17"/>
      <c r="X464" s="17"/>
      <c r="Y464" s="300"/>
      <c r="Z464" s="386"/>
      <c r="AA464" s="386"/>
      <c r="AB464" s="386"/>
      <c r="AC464" s="386"/>
      <c r="AD464" s="386"/>
      <c r="AE464" s="386"/>
      <c r="AF464" s="386"/>
    </row>
    <row r="465" ht="15.75" customHeight="1">
      <c r="A465" s="24"/>
      <c r="B465" s="25"/>
      <c r="C465" s="25"/>
      <c r="D465" s="28"/>
      <c r="E465" s="28"/>
      <c r="F465" s="404"/>
      <c r="G465" s="380"/>
      <c r="H465" s="300"/>
      <c r="I465" s="17"/>
      <c r="J465" s="17"/>
      <c r="K465" s="17"/>
      <c r="L465" s="17"/>
      <c r="M465" s="17"/>
      <c r="N465" s="17"/>
      <c r="O465" s="17"/>
      <c r="P465" s="17"/>
      <c r="Q465" s="17"/>
      <c r="R465" s="17"/>
      <c r="S465" s="17"/>
      <c r="T465" s="17"/>
      <c r="U465" s="300"/>
      <c r="V465" s="47"/>
      <c r="W465" s="17"/>
      <c r="X465" s="17"/>
      <c r="Y465" s="300"/>
      <c r="Z465" s="386"/>
      <c r="AA465" s="386"/>
      <c r="AB465" s="386"/>
      <c r="AC465" s="386"/>
      <c r="AD465" s="386"/>
      <c r="AE465" s="386"/>
      <c r="AF465" s="386"/>
    </row>
    <row r="466" ht="15.75" customHeight="1">
      <c r="A466" s="24"/>
      <c r="B466" s="25"/>
      <c r="C466" s="25"/>
      <c r="D466" s="28"/>
      <c r="E466" s="28"/>
      <c r="F466" s="383"/>
      <c r="G466" s="380"/>
      <c r="H466" s="300"/>
      <c r="I466" s="17"/>
      <c r="J466" s="17"/>
      <c r="K466" s="17"/>
      <c r="L466" s="17"/>
      <c r="M466" s="17"/>
      <c r="N466" s="17"/>
      <c r="O466" s="17"/>
      <c r="P466" s="17"/>
      <c r="Q466" s="17"/>
      <c r="R466" s="17"/>
      <c r="S466" s="17"/>
      <c r="T466" s="17"/>
      <c r="U466" s="300"/>
      <c r="V466" s="67"/>
      <c r="W466" s="17"/>
      <c r="X466" s="17"/>
      <c r="Y466" s="300"/>
      <c r="Z466" s="386"/>
      <c r="AA466" s="386"/>
      <c r="AB466" s="386"/>
      <c r="AC466" s="386"/>
      <c r="AD466" s="386"/>
      <c r="AE466" s="386"/>
      <c r="AF466" s="386"/>
    </row>
    <row r="467" ht="15.75" customHeight="1">
      <c r="A467" s="24"/>
      <c r="B467" s="25"/>
      <c r="C467" s="25"/>
      <c r="D467" s="28"/>
      <c r="E467" s="28"/>
      <c r="F467" s="404"/>
      <c r="G467" s="380"/>
      <c r="H467" s="300"/>
      <c r="I467" s="17"/>
      <c r="J467" s="17"/>
      <c r="K467" s="17"/>
      <c r="L467" s="17"/>
      <c r="M467" s="17"/>
      <c r="N467" s="17"/>
      <c r="O467" s="17"/>
      <c r="P467" s="17"/>
      <c r="Q467" s="17"/>
      <c r="R467" s="17"/>
      <c r="S467" s="17"/>
      <c r="T467" s="17"/>
      <c r="U467" s="300"/>
      <c r="V467" s="47"/>
      <c r="W467" s="17"/>
      <c r="X467" s="17"/>
      <c r="Y467" s="300"/>
      <c r="Z467" s="386"/>
      <c r="AA467" s="386"/>
      <c r="AB467" s="386"/>
      <c r="AC467" s="386"/>
      <c r="AD467" s="386"/>
      <c r="AE467" s="386"/>
      <c r="AF467" s="386"/>
    </row>
    <row r="468" ht="15.75" customHeight="1">
      <c r="A468" s="24"/>
      <c r="B468" s="25"/>
      <c r="C468" s="25"/>
      <c r="D468" s="28"/>
      <c r="E468" s="28"/>
      <c r="F468" s="383"/>
      <c r="G468" s="380"/>
      <c r="H468" s="300"/>
      <c r="I468" s="17"/>
      <c r="J468" s="17"/>
      <c r="K468" s="17"/>
      <c r="L468" s="17"/>
      <c r="M468" s="17"/>
      <c r="N468" s="17"/>
      <c r="O468" s="17"/>
      <c r="P468" s="17"/>
      <c r="Q468" s="17"/>
      <c r="R468" s="17"/>
      <c r="S468" s="17"/>
      <c r="T468" s="17"/>
      <c r="U468" s="300"/>
      <c r="V468" s="67"/>
      <c r="W468" s="17"/>
      <c r="X468" s="17"/>
      <c r="Y468" s="300"/>
      <c r="Z468" s="386"/>
      <c r="AA468" s="386"/>
      <c r="AB468" s="386"/>
      <c r="AC468" s="386"/>
      <c r="AD468" s="386"/>
      <c r="AE468" s="386"/>
      <c r="AF468" s="386"/>
    </row>
    <row r="469" ht="15.75" customHeight="1">
      <c r="A469" s="24"/>
      <c r="B469" s="25"/>
      <c r="C469" s="25"/>
      <c r="D469" s="28"/>
      <c r="E469" s="28"/>
      <c r="F469" s="404"/>
      <c r="G469" s="380"/>
      <c r="H469" s="300"/>
      <c r="I469" s="17"/>
      <c r="J469" s="17"/>
      <c r="K469" s="17"/>
      <c r="L469" s="17"/>
      <c r="M469" s="17"/>
      <c r="N469" s="17"/>
      <c r="O469" s="17"/>
      <c r="P469" s="17"/>
      <c r="Q469" s="17"/>
      <c r="R469" s="17"/>
      <c r="S469" s="17"/>
      <c r="T469" s="17"/>
      <c r="U469" s="300"/>
      <c r="V469" s="47"/>
      <c r="W469" s="17"/>
      <c r="X469" s="17"/>
      <c r="Y469" s="300"/>
      <c r="Z469" s="386"/>
      <c r="AA469" s="386"/>
      <c r="AB469" s="386"/>
      <c r="AC469" s="386"/>
      <c r="AD469" s="386"/>
      <c r="AE469" s="386"/>
      <c r="AF469" s="386"/>
    </row>
    <row r="470" ht="15.75" customHeight="1">
      <c r="A470" s="24"/>
      <c r="B470" s="25"/>
      <c r="C470" s="25"/>
      <c r="D470" s="28"/>
      <c r="E470" s="28"/>
      <c r="F470" s="383"/>
      <c r="G470" s="380"/>
      <c r="H470" s="300"/>
      <c r="I470" s="17"/>
      <c r="J470" s="17"/>
      <c r="K470" s="17"/>
      <c r="L470" s="17"/>
      <c r="M470" s="17"/>
      <c r="N470" s="17"/>
      <c r="O470" s="17"/>
      <c r="P470" s="17"/>
      <c r="Q470" s="17"/>
      <c r="R470" s="17"/>
      <c r="S470" s="17"/>
      <c r="T470" s="17"/>
      <c r="U470" s="300"/>
      <c r="V470" s="67"/>
      <c r="W470" s="17"/>
      <c r="X470" s="17"/>
      <c r="Y470" s="300"/>
      <c r="Z470" s="386"/>
      <c r="AA470" s="386"/>
      <c r="AB470" s="386"/>
      <c r="AC470" s="386"/>
      <c r="AD470" s="386"/>
      <c r="AE470" s="386"/>
      <c r="AF470" s="386"/>
    </row>
    <row r="471" ht="15.75" customHeight="1">
      <c r="A471" s="24"/>
      <c r="B471" s="25"/>
      <c r="C471" s="25"/>
      <c r="D471" s="28"/>
      <c r="E471" s="28"/>
      <c r="F471" s="404"/>
      <c r="G471" s="380"/>
      <c r="H471" s="300"/>
      <c r="I471" s="17"/>
      <c r="J471" s="17"/>
      <c r="K471" s="17"/>
      <c r="L471" s="17"/>
      <c r="M471" s="17"/>
      <c r="N471" s="17"/>
      <c r="O471" s="17"/>
      <c r="P471" s="17"/>
      <c r="Q471" s="17"/>
      <c r="R471" s="17"/>
      <c r="S471" s="17"/>
      <c r="T471" s="17"/>
      <c r="U471" s="300"/>
      <c r="V471" s="47"/>
      <c r="W471" s="17"/>
      <c r="X471" s="17"/>
      <c r="Y471" s="300"/>
      <c r="Z471" s="386"/>
      <c r="AA471" s="386"/>
      <c r="AB471" s="386"/>
      <c r="AC471" s="386"/>
      <c r="AD471" s="386"/>
      <c r="AE471" s="386"/>
      <c r="AF471" s="386"/>
    </row>
    <row r="472" ht="15.75" customHeight="1">
      <c r="A472" s="24"/>
      <c r="B472" s="25"/>
      <c r="C472" s="25"/>
      <c r="D472" s="28"/>
      <c r="E472" s="28"/>
      <c r="F472" s="383"/>
      <c r="G472" s="380"/>
      <c r="H472" s="300"/>
      <c r="I472" s="17"/>
      <c r="J472" s="17"/>
      <c r="K472" s="17"/>
      <c r="L472" s="17"/>
      <c r="M472" s="17"/>
      <c r="N472" s="17"/>
      <c r="O472" s="17"/>
      <c r="P472" s="17"/>
      <c r="Q472" s="17"/>
      <c r="R472" s="17"/>
      <c r="S472" s="17"/>
      <c r="T472" s="17"/>
      <c r="U472" s="300"/>
      <c r="V472" s="67"/>
      <c r="W472" s="17"/>
      <c r="X472" s="17"/>
      <c r="Y472" s="300"/>
      <c r="Z472" s="386"/>
      <c r="AA472" s="386"/>
      <c r="AB472" s="386"/>
      <c r="AC472" s="386"/>
      <c r="AD472" s="386"/>
      <c r="AE472" s="386"/>
      <c r="AF472" s="386"/>
    </row>
    <row r="473" ht="15.75" customHeight="1">
      <c r="A473" s="24"/>
      <c r="B473" s="25"/>
      <c r="C473" s="25"/>
      <c r="D473" s="28"/>
      <c r="E473" s="28"/>
      <c r="F473" s="404"/>
      <c r="G473" s="380"/>
      <c r="H473" s="300"/>
      <c r="I473" s="17"/>
      <c r="J473" s="17"/>
      <c r="K473" s="17"/>
      <c r="L473" s="17"/>
      <c r="M473" s="17"/>
      <c r="N473" s="17"/>
      <c r="O473" s="17"/>
      <c r="P473" s="17"/>
      <c r="Q473" s="17"/>
      <c r="R473" s="17"/>
      <c r="S473" s="17"/>
      <c r="T473" s="17"/>
      <c r="U473" s="300"/>
      <c r="V473" s="47"/>
      <c r="W473" s="17"/>
      <c r="X473" s="17"/>
      <c r="Y473" s="300"/>
      <c r="Z473" s="386"/>
      <c r="AA473" s="386"/>
      <c r="AB473" s="386"/>
      <c r="AC473" s="386"/>
      <c r="AD473" s="386"/>
      <c r="AE473" s="386"/>
      <c r="AF473" s="386"/>
    </row>
    <row r="474" ht="15.75" customHeight="1">
      <c r="A474" s="24"/>
      <c r="B474" s="25"/>
      <c r="C474" s="25"/>
      <c r="D474" s="28"/>
      <c r="E474" s="28"/>
      <c r="F474" s="383"/>
      <c r="G474" s="380"/>
      <c r="H474" s="300"/>
      <c r="I474" s="17"/>
      <c r="J474" s="17"/>
      <c r="K474" s="17"/>
      <c r="L474" s="17"/>
      <c r="M474" s="17"/>
      <c r="N474" s="17"/>
      <c r="O474" s="17"/>
      <c r="P474" s="17"/>
      <c r="Q474" s="17"/>
      <c r="R474" s="17"/>
      <c r="S474" s="17"/>
      <c r="T474" s="17"/>
      <c r="U474" s="300"/>
      <c r="V474" s="67"/>
      <c r="W474" s="17"/>
      <c r="X474" s="17"/>
      <c r="Y474" s="300"/>
      <c r="Z474" s="386"/>
      <c r="AA474" s="386"/>
      <c r="AB474" s="386"/>
      <c r="AC474" s="386"/>
      <c r="AD474" s="386"/>
      <c r="AE474" s="386"/>
      <c r="AF474" s="386"/>
    </row>
    <row r="475" ht="15.75" customHeight="1">
      <c r="A475" s="24"/>
      <c r="B475" s="25"/>
      <c r="C475" s="25"/>
      <c r="D475" s="28"/>
      <c r="E475" s="28"/>
      <c r="F475" s="404"/>
      <c r="G475" s="380"/>
      <c r="H475" s="300"/>
      <c r="I475" s="17"/>
      <c r="J475" s="17"/>
      <c r="K475" s="17"/>
      <c r="L475" s="17"/>
      <c r="M475" s="17"/>
      <c r="N475" s="17"/>
      <c r="O475" s="17"/>
      <c r="P475" s="17"/>
      <c r="Q475" s="17"/>
      <c r="R475" s="17"/>
      <c r="S475" s="17"/>
      <c r="T475" s="17"/>
      <c r="U475" s="300"/>
      <c r="V475" s="47"/>
      <c r="W475" s="17"/>
      <c r="X475" s="17"/>
      <c r="Y475" s="300"/>
      <c r="Z475" s="386"/>
      <c r="AA475" s="386"/>
      <c r="AB475" s="386"/>
      <c r="AC475" s="386"/>
      <c r="AD475" s="386"/>
      <c r="AE475" s="386"/>
      <c r="AF475" s="386"/>
    </row>
    <row r="476" ht="15.75" customHeight="1">
      <c r="A476" s="24"/>
      <c r="B476" s="25"/>
      <c r="C476" s="25"/>
      <c r="D476" s="28"/>
      <c r="E476" s="28"/>
      <c r="F476" s="383"/>
      <c r="G476" s="380"/>
      <c r="H476" s="300"/>
      <c r="I476" s="17"/>
      <c r="J476" s="17"/>
      <c r="K476" s="17"/>
      <c r="L476" s="17"/>
      <c r="M476" s="17"/>
      <c r="N476" s="17"/>
      <c r="O476" s="17"/>
      <c r="P476" s="17"/>
      <c r="Q476" s="17"/>
      <c r="R476" s="17"/>
      <c r="S476" s="17"/>
      <c r="T476" s="17"/>
      <c r="U476" s="300"/>
      <c r="V476" s="67"/>
      <c r="W476" s="17"/>
      <c r="X476" s="17"/>
      <c r="Y476" s="300"/>
      <c r="Z476" s="386"/>
      <c r="AA476" s="386"/>
      <c r="AB476" s="386"/>
      <c r="AC476" s="386"/>
      <c r="AD476" s="386"/>
      <c r="AE476" s="386"/>
      <c r="AF476" s="386"/>
    </row>
    <row r="477" ht="15.75" customHeight="1">
      <c r="A477" s="24"/>
      <c r="B477" s="25"/>
      <c r="C477" s="25"/>
      <c r="D477" s="28"/>
      <c r="E477" s="28"/>
      <c r="F477" s="404"/>
      <c r="G477" s="380"/>
      <c r="H477" s="300"/>
      <c r="I477" s="17"/>
      <c r="J477" s="17"/>
      <c r="K477" s="17"/>
      <c r="L477" s="17"/>
      <c r="M477" s="17"/>
      <c r="N477" s="17"/>
      <c r="O477" s="17"/>
      <c r="P477" s="17"/>
      <c r="Q477" s="17"/>
      <c r="R477" s="17"/>
      <c r="S477" s="17"/>
      <c r="T477" s="17"/>
      <c r="U477" s="300"/>
      <c r="V477" s="47"/>
      <c r="W477" s="17"/>
      <c r="X477" s="17"/>
      <c r="Y477" s="300"/>
      <c r="Z477" s="386"/>
      <c r="AA477" s="386"/>
      <c r="AB477" s="386"/>
      <c r="AC477" s="386"/>
      <c r="AD477" s="386"/>
      <c r="AE477" s="386"/>
      <c r="AF477" s="386"/>
    </row>
    <row r="478" ht="15.75" customHeight="1">
      <c r="A478" s="24"/>
      <c r="B478" s="25"/>
      <c r="C478" s="25"/>
      <c r="D478" s="28"/>
      <c r="E478" s="28"/>
      <c r="F478" s="383"/>
      <c r="G478" s="380"/>
      <c r="H478" s="300"/>
      <c r="I478" s="17"/>
      <c r="J478" s="17"/>
      <c r="K478" s="17"/>
      <c r="L478" s="17"/>
      <c r="M478" s="17"/>
      <c r="N478" s="17"/>
      <c r="O478" s="17"/>
      <c r="P478" s="17"/>
      <c r="Q478" s="17"/>
      <c r="R478" s="17"/>
      <c r="S478" s="17"/>
      <c r="T478" s="17"/>
      <c r="U478" s="300"/>
      <c r="V478" s="67"/>
      <c r="W478" s="17"/>
      <c r="X478" s="17"/>
      <c r="Y478" s="300"/>
      <c r="Z478" s="386"/>
      <c r="AA478" s="386"/>
      <c r="AB478" s="386"/>
      <c r="AC478" s="386"/>
      <c r="AD478" s="386"/>
      <c r="AE478" s="386"/>
      <c r="AF478" s="386"/>
    </row>
    <row r="479" ht="15.75" customHeight="1">
      <c r="A479" s="24"/>
      <c r="B479" s="25"/>
      <c r="C479" s="25"/>
      <c r="D479" s="28"/>
      <c r="E479" s="28"/>
      <c r="F479" s="404"/>
      <c r="G479" s="380"/>
      <c r="H479" s="300"/>
      <c r="I479" s="17"/>
      <c r="J479" s="17"/>
      <c r="K479" s="17"/>
      <c r="L479" s="17"/>
      <c r="M479" s="17"/>
      <c r="N479" s="17"/>
      <c r="O479" s="17"/>
      <c r="P479" s="17"/>
      <c r="Q479" s="17"/>
      <c r="R479" s="17"/>
      <c r="S479" s="17"/>
      <c r="T479" s="17"/>
      <c r="U479" s="300"/>
      <c r="V479" s="47"/>
      <c r="W479" s="17"/>
      <c r="X479" s="17"/>
      <c r="Y479" s="300"/>
      <c r="Z479" s="386"/>
      <c r="AA479" s="386"/>
      <c r="AB479" s="386"/>
      <c r="AC479" s="386"/>
      <c r="AD479" s="386"/>
      <c r="AE479" s="386"/>
      <c r="AF479" s="386"/>
    </row>
    <row r="480" ht="15.75" customHeight="1">
      <c r="A480" s="24"/>
      <c r="B480" s="25"/>
      <c r="C480" s="25"/>
      <c r="D480" s="28"/>
      <c r="E480" s="28"/>
      <c r="F480" s="383"/>
      <c r="G480" s="380"/>
      <c r="H480" s="300"/>
      <c r="I480" s="17"/>
      <c r="J480" s="17"/>
      <c r="K480" s="17"/>
      <c r="L480" s="17"/>
      <c r="M480" s="17"/>
      <c r="N480" s="17"/>
      <c r="O480" s="17"/>
      <c r="P480" s="17"/>
      <c r="Q480" s="17"/>
      <c r="R480" s="17"/>
      <c r="S480" s="17"/>
      <c r="T480" s="17"/>
      <c r="U480" s="300"/>
      <c r="V480" s="67"/>
      <c r="W480" s="17"/>
      <c r="X480" s="17"/>
      <c r="Y480" s="300"/>
      <c r="Z480" s="386"/>
      <c r="AA480" s="386"/>
      <c r="AB480" s="386"/>
      <c r="AC480" s="386"/>
      <c r="AD480" s="386"/>
      <c r="AE480" s="386"/>
      <c r="AF480" s="386"/>
    </row>
    <row r="481" ht="15.75" customHeight="1">
      <c r="A481" s="24"/>
      <c r="B481" s="25"/>
      <c r="C481" s="25"/>
      <c r="D481" s="28"/>
      <c r="E481" s="28"/>
      <c r="F481" s="404"/>
      <c r="G481" s="380"/>
      <c r="H481" s="300"/>
      <c r="I481" s="17"/>
      <c r="J481" s="17"/>
      <c r="K481" s="17"/>
      <c r="L481" s="17"/>
      <c r="M481" s="17"/>
      <c r="N481" s="17"/>
      <c r="O481" s="17"/>
      <c r="P481" s="17"/>
      <c r="Q481" s="17"/>
      <c r="R481" s="17"/>
      <c r="S481" s="17"/>
      <c r="T481" s="17"/>
      <c r="U481" s="300"/>
      <c r="V481" s="47"/>
      <c r="W481" s="17"/>
      <c r="X481" s="17"/>
      <c r="Y481" s="300"/>
      <c r="Z481" s="386"/>
      <c r="AA481" s="386"/>
      <c r="AB481" s="386"/>
      <c r="AC481" s="386"/>
      <c r="AD481" s="386"/>
      <c r="AE481" s="386"/>
      <c r="AF481" s="386"/>
    </row>
    <row r="482" ht="15.75" customHeight="1">
      <c r="A482" s="24"/>
      <c r="B482" s="25"/>
      <c r="C482" s="25"/>
      <c r="D482" s="28"/>
      <c r="E482" s="28"/>
      <c r="F482" s="383"/>
      <c r="G482" s="380"/>
      <c r="H482" s="300"/>
      <c r="I482" s="17"/>
      <c r="J482" s="17"/>
      <c r="K482" s="17"/>
      <c r="L482" s="17"/>
      <c r="M482" s="17"/>
      <c r="N482" s="17"/>
      <c r="O482" s="17"/>
      <c r="P482" s="17"/>
      <c r="Q482" s="17"/>
      <c r="R482" s="17"/>
      <c r="S482" s="17"/>
      <c r="T482" s="17"/>
      <c r="U482" s="300"/>
      <c r="V482" s="67"/>
      <c r="W482" s="17"/>
      <c r="X482" s="17"/>
      <c r="Y482" s="300"/>
      <c r="Z482" s="386"/>
      <c r="AA482" s="386"/>
      <c r="AB482" s="386"/>
      <c r="AC482" s="386"/>
      <c r="AD482" s="386"/>
      <c r="AE482" s="386"/>
      <c r="AF482" s="386"/>
    </row>
    <row r="483" ht="15.75" customHeight="1">
      <c r="A483" s="24"/>
      <c r="B483" s="25"/>
      <c r="C483" s="25"/>
      <c r="D483" s="28"/>
      <c r="E483" s="28"/>
      <c r="F483" s="404"/>
      <c r="G483" s="380"/>
      <c r="H483" s="300"/>
      <c r="I483" s="17"/>
      <c r="J483" s="17"/>
      <c r="K483" s="17"/>
      <c r="L483" s="17"/>
      <c r="M483" s="17"/>
      <c r="N483" s="17"/>
      <c r="O483" s="17"/>
      <c r="P483" s="17"/>
      <c r="Q483" s="17"/>
      <c r="R483" s="17"/>
      <c r="S483" s="17"/>
      <c r="T483" s="17"/>
      <c r="U483" s="300"/>
      <c r="V483" s="47"/>
      <c r="W483" s="17"/>
      <c r="X483" s="17"/>
      <c r="Y483" s="300"/>
      <c r="Z483" s="386"/>
      <c r="AA483" s="386"/>
      <c r="AB483" s="386"/>
      <c r="AC483" s="386"/>
      <c r="AD483" s="386"/>
      <c r="AE483" s="386"/>
      <c r="AF483" s="386"/>
    </row>
    <row r="484" ht="15.75" customHeight="1">
      <c r="A484" s="24"/>
      <c r="B484" s="25"/>
      <c r="C484" s="25"/>
      <c r="D484" s="28"/>
      <c r="E484" s="28"/>
      <c r="F484" s="383"/>
      <c r="G484" s="380"/>
      <c r="H484" s="300"/>
      <c r="I484" s="17"/>
      <c r="J484" s="17"/>
      <c r="K484" s="17"/>
      <c r="L484" s="17"/>
      <c r="M484" s="17"/>
      <c r="N484" s="17"/>
      <c r="O484" s="17"/>
      <c r="P484" s="17"/>
      <c r="Q484" s="17"/>
      <c r="R484" s="17"/>
      <c r="S484" s="17"/>
      <c r="T484" s="17"/>
      <c r="U484" s="300"/>
      <c r="V484" s="67"/>
      <c r="W484" s="17"/>
      <c r="X484" s="17"/>
      <c r="Y484" s="300"/>
      <c r="Z484" s="386"/>
      <c r="AA484" s="386"/>
      <c r="AB484" s="386"/>
      <c r="AC484" s="386"/>
      <c r="AD484" s="386"/>
      <c r="AE484" s="386"/>
      <c r="AF484" s="386"/>
    </row>
    <row r="485" ht="15.75" customHeight="1">
      <c r="A485" s="24"/>
      <c r="B485" s="25"/>
      <c r="C485" s="25"/>
      <c r="D485" s="28"/>
      <c r="E485" s="28"/>
      <c r="F485" s="404"/>
      <c r="G485" s="380"/>
      <c r="H485" s="300"/>
      <c r="I485" s="17"/>
      <c r="J485" s="17"/>
      <c r="K485" s="17"/>
      <c r="L485" s="17"/>
      <c r="M485" s="17"/>
      <c r="N485" s="17"/>
      <c r="O485" s="17"/>
      <c r="P485" s="17"/>
      <c r="Q485" s="17"/>
      <c r="R485" s="17"/>
      <c r="S485" s="17"/>
      <c r="T485" s="17"/>
      <c r="U485" s="300"/>
      <c r="V485" s="47"/>
      <c r="W485" s="17"/>
      <c r="X485" s="17"/>
      <c r="Y485" s="300"/>
      <c r="Z485" s="386"/>
      <c r="AA485" s="386"/>
      <c r="AB485" s="386"/>
      <c r="AC485" s="386"/>
      <c r="AD485" s="386"/>
      <c r="AE485" s="386"/>
      <c r="AF485" s="386"/>
    </row>
    <row r="486" ht="15.75" customHeight="1">
      <c r="A486" s="24"/>
      <c r="B486" s="25"/>
      <c r="C486" s="25"/>
      <c r="D486" s="28"/>
      <c r="E486" s="28"/>
      <c r="F486" s="383"/>
      <c r="G486" s="380"/>
      <c r="H486" s="300"/>
      <c r="I486" s="17"/>
      <c r="J486" s="17"/>
      <c r="K486" s="17"/>
      <c r="L486" s="17"/>
      <c r="M486" s="17"/>
      <c r="N486" s="17"/>
      <c r="O486" s="17"/>
      <c r="P486" s="17"/>
      <c r="Q486" s="17"/>
      <c r="R486" s="17"/>
      <c r="S486" s="17"/>
      <c r="T486" s="17"/>
      <c r="U486" s="300"/>
      <c r="V486" s="67"/>
      <c r="W486" s="17"/>
      <c r="X486" s="17"/>
      <c r="Y486" s="300"/>
      <c r="Z486" s="386"/>
      <c r="AA486" s="386"/>
      <c r="AB486" s="386"/>
      <c r="AC486" s="386"/>
      <c r="AD486" s="386"/>
      <c r="AE486" s="386"/>
      <c r="AF486" s="386"/>
    </row>
    <row r="487" ht="15.75" customHeight="1">
      <c r="A487" s="24"/>
      <c r="B487" s="25"/>
      <c r="C487" s="25"/>
      <c r="D487" s="28"/>
      <c r="E487" s="28"/>
      <c r="F487" s="404"/>
      <c r="G487" s="380"/>
      <c r="H487" s="300"/>
      <c r="I487" s="17"/>
      <c r="J487" s="17"/>
      <c r="K487" s="17"/>
      <c r="L487" s="17"/>
      <c r="M487" s="17"/>
      <c r="N487" s="17"/>
      <c r="O487" s="17"/>
      <c r="P487" s="17"/>
      <c r="Q487" s="17"/>
      <c r="R487" s="17"/>
      <c r="S487" s="17"/>
      <c r="T487" s="17"/>
      <c r="U487" s="300"/>
      <c r="V487" s="47"/>
      <c r="W487" s="17"/>
      <c r="X487" s="17"/>
      <c r="Y487" s="300"/>
      <c r="Z487" s="386"/>
      <c r="AA487" s="386"/>
      <c r="AB487" s="386"/>
      <c r="AC487" s="386"/>
      <c r="AD487" s="386"/>
      <c r="AE487" s="386"/>
      <c r="AF487" s="386"/>
    </row>
    <row r="488" ht="15.75" customHeight="1">
      <c r="A488" s="24"/>
      <c r="B488" s="25"/>
      <c r="C488" s="25"/>
      <c r="D488" s="28"/>
      <c r="E488" s="28"/>
      <c r="F488" s="383"/>
      <c r="G488" s="380"/>
      <c r="H488" s="300"/>
      <c r="I488" s="17"/>
      <c r="J488" s="17"/>
      <c r="K488" s="17"/>
      <c r="L488" s="17"/>
      <c r="M488" s="17"/>
      <c r="N488" s="17"/>
      <c r="O488" s="17"/>
      <c r="P488" s="17"/>
      <c r="Q488" s="17"/>
      <c r="R488" s="17"/>
      <c r="S488" s="17"/>
      <c r="T488" s="17"/>
      <c r="U488" s="300"/>
      <c r="V488" s="67"/>
      <c r="W488" s="17"/>
      <c r="X488" s="17"/>
      <c r="Y488" s="300"/>
      <c r="Z488" s="386"/>
      <c r="AA488" s="386"/>
      <c r="AB488" s="386"/>
      <c r="AC488" s="386"/>
      <c r="AD488" s="386"/>
      <c r="AE488" s="386"/>
      <c r="AF488" s="386"/>
    </row>
    <row r="489" ht="15.75" customHeight="1">
      <c r="A489" s="24"/>
      <c r="B489" s="25"/>
      <c r="C489" s="25"/>
      <c r="D489" s="28"/>
      <c r="E489" s="28"/>
      <c r="F489" s="404"/>
      <c r="G489" s="380"/>
      <c r="H489" s="300"/>
      <c r="I489" s="17"/>
      <c r="J489" s="17"/>
      <c r="K489" s="17"/>
      <c r="L489" s="17"/>
      <c r="M489" s="17"/>
      <c r="N489" s="17"/>
      <c r="O489" s="17"/>
      <c r="P489" s="17"/>
      <c r="Q489" s="17"/>
      <c r="R489" s="17"/>
      <c r="S489" s="17"/>
      <c r="T489" s="17"/>
      <c r="U489" s="300"/>
      <c r="V489" s="47"/>
      <c r="W489" s="17"/>
      <c r="X489" s="17"/>
      <c r="Y489" s="300"/>
      <c r="Z489" s="386"/>
      <c r="AA489" s="386"/>
      <c r="AB489" s="386"/>
      <c r="AC489" s="386"/>
      <c r="AD489" s="386"/>
      <c r="AE489" s="386"/>
      <c r="AF489" s="386"/>
    </row>
    <row r="490" ht="15.75" customHeight="1">
      <c r="A490" s="24"/>
      <c r="B490" s="25"/>
      <c r="C490" s="25"/>
      <c r="D490" s="28"/>
      <c r="E490" s="28"/>
      <c r="F490" s="383"/>
      <c r="G490" s="380"/>
      <c r="H490" s="300"/>
      <c r="I490" s="17"/>
      <c r="J490" s="17"/>
      <c r="K490" s="17"/>
      <c r="L490" s="17"/>
      <c r="M490" s="17"/>
      <c r="N490" s="17"/>
      <c r="O490" s="17"/>
      <c r="P490" s="17"/>
      <c r="Q490" s="17"/>
      <c r="R490" s="17"/>
      <c r="S490" s="17"/>
      <c r="T490" s="17"/>
      <c r="U490" s="300"/>
      <c r="V490" s="67"/>
      <c r="W490" s="17"/>
      <c r="X490" s="17"/>
      <c r="Y490" s="300"/>
      <c r="Z490" s="386"/>
      <c r="AA490" s="386"/>
      <c r="AB490" s="386"/>
      <c r="AC490" s="386"/>
      <c r="AD490" s="386"/>
      <c r="AE490" s="386"/>
      <c r="AF490" s="386"/>
    </row>
    <row r="491" ht="15.75" customHeight="1">
      <c r="A491" s="24"/>
      <c r="B491" s="25"/>
      <c r="C491" s="25"/>
      <c r="D491" s="28"/>
      <c r="E491" s="28"/>
      <c r="F491" s="404"/>
      <c r="G491" s="380"/>
      <c r="H491" s="300"/>
      <c r="I491" s="17"/>
      <c r="J491" s="17"/>
      <c r="K491" s="17"/>
      <c r="L491" s="17"/>
      <c r="M491" s="17"/>
      <c r="N491" s="17"/>
      <c r="O491" s="17"/>
      <c r="P491" s="17"/>
      <c r="Q491" s="17"/>
      <c r="R491" s="17"/>
      <c r="S491" s="17"/>
      <c r="T491" s="17"/>
      <c r="U491" s="300"/>
      <c r="V491" s="47"/>
      <c r="W491" s="17"/>
      <c r="X491" s="17"/>
      <c r="Y491" s="300"/>
      <c r="Z491" s="386"/>
      <c r="AA491" s="386"/>
      <c r="AB491" s="386"/>
      <c r="AC491" s="386"/>
      <c r="AD491" s="386"/>
      <c r="AE491" s="386"/>
      <c r="AF491" s="386"/>
    </row>
    <row r="492" ht="15.75" customHeight="1">
      <c r="A492" s="24"/>
      <c r="B492" s="25"/>
      <c r="C492" s="25"/>
      <c r="D492" s="28"/>
      <c r="E492" s="28"/>
      <c r="F492" s="383"/>
      <c r="G492" s="380"/>
      <c r="H492" s="300"/>
      <c r="I492" s="17"/>
      <c r="J492" s="17"/>
      <c r="K492" s="17"/>
      <c r="L492" s="17"/>
      <c r="M492" s="17"/>
      <c r="N492" s="17"/>
      <c r="O492" s="17"/>
      <c r="P492" s="17"/>
      <c r="Q492" s="17"/>
      <c r="R492" s="17"/>
      <c r="S492" s="17"/>
      <c r="T492" s="17"/>
      <c r="U492" s="300"/>
      <c r="V492" s="67"/>
      <c r="W492" s="17"/>
      <c r="X492" s="17"/>
      <c r="Y492" s="300"/>
      <c r="Z492" s="386"/>
      <c r="AA492" s="386"/>
      <c r="AB492" s="386"/>
      <c r="AC492" s="386"/>
      <c r="AD492" s="386"/>
      <c r="AE492" s="386"/>
      <c r="AF492" s="386"/>
    </row>
    <row r="493" ht="15.75" customHeight="1">
      <c r="A493" s="24"/>
      <c r="B493" s="25"/>
      <c r="C493" s="25"/>
      <c r="D493" s="28"/>
      <c r="E493" s="28"/>
      <c r="F493" s="404"/>
      <c r="G493" s="380"/>
      <c r="H493" s="300"/>
      <c r="I493" s="17"/>
      <c r="J493" s="17"/>
      <c r="K493" s="17"/>
      <c r="L493" s="17"/>
      <c r="M493" s="17"/>
      <c r="N493" s="17"/>
      <c r="O493" s="17"/>
      <c r="P493" s="17"/>
      <c r="Q493" s="17"/>
      <c r="R493" s="17"/>
      <c r="S493" s="17"/>
      <c r="T493" s="17"/>
      <c r="U493" s="300"/>
      <c r="V493" s="47"/>
      <c r="W493" s="17"/>
      <c r="X493" s="17"/>
      <c r="Y493" s="300"/>
      <c r="Z493" s="386"/>
      <c r="AA493" s="386"/>
      <c r="AB493" s="386"/>
      <c r="AC493" s="386"/>
      <c r="AD493" s="386"/>
      <c r="AE493" s="386"/>
      <c r="AF493" s="386"/>
    </row>
    <row r="494" ht="15.75" customHeight="1">
      <c r="A494" s="24"/>
      <c r="B494" s="25"/>
      <c r="C494" s="25"/>
      <c r="D494" s="28"/>
      <c r="E494" s="28"/>
      <c r="F494" s="383"/>
      <c r="G494" s="380"/>
      <c r="H494" s="300"/>
      <c r="I494" s="17"/>
      <c r="J494" s="17"/>
      <c r="K494" s="17"/>
      <c r="L494" s="17"/>
      <c r="M494" s="17"/>
      <c r="N494" s="17"/>
      <c r="O494" s="17"/>
      <c r="P494" s="17"/>
      <c r="Q494" s="17"/>
      <c r="R494" s="17"/>
      <c r="S494" s="17"/>
      <c r="T494" s="17"/>
      <c r="U494" s="300"/>
      <c r="V494" s="67"/>
      <c r="W494" s="17"/>
      <c r="X494" s="17"/>
      <c r="Y494" s="300"/>
      <c r="Z494" s="386"/>
      <c r="AA494" s="386"/>
      <c r="AB494" s="386"/>
      <c r="AC494" s="386"/>
      <c r="AD494" s="386"/>
      <c r="AE494" s="386"/>
      <c r="AF494" s="386"/>
    </row>
    <row r="495" ht="15.75" customHeight="1">
      <c r="A495" s="24"/>
      <c r="B495" s="25"/>
      <c r="C495" s="25"/>
      <c r="D495" s="28"/>
      <c r="E495" s="28"/>
      <c r="F495" s="404"/>
      <c r="G495" s="380"/>
      <c r="H495" s="300"/>
      <c r="I495" s="17"/>
      <c r="J495" s="17"/>
      <c r="K495" s="17"/>
      <c r="L495" s="17"/>
      <c r="M495" s="17"/>
      <c r="N495" s="17"/>
      <c r="O495" s="17"/>
      <c r="P495" s="17"/>
      <c r="Q495" s="17"/>
      <c r="R495" s="17"/>
      <c r="S495" s="17"/>
      <c r="T495" s="17"/>
      <c r="U495" s="300"/>
      <c r="V495" s="47"/>
      <c r="W495" s="17"/>
      <c r="X495" s="17"/>
      <c r="Y495" s="300"/>
      <c r="Z495" s="386"/>
      <c r="AA495" s="386"/>
      <c r="AB495" s="386"/>
      <c r="AC495" s="386"/>
      <c r="AD495" s="386"/>
      <c r="AE495" s="386"/>
      <c r="AF495" s="386"/>
    </row>
    <row r="496" ht="15.75" customHeight="1">
      <c r="A496" s="24"/>
      <c r="B496" s="25"/>
      <c r="C496" s="25"/>
      <c r="D496" s="28"/>
      <c r="E496" s="28"/>
      <c r="F496" s="383"/>
      <c r="G496" s="380"/>
      <c r="H496" s="300"/>
      <c r="I496" s="17"/>
      <c r="J496" s="17"/>
      <c r="K496" s="17"/>
      <c r="L496" s="17"/>
      <c r="M496" s="17"/>
      <c r="N496" s="17"/>
      <c r="O496" s="17"/>
      <c r="P496" s="17"/>
      <c r="Q496" s="17"/>
      <c r="R496" s="17"/>
      <c r="S496" s="17"/>
      <c r="T496" s="17"/>
      <c r="U496" s="300"/>
      <c r="V496" s="67"/>
      <c r="W496" s="17"/>
      <c r="X496" s="17"/>
      <c r="Y496" s="300"/>
      <c r="Z496" s="386"/>
      <c r="AA496" s="386"/>
      <c r="AB496" s="386"/>
      <c r="AC496" s="386"/>
      <c r="AD496" s="386"/>
      <c r="AE496" s="386"/>
      <c r="AF496" s="386"/>
    </row>
    <row r="497" ht="15.75" customHeight="1">
      <c r="A497" s="24"/>
      <c r="B497" s="25"/>
      <c r="C497" s="25"/>
      <c r="D497" s="28"/>
      <c r="E497" s="28"/>
      <c r="F497" s="404"/>
      <c r="G497" s="380"/>
      <c r="H497" s="300"/>
      <c r="I497" s="17"/>
      <c r="J497" s="17"/>
      <c r="K497" s="17"/>
      <c r="L497" s="17"/>
      <c r="M497" s="17"/>
      <c r="N497" s="17"/>
      <c r="O497" s="17"/>
      <c r="P497" s="17"/>
      <c r="Q497" s="17"/>
      <c r="R497" s="17"/>
      <c r="S497" s="17"/>
      <c r="T497" s="17"/>
      <c r="U497" s="300"/>
      <c r="V497" s="47"/>
      <c r="W497" s="17"/>
      <c r="X497" s="17"/>
      <c r="Y497" s="300"/>
      <c r="Z497" s="386"/>
      <c r="AA497" s="386"/>
      <c r="AB497" s="386"/>
      <c r="AC497" s="386"/>
      <c r="AD497" s="386"/>
      <c r="AE497" s="386"/>
      <c r="AF497" s="386"/>
    </row>
    <row r="498" ht="15.75" customHeight="1">
      <c r="A498" s="24"/>
      <c r="B498" s="25"/>
      <c r="C498" s="25"/>
      <c r="D498" s="28"/>
      <c r="E498" s="28"/>
      <c r="F498" s="383"/>
      <c r="G498" s="380"/>
      <c r="H498" s="300"/>
      <c r="I498" s="17"/>
      <c r="J498" s="17"/>
      <c r="K498" s="17"/>
      <c r="L498" s="17"/>
      <c r="M498" s="17"/>
      <c r="N498" s="17"/>
      <c r="O498" s="17"/>
      <c r="P498" s="17"/>
      <c r="Q498" s="17"/>
      <c r="R498" s="17"/>
      <c r="S498" s="17"/>
      <c r="T498" s="17"/>
      <c r="U498" s="300"/>
      <c r="V498" s="67"/>
      <c r="W498" s="17"/>
      <c r="X498" s="17"/>
      <c r="Y498" s="300"/>
      <c r="Z498" s="386"/>
      <c r="AA498" s="386"/>
      <c r="AB498" s="386"/>
      <c r="AC498" s="386"/>
      <c r="AD498" s="386"/>
      <c r="AE498" s="386"/>
      <c r="AF498" s="386"/>
    </row>
    <row r="499" ht="15.75" customHeight="1">
      <c r="A499" s="24"/>
      <c r="B499" s="25"/>
      <c r="C499" s="25"/>
      <c r="D499" s="28"/>
      <c r="E499" s="28"/>
      <c r="F499" s="404"/>
      <c r="G499" s="380"/>
      <c r="H499" s="300"/>
      <c r="I499" s="17"/>
      <c r="J499" s="17"/>
      <c r="K499" s="17"/>
      <c r="L499" s="17"/>
      <c r="M499" s="17"/>
      <c r="N499" s="17"/>
      <c r="O499" s="17"/>
      <c r="P499" s="17"/>
      <c r="Q499" s="17"/>
      <c r="R499" s="17"/>
      <c r="S499" s="17"/>
      <c r="T499" s="17"/>
      <c r="U499" s="300"/>
      <c r="V499" s="47"/>
      <c r="W499" s="17"/>
      <c r="X499" s="17"/>
      <c r="Y499" s="300"/>
      <c r="Z499" s="386"/>
      <c r="AA499" s="386"/>
      <c r="AB499" s="386"/>
      <c r="AC499" s="386"/>
      <c r="AD499" s="386"/>
      <c r="AE499" s="386"/>
      <c r="AF499" s="386"/>
    </row>
    <row r="500" ht="15.75" customHeight="1">
      <c r="A500" s="24"/>
      <c r="B500" s="25"/>
      <c r="C500" s="25"/>
      <c r="D500" s="28"/>
      <c r="E500" s="28"/>
      <c r="F500" s="383"/>
      <c r="G500" s="380"/>
      <c r="H500" s="300"/>
      <c r="I500" s="17"/>
      <c r="J500" s="17"/>
      <c r="K500" s="17"/>
      <c r="L500" s="17"/>
      <c r="M500" s="17"/>
      <c r="N500" s="17"/>
      <c r="O500" s="17"/>
      <c r="P500" s="17"/>
      <c r="Q500" s="17"/>
      <c r="R500" s="17"/>
      <c r="S500" s="17"/>
      <c r="T500" s="17"/>
      <c r="U500" s="300"/>
      <c r="V500" s="67"/>
      <c r="W500" s="17"/>
      <c r="X500" s="17"/>
      <c r="Y500" s="300"/>
      <c r="Z500" s="386"/>
      <c r="AA500" s="386"/>
      <c r="AB500" s="386"/>
      <c r="AC500" s="386"/>
      <c r="AD500" s="386"/>
      <c r="AE500" s="386"/>
      <c r="AF500" s="386"/>
    </row>
    <row r="501" ht="15.75" customHeight="1">
      <c r="A501" s="24"/>
      <c r="B501" s="25"/>
      <c r="C501" s="25"/>
      <c r="D501" s="28"/>
      <c r="E501" s="28"/>
      <c r="F501" s="404"/>
      <c r="G501" s="380"/>
      <c r="H501" s="300"/>
      <c r="I501" s="17"/>
      <c r="J501" s="17"/>
      <c r="K501" s="17"/>
      <c r="L501" s="17"/>
      <c r="M501" s="17"/>
      <c r="N501" s="17"/>
      <c r="O501" s="17"/>
      <c r="P501" s="17"/>
      <c r="Q501" s="17"/>
      <c r="R501" s="17"/>
      <c r="S501" s="17"/>
      <c r="T501" s="17"/>
      <c r="U501" s="300"/>
      <c r="V501" s="47"/>
      <c r="W501" s="17"/>
      <c r="X501" s="17"/>
      <c r="Y501" s="300"/>
      <c r="Z501" s="386"/>
      <c r="AA501" s="386"/>
      <c r="AB501" s="386"/>
      <c r="AC501" s="386"/>
      <c r="AD501" s="386"/>
      <c r="AE501" s="386"/>
      <c r="AF501" s="386"/>
    </row>
    <row r="502" ht="15.75" customHeight="1">
      <c r="A502" s="24"/>
      <c r="B502" s="25"/>
      <c r="C502" s="25"/>
      <c r="D502" s="28"/>
      <c r="E502" s="28"/>
      <c r="F502" s="383"/>
      <c r="G502" s="380"/>
      <c r="H502" s="300"/>
      <c r="I502" s="17"/>
      <c r="J502" s="17"/>
      <c r="K502" s="17"/>
      <c r="L502" s="17"/>
      <c r="M502" s="17"/>
      <c r="N502" s="17"/>
      <c r="O502" s="17"/>
      <c r="P502" s="17"/>
      <c r="Q502" s="17"/>
      <c r="R502" s="17"/>
      <c r="S502" s="17"/>
      <c r="T502" s="17"/>
      <c r="U502" s="300"/>
      <c r="V502" s="67"/>
      <c r="W502" s="17"/>
      <c r="X502" s="17"/>
      <c r="Y502" s="300"/>
      <c r="Z502" s="386"/>
      <c r="AA502" s="386"/>
      <c r="AB502" s="386"/>
      <c r="AC502" s="386"/>
      <c r="AD502" s="386"/>
      <c r="AE502" s="386"/>
      <c r="AF502" s="386"/>
    </row>
    <row r="503" ht="15.75" customHeight="1">
      <c r="A503" s="24"/>
      <c r="B503" s="25"/>
      <c r="C503" s="25"/>
      <c r="D503" s="28"/>
      <c r="E503" s="28"/>
      <c r="F503" s="404"/>
      <c r="G503" s="380"/>
      <c r="H503" s="300"/>
      <c r="I503" s="17"/>
      <c r="J503" s="17"/>
      <c r="K503" s="17"/>
      <c r="L503" s="17"/>
      <c r="M503" s="17"/>
      <c r="N503" s="17"/>
      <c r="O503" s="17"/>
      <c r="P503" s="17"/>
      <c r="Q503" s="17"/>
      <c r="R503" s="17"/>
      <c r="S503" s="17"/>
      <c r="T503" s="17"/>
      <c r="U503" s="300"/>
      <c r="V503" s="47"/>
      <c r="W503" s="17"/>
      <c r="X503" s="17"/>
      <c r="Y503" s="300"/>
      <c r="Z503" s="386"/>
      <c r="AA503" s="386"/>
      <c r="AB503" s="386"/>
      <c r="AC503" s="386"/>
      <c r="AD503" s="386"/>
      <c r="AE503" s="386"/>
      <c r="AF503" s="386"/>
    </row>
    <row r="504" ht="15.75" customHeight="1">
      <c r="A504" s="24"/>
      <c r="B504" s="25"/>
      <c r="C504" s="25"/>
      <c r="D504" s="28"/>
      <c r="E504" s="28"/>
      <c r="F504" s="383"/>
      <c r="G504" s="380"/>
      <c r="H504" s="300"/>
      <c r="I504" s="17"/>
      <c r="J504" s="17"/>
      <c r="K504" s="17"/>
      <c r="L504" s="17"/>
      <c r="M504" s="17"/>
      <c r="N504" s="17"/>
      <c r="O504" s="17"/>
      <c r="P504" s="17"/>
      <c r="Q504" s="17"/>
      <c r="R504" s="17"/>
      <c r="S504" s="17"/>
      <c r="T504" s="17"/>
      <c r="U504" s="300"/>
      <c r="V504" s="67"/>
      <c r="W504" s="17"/>
      <c r="X504" s="17"/>
      <c r="Y504" s="300"/>
      <c r="Z504" s="386"/>
      <c r="AA504" s="386"/>
      <c r="AB504" s="386"/>
      <c r="AC504" s="386"/>
      <c r="AD504" s="386"/>
      <c r="AE504" s="386"/>
      <c r="AF504" s="386"/>
    </row>
    <row r="505" ht="15.75" customHeight="1">
      <c r="A505" s="24"/>
      <c r="B505" s="25"/>
      <c r="C505" s="25"/>
      <c r="D505" s="28"/>
      <c r="E505" s="28"/>
      <c r="F505" s="404"/>
      <c r="G505" s="380"/>
      <c r="H505" s="300"/>
      <c r="I505" s="17"/>
      <c r="J505" s="17"/>
      <c r="K505" s="17"/>
      <c r="L505" s="17"/>
      <c r="M505" s="17"/>
      <c r="N505" s="17"/>
      <c r="O505" s="17"/>
      <c r="P505" s="17"/>
      <c r="Q505" s="17"/>
      <c r="R505" s="17"/>
      <c r="S505" s="17"/>
      <c r="T505" s="17"/>
      <c r="U505" s="300"/>
      <c r="V505" s="47"/>
      <c r="W505" s="17"/>
      <c r="X505" s="17"/>
      <c r="Y505" s="300"/>
      <c r="Z505" s="386"/>
      <c r="AA505" s="386"/>
      <c r="AB505" s="386"/>
      <c r="AC505" s="386"/>
      <c r="AD505" s="386"/>
      <c r="AE505" s="386"/>
      <c r="AF505" s="386"/>
    </row>
    <row r="506" ht="15.75" customHeight="1">
      <c r="A506" s="24"/>
      <c r="B506" s="25"/>
      <c r="C506" s="25"/>
      <c r="D506" s="28"/>
      <c r="E506" s="28"/>
      <c r="F506" s="383"/>
      <c r="G506" s="380"/>
      <c r="H506" s="300"/>
      <c r="I506" s="17"/>
      <c r="J506" s="17"/>
      <c r="K506" s="17"/>
      <c r="L506" s="17"/>
      <c r="M506" s="17"/>
      <c r="N506" s="17"/>
      <c r="O506" s="17"/>
      <c r="P506" s="17"/>
      <c r="Q506" s="17"/>
      <c r="R506" s="17"/>
      <c r="S506" s="17"/>
      <c r="T506" s="17"/>
      <c r="U506" s="300"/>
      <c r="V506" s="67"/>
      <c r="W506" s="17"/>
      <c r="X506" s="17"/>
      <c r="Y506" s="300"/>
      <c r="Z506" s="386"/>
      <c r="AA506" s="386"/>
      <c r="AB506" s="386"/>
      <c r="AC506" s="386"/>
      <c r="AD506" s="386"/>
      <c r="AE506" s="386"/>
      <c r="AF506" s="386"/>
    </row>
    <row r="507" ht="15.75" customHeight="1">
      <c r="A507" s="24"/>
      <c r="B507" s="25"/>
      <c r="C507" s="25"/>
      <c r="D507" s="28"/>
      <c r="E507" s="28"/>
      <c r="F507" s="404"/>
      <c r="G507" s="380"/>
      <c r="H507" s="300"/>
      <c r="I507" s="17"/>
      <c r="J507" s="17"/>
      <c r="K507" s="17"/>
      <c r="L507" s="17"/>
      <c r="M507" s="17"/>
      <c r="N507" s="17"/>
      <c r="O507" s="17"/>
      <c r="P507" s="17"/>
      <c r="Q507" s="17"/>
      <c r="R507" s="17"/>
      <c r="S507" s="17"/>
      <c r="T507" s="17"/>
      <c r="U507" s="300"/>
      <c r="V507" s="47"/>
      <c r="W507" s="17"/>
      <c r="X507" s="17"/>
      <c r="Y507" s="300"/>
      <c r="Z507" s="386"/>
      <c r="AA507" s="386"/>
      <c r="AB507" s="386"/>
      <c r="AC507" s="386"/>
      <c r="AD507" s="386"/>
      <c r="AE507" s="386"/>
      <c r="AF507" s="386"/>
    </row>
    <row r="508" ht="15.75" customHeight="1">
      <c r="A508" s="24"/>
      <c r="B508" s="25"/>
      <c r="C508" s="25"/>
      <c r="D508" s="28"/>
      <c r="E508" s="28"/>
      <c r="F508" s="383"/>
      <c r="G508" s="380"/>
      <c r="H508" s="300"/>
      <c r="I508" s="17"/>
      <c r="J508" s="17"/>
      <c r="K508" s="17"/>
      <c r="L508" s="17"/>
      <c r="M508" s="17"/>
      <c r="N508" s="17"/>
      <c r="O508" s="17"/>
      <c r="P508" s="17"/>
      <c r="Q508" s="17"/>
      <c r="R508" s="17"/>
      <c r="S508" s="17"/>
      <c r="T508" s="17"/>
      <c r="U508" s="300"/>
      <c r="V508" s="67"/>
      <c r="W508" s="17"/>
      <c r="X508" s="17"/>
      <c r="Y508" s="300"/>
      <c r="Z508" s="386"/>
      <c r="AA508" s="386"/>
      <c r="AB508" s="386"/>
      <c r="AC508" s="386"/>
      <c r="AD508" s="386"/>
      <c r="AE508" s="386"/>
      <c r="AF508" s="386"/>
    </row>
    <row r="509" ht="15.75" customHeight="1">
      <c r="A509" s="24"/>
      <c r="B509" s="25"/>
      <c r="C509" s="25"/>
      <c r="D509" s="28"/>
      <c r="E509" s="28"/>
      <c r="F509" s="404"/>
      <c r="G509" s="380"/>
      <c r="H509" s="300"/>
      <c r="I509" s="17"/>
      <c r="J509" s="17"/>
      <c r="K509" s="17"/>
      <c r="L509" s="17"/>
      <c r="M509" s="17"/>
      <c r="N509" s="17"/>
      <c r="O509" s="17"/>
      <c r="P509" s="17"/>
      <c r="Q509" s="17"/>
      <c r="R509" s="17"/>
      <c r="S509" s="17"/>
      <c r="T509" s="17"/>
      <c r="U509" s="300"/>
      <c r="V509" s="47"/>
      <c r="W509" s="17"/>
      <c r="X509" s="17"/>
      <c r="Y509" s="300"/>
      <c r="Z509" s="386"/>
      <c r="AA509" s="386"/>
      <c r="AB509" s="386"/>
      <c r="AC509" s="386"/>
      <c r="AD509" s="386"/>
      <c r="AE509" s="386"/>
      <c r="AF509" s="386"/>
    </row>
    <row r="510" ht="15.75" customHeight="1">
      <c r="A510" s="24"/>
      <c r="B510" s="25"/>
      <c r="C510" s="25"/>
      <c r="D510" s="28"/>
      <c r="E510" s="28"/>
      <c r="F510" s="383"/>
      <c r="G510" s="380"/>
      <c r="H510" s="300"/>
      <c r="I510" s="17"/>
      <c r="J510" s="17"/>
      <c r="K510" s="17"/>
      <c r="L510" s="17"/>
      <c r="M510" s="17"/>
      <c r="N510" s="17"/>
      <c r="O510" s="17"/>
      <c r="P510" s="17"/>
      <c r="Q510" s="17"/>
      <c r="R510" s="17"/>
      <c r="S510" s="17"/>
      <c r="T510" s="17"/>
      <c r="U510" s="300"/>
      <c r="V510" s="67"/>
      <c r="W510" s="17"/>
      <c r="X510" s="17"/>
      <c r="Y510" s="300"/>
      <c r="Z510" s="386"/>
      <c r="AA510" s="386"/>
      <c r="AB510" s="386"/>
      <c r="AC510" s="386"/>
      <c r="AD510" s="386"/>
      <c r="AE510" s="386"/>
      <c r="AF510" s="386"/>
    </row>
    <row r="511" ht="15.75" customHeight="1">
      <c r="A511" s="24"/>
      <c r="B511" s="25"/>
      <c r="C511" s="25"/>
      <c r="D511" s="28"/>
      <c r="E511" s="28"/>
      <c r="F511" s="404"/>
      <c r="G511" s="380"/>
      <c r="H511" s="300"/>
      <c r="I511" s="17"/>
      <c r="J511" s="17"/>
      <c r="K511" s="17"/>
      <c r="L511" s="17"/>
      <c r="M511" s="17"/>
      <c r="N511" s="17"/>
      <c r="O511" s="17"/>
      <c r="P511" s="17"/>
      <c r="Q511" s="17"/>
      <c r="R511" s="17"/>
      <c r="S511" s="17"/>
      <c r="T511" s="17"/>
      <c r="U511" s="300"/>
      <c r="V511" s="47"/>
      <c r="W511" s="17"/>
      <c r="X511" s="17"/>
      <c r="Y511" s="300"/>
      <c r="Z511" s="386"/>
      <c r="AA511" s="386"/>
      <c r="AB511" s="386"/>
      <c r="AC511" s="386"/>
      <c r="AD511" s="386"/>
      <c r="AE511" s="386"/>
      <c r="AF511" s="386"/>
    </row>
    <row r="512" ht="15.75" customHeight="1">
      <c r="A512" s="24"/>
      <c r="B512" s="25"/>
      <c r="C512" s="25"/>
      <c r="D512" s="28"/>
      <c r="E512" s="28"/>
      <c r="F512" s="383"/>
      <c r="G512" s="380"/>
      <c r="H512" s="300"/>
      <c r="I512" s="17"/>
      <c r="J512" s="17"/>
      <c r="K512" s="17"/>
      <c r="L512" s="17"/>
      <c r="M512" s="17"/>
      <c r="N512" s="17"/>
      <c r="O512" s="17"/>
      <c r="P512" s="17"/>
      <c r="Q512" s="17"/>
      <c r="R512" s="17"/>
      <c r="S512" s="17"/>
      <c r="T512" s="17"/>
      <c r="U512" s="300"/>
      <c r="V512" s="67"/>
      <c r="W512" s="17"/>
      <c r="X512" s="17"/>
      <c r="Y512" s="300"/>
      <c r="Z512" s="386"/>
      <c r="AA512" s="386"/>
      <c r="AB512" s="386"/>
      <c r="AC512" s="386"/>
      <c r="AD512" s="386"/>
      <c r="AE512" s="386"/>
      <c r="AF512" s="386"/>
    </row>
    <row r="513" ht="15.75" customHeight="1">
      <c r="A513" s="24"/>
      <c r="B513" s="25"/>
      <c r="C513" s="25"/>
      <c r="D513" s="28"/>
      <c r="E513" s="28"/>
      <c r="F513" s="404"/>
      <c r="G513" s="380"/>
      <c r="H513" s="300"/>
      <c r="I513" s="17"/>
      <c r="J513" s="17"/>
      <c r="K513" s="17"/>
      <c r="L513" s="17"/>
      <c r="M513" s="17"/>
      <c r="N513" s="17"/>
      <c r="O513" s="17"/>
      <c r="P513" s="17"/>
      <c r="Q513" s="17"/>
      <c r="R513" s="17"/>
      <c r="S513" s="17"/>
      <c r="T513" s="17"/>
      <c r="U513" s="300"/>
      <c r="V513" s="47"/>
      <c r="W513" s="17"/>
      <c r="X513" s="17"/>
      <c r="Y513" s="300"/>
      <c r="Z513" s="386"/>
      <c r="AA513" s="386"/>
      <c r="AB513" s="386"/>
      <c r="AC513" s="386"/>
      <c r="AD513" s="386"/>
      <c r="AE513" s="386"/>
      <c r="AF513" s="386"/>
    </row>
    <row r="514" ht="15.75" customHeight="1">
      <c r="A514" s="24"/>
      <c r="B514" s="25"/>
      <c r="C514" s="25"/>
      <c r="D514" s="28"/>
      <c r="E514" s="28"/>
      <c r="F514" s="383"/>
      <c r="G514" s="380"/>
      <c r="H514" s="300"/>
      <c r="I514" s="17"/>
      <c r="J514" s="17"/>
      <c r="K514" s="17"/>
      <c r="L514" s="17"/>
      <c r="M514" s="17"/>
      <c r="N514" s="17"/>
      <c r="O514" s="17"/>
      <c r="P514" s="17"/>
      <c r="Q514" s="17"/>
      <c r="R514" s="17"/>
      <c r="S514" s="17"/>
      <c r="T514" s="17"/>
      <c r="U514" s="300"/>
      <c r="V514" s="67"/>
      <c r="W514" s="17"/>
      <c r="X514" s="17"/>
      <c r="Y514" s="300"/>
      <c r="Z514" s="386"/>
      <c r="AA514" s="386"/>
      <c r="AB514" s="386"/>
      <c r="AC514" s="386"/>
      <c r="AD514" s="386"/>
      <c r="AE514" s="386"/>
      <c r="AF514" s="386"/>
    </row>
    <row r="515" ht="15.75" customHeight="1">
      <c r="A515" s="24"/>
      <c r="B515" s="25"/>
      <c r="C515" s="25"/>
      <c r="D515" s="28"/>
      <c r="E515" s="28"/>
      <c r="F515" s="404"/>
      <c r="G515" s="380"/>
      <c r="H515" s="300"/>
      <c r="I515" s="17"/>
      <c r="J515" s="17"/>
      <c r="K515" s="17"/>
      <c r="L515" s="17"/>
      <c r="M515" s="17"/>
      <c r="N515" s="17"/>
      <c r="O515" s="17"/>
      <c r="P515" s="17"/>
      <c r="Q515" s="17"/>
      <c r="R515" s="17"/>
      <c r="S515" s="17"/>
      <c r="T515" s="17"/>
      <c r="U515" s="300"/>
      <c r="V515" s="47"/>
      <c r="W515" s="17"/>
      <c r="X515" s="17"/>
      <c r="Y515" s="300"/>
      <c r="Z515" s="386"/>
      <c r="AA515" s="386"/>
      <c r="AB515" s="386"/>
      <c r="AC515" s="386"/>
      <c r="AD515" s="386"/>
      <c r="AE515" s="386"/>
      <c r="AF515" s="386"/>
    </row>
    <row r="516" ht="15.75" customHeight="1">
      <c r="A516" s="24"/>
      <c r="B516" s="25"/>
      <c r="C516" s="25"/>
      <c r="D516" s="28"/>
      <c r="E516" s="28"/>
      <c r="F516" s="383"/>
      <c r="G516" s="380"/>
      <c r="H516" s="300"/>
      <c r="I516" s="17"/>
      <c r="J516" s="17"/>
      <c r="K516" s="17"/>
      <c r="L516" s="17"/>
      <c r="M516" s="17"/>
      <c r="N516" s="17"/>
      <c r="O516" s="17"/>
      <c r="P516" s="17"/>
      <c r="Q516" s="17"/>
      <c r="R516" s="17"/>
      <c r="S516" s="17"/>
      <c r="T516" s="17"/>
      <c r="U516" s="300"/>
      <c r="V516" s="67"/>
      <c r="W516" s="17"/>
      <c r="X516" s="17"/>
      <c r="Y516" s="300"/>
      <c r="Z516" s="386"/>
      <c r="AA516" s="386"/>
      <c r="AB516" s="386"/>
      <c r="AC516" s="386"/>
      <c r="AD516" s="386"/>
      <c r="AE516" s="386"/>
      <c r="AF516" s="386"/>
    </row>
    <row r="517" ht="15.75" customHeight="1">
      <c r="A517" s="24"/>
      <c r="B517" s="25"/>
      <c r="C517" s="25"/>
      <c r="D517" s="28"/>
      <c r="E517" s="28"/>
      <c r="F517" s="404"/>
      <c r="G517" s="380"/>
      <c r="H517" s="300"/>
      <c r="I517" s="17"/>
      <c r="J517" s="17"/>
      <c r="K517" s="17"/>
      <c r="L517" s="17"/>
      <c r="M517" s="17"/>
      <c r="N517" s="17"/>
      <c r="O517" s="17"/>
      <c r="P517" s="17"/>
      <c r="Q517" s="17"/>
      <c r="R517" s="17"/>
      <c r="S517" s="17"/>
      <c r="T517" s="17"/>
      <c r="U517" s="300"/>
      <c r="V517" s="47"/>
      <c r="W517" s="17"/>
      <c r="X517" s="17"/>
      <c r="Y517" s="300"/>
      <c r="Z517" s="386"/>
      <c r="AA517" s="386"/>
      <c r="AB517" s="386"/>
      <c r="AC517" s="386"/>
      <c r="AD517" s="386"/>
      <c r="AE517" s="386"/>
      <c r="AF517" s="386"/>
    </row>
    <row r="518" ht="15.75" customHeight="1">
      <c r="A518" s="24"/>
      <c r="B518" s="25"/>
      <c r="C518" s="25"/>
      <c r="D518" s="28"/>
      <c r="E518" s="28"/>
      <c r="F518" s="383"/>
      <c r="G518" s="380"/>
      <c r="H518" s="300"/>
      <c r="I518" s="17"/>
      <c r="J518" s="17"/>
      <c r="K518" s="17"/>
      <c r="L518" s="17"/>
      <c r="M518" s="17"/>
      <c r="N518" s="17"/>
      <c r="O518" s="17"/>
      <c r="P518" s="17"/>
      <c r="Q518" s="17"/>
      <c r="R518" s="17"/>
      <c r="S518" s="17"/>
      <c r="T518" s="17"/>
      <c r="U518" s="300"/>
      <c r="V518" s="67"/>
      <c r="W518" s="17"/>
      <c r="X518" s="17"/>
      <c r="Y518" s="300"/>
      <c r="Z518" s="386"/>
      <c r="AA518" s="386"/>
      <c r="AB518" s="386"/>
      <c r="AC518" s="386"/>
      <c r="AD518" s="386"/>
      <c r="AE518" s="386"/>
      <c r="AF518" s="386"/>
    </row>
    <row r="519" ht="15.75" customHeight="1">
      <c r="A519" s="24"/>
      <c r="B519" s="25"/>
      <c r="C519" s="25"/>
      <c r="D519" s="28"/>
      <c r="E519" s="28"/>
      <c r="F519" s="404"/>
      <c r="G519" s="380"/>
      <c r="H519" s="300"/>
      <c r="I519" s="17"/>
      <c r="J519" s="17"/>
      <c r="K519" s="17"/>
      <c r="L519" s="17"/>
      <c r="M519" s="17"/>
      <c r="N519" s="17"/>
      <c r="O519" s="17"/>
      <c r="P519" s="17"/>
      <c r="Q519" s="17"/>
      <c r="R519" s="17"/>
      <c r="S519" s="17"/>
      <c r="T519" s="17"/>
      <c r="U519" s="300"/>
      <c r="V519" s="47"/>
      <c r="W519" s="17"/>
      <c r="X519" s="17"/>
      <c r="Y519" s="300"/>
      <c r="Z519" s="386"/>
      <c r="AA519" s="386"/>
      <c r="AB519" s="386"/>
      <c r="AC519" s="386"/>
      <c r="AD519" s="386"/>
      <c r="AE519" s="386"/>
      <c r="AF519" s="386"/>
    </row>
    <row r="520" ht="15.75" customHeight="1">
      <c r="A520" s="24"/>
      <c r="B520" s="25"/>
      <c r="C520" s="25"/>
      <c r="D520" s="28"/>
      <c r="E520" s="28"/>
      <c r="F520" s="383"/>
      <c r="G520" s="380"/>
      <c r="H520" s="300"/>
      <c r="I520" s="17"/>
      <c r="J520" s="17"/>
      <c r="K520" s="17"/>
      <c r="L520" s="17"/>
      <c r="M520" s="17"/>
      <c r="N520" s="17"/>
      <c r="O520" s="17"/>
      <c r="P520" s="17"/>
      <c r="Q520" s="17"/>
      <c r="R520" s="17"/>
      <c r="S520" s="17"/>
      <c r="T520" s="17"/>
      <c r="U520" s="300"/>
      <c r="V520" s="67"/>
      <c r="W520" s="17"/>
      <c r="X520" s="17"/>
      <c r="Y520" s="300"/>
      <c r="Z520" s="386"/>
      <c r="AA520" s="386"/>
      <c r="AB520" s="386"/>
      <c r="AC520" s="386"/>
      <c r="AD520" s="386"/>
      <c r="AE520" s="386"/>
      <c r="AF520" s="386"/>
    </row>
    <row r="521" ht="15.75" customHeight="1">
      <c r="A521" s="24"/>
      <c r="B521" s="25"/>
      <c r="C521" s="25"/>
      <c r="D521" s="28"/>
      <c r="E521" s="28"/>
      <c r="F521" s="404"/>
      <c r="G521" s="380"/>
      <c r="H521" s="300"/>
      <c r="I521" s="17"/>
      <c r="J521" s="17"/>
      <c r="K521" s="17"/>
      <c r="L521" s="17"/>
      <c r="M521" s="17"/>
      <c r="N521" s="17"/>
      <c r="O521" s="17"/>
      <c r="P521" s="17"/>
      <c r="Q521" s="17"/>
      <c r="R521" s="17"/>
      <c r="S521" s="17"/>
      <c r="T521" s="17"/>
      <c r="U521" s="300"/>
      <c r="V521" s="47"/>
      <c r="W521" s="17"/>
      <c r="X521" s="17"/>
      <c r="Y521" s="300"/>
      <c r="Z521" s="386"/>
      <c r="AA521" s="386"/>
      <c r="AB521" s="386"/>
      <c r="AC521" s="386"/>
      <c r="AD521" s="386"/>
      <c r="AE521" s="386"/>
      <c r="AF521" s="386"/>
    </row>
    <row r="522" ht="15.75" customHeight="1">
      <c r="A522" s="24"/>
      <c r="B522" s="25"/>
      <c r="C522" s="25"/>
      <c r="D522" s="28"/>
      <c r="E522" s="28"/>
      <c r="F522" s="383"/>
      <c r="G522" s="380"/>
      <c r="H522" s="300"/>
      <c r="I522" s="17"/>
      <c r="J522" s="17"/>
      <c r="K522" s="17"/>
      <c r="L522" s="17"/>
      <c r="M522" s="17"/>
      <c r="N522" s="17"/>
      <c r="O522" s="17"/>
      <c r="P522" s="17"/>
      <c r="Q522" s="17"/>
      <c r="R522" s="17"/>
      <c r="S522" s="17"/>
      <c r="T522" s="17"/>
      <c r="U522" s="300"/>
      <c r="V522" s="67"/>
      <c r="W522" s="17"/>
      <c r="X522" s="17"/>
      <c r="Y522" s="300"/>
      <c r="Z522" s="386"/>
      <c r="AA522" s="386"/>
      <c r="AB522" s="386"/>
      <c r="AC522" s="386"/>
      <c r="AD522" s="386"/>
      <c r="AE522" s="386"/>
      <c r="AF522" s="386"/>
    </row>
    <row r="523" ht="15.75" customHeight="1">
      <c r="A523" s="24"/>
      <c r="B523" s="25"/>
      <c r="C523" s="25"/>
      <c r="D523" s="28"/>
      <c r="E523" s="28"/>
      <c r="F523" s="404"/>
      <c r="G523" s="380"/>
      <c r="H523" s="300"/>
      <c r="I523" s="17"/>
      <c r="J523" s="17"/>
      <c r="K523" s="17"/>
      <c r="L523" s="17"/>
      <c r="M523" s="17"/>
      <c r="N523" s="17"/>
      <c r="O523" s="17"/>
      <c r="P523" s="17"/>
      <c r="Q523" s="17"/>
      <c r="R523" s="17"/>
      <c r="S523" s="17"/>
      <c r="T523" s="17"/>
      <c r="U523" s="300"/>
      <c r="V523" s="47"/>
      <c r="W523" s="17"/>
      <c r="X523" s="17"/>
      <c r="Y523" s="300"/>
      <c r="Z523" s="386"/>
      <c r="AA523" s="386"/>
      <c r="AB523" s="386"/>
      <c r="AC523" s="386"/>
      <c r="AD523" s="386"/>
      <c r="AE523" s="386"/>
      <c r="AF523" s="386"/>
    </row>
    <row r="524" ht="15.75" customHeight="1">
      <c r="A524" s="24"/>
      <c r="B524" s="25"/>
      <c r="C524" s="25"/>
      <c r="D524" s="28"/>
      <c r="E524" s="28"/>
      <c r="F524" s="383"/>
      <c r="G524" s="380"/>
      <c r="H524" s="300"/>
      <c r="I524" s="17"/>
      <c r="J524" s="17"/>
      <c r="K524" s="17"/>
      <c r="L524" s="17"/>
      <c r="M524" s="17"/>
      <c r="N524" s="17"/>
      <c r="O524" s="17"/>
      <c r="P524" s="17"/>
      <c r="Q524" s="17"/>
      <c r="R524" s="17"/>
      <c r="S524" s="17"/>
      <c r="T524" s="17"/>
      <c r="U524" s="300"/>
      <c r="V524" s="67"/>
      <c r="W524" s="17"/>
      <c r="X524" s="17"/>
      <c r="Y524" s="300"/>
      <c r="Z524" s="386"/>
      <c r="AA524" s="386"/>
      <c r="AB524" s="386"/>
      <c r="AC524" s="386"/>
      <c r="AD524" s="386"/>
      <c r="AE524" s="386"/>
      <c r="AF524" s="386"/>
    </row>
    <row r="525" ht="15.75" customHeight="1">
      <c r="A525" s="24"/>
      <c r="B525" s="25"/>
      <c r="C525" s="25"/>
      <c r="D525" s="28"/>
      <c r="E525" s="28"/>
      <c r="F525" s="404"/>
      <c r="G525" s="380"/>
      <c r="H525" s="300"/>
      <c r="I525" s="17"/>
      <c r="J525" s="17"/>
      <c r="K525" s="17"/>
      <c r="L525" s="17"/>
      <c r="M525" s="17"/>
      <c r="N525" s="17"/>
      <c r="O525" s="17"/>
      <c r="P525" s="17"/>
      <c r="Q525" s="17"/>
      <c r="R525" s="17"/>
      <c r="S525" s="17"/>
      <c r="T525" s="17"/>
      <c r="U525" s="300"/>
      <c r="V525" s="47"/>
      <c r="W525" s="17"/>
      <c r="X525" s="17"/>
      <c r="Y525" s="300"/>
      <c r="Z525" s="386"/>
      <c r="AA525" s="386"/>
      <c r="AB525" s="386"/>
      <c r="AC525" s="386"/>
      <c r="AD525" s="386"/>
      <c r="AE525" s="386"/>
      <c r="AF525" s="386"/>
    </row>
    <row r="526" ht="15.75" customHeight="1">
      <c r="A526" s="24"/>
      <c r="B526" s="25"/>
      <c r="C526" s="25"/>
      <c r="D526" s="28"/>
      <c r="E526" s="28"/>
      <c r="F526" s="383"/>
      <c r="G526" s="380"/>
      <c r="H526" s="300"/>
      <c r="I526" s="17"/>
      <c r="J526" s="17"/>
      <c r="K526" s="17"/>
      <c r="L526" s="17"/>
      <c r="M526" s="17"/>
      <c r="N526" s="17"/>
      <c r="O526" s="17"/>
      <c r="P526" s="17"/>
      <c r="Q526" s="17"/>
      <c r="R526" s="17"/>
      <c r="S526" s="17"/>
      <c r="T526" s="17"/>
      <c r="U526" s="300"/>
      <c r="V526" s="67"/>
      <c r="W526" s="17"/>
      <c r="X526" s="17"/>
      <c r="Y526" s="300"/>
      <c r="Z526" s="386"/>
      <c r="AA526" s="386"/>
      <c r="AB526" s="386"/>
      <c r="AC526" s="386"/>
      <c r="AD526" s="386"/>
      <c r="AE526" s="386"/>
      <c r="AF526" s="386"/>
    </row>
    <row r="527" ht="15.75" customHeight="1">
      <c r="A527" s="24"/>
      <c r="B527" s="25"/>
      <c r="C527" s="25"/>
      <c r="D527" s="28"/>
      <c r="E527" s="28"/>
      <c r="F527" s="404"/>
      <c r="G527" s="380"/>
      <c r="H527" s="300"/>
      <c r="I527" s="17"/>
      <c r="J527" s="17"/>
      <c r="K527" s="17"/>
      <c r="L527" s="17"/>
      <c r="M527" s="17"/>
      <c r="N527" s="17"/>
      <c r="O527" s="17"/>
      <c r="P527" s="17"/>
      <c r="Q527" s="17"/>
      <c r="R527" s="17"/>
      <c r="S527" s="17"/>
      <c r="T527" s="17"/>
      <c r="U527" s="300"/>
      <c r="V527" s="47"/>
      <c r="W527" s="17"/>
      <c r="X527" s="17"/>
      <c r="Y527" s="300"/>
      <c r="Z527" s="386"/>
      <c r="AA527" s="386"/>
      <c r="AB527" s="386"/>
      <c r="AC527" s="386"/>
      <c r="AD527" s="386"/>
      <c r="AE527" s="386"/>
      <c r="AF527" s="386"/>
    </row>
    <row r="528" ht="15.75" customHeight="1">
      <c r="A528" s="24"/>
      <c r="B528" s="25"/>
      <c r="C528" s="25"/>
      <c r="D528" s="28"/>
      <c r="E528" s="28"/>
      <c r="F528" s="383"/>
      <c r="G528" s="380"/>
      <c r="H528" s="300"/>
      <c r="I528" s="17"/>
      <c r="J528" s="17"/>
      <c r="K528" s="17"/>
      <c r="L528" s="17"/>
      <c r="M528" s="17"/>
      <c r="N528" s="17"/>
      <c r="O528" s="17"/>
      <c r="P528" s="17"/>
      <c r="Q528" s="17"/>
      <c r="R528" s="17"/>
      <c r="S528" s="17"/>
      <c r="T528" s="17"/>
      <c r="U528" s="300"/>
      <c r="V528" s="67"/>
      <c r="W528" s="17"/>
      <c r="X528" s="17"/>
      <c r="Y528" s="300"/>
      <c r="Z528" s="386"/>
      <c r="AA528" s="386"/>
      <c r="AB528" s="386"/>
      <c r="AC528" s="386"/>
      <c r="AD528" s="386"/>
      <c r="AE528" s="386"/>
      <c r="AF528" s="386"/>
    </row>
    <row r="529" ht="15.75" customHeight="1">
      <c r="A529" s="24"/>
      <c r="B529" s="25"/>
      <c r="C529" s="25"/>
      <c r="D529" s="28"/>
      <c r="E529" s="28"/>
      <c r="F529" s="404"/>
      <c r="G529" s="380"/>
      <c r="H529" s="300"/>
      <c r="I529" s="17"/>
      <c r="J529" s="17"/>
      <c r="K529" s="17"/>
      <c r="L529" s="17"/>
      <c r="M529" s="17"/>
      <c r="N529" s="17"/>
      <c r="O529" s="17"/>
      <c r="P529" s="17"/>
      <c r="Q529" s="17"/>
      <c r="R529" s="17"/>
      <c r="S529" s="17"/>
      <c r="T529" s="17"/>
      <c r="U529" s="300"/>
      <c r="V529" s="47"/>
      <c r="W529" s="17"/>
      <c r="X529" s="17"/>
      <c r="Y529" s="300"/>
      <c r="Z529" s="386"/>
      <c r="AA529" s="386"/>
      <c r="AB529" s="386"/>
      <c r="AC529" s="386"/>
      <c r="AD529" s="386"/>
      <c r="AE529" s="386"/>
      <c r="AF529" s="386"/>
    </row>
    <row r="530" ht="15.75" customHeight="1">
      <c r="A530" s="24"/>
      <c r="B530" s="25"/>
      <c r="C530" s="25"/>
      <c r="D530" s="28"/>
      <c r="E530" s="28"/>
      <c r="F530" s="383"/>
      <c r="G530" s="380"/>
      <c r="H530" s="300"/>
      <c r="I530" s="17"/>
      <c r="J530" s="17"/>
      <c r="K530" s="17"/>
      <c r="L530" s="17"/>
      <c r="M530" s="17"/>
      <c r="N530" s="17"/>
      <c r="O530" s="17"/>
      <c r="P530" s="17"/>
      <c r="Q530" s="17"/>
      <c r="R530" s="17"/>
      <c r="S530" s="17"/>
      <c r="T530" s="17"/>
      <c r="U530" s="300"/>
      <c r="V530" s="67"/>
      <c r="W530" s="17"/>
      <c r="X530" s="17"/>
      <c r="Y530" s="300"/>
      <c r="Z530" s="386"/>
      <c r="AA530" s="386"/>
      <c r="AB530" s="386"/>
      <c r="AC530" s="386"/>
      <c r="AD530" s="386"/>
      <c r="AE530" s="386"/>
      <c r="AF530" s="386"/>
    </row>
    <row r="531" ht="15.75" customHeight="1">
      <c r="A531" s="24"/>
      <c r="B531" s="25"/>
      <c r="C531" s="25"/>
      <c r="D531" s="28"/>
      <c r="E531" s="28"/>
      <c r="F531" s="404"/>
      <c r="G531" s="380"/>
      <c r="H531" s="300"/>
      <c r="I531" s="17"/>
      <c r="J531" s="17"/>
      <c r="K531" s="17"/>
      <c r="L531" s="17"/>
      <c r="M531" s="17"/>
      <c r="N531" s="17"/>
      <c r="O531" s="17"/>
      <c r="P531" s="17"/>
      <c r="Q531" s="17"/>
      <c r="R531" s="17"/>
      <c r="S531" s="17"/>
      <c r="T531" s="17"/>
      <c r="U531" s="300"/>
      <c r="V531" s="47"/>
      <c r="W531" s="17"/>
      <c r="X531" s="17"/>
      <c r="Y531" s="300"/>
      <c r="Z531" s="386"/>
      <c r="AA531" s="386"/>
      <c r="AB531" s="386"/>
      <c r="AC531" s="386"/>
      <c r="AD531" s="386"/>
      <c r="AE531" s="386"/>
      <c r="AF531" s="386"/>
    </row>
    <row r="532" ht="15.75" customHeight="1">
      <c r="A532" s="24"/>
      <c r="B532" s="25"/>
      <c r="C532" s="25"/>
      <c r="D532" s="28"/>
      <c r="E532" s="28"/>
      <c r="F532" s="383"/>
      <c r="G532" s="380"/>
      <c r="H532" s="300"/>
      <c r="I532" s="17"/>
      <c r="J532" s="17"/>
      <c r="K532" s="17"/>
      <c r="L532" s="17"/>
      <c r="M532" s="17"/>
      <c r="N532" s="17"/>
      <c r="O532" s="17"/>
      <c r="P532" s="17"/>
      <c r="Q532" s="17"/>
      <c r="R532" s="17"/>
      <c r="S532" s="17"/>
      <c r="T532" s="17"/>
      <c r="U532" s="300"/>
      <c r="V532" s="67"/>
      <c r="W532" s="17"/>
      <c r="X532" s="17"/>
      <c r="Y532" s="300"/>
      <c r="Z532" s="386"/>
      <c r="AA532" s="386"/>
      <c r="AB532" s="386"/>
      <c r="AC532" s="386"/>
      <c r="AD532" s="386"/>
      <c r="AE532" s="386"/>
      <c r="AF532" s="386"/>
    </row>
    <row r="533" ht="15.75" customHeight="1">
      <c r="A533" s="24"/>
      <c r="B533" s="25"/>
      <c r="C533" s="25"/>
      <c r="D533" s="28"/>
      <c r="E533" s="28"/>
      <c r="F533" s="404"/>
      <c r="G533" s="380"/>
      <c r="H533" s="300"/>
      <c r="I533" s="17"/>
      <c r="J533" s="17"/>
      <c r="K533" s="17"/>
      <c r="L533" s="17"/>
      <c r="M533" s="17"/>
      <c r="N533" s="17"/>
      <c r="O533" s="17"/>
      <c r="P533" s="17"/>
      <c r="Q533" s="17"/>
      <c r="R533" s="17"/>
      <c r="S533" s="17"/>
      <c r="T533" s="17"/>
      <c r="U533" s="300"/>
      <c r="V533" s="47"/>
      <c r="W533" s="17"/>
      <c r="X533" s="17"/>
      <c r="Y533" s="300"/>
      <c r="Z533" s="386"/>
      <c r="AA533" s="386"/>
      <c r="AB533" s="386"/>
      <c r="AC533" s="386"/>
      <c r="AD533" s="386"/>
      <c r="AE533" s="386"/>
      <c r="AF533" s="386"/>
    </row>
    <row r="534" ht="15.75" customHeight="1">
      <c r="A534" s="24"/>
      <c r="B534" s="25"/>
      <c r="C534" s="25"/>
      <c r="D534" s="28"/>
      <c r="E534" s="28"/>
      <c r="F534" s="383"/>
      <c r="G534" s="380"/>
      <c r="H534" s="300"/>
      <c r="I534" s="17"/>
      <c r="J534" s="17"/>
      <c r="K534" s="17"/>
      <c r="L534" s="17"/>
      <c r="M534" s="17"/>
      <c r="N534" s="17"/>
      <c r="O534" s="17"/>
      <c r="P534" s="17"/>
      <c r="Q534" s="17"/>
      <c r="R534" s="17"/>
      <c r="S534" s="17"/>
      <c r="T534" s="17"/>
      <c r="U534" s="300"/>
      <c r="V534" s="67"/>
      <c r="W534" s="17"/>
      <c r="X534" s="17"/>
      <c r="Y534" s="300"/>
      <c r="Z534" s="386"/>
      <c r="AA534" s="386"/>
      <c r="AB534" s="386"/>
      <c r="AC534" s="386"/>
      <c r="AD534" s="386"/>
      <c r="AE534" s="386"/>
      <c r="AF534" s="386"/>
    </row>
    <row r="535" ht="15.75" customHeight="1">
      <c r="A535" s="24"/>
      <c r="B535" s="25"/>
      <c r="C535" s="25"/>
      <c r="D535" s="28"/>
      <c r="E535" s="28"/>
      <c r="F535" s="404"/>
      <c r="G535" s="380"/>
      <c r="H535" s="300"/>
      <c r="I535" s="17"/>
      <c r="J535" s="17"/>
      <c r="K535" s="17"/>
      <c r="L535" s="17"/>
      <c r="M535" s="17"/>
      <c r="N535" s="17"/>
      <c r="O535" s="17"/>
      <c r="P535" s="17"/>
      <c r="Q535" s="17"/>
      <c r="R535" s="17"/>
      <c r="S535" s="17"/>
      <c r="T535" s="17"/>
      <c r="U535" s="300"/>
      <c r="V535" s="47"/>
      <c r="W535" s="17"/>
      <c r="X535" s="17"/>
      <c r="Y535" s="300"/>
      <c r="Z535" s="386"/>
      <c r="AA535" s="386"/>
      <c r="AB535" s="386"/>
      <c r="AC535" s="386"/>
      <c r="AD535" s="386"/>
      <c r="AE535" s="386"/>
      <c r="AF535" s="386"/>
    </row>
    <row r="536" ht="15.75" customHeight="1">
      <c r="A536" s="24"/>
      <c r="B536" s="25"/>
      <c r="C536" s="25"/>
      <c r="D536" s="28"/>
      <c r="E536" s="28"/>
      <c r="F536" s="383"/>
      <c r="G536" s="380"/>
      <c r="H536" s="300"/>
      <c r="I536" s="17"/>
      <c r="J536" s="17"/>
      <c r="K536" s="17"/>
      <c r="L536" s="17"/>
      <c r="M536" s="17"/>
      <c r="N536" s="17"/>
      <c r="O536" s="17"/>
      <c r="P536" s="17"/>
      <c r="Q536" s="17"/>
      <c r="R536" s="17"/>
      <c r="S536" s="17"/>
      <c r="T536" s="17"/>
      <c r="U536" s="300"/>
      <c r="V536" s="67"/>
      <c r="W536" s="17"/>
      <c r="X536" s="17"/>
      <c r="Y536" s="300"/>
      <c r="Z536" s="386"/>
      <c r="AA536" s="386"/>
      <c r="AB536" s="386"/>
      <c r="AC536" s="386"/>
      <c r="AD536" s="386"/>
      <c r="AE536" s="386"/>
      <c r="AF536" s="386"/>
    </row>
    <row r="537" ht="15.75" customHeight="1">
      <c r="A537" s="24"/>
      <c r="B537" s="25"/>
      <c r="C537" s="25"/>
      <c r="D537" s="28"/>
      <c r="E537" s="28"/>
      <c r="F537" s="404"/>
      <c r="G537" s="380"/>
      <c r="H537" s="300"/>
      <c r="I537" s="17"/>
      <c r="J537" s="17"/>
      <c r="K537" s="17"/>
      <c r="L537" s="17"/>
      <c r="M537" s="17"/>
      <c r="N537" s="17"/>
      <c r="O537" s="17"/>
      <c r="P537" s="17"/>
      <c r="Q537" s="17"/>
      <c r="R537" s="17"/>
      <c r="S537" s="17"/>
      <c r="T537" s="17"/>
      <c r="U537" s="300"/>
      <c r="V537" s="47"/>
      <c r="W537" s="17"/>
      <c r="X537" s="17"/>
      <c r="Y537" s="300"/>
      <c r="Z537" s="386"/>
      <c r="AA537" s="386"/>
      <c r="AB537" s="386"/>
      <c r="AC537" s="386"/>
      <c r="AD537" s="386"/>
      <c r="AE537" s="386"/>
      <c r="AF537" s="386"/>
    </row>
    <row r="538" ht="15.75" customHeight="1">
      <c r="A538" s="24"/>
      <c r="B538" s="25"/>
      <c r="C538" s="25"/>
      <c r="D538" s="28"/>
      <c r="E538" s="28"/>
      <c r="F538" s="383"/>
      <c r="G538" s="380"/>
      <c r="H538" s="300"/>
      <c r="I538" s="17"/>
      <c r="J538" s="17"/>
      <c r="K538" s="17"/>
      <c r="L538" s="17"/>
      <c r="M538" s="17"/>
      <c r="N538" s="17"/>
      <c r="O538" s="17"/>
      <c r="P538" s="17"/>
      <c r="Q538" s="17"/>
      <c r="R538" s="17"/>
      <c r="S538" s="17"/>
      <c r="T538" s="17"/>
      <c r="U538" s="300"/>
      <c r="V538" s="67"/>
      <c r="W538" s="17"/>
      <c r="X538" s="17"/>
      <c r="Y538" s="300"/>
      <c r="Z538" s="386"/>
      <c r="AA538" s="386"/>
      <c r="AB538" s="386"/>
      <c r="AC538" s="386"/>
      <c r="AD538" s="386"/>
      <c r="AE538" s="386"/>
      <c r="AF538" s="386"/>
    </row>
    <row r="539" ht="15.75" customHeight="1">
      <c r="A539" s="24"/>
      <c r="B539" s="25"/>
      <c r="C539" s="25"/>
      <c r="D539" s="28"/>
      <c r="E539" s="28"/>
      <c r="F539" s="404"/>
      <c r="G539" s="380"/>
      <c r="H539" s="300"/>
      <c r="I539" s="17"/>
      <c r="J539" s="17"/>
      <c r="K539" s="17"/>
      <c r="L539" s="17"/>
      <c r="M539" s="17"/>
      <c r="N539" s="17"/>
      <c r="O539" s="17"/>
      <c r="P539" s="17"/>
      <c r="Q539" s="17"/>
      <c r="R539" s="17"/>
      <c r="S539" s="17"/>
      <c r="T539" s="17"/>
      <c r="U539" s="300"/>
      <c r="V539" s="47"/>
      <c r="W539" s="17"/>
      <c r="X539" s="17"/>
      <c r="Y539" s="300"/>
      <c r="Z539" s="386"/>
      <c r="AA539" s="386"/>
      <c r="AB539" s="386"/>
      <c r="AC539" s="386"/>
      <c r="AD539" s="386"/>
      <c r="AE539" s="386"/>
      <c r="AF539" s="386"/>
    </row>
    <row r="540" ht="15.75" customHeight="1">
      <c r="A540" s="24"/>
      <c r="B540" s="25"/>
      <c r="C540" s="25"/>
      <c r="D540" s="28"/>
      <c r="E540" s="28"/>
      <c r="F540" s="383"/>
      <c r="G540" s="380"/>
      <c r="H540" s="300"/>
      <c r="I540" s="17"/>
      <c r="J540" s="17"/>
      <c r="K540" s="17"/>
      <c r="L540" s="17"/>
      <c r="M540" s="17"/>
      <c r="N540" s="17"/>
      <c r="O540" s="17"/>
      <c r="P540" s="17"/>
      <c r="Q540" s="17"/>
      <c r="R540" s="17"/>
      <c r="S540" s="17"/>
      <c r="T540" s="17"/>
      <c r="U540" s="300"/>
      <c r="V540" s="67"/>
      <c r="W540" s="17"/>
      <c r="X540" s="17"/>
      <c r="Y540" s="300"/>
      <c r="Z540" s="386"/>
      <c r="AA540" s="386"/>
      <c r="AB540" s="386"/>
      <c r="AC540" s="386"/>
      <c r="AD540" s="386"/>
      <c r="AE540" s="386"/>
      <c r="AF540" s="386"/>
    </row>
    <row r="541" ht="15.75" customHeight="1">
      <c r="A541" s="24"/>
      <c r="B541" s="25"/>
      <c r="C541" s="25"/>
      <c r="D541" s="28"/>
      <c r="E541" s="28"/>
      <c r="F541" s="404"/>
      <c r="G541" s="380"/>
      <c r="H541" s="300"/>
      <c r="I541" s="17"/>
      <c r="J541" s="17"/>
      <c r="K541" s="17"/>
      <c r="L541" s="17"/>
      <c r="M541" s="17"/>
      <c r="N541" s="17"/>
      <c r="O541" s="17"/>
      <c r="P541" s="17"/>
      <c r="Q541" s="17"/>
      <c r="R541" s="17"/>
      <c r="S541" s="17"/>
      <c r="T541" s="17"/>
      <c r="U541" s="300"/>
      <c r="V541" s="47"/>
      <c r="W541" s="17"/>
      <c r="X541" s="17"/>
      <c r="Y541" s="300"/>
      <c r="Z541" s="386"/>
      <c r="AA541" s="386"/>
      <c r="AB541" s="386"/>
      <c r="AC541" s="386"/>
      <c r="AD541" s="386"/>
      <c r="AE541" s="386"/>
      <c r="AF541" s="386"/>
    </row>
    <row r="542" ht="15.75" customHeight="1">
      <c r="A542" s="24"/>
      <c r="B542" s="25"/>
      <c r="C542" s="25"/>
      <c r="D542" s="28"/>
      <c r="E542" s="28"/>
      <c r="F542" s="383"/>
      <c r="G542" s="380"/>
      <c r="H542" s="300"/>
      <c r="I542" s="17"/>
      <c r="J542" s="17"/>
      <c r="K542" s="17"/>
      <c r="L542" s="17"/>
      <c r="M542" s="17"/>
      <c r="N542" s="17"/>
      <c r="O542" s="17"/>
      <c r="P542" s="17"/>
      <c r="Q542" s="17"/>
      <c r="R542" s="17"/>
      <c r="S542" s="17"/>
      <c r="T542" s="17"/>
      <c r="U542" s="300"/>
      <c r="V542" s="67"/>
      <c r="W542" s="17"/>
      <c r="X542" s="17"/>
      <c r="Y542" s="300"/>
      <c r="Z542" s="386"/>
      <c r="AA542" s="386"/>
      <c r="AB542" s="386"/>
      <c r="AC542" s="386"/>
      <c r="AD542" s="386"/>
      <c r="AE542" s="386"/>
      <c r="AF542" s="386"/>
    </row>
    <row r="543" ht="15.75" customHeight="1">
      <c r="A543" s="24"/>
      <c r="B543" s="25"/>
      <c r="C543" s="25"/>
      <c r="D543" s="28"/>
      <c r="E543" s="28"/>
      <c r="F543" s="404"/>
      <c r="G543" s="380"/>
      <c r="H543" s="300"/>
      <c r="I543" s="17"/>
      <c r="J543" s="17"/>
      <c r="K543" s="17"/>
      <c r="L543" s="17"/>
      <c r="M543" s="17"/>
      <c r="N543" s="17"/>
      <c r="O543" s="17"/>
      <c r="P543" s="17"/>
      <c r="Q543" s="17"/>
      <c r="R543" s="17"/>
      <c r="S543" s="17"/>
      <c r="T543" s="17"/>
      <c r="U543" s="300"/>
      <c r="V543" s="47"/>
      <c r="W543" s="17"/>
      <c r="X543" s="17"/>
      <c r="Y543" s="300"/>
      <c r="Z543" s="386"/>
      <c r="AA543" s="386"/>
      <c r="AB543" s="386"/>
      <c r="AC543" s="386"/>
      <c r="AD543" s="386"/>
      <c r="AE543" s="386"/>
      <c r="AF543" s="386"/>
    </row>
    <row r="544" ht="15.75" customHeight="1">
      <c r="A544" s="24"/>
      <c r="B544" s="25"/>
      <c r="C544" s="25"/>
      <c r="D544" s="28"/>
      <c r="E544" s="28"/>
      <c r="F544" s="383"/>
      <c r="G544" s="380"/>
      <c r="H544" s="300"/>
      <c r="I544" s="17"/>
      <c r="J544" s="17"/>
      <c r="K544" s="17"/>
      <c r="L544" s="17"/>
      <c r="M544" s="17"/>
      <c r="N544" s="17"/>
      <c r="O544" s="17"/>
      <c r="P544" s="17"/>
      <c r="Q544" s="17"/>
      <c r="R544" s="17"/>
      <c r="S544" s="17"/>
      <c r="T544" s="17"/>
      <c r="U544" s="300"/>
      <c r="V544" s="67"/>
      <c r="W544" s="17"/>
      <c r="X544" s="17"/>
      <c r="Y544" s="300"/>
      <c r="Z544" s="386"/>
      <c r="AA544" s="386"/>
      <c r="AB544" s="386"/>
      <c r="AC544" s="386"/>
      <c r="AD544" s="386"/>
      <c r="AE544" s="386"/>
      <c r="AF544" s="386"/>
    </row>
    <row r="545" ht="15.75" customHeight="1">
      <c r="A545" s="24"/>
      <c r="B545" s="25"/>
      <c r="C545" s="25"/>
      <c r="D545" s="28"/>
      <c r="E545" s="28"/>
      <c r="F545" s="404"/>
      <c r="G545" s="380"/>
      <c r="H545" s="300"/>
      <c r="I545" s="17"/>
      <c r="J545" s="17"/>
      <c r="K545" s="17"/>
      <c r="L545" s="17"/>
      <c r="M545" s="17"/>
      <c r="N545" s="17"/>
      <c r="O545" s="17"/>
      <c r="P545" s="17"/>
      <c r="Q545" s="17"/>
      <c r="R545" s="17"/>
      <c r="S545" s="17"/>
      <c r="T545" s="17"/>
      <c r="U545" s="300"/>
      <c r="V545" s="47"/>
      <c r="W545" s="17"/>
      <c r="X545" s="17"/>
      <c r="Y545" s="300"/>
      <c r="Z545" s="386"/>
      <c r="AA545" s="386"/>
      <c r="AB545" s="386"/>
      <c r="AC545" s="386"/>
      <c r="AD545" s="386"/>
      <c r="AE545" s="386"/>
      <c r="AF545" s="386"/>
    </row>
    <row r="546" ht="15.75" customHeight="1">
      <c r="A546" s="24"/>
      <c r="B546" s="25"/>
      <c r="C546" s="25"/>
      <c r="D546" s="28"/>
      <c r="E546" s="28"/>
      <c r="F546" s="383"/>
      <c r="G546" s="380"/>
      <c r="H546" s="300"/>
      <c r="I546" s="17"/>
      <c r="J546" s="17"/>
      <c r="K546" s="17"/>
      <c r="L546" s="17"/>
      <c r="M546" s="17"/>
      <c r="N546" s="17"/>
      <c r="O546" s="17"/>
      <c r="P546" s="17"/>
      <c r="Q546" s="17"/>
      <c r="R546" s="17"/>
      <c r="S546" s="17"/>
      <c r="T546" s="17"/>
      <c r="U546" s="300"/>
      <c r="V546" s="67"/>
      <c r="W546" s="17"/>
      <c r="X546" s="17"/>
      <c r="Y546" s="300"/>
      <c r="Z546" s="386"/>
      <c r="AA546" s="386"/>
      <c r="AB546" s="386"/>
      <c r="AC546" s="386"/>
      <c r="AD546" s="386"/>
      <c r="AE546" s="386"/>
      <c r="AF546" s="386"/>
    </row>
    <row r="547" ht="15.75" customHeight="1">
      <c r="A547" s="24"/>
      <c r="B547" s="25"/>
      <c r="C547" s="25"/>
      <c r="D547" s="28"/>
      <c r="E547" s="28"/>
      <c r="F547" s="404"/>
      <c r="G547" s="380"/>
      <c r="H547" s="300"/>
      <c r="I547" s="17"/>
      <c r="J547" s="17"/>
      <c r="K547" s="17"/>
      <c r="L547" s="17"/>
      <c r="M547" s="17"/>
      <c r="N547" s="17"/>
      <c r="O547" s="17"/>
      <c r="P547" s="17"/>
      <c r="Q547" s="17"/>
      <c r="R547" s="17"/>
      <c r="S547" s="17"/>
      <c r="T547" s="17"/>
      <c r="U547" s="300"/>
      <c r="V547" s="47"/>
      <c r="W547" s="17"/>
      <c r="X547" s="17"/>
      <c r="Y547" s="300"/>
      <c r="Z547" s="386"/>
      <c r="AA547" s="386"/>
      <c r="AB547" s="386"/>
      <c r="AC547" s="386"/>
      <c r="AD547" s="386"/>
      <c r="AE547" s="386"/>
      <c r="AF547" s="386"/>
    </row>
    <row r="548" ht="15.75" customHeight="1">
      <c r="A548" s="24"/>
      <c r="B548" s="25"/>
      <c r="C548" s="25"/>
      <c r="D548" s="28"/>
      <c r="E548" s="28"/>
      <c r="F548" s="383"/>
      <c r="G548" s="380"/>
      <c r="H548" s="300"/>
      <c r="I548" s="17"/>
      <c r="J548" s="17"/>
      <c r="K548" s="17"/>
      <c r="L548" s="17"/>
      <c r="M548" s="17"/>
      <c r="N548" s="17"/>
      <c r="O548" s="17"/>
      <c r="P548" s="17"/>
      <c r="Q548" s="17"/>
      <c r="R548" s="17"/>
      <c r="S548" s="17"/>
      <c r="T548" s="17"/>
      <c r="U548" s="300"/>
      <c r="V548" s="67"/>
      <c r="W548" s="17"/>
      <c r="X548" s="17"/>
      <c r="Y548" s="300"/>
      <c r="Z548" s="386"/>
      <c r="AA548" s="386"/>
      <c r="AB548" s="386"/>
      <c r="AC548" s="386"/>
      <c r="AD548" s="386"/>
      <c r="AE548" s="386"/>
      <c r="AF548" s="386"/>
    </row>
    <row r="549" ht="15.75" customHeight="1">
      <c r="A549" s="24"/>
      <c r="B549" s="25"/>
      <c r="C549" s="25"/>
      <c r="D549" s="28"/>
      <c r="E549" s="28"/>
      <c r="F549" s="404"/>
      <c r="G549" s="380"/>
      <c r="H549" s="300"/>
      <c r="I549" s="17"/>
      <c r="J549" s="17"/>
      <c r="K549" s="17"/>
      <c r="L549" s="17"/>
      <c r="M549" s="17"/>
      <c r="N549" s="17"/>
      <c r="O549" s="17"/>
      <c r="P549" s="17"/>
      <c r="Q549" s="17"/>
      <c r="R549" s="17"/>
      <c r="S549" s="17"/>
      <c r="T549" s="17"/>
      <c r="U549" s="300"/>
      <c r="V549" s="47"/>
      <c r="W549" s="17"/>
      <c r="X549" s="17"/>
      <c r="Y549" s="300"/>
      <c r="Z549" s="386"/>
      <c r="AA549" s="386"/>
      <c r="AB549" s="386"/>
      <c r="AC549" s="386"/>
      <c r="AD549" s="386"/>
      <c r="AE549" s="386"/>
      <c r="AF549" s="386"/>
    </row>
    <row r="550" ht="15.75" customHeight="1">
      <c r="A550" s="24"/>
      <c r="B550" s="25"/>
      <c r="C550" s="25"/>
      <c r="D550" s="28"/>
      <c r="E550" s="28"/>
      <c r="F550" s="383"/>
      <c r="G550" s="380"/>
      <c r="H550" s="300"/>
      <c r="I550" s="17"/>
      <c r="J550" s="17"/>
      <c r="K550" s="17"/>
      <c r="L550" s="17"/>
      <c r="M550" s="17"/>
      <c r="N550" s="17"/>
      <c r="O550" s="17"/>
      <c r="P550" s="17"/>
      <c r="Q550" s="17"/>
      <c r="R550" s="17"/>
      <c r="S550" s="17"/>
      <c r="T550" s="17"/>
      <c r="U550" s="300"/>
      <c r="V550" s="67"/>
      <c r="W550" s="17"/>
      <c r="X550" s="17"/>
      <c r="Y550" s="300"/>
      <c r="Z550" s="386"/>
      <c r="AA550" s="386"/>
      <c r="AB550" s="386"/>
      <c r="AC550" s="386"/>
      <c r="AD550" s="386"/>
      <c r="AE550" s="386"/>
      <c r="AF550" s="386"/>
    </row>
    <row r="551" ht="15.75" customHeight="1">
      <c r="A551" s="24"/>
      <c r="B551" s="25"/>
      <c r="C551" s="25"/>
      <c r="D551" s="28"/>
      <c r="E551" s="28"/>
      <c r="F551" s="404"/>
      <c r="G551" s="380"/>
      <c r="H551" s="300"/>
      <c r="I551" s="17"/>
      <c r="J551" s="17"/>
      <c r="K551" s="17"/>
      <c r="L551" s="17"/>
      <c r="M551" s="17"/>
      <c r="N551" s="17"/>
      <c r="O551" s="17"/>
      <c r="P551" s="17"/>
      <c r="Q551" s="17"/>
      <c r="R551" s="17"/>
      <c r="S551" s="17"/>
      <c r="T551" s="17"/>
      <c r="U551" s="300"/>
      <c r="V551" s="47"/>
      <c r="W551" s="17"/>
      <c r="X551" s="17"/>
      <c r="Y551" s="300"/>
      <c r="Z551" s="386"/>
      <c r="AA551" s="386"/>
      <c r="AB551" s="386"/>
      <c r="AC551" s="386"/>
      <c r="AD551" s="386"/>
      <c r="AE551" s="386"/>
      <c r="AF551" s="386"/>
    </row>
    <row r="552" ht="15.75" customHeight="1">
      <c r="A552" s="24"/>
      <c r="B552" s="25"/>
      <c r="C552" s="25"/>
      <c r="D552" s="28"/>
      <c r="E552" s="28"/>
      <c r="F552" s="383"/>
      <c r="G552" s="380"/>
      <c r="H552" s="300"/>
      <c r="I552" s="17"/>
      <c r="J552" s="17"/>
      <c r="K552" s="17"/>
      <c r="L552" s="17"/>
      <c r="M552" s="17"/>
      <c r="N552" s="17"/>
      <c r="O552" s="17"/>
      <c r="P552" s="17"/>
      <c r="Q552" s="17"/>
      <c r="R552" s="17"/>
      <c r="S552" s="17"/>
      <c r="T552" s="17"/>
      <c r="U552" s="300"/>
      <c r="V552" s="67"/>
      <c r="W552" s="17"/>
      <c r="X552" s="17"/>
      <c r="Y552" s="300"/>
      <c r="Z552" s="386"/>
      <c r="AA552" s="386"/>
      <c r="AB552" s="386"/>
      <c r="AC552" s="386"/>
      <c r="AD552" s="386"/>
      <c r="AE552" s="386"/>
      <c r="AF552" s="386"/>
    </row>
    <row r="553" ht="15.75" customHeight="1">
      <c r="A553" s="24"/>
      <c r="B553" s="25"/>
      <c r="C553" s="25"/>
      <c r="D553" s="28"/>
      <c r="E553" s="28"/>
      <c r="F553" s="404"/>
      <c r="G553" s="380"/>
      <c r="H553" s="300"/>
      <c r="I553" s="17"/>
      <c r="J553" s="17"/>
      <c r="K553" s="17"/>
      <c r="L553" s="17"/>
      <c r="M553" s="17"/>
      <c r="N553" s="17"/>
      <c r="O553" s="17"/>
      <c r="P553" s="17"/>
      <c r="Q553" s="17"/>
      <c r="R553" s="17"/>
      <c r="S553" s="17"/>
      <c r="T553" s="17"/>
      <c r="U553" s="300"/>
      <c r="V553" s="47"/>
      <c r="W553" s="17"/>
      <c r="X553" s="17"/>
      <c r="Y553" s="300"/>
      <c r="Z553" s="386"/>
      <c r="AA553" s="386"/>
      <c r="AB553" s="386"/>
      <c r="AC553" s="386"/>
      <c r="AD553" s="386"/>
      <c r="AE553" s="386"/>
      <c r="AF553" s="386"/>
    </row>
    <row r="554" ht="15.75" customHeight="1">
      <c r="A554" s="24"/>
      <c r="B554" s="25"/>
      <c r="C554" s="25"/>
      <c r="D554" s="28"/>
      <c r="E554" s="28"/>
      <c r="F554" s="383"/>
      <c r="G554" s="380"/>
      <c r="H554" s="300"/>
      <c r="I554" s="17"/>
      <c r="J554" s="17"/>
      <c r="K554" s="17"/>
      <c r="L554" s="17"/>
      <c r="M554" s="17"/>
      <c r="N554" s="17"/>
      <c r="O554" s="17"/>
      <c r="P554" s="17"/>
      <c r="Q554" s="17"/>
      <c r="R554" s="17"/>
      <c r="S554" s="17"/>
      <c r="T554" s="17"/>
      <c r="U554" s="300"/>
      <c r="V554" s="67"/>
      <c r="W554" s="17"/>
      <c r="X554" s="17"/>
      <c r="Y554" s="300"/>
      <c r="Z554" s="386"/>
      <c r="AA554" s="386"/>
      <c r="AB554" s="386"/>
      <c r="AC554" s="386"/>
      <c r="AD554" s="386"/>
      <c r="AE554" s="386"/>
      <c r="AF554" s="386"/>
    </row>
    <row r="555" ht="15.75" customHeight="1">
      <c r="A555" s="24"/>
      <c r="B555" s="25"/>
      <c r="C555" s="25"/>
      <c r="D555" s="28"/>
      <c r="E555" s="28"/>
      <c r="F555" s="404"/>
      <c r="G555" s="380"/>
      <c r="H555" s="300"/>
      <c r="I555" s="17"/>
      <c r="J555" s="17"/>
      <c r="K555" s="17"/>
      <c r="L555" s="17"/>
      <c r="M555" s="17"/>
      <c r="N555" s="17"/>
      <c r="O555" s="17"/>
      <c r="P555" s="17"/>
      <c r="Q555" s="17"/>
      <c r="R555" s="17"/>
      <c r="S555" s="17"/>
      <c r="T555" s="17"/>
      <c r="U555" s="300"/>
      <c r="V555" s="47"/>
      <c r="W555" s="17"/>
      <c r="X555" s="17"/>
      <c r="Y555" s="300"/>
      <c r="Z555" s="386"/>
      <c r="AA555" s="386"/>
      <c r="AB555" s="386"/>
      <c r="AC555" s="386"/>
      <c r="AD555" s="386"/>
      <c r="AE555" s="386"/>
      <c r="AF555" s="386"/>
    </row>
    <row r="556" ht="15.75" customHeight="1">
      <c r="A556" s="24"/>
      <c r="B556" s="25"/>
      <c r="C556" s="25"/>
      <c r="D556" s="28"/>
      <c r="E556" s="28"/>
      <c r="F556" s="383"/>
      <c r="G556" s="380"/>
      <c r="H556" s="300"/>
      <c r="I556" s="17"/>
      <c r="J556" s="17"/>
      <c r="K556" s="17"/>
      <c r="L556" s="17"/>
      <c r="M556" s="17"/>
      <c r="N556" s="17"/>
      <c r="O556" s="17"/>
      <c r="P556" s="17"/>
      <c r="Q556" s="17"/>
      <c r="R556" s="17"/>
      <c r="S556" s="17"/>
      <c r="T556" s="17"/>
      <c r="U556" s="300"/>
      <c r="V556" s="67"/>
      <c r="W556" s="17"/>
      <c r="X556" s="17"/>
      <c r="Y556" s="300"/>
      <c r="Z556" s="386"/>
      <c r="AA556" s="386"/>
      <c r="AB556" s="386"/>
      <c r="AC556" s="386"/>
      <c r="AD556" s="386"/>
      <c r="AE556" s="386"/>
      <c r="AF556" s="386"/>
    </row>
    <row r="557" ht="15.75" customHeight="1">
      <c r="A557" s="24"/>
      <c r="B557" s="25"/>
      <c r="C557" s="25"/>
      <c r="D557" s="28"/>
      <c r="E557" s="28"/>
      <c r="F557" s="404"/>
      <c r="G557" s="380"/>
      <c r="H557" s="300"/>
      <c r="I557" s="17"/>
      <c r="J557" s="17"/>
      <c r="K557" s="17"/>
      <c r="L557" s="17"/>
      <c r="M557" s="17"/>
      <c r="N557" s="17"/>
      <c r="O557" s="17"/>
      <c r="P557" s="17"/>
      <c r="Q557" s="17"/>
      <c r="R557" s="17"/>
      <c r="S557" s="17"/>
      <c r="T557" s="17"/>
      <c r="U557" s="300"/>
      <c r="V557" s="47"/>
      <c r="W557" s="17"/>
      <c r="X557" s="17"/>
      <c r="Y557" s="300"/>
      <c r="Z557" s="386"/>
      <c r="AA557" s="386"/>
      <c r="AB557" s="386"/>
      <c r="AC557" s="386"/>
      <c r="AD557" s="386"/>
      <c r="AE557" s="386"/>
      <c r="AF557" s="386"/>
    </row>
    <row r="558" ht="15.75" customHeight="1">
      <c r="A558" s="24"/>
      <c r="B558" s="25"/>
      <c r="C558" s="25"/>
      <c r="D558" s="28"/>
      <c r="E558" s="28"/>
      <c r="F558" s="383"/>
      <c r="G558" s="380"/>
      <c r="H558" s="300"/>
      <c r="I558" s="17"/>
      <c r="J558" s="17"/>
      <c r="K558" s="17"/>
      <c r="L558" s="17"/>
      <c r="M558" s="17"/>
      <c r="N558" s="17"/>
      <c r="O558" s="17"/>
      <c r="P558" s="17"/>
      <c r="Q558" s="17"/>
      <c r="R558" s="17"/>
      <c r="S558" s="17"/>
      <c r="T558" s="17"/>
      <c r="U558" s="300"/>
      <c r="V558" s="67"/>
      <c r="W558" s="17"/>
      <c r="X558" s="17"/>
      <c r="Y558" s="300"/>
      <c r="Z558" s="386"/>
      <c r="AA558" s="386"/>
      <c r="AB558" s="386"/>
      <c r="AC558" s="386"/>
      <c r="AD558" s="386"/>
      <c r="AE558" s="386"/>
      <c r="AF558" s="386"/>
    </row>
    <row r="559" ht="15.75" customHeight="1">
      <c r="A559" s="24"/>
      <c r="B559" s="25"/>
      <c r="C559" s="25"/>
      <c r="D559" s="28"/>
      <c r="E559" s="28"/>
      <c r="F559" s="404"/>
      <c r="G559" s="380"/>
      <c r="H559" s="300"/>
      <c r="I559" s="17"/>
      <c r="J559" s="17"/>
      <c r="K559" s="17"/>
      <c r="L559" s="17"/>
      <c r="M559" s="17"/>
      <c r="N559" s="17"/>
      <c r="O559" s="17"/>
      <c r="P559" s="17"/>
      <c r="Q559" s="17"/>
      <c r="R559" s="17"/>
      <c r="S559" s="17"/>
      <c r="T559" s="17"/>
      <c r="U559" s="300"/>
      <c r="V559" s="47"/>
      <c r="W559" s="17"/>
      <c r="X559" s="17"/>
      <c r="Y559" s="300"/>
      <c r="Z559" s="386"/>
      <c r="AA559" s="386"/>
      <c r="AB559" s="386"/>
      <c r="AC559" s="386"/>
      <c r="AD559" s="386"/>
      <c r="AE559" s="386"/>
      <c r="AF559" s="386"/>
    </row>
    <row r="560" ht="15.75" customHeight="1">
      <c r="A560" s="24"/>
      <c r="B560" s="25"/>
      <c r="C560" s="25"/>
      <c r="D560" s="28"/>
      <c r="E560" s="28"/>
      <c r="F560" s="383"/>
      <c r="G560" s="380"/>
      <c r="H560" s="300"/>
      <c r="I560" s="17"/>
      <c r="J560" s="17"/>
      <c r="K560" s="17"/>
      <c r="L560" s="17"/>
      <c r="M560" s="17"/>
      <c r="N560" s="17"/>
      <c r="O560" s="17"/>
      <c r="P560" s="17"/>
      <c r="Q560" s="17"/>
      <c r="R560" s="17"/>
      <c r="S560" s="17"/>
      <c r="T560" s="17"/>
      <c r="U560" s="300"/>
      <c r="V560" s="67"/>
      <c r="W560" s="17"/>
      <c r="X560" s="17"/>
      <c r="Y560" s="300"/>
      <c r="Z560" s="386"/>
      <c r="AA560" s="386"/>
      <c r="AB560" s="386"/>
      <c r="AC560" s="386"/>
      <c r="AD560" s="386"/>
      <c r="AE560" s="386"/>
      <c r="AF560" s="386"/>
    </row>
    <row r="561" ht="15.75" customHeight="1">
      <c r="A561" s="24"/>
      <c r="B561" s="25"/>
      <c r="C561" s="25"/>
      <c r="D561" s="28"/>
      <c r="E561" s="28"/>
      <c r="F561" s="404"/>
      <c r="G561" s="380"/>
      <c r="H561" s="300"/>
      <c r="I561" s="17"/>
      <c r="J561" s="17"/>
      <c r="K561" s="17"/>
      <c r="L561" s="17"/>
      <c r="M561" s="17"/>
      <c r="N561" s="17"/>
      <c r="O561" s="17"/>
      <c r="P561" s="17"/>
      <c r="Q561" s="17"/>
      <c r="R561" s="17"/>
      <c r="S561" s="17"/>
      <c r="T561" s="17"/>
      <c r="U561" s="300"/>
      <c r="V561" s="47"/>
      <c r="W561" s="17"/>
      <c r="X561" s="17"/>
      <c r="Y561" s="300"/>
      <c r="Z561" s="386"/>
      <c r="AA561" s="386"/>
      <c r="AB561" s="386"/>
      <c r="AC561" s="386"/>
      <c r="AD561" s="386"/>
      <c r="AE561" s="386"/>
      <c r="AF561" s="386"/>
    </row>
    <row r="562" ht="15.75" customHeight="1">
      <c r="A562" s="24"/>
      <c r="B562" s="25"/>
      <c r="C562" s="25"/>
      <c r="D562" s="28"/>
      <c r="E562" s="28"/>
      <c r="F562" s="383"/>
      <c r="G562" s="380"/>
      <c r="H562" s="300"/>
      <c r="I562" s="17"/>
      <c r="J562" s="17"/>
      <c r="K562" s="17"/>
      <c r="L562" s="17"/>
      <c r="M562" s="17"/>
      <c r="N562" s="17"/>
      <c r="O562" s="17"/>
      <c r="P562" s="17"/>
      <c r="Q562" s="17"/>
      <c r="R562" s="17"/>
      <c r="S562" s="17"/>
      <c r="T562" s="17"/>
      <c r="U562" s="300"/>
      <c r="V562" s="67"/>
      <c r="W562" s="17"/>
      <c r="X562" s="17"/>
      <c r="Y562" s="300"/>
      <c r="Z562" s="386"/>
      <c r="AA562" s="386"/>
      <c r="AB562" s="386"/>
      <c r="AC562" s="386"/>
      <c r="AD562" s="386"/>
      <c r="AE562" s="386"/>
      <c r="AF562" s="386"/>
    </row>
    <row r="563" ht="15.75" customHeight="1">
      <c r="A563" s="24"/>
      <c r="B563" s="25"/>
      <c r="C563" s="25"/>
      <c r="D563" s="28"/>
      <c r="E563" s="28"/>
      <c r="F563" s="404"/>
      <c r="G563" s="380"/>
      <c r="H563" s="300"/>
      <c r="I563" s="17"/>
      <c r="J563" s="17"/>
      <c r="K563" s="17"/>
      <c r="L563" s="17"/>
      <c r="M563" s="17"/>
      <c r="N563" s="17"/>
      <c r="O563" s="17"/>
      <c r="P563" s="17"/>
      <c r="Q563" s="17"/>
      <c r="R563" s="17"/>
      <c r="S563" s="17"/>
      <c r="T563" s="17"/>
      <c r="U563" s="300"/>
      <c r="V563" s="47"/>
      <c r="W563" s="17"/>
      <c r="X563" s="17"/>
      <c r="Y563" s="300"/>
      <c r="Z563" s="386"/>
      <c r="AA563" s="386"/>
      <c r="AB563" s="386"/>
      <c r="AC563" s="386"/>
      <c r="AD563" s="386"/>
      <c r="AE563" s="386"/>
      <c r="AF563" s="386"/>
    </row>
    <row r="564" ht="15.75" customHeight="1">
      <c r="A564" s="24"/>
      <c r="B564" s="25"/>
      <c r="C564" s="25"/>
      <c r="D564" s="28"/>
      <c r="E564" s="28"/>
      <c r="F564" s="383"/>
      <c r="G564" s="380"/>
      <c r="H564" s="300"/>
      <c r="I564" s="17"/>
      <c r="J564" s="17"/>
      <c r="K564" s="17"/>
      <c r="L564" s="17"/>
      <c r="M564" s="17"/>
      <c r="N564" s="17"/>
      <c r="O564" s="17"/>
      <c r="P564" s="17"/>
      <c r="Q564" s="17"/>
      <c r="R564" s="17"/>
      <c r="S564" s="17"/>
      <c r="T564" s="17"/>
      <c r="U564" s="300"/>
      <c r="V564" s="67"/>
      <c r="W564" s="17"/>
      <c r="X564" s="17"/>
      <c r="Y564" s="300"/>
      <c r="Z564" s="386"/>
      <c r="AA564" s="386"/>
      <c r="AB564" s="386"/>
      <c r="AC564" s="386"/>
      <c r="AD564" s="386"/>
      <c r="AE564" s="386"/>
      <c r="AF564" s="386"/>
    </row>
    <row r="565" ht="15.75" customHeight="1">
      <c r="A565" s="24"/>
      <c r="B565" s="25"/>
      <c r="C565" s="25"/>
      <c r="D565" s="28"/>
      <c r="E565" s="28"/>
      <c r="F565" s="404"/>
      <c r="G565" s="380"/>
      <c r="H565" s="300"/>
      <c r="I565" s="17"/>
      <c r="J565" s="17"/>
      <c r="K565" s="17"/>
      <c r="L565" s="17"/>
      <c r="M565" s="17"/>
      <c r="N565" s="17"/>
      <c r="O565" s="17"/>
      <c r="P565" s="17"/>
      <c r="Q565" s="17"/>
      <c r="R565" s="17"/>
      <c r="S565" s="17"/>
      <c r="T565" s="17"/>
      <c r="U565" s="300"/>
      <c r="V565" s="47"/>
      <c r="W565" s="17"/>
      <c r="X565" s="17"/>
      <c r="Y565" s="300"/>
      <c r="Z565" s="386"/>
      <c r="AA565" s="386"/>
      <c r="AB565" s="386"/>
      <c r="AC565" s="386"/>
      <c r="AD565" s="386"/>
      <c r="AE565" s="386"/>
      <c r="AF565" s="386"/>
    </row>
    <row r="566" ht="15.75" customHeight="1">
      <c r="A566" s="24"/>
      <c r="B566" s="25"/>
      <c r="C566" s="25"/>
      <c r="D566" s="28"/>
      <c r="E566" s="28"/>
      <c r="F566" s="383"/>
      <c r="G566" s="380"/>
      <c r="H566" s="300"/>
      <c r="I566" s="17"/>
      <c r="J566" s="17"/>
      <c r="K566" s="17"/>
      <c r="L566" s="17"/>
      <c r="M566" s="17"/>
      <c r="N566" s="17"/>
      <c r="O566" s="17"/>
      <c r="P566" s="17"/>
      <c r="Q566" s="17"/>
      <c r="R566" s="17"/>
      <c r="S566" s="17"/>
      <c r="T566" s="17"/>
      <c r="U566" s="300"/>
      <c r="V566" s="67"/>
      <c r="W566" s="17"/>
      <c r="X566" s="17"/>
      <c r="Y566" s="300"/>
      <c r="Z566" s="386"/>
      <c r="AA566" s="386"/>
      <c r="AB566" s="386"/>
      <c r="AC566" s="386"/>
      <c r="AD566" s="386"/>
      <c r="AE566" s="386"/>
      <c r="AF566" s="386"/>
    </row>
    <row r="567" ht="15.75" customHeight="1">
      <c r="A567" s="24"/>
      <c r="B567" s="25"/>
      <c r="C567" s="25"/>
      <c r="D567" s="28"/>
      <c r="E567" s="28"/>
      <c r="F567" s="404"/>
      <c r="G567" s="380"/>
      <c r="H567" s="300"/>
      <c r="I567" s="17"/>
      <c r="J567" s="17"/>
      <c r="K567" s="17"/>
      <c r="L567" s="17"/>
      <c r="M567" s="17"/>
      <c r="N567" s="17"/>
      <c r="O567" s="17"/>
      <c r="P567" s="17"/>
      <c r="Q567" s="17"/>
      <c r="R567" s="17"/>
      <c r="S567" s="17"/>
      <c r="T567" s="17"/>
      <c r="U567" s="300"/>
      <c r="V567" s="47"/>
      <c r="W567" s="17"/>
      <c r="X567" s="17"/>
      <c r="Y567" s="300"/>
      <c r="Z567" s="386"/>
      <c r="AA567" s="386"/>
      <c r="AB567" s="386"/>
      <c r="AC567" s="386"/>
      <c r="AD567" s="386"/>
      <c r="AE567" s="386"/>
      <c r="AF567" s="386"/>
    </row>
    <row r="568" ht="15.75" customHeight="1">
      <c r="A568" s="24"/>
      <c r="B568" s="25"/>
      <c r="C568" s="25"/>
      <c r="D568" s="28"/>
      <c r="E568" s="28"/>
      <c r="F568" s="383"/>
      <c r="G568" s="380"/>
      <c r="H568" s="300"/>
      <c r="I568" s="17"/>
      <c r="J568" s="17"/>
      <c r="K568" s="17"/>
      <c r="L568" s="17"/>
      <c r="M568" s="17"/>
      <c r="N568" s="17"/>
      <c r="O568" s="17"/>
      <c r="P568" s="17"/>
      <c r="Q568" s="17"/>
      <c r="R568" s="17"/>
      <c r="S568" s="17"/>
      <c r="T568" s="17"/>
      <c r="U568" s="300"/>
      <c r="V568" s="67"/>
      <c r="W568" s="17"/>
      <c r="X568" s="17"/>
      <c r="Y568" s="300"/>
      <c r="Z568" s="386"/>
      <c r="AA568" s="386"/>
      <c r="AB568" s="386"/>
      <c r="AC568" s="386"/>
      <c r="AD568" s="386"/>
      <c r="AE568" s="386"/>
      <c r="AF568" s="386"/>
    </row>
    <row r="569" ht="15.75" customHeight="1">
      <c r="A569" s="24"/>
      <c r="B569" s="25"/>
      <c r="C569" s="25"/>
      <c r="D569" s="28"/>
      <c r="E569" s="28"/>
      <c r="F569" s="404"/>
      <c r="G569" s="380"/>
      <c r="H569" s="300"/>
      <c r="I569" s="17"/>
      <c r="J569" s="17"/>
      <c r="K569" s="17"/>
      <c r="L569" s="17"/>
      <c r="M569" s="17"/>
      <c r="N569" s="17"/>
      <c r="O569" s="17"/>
      <c r="P569" s="17"/>
      <c r="Q569" s="17"/>
      <c r="R569" s="17"/>
      <c r="S569" s="17"/>
      <c r="T569" s="17"/>
      <c r="U569" s="300"/>
      <c r="V569" s="47"/>
      <c r="W569" s="17"/>
      <c r="X569" s="17"/>
      <c r="Y569" s="300"/>
      <c r="Z569" s="386"/>
      <c r="AA569" s="386"/>
      <c r="AB569" s="386"/>
      <c r="AC569" s="386"/>
      <c r="AD569" s="386"/>
      <c r="AE569" s="386"/>
      <c r="AF569" s="386"/>
    </row>
    <row r="570" ht="15.75" customHeight="1">
      <c r="A570" s="24"/>
      <c r="B570" s="25"/>
      <c r="C570" s="25"/>
      <c r="D570" s="28"/>
      <c r="E570" s="28"/>
      <c r="F570" s="383"/>
      <c r="G570" s="380"/>
      <c r="H570" s="300"/>
      <c r="I570" s="17"/>
      <c r="J570" s="17"/>
      <c r="K570" s="17"/>
      <c r="L570" s="17"/>
      <c r="M570" s="17"/>
      <c r="N570" s="17"/>
      <c r="O570" s="17"/>
      <c r="P570" s="17"/>
      <c r="Q570" s="17"/>
      <c r="R570" s="17"/>
      <c r="S570" s="17"/>
      <c r="T570" s="17"/>
      <c r="U570" s="300"/>
      <c r="V570" s="67"/>
      <c r="W570" s="17"/>
      <c r="X570" s="17"/>
      <c r="Y570" s="300"/>
      <c r="Z570" s="386"/>
      <c r="AA570" s="386"/>
      <c r="AB570" s="386"/>
      <c r="AC570" s="386"/>
      <c r="AD570" s="386"/>
      <c r="AE570" s="386"/>
      <c r="AF570" s="386"/>
    </row>
    <row r="571" ht="15.75" customHeight="1">
      <c r="A571" s="24"/>
      <c r="B571" s="25"/>
      <c r="C571" s="25"/>
      <c r="D571" s="28"/>
      <c r="E571" s="28"/>
      <c r="F571" s="404"/>
      <c r="G571" s="380"/>
      <c r="H571" s="300"/>
      <c r="I571" s="17"/>
      <c r="J571" s="17"/>
      <c r="K571" s="17"/>
      <c r="L571" s="17"/>
      <c r="M571" s="17"/>
      <c r="N571" s="17"/>
      <c r="O571" s="17"/>
      <c r="P571" s="17"/>
      <c r="Q571" s="17"/>
      <c r="R571" s="17"/>
      <c r="S571" s="17"/>
      <c r="T571" s="17"/>
      <c r="U571" s="300"/>
      <c r="V571" s="47"/>
      <c r="W571" s="17"/>
      <c r="X571" s="17"/>
      <c r="Y571" s="300"/>
      <c r="Z571" s="386"/>
      <c r="AA571" s="386"/>
      <c r="AB571" s="386"/>
      <c r="AC571" s="386"/>
      <c r="AD571" s="386"/>
      <c r="AE571" s="386"/>
      <c r="AF571" s="386"/>
    </row>
    <row r="572" ht="15.75" customHeight="1">
      <c r="A572" s="24"/>
      <c r="B572" s="25"/>
      <c r="C572" s="25"/>
      <c r="D572" s="28"/>
      <c r="E572" s="28"/>
      <c r="F572" s="383"/>
      <c r="G572" s="380"/>
      <c r="H572" s="300"/>
      <c r="I572" s="17"/>
      <c r="J572" s="17"/>
      <c r="K572" s="17"/>
      <c r="L572" s="17"/>
      <c r="M572" s="17"/>
      <c r="N572" s="17"/>
      <c r="O572" s="17"/>
      <c r="P572" s="17"/>
      <c r="Q572" s="17"/>
      <c r="R572" s="17"/>
      <c r="S572" s="17"/>
      <c r="T572" s="17"/>
      <c r="U572" s="300"/>
      <c r="V572" s="67"/>
      <c r="W572" s="17"/>
      <c r="X572" s="17"/>
      <c r="Y572" s="300"/>
      <c r="Z572" s="386"/>
      <c r="AA572" s="386"/>
      <c r="AB572" s="386"/>
      <c r="AC572" s="386"/>
      <c r="AD572" s="386"/>
      <c r="AE572" s="386"/>
      <c r="AF572" s="386"/>
    </row>
    <row r="573" ht="15.75" customHeight="1">
      <c r="A573" s="24"/>
      <c r="B573" s="25"/>
      <c r="C573" s="25"/>
      <c r="D573" s="28"/>
      <c r="E573" s="28"/>
      <c r="F573" s="404"/>
      <c r="G573" s="380"/>
      <c r="H573" s="300"/>
      <c r="I573" s="17"/>
      <c r="J573" s="17"/>
      <c r="K573" s="17"/>
      <c r="L573" s="17"/>
      <c r="M573" s="17"/>
      <c r="N573" s="17"/>
      <c r="O573" s="17"/>
      <c r="P573" s="17"/>
      <c r="Q573" s="17"/>
      <c r="R573" s="17"/>
      <c r="S573" s="17"/>
      <c r="T573" s="17"/>
      <c r="U573" s="300"/>
      <c r="V573" s="47"/>
      <c r="W573" s="17"/>
      <c r="X573" s="17"/>
      <c r="Y573" s="300"/>
      <c r="Z573" s="386"/>
      <c r="AA573" s="386"/>
      <c r="AB573" s="386"/>
      <c r="AC573" s="386"/>
      <c r="AD573" s="386"/>
      <c r="AE573" s="386"/>
      <c r="AF573" s="386"/>
    </row>
    <row r="574" ht="15.75" customHeight="1">
      <c r="A574" s="24"/>
      <c r="B574" s="25"/>
      <c r="C574" s="25"/>
      <c r="D574" s="28"/>
      <c r="E574" s="28"/>
      <c r="F574" s="383"/>
      <c r="G574" s="380"/>
      <c r="H574" s="300"/>
      <c r="I574" s="17"/>
      <c r="J574" s="17"/>
      <c r="K574" s="17"/>
      <c r="L574" s="17"/>
      <c r="M574" s="17"/>
      <c r="N574" s="17"/>
      <c r="O574" s="17"/>
      <c r="P574" s="17"/>
      <c r="Q574" s="17"/>
      <c r="R574" s="17"/>
      <c r="S574" s="17"/>
      <c r="T574" s="17"/>
      <c r="U574" s="300"/>
      <c r="V574" s="67"/>
      <c r="W574" s="17"/>
      <c r="X574" s="17"/>
      <c r="Y574" s="300"/>
      <c r="Z574" s="386"/>
      <c r="AA574" s="386"/>
      <c r="AB574" s="386"/>
      <c r="AC574" s="386"/>
      <c r="AD574" s="386"/>
      <c r="AE574" s="386"/>
      <c r="AF574" s="386"/>
    </row>
    <row r="575" ht="15.75" customHeight="1">
      <c r="A575" s="24"/>
      <c r="B575" s="25"/>
      <c r="C575" s="25"/>
      <c r="D575" s="28"/>
      <c r="E575" s="28"/>
      <c r="F575" s="404"/>
      <c r="G575" s="380"/>
      <c r="H575" s="300"/>
      <c r="I575" s="17"/>
      <c r="J575" s="17"/>
      <c r="K575" s="17"/>
      <c r="L575" s="17"/>
      <c r="M575" s="17"/>
      <c r="N575" s="17"/>
      <c r="O575" s="17"/>
      <c r="P575" s="17"/>
      <c r="Q575" s="17"/>
      <c r="R575" s="17"/>
      <c r="S575" s="17"/>
      <c r="T575" s="17"/>
      <c r="U575" s="300"/>
      <c r="V575" s="47"/>
      <c r="W575" s="17"/>
      <c r="X575" s="17"/>
      <c r="Y575" s="300"/>
      <c r="Z575" s="386"/>
      <c r="AA575" s="386"/>
      <c r="AB575" s="386"/>
      <c r="AC575" s="386"/>
      <c r="AD575" s="386"/>
      <c r="AE575" s="386"/>
      <c r="AF575" s="386"/>
    </row>
    <row r="576" ht="15.75" customHeight="1">
      <c r="A576" s="24"/>
      <c r="B576" s="25"/>
      <c r="C576" s="25"/>
      <c r="D576" s="28"/>
      <c r="E576" s="28"/>
      <c r="F576" s="383"/>
      <c r="G576" s="380"/>
      <c r="H576" s="300"/>
      <c r="I576" s="17"/>
      <c r="J576" s="17"/>
      <c r="K576" s="17"/>
      <c r="L576" s="17"/>
      <c r="M576" s="17"/>
      <c r="N576" s="17"/>
      <c r="O576" s="17"/>
      <c r="P576" s="17"/>
      <c r="Q576" s="17"/>
      <c r="R576" s="17"/>
      <c r="S576" s="17"/>
      <c r="T576" s="17"/>
      <c r="U576" s="300"/>
      <c r="V576" s="67"/>
      <c r="W576" s="17"/>
      <c r="X576" s="17"/>
      <c r="Y576" s="300"/>
      <c r="Z576" s="386"/>
      <c r="AA576" s="386"/>
      <c r="AB576" s="386"/>
      <c r="AC576" s="386"/>
      <c r="AD576" s="386"/>
      <c r="AE576" s="386"/>
      <c r="AF576" s="386"/>
    </row>
    <row r="577" ht="15.75" customHeight="1">
      <c r="A577" s="24"/>
      <c r="B577" s="25"/>
      <c r="C577" s="25"/>
      <c r="D577" s="28"/>
      <c r="E577" s="28"/>
      <c r="F577" s="404"/>
      <c r="G577" s="380"/>
      <c r="H577" s="300"/>
      <c r="I577" s="17"/>
      <c r="J577" s="17"/>
      <c r="K577" s="17"/>
      <c r="L577" s="17"/>
      <c r="M577" s="17"/>
      <c r="N577" s="17"/>
      <c r="O577" s="17"/>
      <c r="P577" s="17"/>
      <c r="Q577" s="17"/>
      <c r="R577" s="17"/>
      <c r="S577" s="17"/>
      <c r="T577" s="17"/>
      <c r="U577" s="300"/>
      <c r="V577" s="47"/>
      <c r="W577" s="17"/>
      <c r="X577" s="17"/>
      <c r="Y577" s="300"/>
      <c r="Z577" s="386"/>
      <c r="AA577" s="386"/>
      <c r="AB577" s="386"/>
      <c r="AC577" s="386"/>
      <c r="AD577" s="386"/>
      <c r="AE577" s="386"/>
      <c r="AF577" s="386"/>
    </row>
    <row r="578" ht="15.75" customHeight="1">
      <c r="A578" s="24"/>
      <c r="B578" s="25"/>
      <c r="C578" s="25"/>
      <c r="D578" s="28"/>
      <c r="E578" s="28"/>
      <c r="F578" s="383"/>
      <c r="G578" s="380"/>
      <c r="H578" s="300"/>
      <c r="I578" s="17"/>
      <c r="J578" s="17"/>
      <c r="K578" s="17"/>
      <c r="L578" s="17"/>
      <c r="M578" s="17"/>
      <c r="N578" s="17"/>
      <c r="O578" s="17"/>
      <c r="P578" s="17"/>
      <c r="Q578" s="17"/>
      <c r="R578" s="17"/>
      <c r="S578" s="17"/>
      <c r="T578" s="17"/>
      <c r="U578" s="300"/>
      <c r="V578" s="67"/>
      <c r="W578" s="17"/>
      <c r="X578" s="17"/>
      <c r="Y578" s="300"/>
      <c r="Z578" s="386"/>
      <c r="AA578" s="386"/>
      <c r="AB578" s="386"/>
      <c r="AC578" s="386"/>
      <c r="AD578" s="386"/>
      <c r="AE578" s="386"/>
      <c r="AF578" s="386"/>
    </row>
    <row r="579" ht="15.75" customHeight="1">
      <c r="A579" s="24"/>
      <c r="B579" s="25"/>
      <c r="C579" s="25"/>
      <c r="D579" s="28"/>
      <c r="E579" s="28"/>
      <c r="F579" s="404"/>
      <c r="G579" s="380"/>
      <c r="H579" s="300"/>
      <c r="I579" s="17"/>
      <c r="J579" s="17"/>
      <c r="K579" s="17"/>
      <c r="L579" s="17"/>
      <c r="M579" s="17"/>
      <c r="N579" s="17"/>
      <c r="O579" s="17"/>
      <c r="P579" s="17"/>
      <c r="Q579" s="17"/>
      <c r="R579" s="17"/>
      <c r="S579" s="17"/>
      <c r="T579" s="17"/>
      <c r="U579" s="300"/>
      <c r="V579" s="47"/>
      <c r="W579" s="17"/>
      <c r="X579" s="17"/>
      <c r="Y579" s="300"/>
      <c r="Z579" s="386"/>
      <c r="AA579" s="386"/>
      <c r="AB579" s="386"/>
      <c r="AC579" s="386"/>
      <c r="AD579" s="386"/>
      <c r="AE579" s="386"/>
      <c r="AF579" s="386"/>
    </row>
    <row r="580" ht="15.75" customHeight="1">
      <c r="A580" s="24"/>
      <c r="B580" s="25"/>
      <c r="C580" s="25"/>
      <c r="D580" s="28"/>
      <c r="E580" s="28"/>
      <c r="F580" s="383"/>
      <c r="G580" s="380"/>
      <c r="H580" s="300"/>
      <c r="I580" s="17"/>
      <c r="J580" s="17"/>
      <c r="K580" s="17"/>
      <c r="L580" s="17"/>
      <c r="M580" s="17"/>
      <c r="N580" s="17"/>
      <c r="O580" s="17"/>
      <c r="P580" s="17"/>
      <c r="Q580" s="17"/>
      <c r="R580" s="17"/>
      <c r="S580" s="17"/>
      <c r="T580" s="17"/>
      <c r="U580" s="300"/>
      <c r="V580" s="67"/>
      <c r="W580" s="17"/>
      <c r="X580" s="17"/>
      <c r="Y580" s="300"/>
      <c r="Z580" s="386"/>
      <c r="AA580" s="386"/>
      <c r="AB580" s="386"/>
      <c r="AC580" s="386"/>
      <c r="AD580" s="386"/>
      <c r="AE580" s="386"/>
      <c r="AF580" s="386"/>
    </row>
    <row r="581" ht="15.75" customHeight="1">
      <c r="A581" s="24"/>
      <c r="B581" s="25"/>
      <c r="C581" s="25"/>
      <c r="D581" s="28"/>
      <c r="E581" s="28"/>
      <c r="F581" s="404"/>
      <c r="G581" s="380"/>
      <c r="H581" s="300"/>
      <c r="I581" s="17"/>
      <c r="J581" s="17"/>
      <c r="K581" s="17"/>
      <c r="L581" s="17"/>
      <c r="M581" s="17"/>
      <c r="N581" s="17"/>
      <c r="O581" s="17"/>
      <c r="P581" s="17"/>
      <c r="Q581" s="17"/>
      <c r="R581" s="17"/>
      <c r="S581" s="17"/>
      <c r="T581" s="17"/>
      <c r="U581" s="300"/>
      <c r="V581" s="47"/>
      <c r="W581" s="17"/>
      <c r="X581" s="17"/>
      <c r="Y581" s="300"/>
      <c r="Z581" s="386"/>
      <c r="AA581" s="386"/>
      <c r="AB581" s="386"/>
      <c r="AC581" s="386"/>
      <c r="AD581" s="386"/>
      <c r="AE581" s="386"/>
      <c r="AF581" s="386"/>
    </row>
    <row r="582" ht="15.75" customHeight="1">
      <c r="A582" s="24"/>
      <c r="B582" s="25"/>
      <c r="C582" s="25"/>
      <c r="D582" s="28"/>
      <c r="E582" s="28"/>
      <c r="F582" s="383"/>
      <c r="G582" s="380"/>
      <c r="H582" s="300"/>
      <c r="I582" s="17"/>
      <c r="J582" s="17"/>
      <c r="K582" s="17"/>
      <c r="L582" s="17"/>
      <c r="M582" s="17"/>
      <c r="N582" s="17"/>
      <c r="O582" s="17"/>
      <c r="P582" s="17"/>
      <c r="Q582" s="17"/>
      <c r="R582" s="17"/>
      <c r="S582" s="17"/>
      <c r="T582" s="17"/>
      <c r="U582" s="300"/>
      <c r="V582" s="67"/>
      <c r="W582" s="17"/>
      <c r="X582" s="17"/>
      <c r="Y582" s="300"/>
      <c r="Z582" s="386"/>
      <c r="AA582" s="386"/>
      <c r="AB582" s="386"/>
      <c r="AC582" s="386"/>
      <c r="AD582" s="386"/>
      <c r="AE582" s="386"/>
      <c r="AF582" s="386"/>
    </row>
    <row r="583" ht="15.75" customHeight="1">
      <c r="A583" s="24"/>
      <c r="B583" s="25"/>
      <c r="C583" s="25"/>
      <c r="D583" s="28"/>
      <c r="E583" s="28"/>
      <c r="F583" s="404"/>
      <c r="G583" s="380"/>
      <c r="H583" s="300"/>
      <c r="I583" s="17"/>
      <c r="J583" s="17"/>
      <c r="K583" s="17"/>
      <c r="L583" s="17"/>
      <c r="M583" s="17"/>
      <c r="N583" s="17"/>
      <c r="O583" s="17"/>
      <c r="P583" s="17"/>
      <c r="Q583" s="17"/>
      <c r="R583" s="17"/>
      <c r="S583" s="17"/>
      <c r="T583" s="17"/>
      <c r="U583" s="300"/>
      <c r="V583" s="47"/>
      <c r="W583" s="17"/>
      <c r="X583" s="17"/>
      <c r="Y583" s="300"/>
      <c r="Z583" s="386"/>
      <c r="AA583" s="386"/>
      <c r="AB583" s="386"/>
      <c r="AC583" s="386"/>
      <c r="AD583" s="386"/>
      <c r="AE583" s="386"/>
      <c r="AF583" s="386"/>
    </row>
    <row r="584" ht="15.75" customHeight="1">
      <c r="A584" s="24"/>
      <c r="B584" s="25"/>
      <c r="C584" s="25"/>
      <c r="D584" s="28"/>
      <c r="E584" s="28"/>
      <c r="F584" s="383"/>
      <c r="G584" s="380"/>
      <c r="H584" s="300"/>
      <c r="I584" s="17"/>
      <c r="J584" s="17"/>
      <c r="K584" s="17"/>
      <c r="L584" s="17"/>
      <c r="M584" s="17"/>
      <c r="N584" s="17"/>
      <c r="O584" s="17"/>
      <c r="P584" s="17"/>
      <c r="Q584" s="17"/>
      <c r="R584" s="17"/>
      <c r="S584" s="17"/>
      <c r="T584" s="17"/>
      <c r="U584" s="300"/>
      <c r="V584" s="67"/>
      <c r="W584" s="17"/>
      <c r="X584" s="17"/>
      <c r="Y584" s="300"/>
      <c r="Z584" s="386"/>
      <c r="AA584" s="386"/>
      <c r="AB584" s="386"/>
      <c r="AC584" s="386"/>
      <c r="AD584" s="386"/>
      <c r="AE584" s="386"/>
      <c r="AF584" s="386"/>
    </row>
    <row r="585" ht="15.75" customHeight="1">
      <c r="A585" s="24"/>
      <c r="B585" s="25"/>
      <c r="C585" s="25"/>
      <c r="D585" s="28"/>
      <c r="E585" s="28"/>
      <c r="F585" s="404"/>
      <c r="G585" s="380"/>
      <c r="H585" s="300"/>
      <c r="I585" s="17"/>
      <c r="J585" s="17"/>
      <c r="K585" s="17"/>
      <c r="L585" s="17"/>
      <c r="M585" s="17"/>
      <c r="N585" s="17"/>
      <c r="O585" s="17"/>
      <c r="P585" s="17"/>
      <c r="Q585" s="17"/>
      <c r="R585" s="17"/>
      <c r="S585" s="17"/>
      <c r="T585" s="17"/>
      <c r="U585" s="300"/>
      <c r="V585" s="47"/>
      <c r="W585" s="17"/>
      <c r="X585" s="17"/>
      <c r="Y585" s="300"/>
      <c r="Z585" s="386"/>
      <c r="AA585" s="386"/>
      <c r="AB585" s="386"/>
      <c r="AC585" s="386"/>
      <c r="AD585" s="386"/>
      <c r="AE585" s="386"/>
      <c r="AF585" s="386"/>
    </row>
    <row r="586" ht="15.75" customHeight="1">
      <c r="A586" s="24"/>
      <c r="B586" s="25"/>
      <c r="C586" s="25"/>
      <c r="D586" s="28"/>
      <c r="E586" s="28"/>
      <c r="F586" s="383"/>
      <c r="G586" s="380"/>
      <c r="H586" s="300"/>
      <c r="I586" s="17"/>
      <c r="J586" s="17"/>
      <c r="K586" s="17"/>
      <c r="L586" s="17"/>
      <c r="M586" s="17"/>
      <c r="N586" s="17"/>
      <c r="O586" s="17"/>
      <c r="P586" s="17"/>
      <c r="Q586" s="17"/>
      <c r="R586" s="17"/>
      <c r="S586" s="17"/>
      <c r="T586" s="17"/>
      <c r="U586" s="300"/>
      <c r="V586" s="67"/>
      <c r="W586" s="17"/>
      <c r="X586" s="17"/>
      <c r="Y586" s="300"/>
      <c r="Z586" s="386"/>
      <c r="AA586" s="386"/>
      <c r="AB586" s="386"/>
      <c r="AC586" s="386"/>
      <c r="AD586" s="386"/>
      <c r="AE586" s="386"/>
      <c r="AF586" s="386"/>
    </row>
    <row r="587" ht="15.75" customHeight="1">
      <c r="A587" s="24"/>
      <c r="B587" s="25"/>
      <c r="C587" s="25"/>
      <c r="D587" s="28"/>
      <c r="E587" s="28"/>
      <c r="F587" s="404"/>
      <c r="G587" s="380"/>
      <c r="H587" s="300"/>
      <c r="I587" s="17"/>
      <c r="J587" s="17"/>
      <c r="K587" s="17"/>
      <c r="L587" s="17"/>
      <c r="M587" s="17"/>
      <c r="N587" s="17"/>
      <c r="O587" s="17"/>
      <c r="P587" s="17"/>
      <c r="Q587" s="17"/>
      <c r="R587" s="17"/>
      <c r="S587" s="17"/>
      <c r="T587" s="17"/>
      <c r="U587" s="300"/>
      <c r="V587" s="47"/>
      <c r="W587" s="17"/>
      <c r="X587" s="17"/>
      <c r="Y587" s="300"/>
      <c r="Z587" s="386"/>
      <c r="AA587" s="386"/>
      <c r="AB587" s="386"/>
      <c r="AC587" s="386"/>
      <c r="AD587" s="386"/>
      <c r="AE587" s="386"/>
      <c r="AF587" s="386"/>
    </row>
    <row r="588" ht="15.75" customHeight="1">
      <c r="A588" s="24"/>
      <c r="B588" s="25"/>
      <c r="C588" s="25"/>
      <c r="D588" s="28"/>
      <c r="E588" s="28"/>
      <c r="F588" s="383"/>
      <c r="G588" s="380"/>
      <c r="H588" s="300"/>
      <c r="I588" s="17"/>
      <c r="J588" s="17"/>
      <c r="K588" s="17"/>
      <c r="L588" s="17"/>
      <c r="M588" s="17"/>
      <c r="N588" s="17"/>
      <c r="O588" s="17"/>
      <c r="P588" s="17"/>
      <c r="Q588" s="17"/>
      <c r="R588" s="17"/>
      <c r="S588" s="17"/>
      <c r="T588" s="17"/>
      <c r="U588" s="300"/>
      <c r="V588" s="67"/>
      <c r="W588" s="17"/>
      <c r="X588" s="17"/>
      <c r="Y588" s="300"/>
      <c r="Z588" s="386"/>
      <c r="AA588" s="386"/>
      <c r="AB588" s="386"/>
      <c r="AC588" s="386"/>
      <c r="AD588" s="386"/>
      <c r="AE588" s="386"/>
      <c r="AF588" s="386"/>
    </row>
    <row r="589" ht="15.75" customHeight="1">
      <c r="A589" s="24"/>
      <c r="B589" s="25"/>
      <c r="C589" s="25"/>
      <c r="D589" s="28"/>
      <c r="E589" s="28"/>
      <c r="F589" s="404"/>
      <c r="G589" s="380"/>
      <c r="H589" s="300"/>
      <c r="I589" s="17"/>
      <c r="J589" s="17"/>
      <c r="K589" s="17"/>
      <c r="L589" s="17"/>
      <c r="M589" s="17"/>
      <c r="N589" s="17"/>
      <c r="O589" s="17"/>
      <c r="P589" s="17"/>
      <c r="Q589" s="17"/>
      <c r="R589" s="17"/>
      <c r="S589" s="17"/>
      <c r="T589" s="17"/>
      <c r="U589" s="300"/>
      <c r="V589" s="47"/>
      <c r="W589" s="17"/>
      <c r="X589" s="17"/>
      <c r="Y589" s="300"/>
      <c r="Z589" s="386"/>
      <c r="AA589" s="386"/>
      <c r="AB589" s="386"/>
      <c r="AC589" s="386"/>
      <c r="AD589" s="386"/>
      <c r="AE589" s="386"/>
      <c r="AF589" s="386"/>
    </row>
    <row r="590" ht="15.75" customHeight="1">
      <c r="A590" s="24"/>
      <c r="B590" s="25"/>
      <c r="C590" s="25"/>
      <c r="D590" s="28"/>
      <c r="E590" s="28"/>
      <c r="F590" s="383"/>
      <c r="G590" s="380"/>
      <c r="H590" s="300"/>
      <c r="I590" s="17"/>
      <c r="J590" s="17"/>
      <c r="K590" s="17"/>
      <c r="L590" s="17"/>
      <c r="M590" s="17"/>
      <c r="N590" s="17"/>
      <c r="O590" s="17"/>
      <c r="P590" s="17"/>
      <c r="Q590" s="17"/>
      <c r="R590" s="17"/>
      <c r="S590" s="17"/>
      <c r="T590" s="17"/>
      <c r="U590" s="300"/>
      <c r="V590" s="67"/>
      <c r="W590" s="17"/>
      <c r="X590" s="17"/>
      <c r="Y590" s="300"/>
      <c r="Z590" s="386"/>
      <c r="AA590" s="386"/>
      <c r="AB590" s="386"/>
      <c r="AC590" s="386"/>
      <c r="AD590" s="386"/>
      <c r="AE590" s="386"/>
      <c r="AF590" s="386"/>
    </row>
    <row r="591" ht="15.75" customHeight="1">
      <c r="A591" s="24"/>
      <c r="B591" s="25"/>
      <c r="C591" s="25"/>
      <c r="D591" s="28"/>
      <c r="E591" s="28"/>
      <c r="F591" s="404"/>
      <c r="G591" s="380"/>
      <c r="H591" s="300"/>
      <c r="I591" s="17"/>
      <c r="J591" s="17"/>
      <c r="K591" s="17"/>
      <c r="L591" s="17"/>
      <c r="M591" s="17"/>
      <c r="N591" s="17"/>
      <c r="O591" s="17"/>
      <c r="P591" s="17"/>
      <c r="Q591" s="17"/>
      <c r="R591" s="17"/>
      <c r="S591" s="17"/>
      <c r="T591" s="17"/>
      <c r="U591" s="300"/>
      <c r="V591" s="47"/>
      <c r="W591" s="17"/>
      <c r="X591" s="17"/>
      <c r="Y591" s="300"/>
      <c r="Z591" s="386"/>
      <c r="AA591" s="386"/>
      <c r="AB591" s="386"/>
      <c r="AC591" s="386"/>
      <c r="AD591" s="386"/>
      <c r="AE591" s="386"/>
      <c r="AF591" s="386"/>
    </row>
    <row r="592" ht="15.75" customHeight="1">
      <c r="A592" s="24"/>
      <c r="B592" s="25"/>
      <c r="C592" s="25"/>
      <c r="D592" s="28"/>
      <c r="E592" s="28"/>
      <c r="F592" s="383"/>
      <c r="G592" s="380"/>
      <c r="H592" s="300"/>
      <c r="I592" s="17"/>
      <c r="J592" s="17"/>
      <c r="K592" s="17"/>
      <c r="L592" s="17"/>
      <c r="M592" s="17"/>
      <c r="N592" s="17"/>
      <c r="O592" s="17"/>
      <c r="P592" s="17"/>
      <c r="Q592" s="17"/>
      <c r="R592" s="17"/>
      <c r="S592" s="17"/>
      <c r="T592" s="17"/>
      <c r="U592" s="300"/>
      <c r="V592" s="67"/>
      <c r="W592" s="17"/>
      <c r="X592" s="17"/>
      <c r="Y592" s="300"/>
      <c r="Z592" s="386"/>
      <c r="AA592" s="386"/>
      <c r="AB592" s="386"/>
      <c r="AC592" s="386"/>
      <c r="AD592" s="386"/>
      <c r="AE592" s="386"/>
      <c r="AF592" s="386"/>
    </row>
    <row r="593" ht="15.75" customHeight="1">
      <c r="A593" s="24"/>
      <c r="B593" s="25"/>
      <c r="C593" s="25"/>
      <c r="D593" s="28"/>
      <c r="E593" s="28"/>
      <c r="F593" s="404"/>
      <c r="G593" s="380"/>
      <c r="H593" s="300"/>
      <c r="I593" s="17"/>
      <c r="J593" s="17"/>
      <c r="K593" s="17"/>
      <c r="L593" s="17"/>
      <c r="M593" s="17"/>
      <c r="N593" s="17"/>
      <c r="O593" s="17"/>
      <c r="P593" s="17"/>
      <c r="Q593" s="17"/>
      <c r="R593" s="17"/>
      <c r="S593" s="17"/>
      <c r="T593" s="17"/>
      <c r="U593" s="300"/>
      <c r="V593" s="47"/>
      <c r="W593" s="17"/>
      <c r="X593" s="17"/>
      <c r="Y593" s="300"/>
      <c r="Z593" s="386"/>
      <c r="AA593" s="386"/>
      <c r="AB593" s="386"/>
      <c r="AC593" s="386"/>
      <c r="AD593" s="386"/>
      <c r="AE593" s="386"/>
      <c r="AF593" s="386"/>
    </row>
    <row r="594" ht="15.75" customHeight="1">
      <c r="A594" s="24"/>
      <c r="B594" s="25"/>
      <c r="C594" s="25"/>
      <c r="D594" s="28"/>
      <c r="E594" s="28"/>
      <c r="F594" s="383"/>
      <c r="G594" s="380"/>
      <c r="H594" s="300"/>
      <c r="I594" s="17"/>
      <c r="J594" s="17"/>
      <c r="K594" s="17"/>
      <c r="L594" s="17"/>
      <c r="M594" s="17"/>
      <c r="N594" s="17"/>
      <c r="O594" s="17"/>
      <c r="P594" s="17"/>
      <c r="Q594" s="17"/>
      <c r="R594" s="17"/>
      <c r="S594" s="17"/>
      <c r="T594" s="17"/>
      <c r="U594" s="300"/>
      <c r="V594" s="67"/>
      <c r="W594" s="17"/>
      <c r="X594" s="17"/>
      <c r="Y594" s="300"/>
      <c r="Z594" s="386"/>
      <c r="AA594" s="386"/>
      <c r="AB594" s="386"/>
      <c r="AC594" s="386"/>
      <c r="AD594" s="386"/>
      <c r="AE594" s="386"/>
      <c r="AF594" s="386"/>
    </row>
    <row r="595" ht="15.75" customHeight="1">
      <c r="A595" s="24"/>
      <c r="B595" s="25"/>
      <c r="C595" s="25"/>
      <c r="D595" s="28"/>
      <c r="E595" s="28"/>
      <c r="F595" s="404"/>
      <c r="G595" s="380"/>
      <c r="H595" s="300"/>
      <c r="I595" s="17"/>
      <c r="J595" s="17"/>
      <c r="K595" s="17"/>
      <c r="L595" s="17"/>
      <c r="M595" s="17"/>
      <c r="N595" s="17"/>
      <c r="O595" s="17"/>
      <c r="P595" s="17"/>
      <c r="Q595" s="17"/>
      <c r="R595" s="17"/>
      <c r="S595" s="17"/>
      <c r="T595" s="17"/>
      <c r="U595" s="300"/>
      <c r="V595" s="47"/>
      <c r="W595" s="17"/>
      <c r="X595" s="17"/>
      <c r="Y595" s="300"/>
      <c r="Z595" s="386"/>
      <c r="AA595" s="386"/>
      <c r="AB595" s="386"/>
      <c r="AC595" s="386"/>
      <c r="AD595" s="386"/>
      <c r="AE595" s="386"/>
      <c r="AF595" s="386"/>
    </row>
    <row r="596" ht="15.75" customHeight="1">
      <c r="A596" s="24"/>
      <c r="B596" s="25"/>
      <c r="C596" s="25"/>
      <c r="D596" s="28"/>
      <c r="E596" s="28"/>
      <c r="F596" s="383"/>
      <c r="G596" s="380"/>
      <c r="H596" s="300"/>
      <c r="I596" s="17"/>
      <c r="J596" s="17"/>
      <c r="K596" s="17"/>
      <c r="L596" s="17"/>
      <c r="M596" s="17"/>
      <c r="N596" s="17"/>
      <c r="O596" s="17"/>
      <c r="P596" s="17"/>
      <c r="Q596" s="17"/>
      <c r="R596" s="17"/>
      <c r="S596" s="17"/>
      <c r="T596" s="17"/>
      <c r="U596" s="300"/>
      <c r="V596" s="67"/>
      <c r="W596" s="17"/>
      <c r="X596" s="17"/>
      <c r="Y596" s="300"/>
      <c r="Z596" s="386"/>
      <c r="AA596" s="386"/>
      <c r="AB596" s="386"/>
      <c r="AC596" s="386"/>
      <c r="AD596" s="386"/>
      <c r="AE596" s="386"/>
      <c r="AF596" s="386"/>
    </row>
    <row r="597" ht="15.75" customHeight="1">
      <c r="A597" s="24"/>
      <c r="B597" s="25"/>
      <c r="C597" s="25"/>
      <c r="D597" s="28"/>
      <c r="E597" s="28"/>
      <c r="F597" s="404"/>
      <c r="G597" s="380"/>
      <c r="H597" s="300"/>
      <c r="I597" s="17"/>
      <c r="J597" s="17"/>
      <c r="K597" s="17"/>
      <c r="L597" s="17"/>
      <c r="M597" s="17"/>
      <c r="N597" s="17"/>
      <c r="O597" s="17"/>
      <c r="P597" s="17"/>
      <c r="Q597" s="17"/>
      <c r="R597" s="17"/>
      <c r="S597" s="17"/>
      <c r="T597" s="17"/>
      <c r="U597" s="300"/>
      <c r="V597" s="47"/>
      <c r="W597" s="17"/>
      <c r="X597" s="17"/>
      <c r="Y597" s="300"/>
      <c r="Z597" s="386"/>
      <c r="AA597" s="386"/>
      <c r="AB597" s="386"/>
      <c r="AC597" s="386"/>
      <c r="AD597" s="386"/>
      <c r="AE597" s="386"/>
      <c r="AF597" s="386"/>
    </row>
    <row r="598" ht="15.75" customHeight="1">
      <c r="A598" s="24"/>
      <c r="B598" s="25"/>
      <c r="C598" s="25"/>
      <c r="D598" s="28"/>
      <c r="E598" s="28"/>
      <c r="F598" s="383"/>
      <c r="G598" s="380"/>
      <c r="H598" s="300"/>
      <c r="I598" s="17"/>
      <c r="J598" s="17"/>
      <c r="K598" s="17"/>
      <c r="L598" s="17"/>
      <c r="M598" s="17"/>
      <c r="N598" s="17"/>
      <c r="O598" s="17"/>
      <c r="P598" s="17"/>
      <c r="Q598" s="17"/>
      <c r="R598" s="17"/>
      <c r="S598" s="17"/>
      <c r="T598" s="17"/>
      <c r="U598" s="300"/>
      <c r="V598" s="67"/>
      <c r="W598" s="17"/>
      <c r="X598" s="17"/>
      <c r="Y598" s="300"/>
      <c r="Z598" s="386"/>
      <c r="AA598" s="386"/>
      <c r="AB598" s="386"/>
      <c r="AC598" s="386"/>
      <c r="AD598" s="386"/>
      <c r="AE598" s="386"/>
      <c r="AF598" s="386"/>
    </row>
    <row r="599" ht="15.75" customHeight="1">
      <c r="A599" s="24"/>
      <c r="B599" s="25"/>
      <c r="C599" s="25"/>
      <c r="D599" s="28"/>
      <c r="E599" s="28"/>
      <c r="F599" s="404"/>
      <c r="G599" s="380"/>
      <c r="H599" s="300"/>
      <c r="I599" s="17"/>
      <c r="J599" s="17"/>
      <c r="K599" s="17"/>
      <c r="L599" s="17"/>
      <c r="M599" s="17"/>
      <c r="N599" s="17"/>
      <c r="O599" s="17"/>
      <c r="P599" s="17"/>
      <c r="Q599" s="17"/>
      <c r="R599" s="17"/>
      <c r="S599" s="17"/>
      <c r="T599" s="17"/>
      <c r="U599" s="300"/>
      <c r="V599" s="47"/>
      <c r="W599" s="17"/>
      <c r="X599" s="17"/>
      <c r="Y599" s="300"/>
      <c r="Z599" s="386"/>
      <c r="AA599" s="386"/>
      <c r="AB599" s="386"/>
      <c r="AC599" s="386"/>
      <c r="AD599" s="386"/>
      <c r="AE599" s="386"/>
      <c r="AF599" s="386"/>
    </row>
    <row r="600" ht="15.75" customHeight="1">
      <c r="A600" s="24"/>
      <c r="B600" s="25"/>
      <c r="C600" s="25"/>
      <c r="D600" s="28"/>
      <c r="E600" s="28"/>
      <c r="F600" s="383"/>
      <c r="G600" s="380"/>
      <c r="H600" s="300"/>
      <c r="I600" s="17"/>
      <c r="J600" s="17"/>
      <c r="K600" s="17"/>
      <c r="L600" s="17"/>
      <c r="M600" s="17"/>
      <c r="N600" s="17"/>
      <c r="O600" s="17"/>
      <c r="P600" s="17"/>
      <c r="Q600" s="17"/>
      <c r="R600" s="17"/>
      <c r="S600" s="17"/>
      <c r="T600" s="17"/>
      <c r="U600" s="300"/>
      <c r="V600" s="67"/>
      <c r="W600" s="17"/>
      <c r="X600" s="17"/>
      <c r="Y600" s="300"/>
      <c r="Z600" s="386"/>
      <c r="AA600" s="386"/>
      <c r="AB600" s="386"/>
      <c r="AC600" s="386"/>
      <c r="AD600" s="386"/>
      <c r="AE600" s="386"/>
      <c r="AF600" s="386"/>
    </row>
    <row r="601" ht="15.75" customHeight="1">
      <c r="A601" s="24"/>
      <c r="B601" s="25"/>
      <c r="C601" s="25"/>
      <c r="D601" s="28"/>
      <c r="E601" s="28"/>
      <c r="F601" s="404"/>
      <c r="G601" s="380"/>
      <c r="H601" s="300"/>
      <c r="I601" s="17"/>
      <c r="J601" s="17"/>
      <c r="K601" s="17"/>
      <c r="L601" s="17"/>
      <c r="M601" s="17"/>
      <c r="N601" s="17"/>
      <c r="O601" s="17"/>
      <c r="P601" s="17"/>
      <c r="Q601" s="17"/>
      <c r="R601" s="17"/>
      <c r="S601" s="17"/>
      <c r="T601" s="17"/>
      <c r="U601" s="300"/>
      <c r="V601" s="47"/>
      <c r="W601" s="17"/>
      <c r="X601" s="17"/>
      <c r="Y601" s="300"/>
      <c r="Z601" s="386"/>
      <c r="AA601" s="386"/>
      <c r="AB601" s="386"/>
      <c r="AC601" s="386"/>
      <c r="AD601" s="386"/>
      <c r="AE601" s="386"/>
      <c r="AF601" s="386"/>
    </row>
    <row r="602" ht="15.75" customHeight="1">
      <c r="A602" s="24"/>
      <c r="B602" s="25"/>
      <c r="C602" s="25"/>
      <c r="D602" s="28"/>
      <c r="E602" s="28"/>
      <c r="F602" s="383"/>
      <c r="G602" s="380"/>
      <c r="H602" s="300"/>
      <c r="I602" s="17"/>
      <c r="J602" s="17"/>
      <c r="K602" s="17"/>
      <c r="L602" s="17"/>
      <c r="M602" s="17"/>
      <c r="N602" s="17"/>
      <c r="O602" s="17"/>
      <c r="P602" s="17"/>
      <c r="Q602" s="17"/>
      <c r="R602" s="17"/>
      <c r="S602" s="17"/>
      <c r="T602" s="17"/>
      <c r="U602" s="300"/>
      <c r="V602" s="67"/>
      <c r="W602" s="17"/>
      <c r="X602" s="17"/>
      <c r="Y602" s="300"/>
      <c r="Z602" s="386"/>
      <c r="AA602" s="386"/>
      <c r="AB602" s="386"/>
      <c r="AC602" s="386"/>
      <c r="AD602" s="386"/>
      <c r="AE602" s="386"/>
      <c r="AF602" s="386"/>
    </row>
    <row r="603" ht="15.75" customHeight="1">
      <c r="A603" s="24"/>
      <c r="B603" s="25"/>
      <c r="C603" s="25"/>
      <c r="D603" s="28"/>
      <c r="E603" s="28"/>
      <c r="F603" s="404"/>
      <c r="G603" s="380"/>
      <c r="H603" s="300"/>
      <c r="I603" s="17"/>
      <c r="J603" s="17"/>
      <c r="K603" s="17"/>
      <c r="L603" s="17"/>
      <c r="M603" s="17"/>
      <c r="N603" s="17"/>
      <c r="O603" s="17"/>
      <c r="P603" s="17"/>
      <c r="Q603" s="17"/>
      <c r="R603" s="17"/>
      <c r="S603" s="17"/>
      <c r="T603" s="17"/>
      <c r="U603" s="300"/>
      <c r="V603" s="47"/>
      <c r="W603" s="17"/>
      <c r="X603" s="17"/>
      <c r="Y603" s="300"/>
      <c r="Z603" s="386"/>
      <c r="AA603" s="386"/>
      <c r="AB603" s="386"/>
      <c r="AC603" s="386"/>
      <c r="AD603" s="386"/>
      <c r="AE603" s="386"/>
      <c r="AF603" s="386"/>
    </row>
    <row r="604" ht="15.75" customHeight="1">
      <c r="A604" s="24"/>
      <c r="B604" s="25"/>
      <c r="C604" s="25"/>
      <c r="D604" s="28"/>
      <c r="E604" s="28"/>
      <c r="F604" s="383"/>
      <c r="G604" s="380"/>
      <c r="H604" s="300"/>
      <c r="I604" s="17"/>
      <c r="J604" s="17"/>
      <c r="K604" s="17"/>
      <c r="L604" s="17"/>
      <c r="M604" s="17"/>
      <c r="N604" s="17"/>
      <c r="O604" s="17"/>
      <c r="P604" s="17"/>
      <c r="Q604" s="17"/>
      <c r="R604" s="17"/>
      <c r="S604" s="17"/>
      <c r="T604" s="17"/>
      <c r="U604" s="300"/>
      <c r="V604" s="67"/>
      <c r="W604" s="17"/>
      <c r="X604" s="17"/>
      <c r="Y604" s="300"/>
      <c r="Z604" s="386"/>
      <c r="AA604" s="386"/>
      <c r="AB604" s="386"/>
      <c r="AC604" s="386"/>
      <c r="AD604" s="386"/>
      <c r="AE604" s="386"/>
      <c r="AF604" s="386"/>
    </row>
    <row r="605" ht="15.75" customHeight="1">
      <c r="A605" s="24"/>
      <c r="B605" s="25"/>
      <c r="C605" s="25"/>
      <c r="D605" s="28"/>
      <c r="E605" s="28"/>
      <c r="F605" s="404"/>
      <c r="G605" s="380"/>
      <c r="H605" s="300"/>
      <c r="I605" s="17"/>
      <c r="J605" s="17"/>
      <c r="K605" s="17"/>
      <c r="L605" s="17"/>
      <c r="M605" s="17"/>
      <c r="N605" s="17"/>
      <c r="O605" s="17"/>
      <c r="P605" s="17"/>
      <c r="Q605" s="17"/>
      <c r="R605" s="17"/>
      <c r="S605" s="17"/>
      <c r="T605" s="17"/>
      <c r="U605" s="300"/>
      <c r="V605" s="47"/>
      <c r="W605" s="17"/>
      <c r="X605" s="17"/>
      <c r="Y605" s="300"/>
      <c r="Z605" s="386"/>
      <c r="AA605" s="386"/>
      <c r="AB605" s="386"/>
      <c r="AC605" s="386"/>
      <c r="AD605" s="386"/>
      <c r="AE605" s="386"/>
      <c r="AF605" s="386"/>
    </row>
    <row r="606" ht="15.75" customHeight="1">
      <c r="A606" s="24"/>
      <c r="B606" s="25"/>
      <c r="C606" s="25"/>
      <c r="D606" s="28"/>
      <c r="E606" s="28"/>
      <c r="F606" s="383"/>
      <c r="G606" s="380"/>
      <c r="H606" s="300"/>
      <c r="I606" s="17"/>
      <c r="J606" s="17"/>
      <c r="K606" s="17"/>
      <c r="L606" s="17"/>
      <c r="M606" s="17"/>
      <c r="N606" s="17"/>
      <c r="O606" s="17"/>
      <c r="P606" s="17"/>
      <c r="Q606" s="17"/>
      <c r="R606" s="17"/>
      <c r="S606" s="17"/>
      <c r="T606" s="17"/>
      <c r="U606" s="300"/>
      <c r="V606" s="67"/>
      <c r="W606" s="17"/>
      <c r="X606" s="17"/>
      <c r="Y606" s="300"/>
      <c r="Z606" s="386"/>
      <c r="AA606" s="386"/>
      <c r="AB606" s="386"/>
      <c r="AC606" s="386"/>
      <c r="AD606" s="386"/>
      <c r="AE606" s="386"/>
      <c r="AF606" s="386"/>
    </row>
    <row r="607" ht="15.75" customHeight="1">
      <c r="A607" s="24"/>
      <c r="B607" s="25"/>
      <c r="C607" s="25"/>
      <c r="D607" s="28"/>
      <c r="E607" s="28"/>
      <c r="F607" s="404"/>
      <c r="G607" s="380"/>
      <c r="H607" s="300"/>
      <c r="I607" s="17"/>
      <c r="J607" s="17"/>
      <c r="K607" s="17"/>
      <c r="L607" s="17"/>
      <c r="M607" s="17"/>
      <c r="N607" s="17"/>
      <c r="O607" s="17"/>
      <c r="P607" s="17"/>
      <c r="Q607" s="17"/>
      <c r="R607" s="17"/>
      <c r="S607" s="17"/>
      <c r="T607" s="17"/>
      <c r="U607" s="300"/>
      <c r="V607" s="47"/>
      <c r="W607" s="17"/>
      <c r="X607" s="17"/>
      <c r="Y607" s="300"/>
      <c r="Z607" s="386"/>
      <c r="AA607" s="386"/>
      <c r="AB607" s="386"/>
      <c r="AC607" s="386"/>
      <c r="AD607" s="386"/>
      <c r="AE607" s="386"/>
      <c r="AF607" s="386"/>
    </row>
    <row r="608" ht="15.75" customHeight="1">
      <c r="A608" s="24"/>
      <c r="B608" s="25"/>
      <c r="C608" s="25"/>
      <c r="D608" s="28"/>
      <c r="E608" s="28"/>
      <c r="F608" s="383"/>
      <c r="G608" s="380"/>
      <c r="H608" s="300"/>
      <c r="I608" s="17"/>
      <c r="J608" s="17"/>
      <c r="K608" s="17"/>
      <c r="L608" s="17"/>
      <c r="M608" s="17"/>
      <c r="N608" s="17"/>
      <c r="O608" s="17"/>
      <c r="P608" s="17"/>
      <c r="Q608" s="17"/>
      <c r="R608" s="17"/>
      <c r="S608" s="17"/>
      <c r="T608" s="17"/>
      <c r="U608" s="300"/>
      <c r="V608" s="67"/>
      <c r="W608" s="17"/>
      <c r="X608" s="17"/>
      <c r="Y608" s="300"/>
      <c r="Z608" s="386"/>
      <c r="AA608" s="386"/>
      <c r="AB608" s="386"/>
      <c r="AC608" s="386"/>
      <c r="AD608" s="386"/>
      <c r="AE608" s="386"/>
      <c r="AF608" s="386"/>
    </row>
    <row r="609" ht="15.75" customHeight="1">
      <c r="A609" s="24"/>
      <c r="B609" s="25"/>
      <c r="C609" s="25"/>
      <c r="D609" s="28"/>
      <c r="E609" s="28"/>
      <c r="F609" s="404"/>
      <c r="G609" s="380"/>
      <c r="H609" s="300"/>
      <c r="I609" s="17"/>
      <c r="J609" s="17"/>
      <c r="K609" s="17"/>
      <c r="L609" s="17"/>
      <c r="M609" s="17"/>
      <c r="N609" s="17"/>
      <c r="O609" s="17"/>
      <c r="P609" s="17"/>
      <c r="Q609" s="17"/>
      <c r="R609" s="17"/>
      <c r="S609" s="17"/>
      <c r="T609" s="17"/>
      <c r="U609" s="300"/>
      <c r="V609" s="47"/>
      <c r="W609" s="17"/>
      <c r="X609" s="17"/>
      <c r="Y609" s="300"/>
      <c r="Z609" s="386"/>
      <c r="AA609" s="386"/>
      <c r="AB609" s="386"/>
      <c r="AC609" s="386"/>
      <c r="AD609" s="386"/>
      <c r="AE609" s="386"/>
      <c r="AF609" s="386"/>
    </row>
    <row r="610" ht="15.75" customHeight="1">
      <c r="A610" s="24"/>
      <c r="B610" s="25"/>
      <c r="C610" s="25"/>
      <c r="D610" s="28"/>
      <c r="E610" s="28"/>
      <c r="F610" s="383"/>
      <c r="G610" s="380"/>
      <c r="H610" s="300"/>
      <c r="I610" s="17"/>
      <c r="J610" s="17"/>
      <c r="K610" s="17"/>
      <c r="L610" s="17"/>
      <c r="M610" s="17"/>
      <c r="N610" s="17"/>
      <c r="O610" s="17"/>
      <c r="P610" s="17"/>
      <c r="Q610" s="17"/>
      <c r="R610" s="17"/>
      <c r="S610" s="17"/>
      <c r="T610" s="17"/>
      <c r="U610" s="300"/>
      <c r="V610" s="67"/>
      <c r="W610" s="17"/>
      <c r="X610" s="17"/>
      <c r="Y610" s="300"/>
      <c r="Z610" s="386"/>
      <c r="AA610" s="386"/>
      <c r="AB610" s="386"/>
      <c r="AC610" s="386"/>
      <c r="AD610" s="386"/>
      <c r="AE610" s="386"/>
      <c r="AF610" s="386"/>
    </row>
    <row r="611" ht="15.75" customHeight="1">
      <c r="A611" s="24"/>
      <c r="B611" s="25"/>
      <c r="C611" s="25"/>
      <c r="D611" s="28"/>
      <c r="E611" s="28"/>
      <c r="F611" s="404"/>
      <c r="G611" s="380"/>
      <c r="H611" s="300"/>
      <c r="I611" s="17"/>
      <c r="J611" s="17"/>
      <c r="K611" s="17"/>
      <c r="L611" s="17"/>
      <c r="M611" s="17"/>
      <c r="N611" s="17"/>
      <c r="O611" s="17"/>
      <c r="P611" s="17"/>
      <c r="Q611" s="17"/>
      <c r="R611" s="17"/>
      <c r="S611" s="17"/>
      <c r="T611" s="17"/>
      <c r="U611" s="300"/>
      <c r="V611" s="47"/>
      <c r="W611" s="17"/>
      <c r="X611" s="17"/>
      <c r="Y611" s="300"/>
      <c r="Z611" s="386"/>
      <c r="AA611" s="386"/>
      <c r="AB611" s="386"/>
      <c r="AC611" s="386"/>
      <c r="AD611" s="386"/>
      <c r="AE611" s="386"/>
      <c r="AF611" s="386"/>
    </row>
    <row r="612" ht="15.75" customHeight="1">
      <c r="A612" s="24"/>
      <c r="B612" s="25"/>
      <c r="C612" s="25"/>
      <c r="D612" s="28"/>
      <c r="E612" s="28"/>
      <c r="F612" s="383"/>
      <c r="G612" s="380"/>
      <c r="H612" s="300"/>
      <c r="I612" s="17"/>
      <c r="J612" s="17"/>
      <c r="K612" s="17"/>
      <c r="L612" s="17"/>
      <c r="M612" s="17"/>
      <c r="N612" s="17"/>
      <c r="O612" s="17"/>
      <c r="P612" s="17"/>
      <c r="Q612" s="17"/>
      <c r="R612" s="17"/>
      <c r="S612" s="17"/>
      <c r="T612" s="17"/>
      <c r="U612" s="300"/>
      <c r="V612" s="67"/>
      <c r="W612" s="17"/>
      <c r="X612" s="17"/>
      <c r="Y612" s="300"/>
      <c r="Z612" s="386"/>
      <c r="AA612" s="386"/>
      <c r="AB612" s="386"/>
      <c r="AC612" s="386"/>
      <c r="AD612" s="386"/>
      <c r="AE612" s="386"/>
      <c r="AF612" s="386"/>
    </row>
    <row r="613" ht="15.75" customHeight="1">
      <c r="A613" s="24"/>
      <c r="B613" s="25"/>
      <c r="C613" s="25"/>
      <c r="D613" s="28"/>
      <c r="E613" s="28"/>
      <c r="F613" s="404"/>
      <c r="G613" s="380"/>
      <c r="H613" s="300"/>
      <c r="I613" s="17"/>
      <c r="J613" s="17"/>
      <c r="K613" s="17"/>
      <c r="L613" s="17"/>
      <c r="M613" s="17"/>
      <c r="N613" s="17"/>
      <c r="O613" s="17"/>
      <c r="P613" s="17"/>
      <c r="Q613" s="17"/>
      <c r="R613" s="17"/>
      <c r="S613" s="17"/>
      <c r="T613" s="17"/>
      <c r="U613" s="300"/>
      <c r="V613" s="47"/>
      <c r="W613" s="17"/>
      <c r="X613" s="17"/>
      <c r="Y613" s="300"/>
      <c r="Z613" s="386"/>
      <c r="AA613" s="386"/>
      <c r="AB613" s="386"/>
      <c r="AC613" s="386"/>
      <c r="AD613" s="386"/>
      <c r="AE613" s="386"/>
      <c r="AF613" s="386"/>
    </row>
    <row r="614" ht="15.75" customHeight="1">
      <c r="A614" s="24"/>
      <c r="B614" s="25"/>
      <c r="C614" s="25"/>
      <c r="D614" s="28"/>
      <c r="E614" s="28"/>
      <c r="F614" s="383"/>
      <c r="G614" s="380"/>
      <c r="H614" s="300"/>
      <c r="I614" s="17"/>
      <c r="J614" s="17"/>
      <c r="K614" s="17"/>
      <c r="L614" s="17"/>
      <c r="M614" s="17"/>
      <c r="N614" s="17"/>
      <c r="O614" s="17"/>
      <c r="P614" s="17"/>
      <c r="Q614" s="17"/>
      <c r="R614" s="17"/>
      <c r="S614" s="17"/>
      <c r="T614" s="17"/>
      <c r="U614" s="300"/>
      <c r="V614" s="67"/>
      <c r="W614" s="17"/>
      <c r="X614" s="17"/>
      <c r="Y614" s="300"/>
      <c r="Z614" s="386"/>
      <c r="AA614" s="386"/>
      <c r="AB614" s="386"/>
      <c r="AC614" s="386"/>
      <c r="AD614" s="386"/>
      <c r="AE614" s="386"/>
      <c r="AF614" s="386"/>
    </row>
    <row r="615" ht="15.75" customHeight="1">
      <c r="A615" s="24"/>
      <c r="B615" s="25"/>
      <c r="C615" s="25"/>
      <c r="D615" s="28"/>
      <c r="E615" s="28"/>
      <c r="F615" s="404"/>
      <c r="G615" s="380"/>
      <c r="H615" s="300"/>
      <c r="I615" s="17"/>
      <c r="J615" s="17"/>
      <c r="K615" s="17"/>
      <c r="L615" s="17"/>
      <c r="M615" s="17"/>
      <c r="N615" s="17"/>
      <c r="O615" s="17"/>
      <c r="P615" s="17"/>
      <c r="Q615" s="17"/>
      <c r="R615" s="17"/>
      <c r="S615" s="17"/>
      <c r="T615" s="17"/>
      <c r="U615" s="300"/>
      <c r="V615" s="47"/>
      <c r="W615" s="17"/>
      <c r="X615" s="17"/>
      <c r="Y615" s="300"/>
      <c r="Z615" s="386"/>
      <c r="AA615" s="386"/>
      <c r="AB615" s="386"/>
      <c r="AC615" s="386"/>
      <c r="AD615" s="386"/>
      <c r="AE615" s="386"/>
      <c r="AF615" s="386"/>
    </row>
    <row r="616" ht="15.75" customHeight="1">
      <c r="A616" s="24"/>
      <c r="B616" s="25"/>
      <c r="C616" s="25"/>
      <c r="D616" s="28"/>
      <c r="E616" s="28"/>
      <c r="F616" s="383"/>
      <c r="G616" s="380"/>
      <c r="H616" s="300"/>
      <c r="I616" s="17"/>
      <c r="J616" s="17"/>
      <c r="K616" s="17"/>
      <c r="L616" s="17"/>
      <c r="M616" s="17"/>
      <c r="N616" s="17"/>
      <c r="O616" s="17"/>
      <c r="P616" s="17"/>
      <c r="Q616" s="17"/>
      <c r="R616" s="17"/>
      <c r="S616" s="17"/>
      <c r="T616" s="17"/>
      <c r="U616" s="300"/>
      <c r="V616" s="67"/>
      <c r="W616" s="17"/>
      <c r="X616" s="17"/>
      <c r="Y616" s="300"/>
      <c r="Z616" s="386"/>
      <c r="AA616" s="386"/>
      <c r="AB616" s="386"/>
      <c r="AC616" s="386"/>
      <c r="AD616" s="386"/>
      <c r="AE616" s="386"/>
      <c r="AF616" s="386"/>
    </row>
    <row r="617" ht="15.75" customHeight="1">
      <c r="A617" s="24"/>
      <c r="B617" s="25"/>
      <c r="C617" s="25"/>
      <c r="D617" s="28"/>
      <c r="E617" s="28"/>
      <c r="F617" s="404"/>
      <c r="G617" s="380"/>
      <c r="H617" s="300"/>
      <c r="I617" s="17"/>
      <c r="J617" s="17"/>
      <c r="K617" s="17"/>
      <c r="L617" s="17"/>
      <c r="M617" s="17"/>
      <c r="N617" s="17"/>
      <c r="O617" s="17"/>
      <c r="P617" s="17"/>
      <c r="Q617" s="17"/>
      <c r="R617" s="17"/>
      <c r="S617" s="17"/>
      <c r="T617" s="17"/>
      <c r="U617" s="300"/>
      <c r="V617" s="47"/>
      <c r="W617" s="17"/>
      <c r="X617" s="17"/>
      <c r="Y617" s="300"/>
      <c r="Z617" s="386"/>
      <c r="AA617" s="386"/>
      <c r="AB617" s="386"/>
      <c r="AC617" s="386"/>
      <c r="AD617" s="386"/>
      <c r="AE617" s="386"/>
      <c r="AF617" s="386"/>
    </row>
    <row r="618" ht="15.75" customHeight="1">
      <c r="A618" s="24"/>
      <c r="B618" s="25"/>
      <c r="C618" s="25"/>
      <c r="D618" s="28"/>
      <c r="E618" s="28"/>
      <c r="F618" s="383"/>
      <c r="G618" s="380"/>
      <c r="H618" s="300"/>
      <c r="I618" s="17"/>
      <c r="J618" s="17"/>
      <c r="K618" s="17"/>
      <c r="L618" s="17"/>
      <c r="M618" s="17"/>
      <c r="N618" s="17"/>
      <c r="O618" s="17"/>
      <c r="P618" s="17"/>
      <c r="Q618" s="17"/>
      <c r="R618" s="17"/>
      <c r="S618" s="17"/>
      <c r="T618" s="17"/>
      <c r="U618" s="300"/>
      <c r="V618" s="67"/>
      <c r="W618" s="17"/>
      <c r="X618" s="17"/>
      <c r="Y618" s="300"/>
      <c r="Z618" s="386"/>
      <c r="AA618" s="386"/>
      <c r="AB618" s="386"/>
      <c r="AC618" s="386"/>
      <c r="AD618" s="386"/>
      <c r="AE618" s="386"/>
      <c r="AF618" s="386"/>
    </row>
    <row r="619" ht="15.75" customHeight="1">
      <c r="A619" s="24"/>
      <c r="B619" s="25"/>
      <c r="C619" s="25"/>
      <c r="D619" s="28"/>
      <c r="E619" s="28"/>
      <c r="F619" s="404"/>
      <c r="G619" s="380"/>
      <c r="H619" s="300"/>
      <c r="I619" s="17"/>
      <c r="J619" s="17"/>
      <c r="K619" s="17"/>
      <c r="L619" s="17"/>
      <c r="M619" s="17"/>
      <c r="N619" s="17"/>
      <c r="O619" s="17"/>
      <c r="P619" s="17"/>
      <c r="Q619" s="17"/>
      <c r="R619" s="17"/>
      <c r="S619" s="17"/>
      <c r="T619" s="17"/>
      <c r="U619" s="300"/>
      <c r="V619" s="47"/>
      <c r="W619" s="17"/>
      <c r="X619" s="17"/>
      <c r="Y619" s="300"/>
      <c r="Z619" s="386"/>
      <c r="AA619" s="386"/>
      <c r="AB619" s="386"/>
      <c r="AC619" s="386"/>
      <c r="AD619" s="386"/>
      <c r="AE619" s="386"/>
      <c r="AF619" s="386"/>
    </row>
    <row r="620" ht="15.75" customHeight="1">
      <c r="A620" s="24"/>
      <c r="B620" s="25"/>
      <c r="C620" s="25"/>
      <c r="D620" s="28"/>
      <c r="E620" s="28"/>
      <c r="F620" s="383"/>
      <c r="G620" s="380"/>
      <c r="H620" s="300"/>
      <c r="I620" s="17"/>
      <c r="J620" s="17"/>
      <c r="K620" s="17"/>
      <c r="L620" s="17"/>
      <c r="M620" s="17"/>
      <c r="N620" s="17"/>
      <c r="O620" s="17"/>
      <c r="P620" s="17"/>
      <c r="Q620" s="17"/>
      <c r="R620" s="17"/>
      <c r="S620" s="17"/>
      <c r="T620" s="17"/>
      <c r="U620" s="300"/>
      <c r="V620" s="67"/>
      <c r="W620" s="17"/>
      <c r="X620" s="17"/>
      <c r="Y620" s="300"/>
      <c r="Z620" s="386"/>
      <c r="AA620" s="386"/>
      <c r="AB620" s="386"/>
      <c r="AC620" s="386"/>
      <c r="AD620" s="386"/>
      <c r="AE620" s="386"/>
      <c r="AF620" s="386"/>
    </row>
    <row r="621" ht="15.75" customHeight="1">
      <c r="A621" s="24"/>
      <c r="B621" s="25"/>
      <c r="C621" s="25"/>
      <c r="D621" s="28"/>
      <c r="E621" s="28"/>
      <c r="F621" s="404"/>
      <c r="G621" s="380"/>
      <c r="H621" s="300"/>
      <c r="I621" s="17"/>
      <c r="J621" s="17"/>
      <c r="K621" s="17"/>
      <c r="L621" s="17"/>
      <c r="M621" s="17"/>
      <c r="N621" s="17"/>
      <c r="O621" s="17"/>
      <c r="P621" s="17"/>
      <c r="Q621" s="17"/>
      <c r="R621" s="17"/>
      <c r="S621" s="17"/>
      <c r="T621" s="17"/>
      <c r="U621" s="300"/>
      <c r="V621" s="47"/>
      <c r="W621" s="17"/>
      <c r="X621" s="17"/>
      <c r="Y621" s="300"/>
      <c r="Z621" s="386"/>
      <c r="AA621" s="386"/>
      <c r="AB621" s="386"/>
      <c r="AC621" s="386"/>
      <c r="AD621" s="386"/>
      <c r="AE621" s="386"/>
      <c r="AF621" s="386"/>
    </row>
    <row r="622" ht="15.75" customHeight="1">
      <c r="A622" s="24"/>
      <c r="B622" s="25"/>
      <c r="C622" s="25"/>
      <c r="D622" s="28"/>
      <c r="E622" s="28"/>
      <c r="F622" s="383"/>
      <c r="G622" s="380"/>
      <c r="H622" s="300"/>
      <c r="I622" s="17"/>
      <c r="J622" s="17"/>
      <c r="K622" s="17"/>
      <c r="L622" s="17"/>
      <c r="M622" s="17"/>
      <c r="N622" s="17"/>
      <c r="O622" s="17"/>
      <c r="P622" s="17"/>
      <c r="Q622" s="17"/>
      <c r="R622" s="17"/>
      <c r="S622" s="17"/>
      <c r="T622" s="17"/>
      <c r="U622" s="300"/>
      <c r="V622" s="67"/>
      <c r="W622" s="17"/>
      <c r="X622" s="17"/>
      <c r="Y622" s="300"/>
      <c r="Z622" s="386"/>
      <c r="AA622" s="386"/>
      <c r="AB622" s="386"/>
      <c r="AC622" s="386"/>
      <c r="AD622" s="386"/>
      <c r="AE622" s="386"/>
      <c r="AF622" s="386"/>
    </row>
    <row r="623" ht="15.75" customHeight="1">
      <c r="A623" s="24"/>
      <c r="B623" s="25"/>
      <c r="C623" s="25"/>
      <c r="D623" s="28"/>
      <c r="E623" s="28"/>
      <c r="F623" s="404"/>
      <c r="G623" s="380"/>
      <c r="H623" s="300"/>
      <c r="I623" s="17"/>
      <c r="J623" s="17"/>
      <c r="K623" s="17"/>
      <c r="L623" s="17"/>
      <c r="M623" s="17"/>
      <c r="N623" s="17"/>
      <c r="O623" s="17"/>
      <c r="P623" s="17"/>
      <c r="Q623" s="17"/>
      <c r="R623" s="17"/>
      <c r="S623" s="17"/>
      <c r="T623" s="17"/>
      <c r="U623" s="300"/>
      <c r="V623" s="47"/>
      <c r="W623" s="17"/>
      <c r="X623" s="17"/>
      <c r="Y623" s="300"/>
      <c r="Z623" s="386"/>
      <c r="AA623" s="386"/>
      <c r="AB623" s="386"/>
      <c r="AC623" s="386"/>
      <c r="AD623" s="386"/>
      <c r="AE623" s="386"/>
      <c r="AF623" s="386"/>
    </row>
    <row r="624" ht="15.75" customHeight="1">
      <c r="A624" s="24"/>
      <c r="B624" s="25"/>
      <c r="C624" s="25"/>
      <c r="D624" s="28"/>
      <c r="E624" s="28"/>
      <c r="F624" s="383"/>
      <c r="G624" s="380"/>
      <c r="H624" s="300"/>
      <c r="I624" s="17"/>
      <c r="J624" s="17"/>
      <c r="K624" s="17"/>
      <c r="L624" s="17"/>
      <c r="M624" s="17"/>
      <c r="N624" s="17"/>
      <c r="O624" s="17"/>
      <c r="P624" s="17"/>
      <c r="Q624" s="17"/>
      <c r="R624" s="17"/>
      <c r="S624" s="17"/>
      <c r="T624" s="17"/>
      <c r="U624" s="300"/>
      <c r="V624" s="67"/>
      <c r="W624" s="17"/>
      <c r="X624" s="17"/>
      <c r="Y624" s="300"/>
      <c r="Z624" s="386"/>
      <c r="AA624" s="386"/>
      <c r="AB624" s="386"/>
      <c r="AC624" s="386"/>
      <c r="AD624" s="386"/>
      <c r="AE624" s="386"/>
      <c r="AF624" s="386"/>
    </row>
    <row r="625" ht="15.75" customHeight="1">
      <c r="A625" s="24"/>
      <c r="B625" s="25"/>
      <c r="C625" s="25"/>
      <c r="D625" s="28"/>
      <c r="E625" s="28"/>
      <c r="F625" s="404"/>
      <c r="G625" s="380"/>
      <c r="H625" s="300"/>
      <c r="I625" s="17"/>
      <c r="J625" s="17"/>
      <c r="K625" s="17"/>
      <c r="L625" s="17"/>
      <c r="M625" s="17"/>
      <c r="N625" s="17"/>
      <c r="O625" s="17"/>
      <c r="P625" s="17"/>
      <c r="Q625" s="17"/>
      <c r="R625" s="17"/>
      <c r="S625" s="17"/>
      <c r="T625" s="17"/>
      <c r="U625" s="300"/>
      <c r="V625" s="47"/>
      <c r="W625" s="17"/>
      <c r="X625" s="17"/>
      <c r="Y625" s="300"/>
      <c r="Z625" s="386"/>
      <c r="AA625" s="386"/>
      <c r="AB625" s="386"/>
      <c r="AC625" s="386"/>
      <c r="AD625" s="386"/>
      <c r="AE625" s="386"/>
      <c r="AF625" s="386"/>
    </row>
    <row r="626" ht="15.75" customHeight="1">
      <c r="A626" s="24"/>
      <c r="B626" s="25"/>
      <c r="C626" s="25"/>
      <c r="D626" s="28"/>
      <c r="E626" s="28"/>
      <c r="F626" s="383"/>
      <c r="G626" s="380"/>
      <c r="H626" s="300"/>
      <c r="I626" s="17"/>
      <c r="J626" s="17"/>
      <c r="K626" s="17"/>
      <c r="L626" s="17"/>
      <c r="M626" s="17"/>
      <c r="N626" s="17"/>
      <c r="O626" s="17"/>
      <c r="P626" s="17"/>
      <c r="Q626" s="17"/>
      <c r="R626" s="17"/>
      <c r="S626" s="17"/>
      <c r="T626" s="17"/>
      <c r="U626" s="300"/>
      <c r="V626" s="67"/>
      <c r="W626" s="17"/>
      <c r="X626" s="17"/>
      <c r="Y626" s="300"/>
      <c r="Z626" s="386"/>
      <c r="AA626" s="386"/>
      <c r="AB626" s="386"/>
      <c r="AC626" s="386"/>
      <c r="AD626" s="386"/>
      <c r="AE626" s="386"/>
      <c r="AF626" s="386"/>
    </row>
    <row r="627" ht="15.75" customHeight="1">
      <c r="A627" s="24"/>
      <c r="B627" s="25"/>
      <c r="C627" s="25"/>
      <c r="D627" s="28"/>
      <c r="E627" s="28"/>
      <c r="F627" s="404"/>
      <c r="G627" s="380"/>
      <c r="H627" s="300"/>
      <c r="I627" s="17"/>
      <c r="J627" s="17"/>
      <c r="K627" s="17"/>
      <c r="L627" s="17"/>
      <c r="M627" s="17"/>
      <c r="N627" s="17"/>
      <c r="O627" s="17"/>
      <c r="P627" s="17"/>
      <c r="Q627" s="17"/>
      <c r="R627" s="17"/>
      <c r="S627" s="17"/>
      <c r="T627" s="17"/>
      <c r="U627" s="300"/>
      <c r="V627" s="47"/>
      <c r="W627" s="17"/>
      <c r="X627" s="17"/>
      <c r="Y627" s="300"/>
      <c r="Z627" s="386"/>
      <c r="AA627" s="386"/>
      <c r="AB627" s="386"/>
      <c r="AC627" s="386"/>
      <c r="AD627" s="386"/>
      <c r="AE627" s="386"/>
      <c r="AF627" s="386"/>
    </row>
    <row r="628" ht="15.75" customHeight="1">
      <c r="A628" s="24"/>
      <c r="B628" s="25"/>
      <c r="C628" s="25"/>
      <c r="D628" s="28"/>
      <c r="E628" s="28"/>
      <c r="F628" s="383"/>
      <c r="G628" s="380"/>
      <c r="H628" s="300"/>
      <c r="I628" s="17"/>
      <c r="J628" s="17"/>
      <c r="K628" s="17"/>
      <c r="L628" s="17"/>
      <c r="M628" s="17"/>
      <c r="N628" s="17"/>
      <c r="O628" s="17"/>
      <c r="P628" s="17"/>
      <c r="Q628" s="17"/>
      <c r="R628" s="17"/>
      <c r="S628" s="17"/>
      <c r="T628" s="17"/>
      <c r="U628" s="300"/>
      <c r="V628" s="67"/>
      <c r="W628" s="17"/>
      <c r="X628" s="17"/>
      <c r="Y628" s="300"/>
      <c r="Z628" s="386"/>
      <c r="AA628" s="386"/>
      <c r="AB628" s="386"/>
      <c r="AC628" s="386"/>
      <c r="AD628" s="386"/>
      <c r="AE628" s="386"/>
      <c r="AF628" s="386"/>
    </row>
    <row r="629" ht="15.75" customHeight="1">
      <c r="A629" s="24"/>
      <c r="B629" s="25"/>
      <c r="C629" s="25"/>
      <c r="D629" s="28"/>
      <c r="E629" s="28"/>
      <c r="F629" s="404"/>
      <c r="G629" s="380"/>
      <c r="H629" s="300"/>
      <c r="I629" s="17"/>
      <c r="J629" s="17"/>
      <c r="K629" s="17"/>
      <c r="L629" s="17"/>
      <c r="M629" s="17"/>
      <c r="N629" s="17"/>
      <c r="O629" s="17"/>
      <c r="P629" s="17"/>
      <c r="Q629" s="17"/>
      <c r="R629" s="17"/>
      <c r="S629" s="17"/>
      <c r="T629" s="17"/>
      <c r="U629" s="300"/>
      <c r="V629" s="47"/>
      <c r="W629" s="17"/>
      <c r="X629" s="17"/>
      <c r="Y629" s="300"/>
      <c r="Z629" s="386"/>
      <c r="AA629" s="386"/>
      <c r="AB629" s="386"/>
      <c r="AC629" s="386"/>
      <c r="AD629" s="386"/>
      <c r="AE629" s="386"/>
      <c r="AF629" s="386"/>
    </row>
    <row r="630" ht="15.75" customHeight="1">
      <c r="A630" s="24"/>
      <c r="B630" s="25"/>
      <c r="C630" s="25"/>
      <c r="D630" s="28"/>
      <c r="E630" s="28"/>
      <c r="F630" s="383"/>
      <c r="G630" s="380"/>
      <c r="H630" s="300"/>
      <c r="I630" s="17"/>
      <c r="J630" s="17"/>
      <c r="K630" s="17"/>
      <c r="L630" s="17"/>
      <c r="M630" s="17"/>
      <c r="N630" s="17"/>
      <c r="O630" s="17"/>
      <c r="P630" s="17"/>
      <c r="Q630" s="17"/>
      <c r="R630" s="17"/>
      <c r="S630" s="17"/>
      <c r="T630" s="17"/>
      <c r="U630" s="300"/>
      <c r="V630" s="67"/>
      <c r="W630" s="17"/>
      <c r="X630" s="17"/>
      <c r="Y630" s="300"/>
      <c r="Z630" s="386"/>
      <c r="AA630" s="386"/>
      <c r="AB630" s="386"/>
      <c r="AC630" s="386"/>
      <c r="AD630" s="386"/>
      <c r="AE630" s="386"/>
      <c r="AF630" s="386"/>
    </row>
    <row r="631" ht="15.75" customHeight="1">
      <c r="A631" s="24"/>
      <c r="B631" s="25"/>
      <c r="C631" s="25"/>
      <c r="D631" s="28"/>
      <c r="E631" s="28"/>
      <c r="F631" s="404"/>
      <c r="G631" s="380"/>
      <c r="H631" s="300"/>
      <c r="I631" s="17"/>
      <c r="J631" s="17"/>
      <c r="K631" s="17"/>
      <c r="L631" s="17"/>
      <c r="M631" s="17"/>
      <c r="N631" s="17"/>
      <c r="O631" s="17"/>
      <c r="P631" s="17"/>
      <c r="Q631" s="17"/>
      <c r="R631" s="17"/>
      <c r="S631" s="17"/>
      <c r="T631" s="17"/>
      <c r="U631" s="300"/>
      <c r="V631" s="47"/>
      <c r="W631" s="17"/>
      <c r="X631" s="17"/>
      <c r="Y631" s="300"/>
      <c r="Z631" s="386"/>
      <c r="AA631" s="386"/>
      <c r="AB631" s="386"/>
      <c r="AC631" s="386"/>
      <c r="AD631" s="386"/>
      <c r="AE631" s="386"/>
      <c r="AF631" s="386"/>
    </row>
    <row r="632" ht="15.75" customHeight="1">
      <c r="A632" s="24"/>
      <c r="B632" s="25"/>
      <c r="C632" s="25"/>
      <c r="D632" s="28"/>
      <c r="E632" s="28"/>
      <c r="F632" s="383"/>
      <c r="G632" s="380"/>
      <c r="H632" s="300"/>
      <c r="I632" s="17"/>
      <c r="J632" s="17"/>
      <c r="K632" s="17"/>
      <c r="L632" s="17"/>
      <c r="M632" s="17"/>
      <c r="N632" s="17"/>
      <c r="O632" s="17"/>
      <c r="P632" s="17"/>
      <c r="Q632" s="17"/>
      <c r="R632" s="17"/>
      <c r="S632" s="17"/>
      <c r="T632" s="17"/>
      <c r="U632" s="300"/>
      <c r="V632" s="67"/>
      <c r="W632" s="17"/>
      <c r="X632" s="17"/>
      <c r="Y632" s="300"/>
      <c r="Z632" s="386"/>
      <c r="AA632" s="386"/>
      <c r="AB632" s="386"/>
      <c r="AC632" s="386"/>
      <c r="AD632" s="386"/>
      <c r="AE632" s="386"/>
      <c r="AF632" s="386"/>
    </row>
    <row r="633" ht="15.75" customHeight="1">
      <c r="A633" s="24"/>
      <c r="B633" s="25"/>
      <c r="C633" s="25"/>
      <c r="D633" s="28"/>
      <c r="E633" s="28"/>
      <c r="F633" s="404"/>
      <c r="G633" s="380"/>
      <c r="H633" s="300"/>
      <c r="I633" s="17"/>
      <c r="J633" s="17"/>
      <c r="K633" s="17"/>
      <c r="L633" s="17"/>
      <c r="M633" s="17"/>
      <c r="N633" s="17"/>
      <c r="O633" s="17"/>
      <c r="P633" s="17"/>
      <c r="Q633" s="17"/>
      <c r="R633" s="17"/>
      <c r="S633" s="17"/>
      <c r="T633" s="17"/>
      <c r="U633" s="300"/>
      <c r="V633" s="47"/>
      <c r="W633" s="17"/>
      <c r="X633" s="17"/>
      <c r="Y633" s="300"/>
      <c r="Z633" s="386"/>
      <c r="AA633" s="386"/>
      <c r="AB633" s="386"/>
      <c r="AC633" s="386"/>
      <c r="AD633" s="386"/>
      <c r="AE633" s="386"/>
      <c r="AF633" s="386"/>
    </row>
    <row r="634" ht="15.75" customHeight="1">
      <c r="A634" s="24"/>
      <c r="B634" s="25"/>
      <c r="C634" s="25"/>
      <c r="D634" s="28"/>
      <c r="E634" s="28"/>
      <c r="F634" s="383"/>
      <c r="G634" s="380"/>
      <c r="H634" s="300"/>
      <c r="I634" s="17"/>
      <c r="J634" s="17"/>
      <c r="K634" s="17"/>
      <c r="L634" s="17"/>
      <c r="M634" s="17"/>
      <c r="N634" s="17"/>
      <c r="O634" s="17"/>
      <c r="P634" s="17"/>
      <c r="Q634" s="17"/>
      <c r="R634" s="17"/>
      <c r="S634" s="17"/>
      <c r="T634" s="17"/>
      <c r="U634" s="300"/>
      <c r="V634" s="67"/>
      <c r="W634" s="17"/>
      <c r="X634" s="17"/>
      <c r="Y634" s="300"/>
      <c r="Z634" s="386"/>
      <c r="AA634" s="386"/>
      <c r="AB634" s="386"/>
      <c r="AC634" s="386"/>
      <c r="AD634" s="386"/>
      <c r="AE634" s="386"/>
      <c r="AF634" s="386"/>
    </row>
    <row r="635" ht="15.75" customHeight="1">
      <c r="A635" s="24"/>
      <c r="B635" s="25"/>
      <c r="C635" s="25"/>
      <c r="D635" s="28"/>
      <c r="E635" s="28"/>
      <c r="F635" s="404"/>
      <c r="G635" s="380"/>
      <c r="H635" s="300"/>
      <c r="I635" s="17"/>
      <c r="J635" s="17"/>
      <c r="K635" s="17"/>
      <c r="L635" s="17"/>
      <c r="M635" s="17"/>
      <c r="N635" s="17"/>
      <c r="O635" s="17"/>
      <c r="P635" s="17"/>
      <c r="Q635" s="17"/>
      <c r="R635" s="17"/>
      <c r="S635" s="17"/>
      <c r="T635" s="17"/>
      <c r="U635" s="300"/>
      <c r="V635" s="47"/>
      <c r="W635" s="17"/>
      <c r="X635" s="17"/>
      <c r="Y635" s="300"/>
      <c r="Z635" s="386"/>
      <c r="AA635" s="386"/>
      <c r="AB635" s="386"/>
      <c r="AC635" s="386"/>
      <c r="AD635" s="386"/>
      <c r="AE635" s="386"/>
      <c r="AF635" s="386"/>
    </row>
    <row r="636" ht="15.75" customHeight="1">
      <c r="A636" s="24"/>
      <c r="B636" s="25"/>
      <c r="C636" s="25"/>
      <c r="D636" s="28"/>
      <c r="E636" s="28"/>
      <c r="F636" s="383"/>
      <c r="G636" s="380"/>
      <c r="H636" s="300"/>
      <c r="I636" s="17"/>
      <c r="J636" s="17"/>
      <c r="K636" s="17"/>
      <c r="L636" s="17"/>
      <c r="M636" s="17"/>
      <c r="N636" s="17"/>
      <c r="O636" s="17"/>
      <c r="P636" s="17"/>
      <c r="Q636" s="17"/>
      <c r="R636" s="17"/>
      <c r="S636" s="17"/>
      <c r="T636" s="17"/>
      <c r="U636" s="300"/>
      <c r="V636" s="67"/>
      <c r="W636" s="17"/>
      <c r="X636" s="17"/>
      <c r="Y636" s="300"/>
      <c r="Z636" s="386"/>
      <c r="AA636" s="386"/>
      <c r="AB636" s="386"/>
      <c r="AC636" s="386"/>
      <c r="AD636" s="386"/>
      <c r="AE636" s="386"/>
      <c r="AF636" s="386"/>
    </row>
    <row r="637" ht="15.75" customHeight="1">
      <c r="A637" s="24"/>
      <c r="B637" s="25"/>
      <c r="C637" s="25"/>
      <c r="D637" s="28"/>
      <c r="E637" s="28"/>
      <c r="F637" s="404"/>
      <c r="G637" s="380"/>
      <c r="H637" s="300"/>
      <c r="I637" s="17"/>
      <c r="J637" s="17"/>
      <c r="K637" s="17"/>
      <c r="L637" s="17"/>
      <c r="M637" s="17"/>
      <c r="N637" s="17"/>
      <c r="O637" s="17"/>
      <c r="P637" s="17"/>
      <c r="Q637" s="17"/>
      <c r="R637" s="17"/>
      <c r="S637" s="17"/>
      <c r="T637" s="17"/>
      <c r="U637" s="300"/>
      <c r="V637" s="47"/>
      <c r="W637" s="17"/>
      <c r="X637" s="17"/>
      <c r="Y637" s="300"/>
      <c r="Z637" s="386"/>
      <c r="AA637" s="386"/>
      <c r="AB637" s="386"/>
      <c r="AC637" s="386"/>
      <c r="AD637" s="386"/>
      <c r="AE637" s="386"/>
      <c r="AF637" s="386"/>
    </row>
    <row r="638" ht="15.75" customHeight="1">
      <c r="A638" s="24"/>
      <c r="B638" s="25"/>
      <c r="C638" s="25"/>
      <c r="D638" s="28"/>
      <c r="E638" s="28"/>
      <c r="F638" s="383"/>
      <c r="G638" s="380"/>
      <c r="H638" s="300"/>
      <c r="I638" s="17"/>
      <c r="J638" s="17"/>
      <c r="K638" s="17"/>
      <c r="L638" s="17"/>
      <c r="M638" s="17"/>
      <c r="N638" s="17"/>
      <c r="O638" s="17"/>
      <c r="P638" s="17"/>
      <c r="Q638" s="17"/>
      <c r="R638" s="17"/>
      <c r="S638" s="17"/>
      <c r="T638" s="17"/>
      <c r="U638" s="300"/>
      <c r="V638" s="67"/>
      <c r="W638" s="17"/>
      <c r="X638" s="17"/>
      <c r="Y638" s="300"/>
      <c r="Z638" s="386"/>
      <c r="AA638" s="386"/>
      <c r="AB638" s="386"/>
      <c r="AC638" s="386"/>
      <c r="AD638" s="386"/>
      <c r="AE638" s="386"/>
      <c r="AF638" s="386"/>
    </row>
    <row r="639" ht="15.75" customHeight="1">
      <c r="A639" s="24"/>
      <c r="B639" s="25"/>
      <c r="C639" s="25"/>
      <c r="D639" s="28"/>
      <c r="E639" s="28"/>
      <c r="F639" s="404"/>
      <c r="G639" s="380"/>
      <c r="H639" s="300"/>
      <c r="I639" s="17"/>
      <c r="J639" s="17"/>
      <c r="K639" s="17"/>
      <c r="L639" s="17"/>
      <c r="M639" s="17"/>
      <c r="N639" s="17"/>
      <c r="O639" s="17"/>
      <c r="P639" s="17"/>
      <c r="Q639" s="17"/>
      <c r="R639" s="17"/>
      <c r="S639" s="17"/>
      <c r="T639" s="17"/>
      <c r="U639" s="300"/>
      <c r="V639" s="47"/>
      <c r="W639" s="17"/>
      <c r="X639" s="17"/>
      <c r="Y639" s="300"/>
      <c r="Z639" s="386"/>
      <c r="AA639" s="386"/>
      <c r="AB639" s="386"/>
      <c r="AC639" s="386"/>
      <c r="AD639" s="386"/>
      <c r="AE639" s="386"/>
      <c r="AF639" s="386"/>
    </row>
    <row r="640" ht="15.75" customHeight="1">
      <c r="A640" s="24"/>
      <c r="B640" s="25"/>
      <c r="C640" s="25"/>
      <c r="D640" s="28"/>
      <c r="E640" s="28"/>
      <c r="F640" s="383"/>
      <c r="G640" s="380"/>
      <c r="H640" s="300"/>
      <c r="I640" s="17"/>
      <c r="J640" s="17"/>
      <c r="K640" s="17"/>
      <c r="L640" s="17"/>
      <c r="M640" s="17"/>
      <c r="N640" s="17"/>
      <c r="O640" s="17"/>
      <c r="P640" s="17"/>
      <c r="Q640" s="17"/>
      <c r="R640" s="17"/>
      <c r="S640" s="17"/>
      <c r="T640" s="17"/>
      <c r="U640" s="300"/>
      <c r="V640" s="67"/>
      <c r="W640" s="17"/>
      <c r="X640" s="17"/>
      <c r="Y640" s="300"/>
      <c r="Z640" s="386"/>
      <c r="AA640" s="386"/>
      <c r="AB640" s="386"/>
      <c r="AC640" s="386"/>
      <c r="AD640" s="386"/>
      <c r="AE640" s="386"/>
      <c r="AF640" s="386"/>
    </row>
    <row r="641" ht="15.75" customHeight="1">
      <c r="A641" s="24"/>
      <c r="B641" s="25"/>
      <c r="C641" s="25"/>
      <c r="D641" s="28"/>
      <c r="E641" s="28"/>
      <c r="F641" s="404"/>
      <c r="G641" s="380"/>
      <c r="H641" s="300"/>
      <c r="I641" s="17"/>
      <c r="J641" s="17"/>
      <c r="K641" s="17"/>
      <c r="L641" s="17"/>
      <c r="M641" s="17"/>
      <c r="N641" s="17"/>
      <c r="O641" s="17"/>
      <c r="P641" s="17"/>
      <c r="Q641" s="17"/>
      <c r="R641" s="17"/>
      <c r="S641" s="17"/>
      <c r="T641" s="17"/>
      <c r="U641" s="300"/>
      <c r="V641" s="47"/>
      <c r="W641" s="17"/>
      <c r="X641" s="17"/>
      <c r="Y641" s="300"/>
      <c r="Z641" s="386"/>
      <c r="AA641" s="386"/>
      <c r="AB641" s="386"/>
      <c r="AC641" s="386"/>
      <c r="AD641" s="386"/>
      <c r="AE641" s="386"/>
      <c r="AF641" s="386"/>
    </row>
    <row r="642" ht="15.75" customHeight="1">
      <c r="A642" s="24"/>
      <c r="B642" s="25"/>
      <c r="C642" s="25"/>
      <c r="D642" s="28"/>
      <c r="E642" s="28"/>
      <c r="F642" s="383"/>
      <c r="G642" s="380"/>
      <c r="H642" s="300"/>
      <c r="I642" s="17"/>
      <c r="J642" s="17"/>
      <c r="K642" s="17"/>
      <c r="L642" s="17"/>
      <c r="M642" s="17"/>
      <c r="N642" s="17"/>
      <c r="O642" s="17"/>
      <c r="P642" s="17"/>
      <c r="Q642" s="17"/>
      <c r="R642" s="17"/>
      <c r="S642" s="17"/>
      <c r="T642" s="17"/>
      <c r="U642" s="300"/>
      <c r="V642" s="67"/>
      <c r="W642" s="17"/>
      <c r="X642" s="17"/>
      <c r="Y642" s="300"/>
      <c r="Z642" s="386"/>
      <c r="AA642" s="386"/>
      <c r="AB642" s="386"/>
      <c r="AC642" s="386"/>
      <c r="AD642" s="386"/>
      <c r="AE642" s="386"/>
      <c r="AF642" s="386"/>
    </row>
    <row r="643" ht="15.75" customHeight="1">
      <c r="A643" s="24"/>
      <c r="B643" s="25"/>
      <c r="C643" s="25"/>
      <c r="D643" s="28"/>
      <c r="E643" s="28"/>
      <c r="F643" s="404"/>
      <c r="G643" s="380"/>
      <c r="H643" s="300"/>
      <c r="I643" s="17"/>
      <c r="J643" s="17"/>
      <c r="K643" s="17"/>
      <c r="L643" s="17"/>
      <c r="M643" s="17"/>
      <c r="N643" s="17"/>
      <c r="O643" s="17"/>
      <c r="P643" s="17"/>
      <c r="Q643" s="17"/>
      <c r="R643" s="17"/>
      <c r="S643" s="17"/>
      <c r="T643" s="17"/>
      <c r="U643" s="300"/>
      <c r="V643" s="47"/>
      <c r="W643" s="17"/>
      <c r="X643" s="17"/>
      <c r="Y643" s="300"/>
      <c r="Z643" s="386"/>
      <c r="AA643" s="386"/>
      <c r="AB643" s="386"/>
      <c r="AC643" s="386"/>
      <c r="AD643" s="386"/>
      <c r="AE643" s="386"/>
      <c r="AF643" s="386"/>
    </row>
    <row r="644" ht="15.75" customHeight="1">
      <c r="A644" s="24"/>
      <c r="B644" s="25"/>
      <c r="C644" s="25"/>
      <c r="D644" s="28"/>
      <c r="E644" s="28"/>
      <c r="F644" s="383"/>
      <c r="G644" s="380"/>
      <c r="H644" s="300"/>
      <c r="I644" s="17"/>
      <c r="J644" s="17"/>
      <c r="K644" s="17"/>
      <c r="L644" s="17"/>
      <c r="M644" s="17"/>
      <c r="N644" s="17"/>
      <c r="O644" s="17"/>
      <c r="P644" s="17"/>
      <c r="Q644" s="17"/>
      <c r="R644" s="17"/>
      <c r="S644" s="17"/>
      <c r="T644" s="17"/>
      <c r="U644" s="300"/>
      <c r="V644" s="67"/>
      <c r="W644" s="17"/>
      <c r="X644" s="17"/>
      <c r="Y644" s="300"/>
      <c r="Z644" s="386"/>
      <c r="AA644" s="386"/>
      <c r="AB644" s="386"/>
      <c r="AC644" s="386"/>
      <c r="AD644" s="386"/>
      <c r="AE644" s="386"/>
      <c r="AF644" s="386"/>
    </row>
    <row r="645" ht="15.75" customHeight="1">
      <c r="A645" s="24"/>
      <c r="B645" s="25"/>
      <c r="C645" s="25"/>
      <c r="D645" s="28"/>
      <c r="E645" s="28"/>
      <c r="F645" s="404"/>
      <c r="G645" s="380"/>
      <c r="H645" s="300"/>
      <c r="I645" s="17"/>
      <c r="J645" s="17"/>
      <c r="K645" s="17"/>
      <c r="L645" s="17"/>
      <c r="M645" s="17"/>
      <c r="N645" s="17"/>
      <c r="O645" s="17"/>
      <c r="P645" s="17"/>
      <c r="Q645" s="17"/>
      <c r="R645" s="17"/>
      <c r="S645" s="17"/>
      <c r="T645" s="17"/>
      <c r="U645" s="300"/>
      <c r="V645" s="47"/>
      <c r="W645" s="17"/>
      <c r="X645" s="17"/>
      <c r="Y645" s="300"/>
      <c r="Z645" s="386"/>
      <c r="AA645" s="386"/>
      <c r="AB645" s="386"/>
      <c r="AC645" s="386"/>
      <c r="AD645" s="386"/>
      <c r="AE645" s="386"/>
      <c r="AF645" s="386"/>
    </row>
    <row r="646" ht="15.75" customHeight="1">
      <c r="A646" s="24"/>
      <c r="B646" s="25"/>
      <c r="C646" s="25"/>
      <c r="D646" s="28"/>
      <c r="E646" s="28"/>
      <c r="F646" s="383"/>
      <c r="G646" s="380"/>
      <c r="H646" s="300"/>
      <c r="I646" s="17"/>
      <c r="J646" s="17"/>
      <c r="K646" s="17"/>
      <c r="L646" s="17"/>
      <c r="M646" s="17"/>
      <c r="N646" s="17"/>
      <c r="O646" s="17"/>
      <c r="P646" s="17"/>
      <c r="Q646" s="17"/>
      <c r="R646" s="17"/>
      <c r="S646" s="17"/>
      <c r="T646" s="17"/>
      <c r="U646" s="300"/>
      <c r="V646" s="67"/>
      <c r="W646" s="17"/>
      <c r="X646" s="17"/>
      <c r="Y646" s="300"/>
      <c r="Z646" s="386"/>
      <c r="AA646" s="386"/>
      <c r="AB646" s="386"/>
      <c r="AC646" s="386"/>
      <c r="AD646" s="386"/>
      <c r="AE646" s="386"/>
      <c r="AF646" s="386"/>
    </row>
    <row r="647" ht="15.75" customHeight="1">
      <c r="A647" s="24"/>
      <c r="B647" s="25"/>
      <c r="C647" s="25"/>
      <c r="D647" s="28"/>
      <c r="E647" s="28"/>
      <c r="F647" s="404"/>
      <c r="G647" s="380"/>
      <c r="H647" s="300"/>
      <c r="I647" s="17"/>
      <c r="J647" s="17"/>
      <c r="K647" s="17"/>
      <c r="L647" s="17"/>
      <c r="M647" s="17"/>
      <c r="N647" s="17"/>
      <c r="O647" s="17"/>
      <c r="P647" s="17"/>
      <c r="Q647" s="17"/>
      <c r="R647" s="17"/>
      <c r="S647" s="17"/>
      <c r="T647" s="17"/>
      <c r="U647" s="300"/>
      <c r="V647" s="47"/>
      <c r="W647" s="17"/>
      <c r="X647" s="17"/>
      <c r="Y647" s="300"/>
      <c r="Z647" s="386"/>
      <c r="AA647" s="386"/>
      <c r="AB647" s="386"/>
      <c r="AC647" s="386"/>
      <c r="AD647" s="386"/>
      <c r="AE647" s="386"/>
      <c r="AF647" s="386"/>
    </row>
    <row r="648" ht="15.75" customHeight="1">
      <c r="A648" s="24"/>
      <c r="B648" s="25"/>
      <c r="C648" s="25"/>
      <c r="D648" s="28"/>
      <c r="E648" s="28"/>
      <c r="F648" s="383"/>
      <c r="G648" s="380"/>
      <c r="H648" s="300"/>
      <c r="I648" s="17"/>
      <c r="J648" s="17"/>
      <c r="K648" s="17"/>
      <c r="L648" s="17"/>
      <c r="M648" s="17"/>
      <c r="N648" s="17"/>
      <c r="O648" s="17"/>
      <c r="P648" s="17"/>
      <c r="Q648" s="17"/>
      <c r="R648" s="17"/>
      <c r="S648" s="17"/>
      <c r="T648" s="17"/>
      <c r="U648" s="300"/>
      <c r="V648" s="67"/>
      <c r="W648" s="17"/>
      <c r="X648" s="17"/>
      <c r="Y648" s="300"/>
      <c r="Z648" s="386"/>
      <c r="AA648" s="386"/>
      <c r="AB648" s="386"/>
      <c r="AC648" s="386"/>
      <c r="AD648" s="386"/>
      <c r="AE648" s="386"/>
      <c r="AF648" s="386"/>
    </row>
    <row r="649" ht="15.75" customHeight="1">
      <c r="A649" s="24"/>
      <c r="B649" s="25"/>
      <c r="C649" s="25"/>
      <c r="D649" s="28"/>
      <c r="E649" s="28"/>
      <c r="F649" s="404"/>
      <c r="G649" s="380"/>
      <c r="H649" s="300"/>
      <c r="I649" s="17"/>
      <c r="J649" s="17"/>
      <c r="K649" s="17"/>
      <c r="L649" s="17"/>
      <c r="M649" s="17"/>
      <c r="N649" s="17"/>
      <c r="O649" s="17"/>
      <c r="P649" s="17"/>
      <c r="Q649" s="17"/>
      <c r="R649" s="17"/>
      <c r="S649" s="17"/>
      <c r="T649" s="17"/>
      <c r="U649" s="300"/>
      <c r="V649" s="47"/>
      <c r="W649" s="17"/>
      <c r="X649" s="17"/>
      <c r="Y649" s="300"/>
      <c r="Z649" s="386"/>
      <c r="AA649" s="386"/>
      <c r="AB649" s="386"/>
      <c r="AC649" s="386"/>
      <c r="AD649" s="386"/>
      <c r="AE649" s="386"/>
      <c r="AF649" s="386"/>
    </row>
    <row r="650" ht="15.75" customHeight="1">
      <c r="A650" s="24"/>
      <c r="B650" s="25"/>
      <c r="C650" s="25"/>
      <c r="D650" s="28"/>
      <c r="E650" s="28"/>
      <c r="F650" s="383"/>
      <c r="G650" s="380"/>
      <c r="H650" s="300"/>
      <c r="I650" s="17"/>
      <c r="J650" s="17"/>
      <c r="K650" s="17"/>
      <c r="L650" s="17"/>
      <c r="M650" s="17"/>
      <c r="N650" s="17"/>
      <c r="O650" s="17"/>
      <c r="P650" s="17"/>
      <c r="Q650" s="17"/>
      <c r="R650" s="17"/>
      <c r="S650" s="17"/>
      <c r="T650" s="17"/>
      <c r="U650" s="300"/>
      <c r="V650" s="67"/>
      <c r="W650" s="17"/>
      <c r="X650" s="17"/>
      <c r="Y650" s="300"/>
      <c r="Z650" s="386"/>
      <c r="AA650" s="386"/>
      <c r="AB650" s="386"/>
      <c r="AC650" s="386"/>
      <c r="AD650" s="386"/>
      <c r="AE650" s="386"/>
      <c r="AF650" s="386"/>
    </row>
    <row r="651" ht="15.75" customHeight="1">
      <c r="A651" s="24"/>
      <c r="B651" s="25"/>
      <c r="C651" s="25"/>
      <c r="D651" s="28"/>
      <c r="E651" s="28"/>
      <c r="F651" s="404"/>
      <c r="G651" s="380"/>
      <c r="H651" s="300"/>
      <c r="I651" s="17"/>
      <c r="J651" s="17"/>
      <c r="K651" s="17"/>
      <c r="L651" s="17"/>
      <c r="M651" s="17"/>
      <c r="N651" s="17"/>
      <c r="O651" s="17"/>
      <c r="P651" s="17"/>
      <c r="Q651" s="17"/>
      <c r="R651" s="17"/>
      <c r="S651" s="17"/>
      <c r="T651" s="17"/>
      <c r="U651" s="300"/>
      <c r="V651" s="47"/>
      <c r="W651" s="17"/>
      <c r="X651" s="17"/>
      <c r="Y651" s="300"/>
      <c r="Z651" s="386"/>
      <c r="AA651" s="386"/>
      <c r="AB651" s="386"/>
      <c r="AC651" s="386"/>
      <c r="AD651" s="386"/>
      <c r="AE651" s="386"/>
      <c r="AF651" s="386"/>
    </row>
    <row r="652" ht="15.75" customHeight="1">
      <c r="A652" s="24"/>
      <c r="B652" s="25"/>
      <c r="C652" s="25"/>
      <c r="D652" s="28"/>
      <c r="E652" s="28"/>
      <c r="F652" s="383"/>
      <c r="G652" s="380"/>
      <c r="H652" s="300"/>
      <c r="I652" s="17"/>
      <c r="J652" s="17"/>
      <c r="K652" s="17"/>
      <c r="L652" s="17"/>
      <c r="M652" s="17"/>
      <c r="N652" s="17"/>
      <c r="O652" s="17"/>
      <c r="P652" s="17"/>
      <c r="Q652" s="17"/>
      <c r="R652" s="17"/>
      <c r="S652" s="17"/>
      <c r="T652" s="17"/>
      <c r="U652" s="300"/>
      <c r="V652" s="67"/>
      <c r="W652" s="17"/>
      <c r="X652" s="17"/>
      <c r="Y652" s="300"/>
      <c r="Z652" s="386"/>
      <c r="AA652" s="386"/>
      <c r="AB652" s="386"/>
      <c r="AC652" s="386"/>
      <c r="AD652" s="386"/>
      <c r="AE652" s="386"/>
      <c r="AF652" s="386"/>
    </row>
    <row r="653" ht="15.75" customHeight="1">
      <c r="A653" s="24"/>
      <c r="B653" s="25"/>
      <c r="C653" s="25"/>
      <c r="D653" s="28"/>
      <c r="E653" s="28"/>
      <c r="F653" s="404"/>
      <c r="G653" s="380"/>
      <c r="H653" s="300"/>
      <c r="I653" s="17"/>
      <c r="J653" s="17"/>
      <c r="K653" s="17"/>
      <c r="L653" s="17"/>
      <c r="M653" s="17"/>
      <c r="N653" s="17"/>
      <c r="O653" s="17"/>
      <c r="P653" s="17"/>
      <c r="Q653" s="17"/>
      <c r="R653" s="17"/>
      <c r="S653" s="17"/>
      <c r="T653" s="17"/>
      <c r="U653" s="300"/>
      <c r="V653" s="47"/>
      <c r="W653" s="17"/>
      <c r="X653" s="17"/>
      <c r="Y653" s="300"/>
      <c r="Z653" s="386"/>
      <c r="AA653" s="386"/>
      <c r="AB653" s="386"/>
      <c r="AC653" s="386"/>
      <c r="AD653" s="386"/>
      <c r="AE653" s="386"/>
      <c r="AF653" s="386"/>
    </row>
    <row r="654" ht="15.75" customHeight="1">
      <c r="A654" s="24"/>
      <c r="B654" s="25"/>
      <c r="C654" s="25"/>
      <c r="D654" s="28"/>
      <c r="E654" s="28"/>
      <c r="F654" s="383"/>
      <c r="G654" s="380"/>
      <c r="H654" s="300"/>
      <c r="I654" s="17"/>
      <c r="J654" s="17"/>
      <c r="K654" s="17"/>
      <c r="L654" s="17"/>
      <c r="M654" s="17"/>
      <c r="N654" s="17"/>
      <c r="O654" s="17"/>
      <c r="P654" s="17"/>
      <c r="Q654" s="17"/>
      <c r="R654" s="17"/>
      <c r="S654" s="17"/>
      <c r="T654" s="17"/>
      <c r="U654" s="300"/>
      <c r="V654" s="67"/>
      <c r="W654" s="17"/>
      <c r="X654" s="17"/>
      <c r="Y654" s="300"/>
      <c r="Z654" s="386"/>
      <c r="AA654" s="386"/>
      <c r="AB654" s="386"/>
      <c r="AC654" s="386"/>
      <c r="AD654" s="386"/>
      <c r="AE654" s="386"/>
      <c r="AF654" s="386"/>
    </row>
    <row r="655" ht="15.75" customHeight="1">
      <c r="A655" s="24"/>
      <c r="B655" s="25"/>
      <c r="C655" s="25"/>
      <c r="D655" s="28"/>
      <c r="E655" s="28"/>
      <c r="F655" s="404"/>
      <c r="G655" s="380"/>
      <c r="H655" s="300"/>
      <c r="I655" s="17"/>
      <c r="J655" s="17"/>
      <c r="K655" s="17"/>
      <c r="L655" s="17"/>
      <c r="M655" s="17"/>
      <c r="N655" s="17"/>
      <c r="O655" s="17"/>
      <c r="P655" s="17"/>
      <c r="Q655" s="17"/>
      <c r="R655" s="17"/>
      <c r="S655" s="17"/>
      <c r="T655" s="17"/>
      <c r="U655" s="300"/>
      <c r="V655" s="47"/>
      <c r="W655" s="17"/>
      <c r="X655" s="17"/>
      <c r="Y655" s="300"/>
      <c r="Z655" s="386"/>
      <c r="AA655" s="386"/>
      <c r="AB655" s="386"/>
      <c r="AC655" s="386"/>
      <c r="AD655" s="386"/>
      <c r="AE655" s="386"/>
      <c r="AF655" s="386"/>
    </row>
    <row r="656" ht="15.75" customHeight="1">
      <c r="A656" s="24"/>
      <c r="B656" s="25"/>
      <c r="C656" s="25"/>
      <c r="D656" s="28"/>
      <c r="E656" s="28"/>
      <c r="F656" s="383"/>
      <c r="G656" s="380"/>
      <c r="H656" s="300"/>
      <c r="I656" s="17"/>
      <c r="J656" s="17"/>
      <c r="K656" s="17"/>
      <c r="L656" s="17"/>
      <c r="M656" s="17"/>
      <c r="N656" s="17"/>
      <c r="O656" s="17"/>
      <c r="P656" s="17"/>
      <c r="Q656" s="17"/>
      <c r="R656" s="17"/>
      <c r="S656" s="17"/>
      <c r="T656" s="17"/>
      <c r="U656" s="300"/>
      <c r="V656" s="67"/>
      <c r="W656" s="17"/>
      <c r="X656" s="17"/>
      <c r="Y656" s="300"/>
      <c r="Z656" s="386"/>
      <c r="AA656" s="386"/>
      <c r="AB656" s="386"/>
      <c r="AC656" s="386"/>
      <c r="AD656" s="386"/>
      <c r="AE656" s="386"/>
      <c r="AF656" s="386"/>
    </row>
    <row r="657" ht="15.75" customHeight="1">
      <c r="A657" s="24"/>
      <c r="B657" s="25"/>
      <c r="C657" s="25"/>
      <c r="D657" s="28"/>
      <c r="E657" s="28"/>
      <c r="F657" s="404"/>
      <c r="G657" s="380"/>
      <c r="H657" s="300"/>
      <c r="I657" s="17"/>
      <c r="J657" s="17"/>
      <c r="K657" s="17"/>
      <c r="L657" s="17"/>
      <c r="M657" s="17"/>
      <c r="N657" s="17"/>
      <c r="O657" s="17"/>
      <c r="P657" s="17"/>
      <c r="Q657" s="17"/>
      <c r="R657" s="17"/>
      <c r="S657" s="17"/>
      <c r="T657" s="17"/>
      <c r="U657" s="300"/>
      <c r="V657" s="47"/>
      <c r="W657" s="17"/>
      <c r="X657" s="17"/>
      <c r="Y657" s="300"/>
      <c r="Z657" s="386"/>
      <c r="AA657" s="386"/>
      <c r="AB657" s="386"/>
      <c r="AC657" s="386"/>
      <c r="AD657" s="386"/>
      <c r="AE657" s="386"/>
      <c r="AF657" s="386"/>
    </row>
    <row r="658" ht="15.75" customHeight="1">
      <c r="A658" s="24"/>
      <c r="B658" s="25"/>
      <c r="C658" s="25"/>
      <c r="D658" s="28"/>
      <c r="E658" s="28"/>
      <c r="F658" s="383"/>
      <c r="G658" s="380"/>
      <c r="H658" s="300"/>
      <c r="I658" s="17"/>
      <c r="J658" s="17"/>
      <c r="K658" s="17"/>
      <c r="L658" s="17"/>
      <c r="M658" s="17"/>
      <c r="N658" s="17"/>
      <c r="O658" s="17"/>
      <c r="P658" s="17"/>
      <c r="Q658" s="17"/>
      <c r="R658" s="17"/>
      <c r="S658" s="17"/>
      <c r="T658" s="17"/>
      <c r="U658" s="300"/>
      <c r="V658" s="67"/>
      <c r="W658" s="17"/>
      <c r="X658" s="17"/>
      <c r="Y658" s="300"/>
      <c r="Z658" s="386"/>
      <c r="AA658" s="386"/>
      <c r="AB658" s="386"/>
      <c r="AC658" s="386"/>
      <c r="AD658" s="386"/>
      <c r="AE658" s="386"/>
      <c r="AF658" s="386"/>
    </row>
    <row r="659" ht="15.75" customHeight="1">
      <c r="A659" s="24"/>
      <c r="B659" s="25"/>
      <c r="C659" s="25"/>
      <c r="D659" s="28"/>
      <c r="E659" s="28"/>
      <c r="F659" s="404"/>
      <c r="G659" s="380"/>
      <c r="H659" s="300"/>
      <c r="I659" s="17"/>
      <c r="J659" s="17"/>
      <c r="K659" s="17"/>
      <c r="L659" s="17"/>
      <c r="M659" s="17"/>
      <c r="N659" s="17"/>
      <c r="O659" s="17"/>
      <c r="P659" s="17"/>
      <c r="Q659" s="17"/>
      <c r="R659" s="17"/>
      <c r="S659" s="17"/>
      <c r="T659" s="17"/>
      <c r="U659" s="300"/>
      <c r="V659" s="47"/>
      <c r="W659" s="17"/>
      <c r="X659" s="17"/>
      <c r="Y659" s="300"/>
      <c r="Z659" s="386"/>
      <c r="AA659" s="386"/>
      <c r="AB659" s="386"/>
      <c r="AC659" s="386"/>
      <c r="AD659" s="386"/>
      <c r="AE659" s="386"/>
      <c r="AF659" s="386"/>
    </row>
    <row r="660" ht="15.75" customHeight="1">
      <c r="A660" s="24"/>
      <c r="B660" s="25"/>
      <c r="C660" s="25"/>
      <c r="D660" s="28"/>
      <c r="E660" s="28"/>
      <c r="F660" s="383"/>
      <c r="G660" s="380"/>
      <c r="H660" s="300"/>
      <c r="I660" s="17"/>
      <c r="J660" s="17"/>
      <c r="K660" s="17"/>
      <c r="L660" s="17"/>
      <c r="M660" s="17"/>
      <c r="N660" s="17"/>
      <c r="O660" s="17"/>
      <c r="P660" s="17"/>
      <c r="Q660" s="17"/>
      <c r="R660" s="17"/>
      <c r="S660" s="17"/>
      <c r="T660" s="17"/>
      <c r="U660" s="300"/>
      <c r="V660" s="67"/>
      <c r="W660" s="17"/>
      <c r="X660" s="17"/>
      <c r="Y660" s="300"/>
      <c r="Z660" s="386"/>
      <c r="AA660" s="386"/>
      <c r="AB660" s="386"/>
      <c r="AC660" s="386"/>
      <c r="AD660" s="386"/>
      <c r="AE660" s="386"/>
      <c r="AF660" s="386"/>
    </row>
    <row r="661" ht="15.75" customHeight="1">
      <c r="A661" s="24"/>
      <c r="B661" s="25"/>
      <c r="C661" s="25"/>
      <c r="D661" s="28"/>
      <c r="E661" s="28"/>
      <c r="F661" s="404"/>
      <c r="G661" s="380"/>
      <c r="H661" s="300"/>
      <c r="I661" s="17"/>
      <c r="J661" s="17"/>
      <c r="K661" s="17"/>
      <c r="L661" s="17"/>
      <c r="M661" s="17"/>
      <c r="N661" s="17"/>
      <c r="O661" s="17"/>
      <c r="P661" s="17"/>
      <c r="Q661" s="17"/>
      <c r="R661" s="17"/>
      <c r="S661" s="17"/>
      <c r="T661" s="17"/>
      <c r="U661" s="300"/>
      <c r="V661" s="47"/>
      <c r="W661" s="17"/>
      <c r="X661" s="17"/>
      <c r="Y661" s="300"/>
      <c r="Z661" s="386"/>
      <c r="AA661" s="386"/>
      <c r="AB661" s="386"/>
      <c r="AC661" s="386"/>
      <c r="AD661" s="386"/>
      <c r="AE661" s="386"/>
      <c r="AF661" s="386"/>
    </row>
    <row r="662" ht="15.75" customHeight="1">
      <c r="A662" s="24"/>
      <c r="B662" s="25"/>
      <c r="C662" s="25"/>
      <c r="D662" s="28"/>
      <c r="E662" s="28"/>
      <c r="F662" s="383"/>
      <c r="G662" s="380"/>
      <c r="H662" s="300"/>
      <c r="I662" s="17"/>
      <c r="J662" s="17"/>
      <c r="K662" s="17"/>
      <c r="L662" s="17"/>
      <c r="M662" s="17"/>
      <c r="N662" s="17"/>
      <c r="O662" s="17"/>
      <c r="P662" s="17"/>
      <c r="Q662" s="17"/>
      <c r="R662" s="17"/>
      <c r="S662" s="17"/>
      <c r="T662" s="17"/>
      <c r="U662" s="300"/>
      <c r="V662" s="67"/>
      <c r="W662" s="17"/>
      <c r="X662" s="17"/>
      <c r="Y662" s="300"/>
      <c r="Z662" s="386"/>
      <c r="AA662" s="386"/>
      <c r="AB662" s="386"/>
      <c r="AC662" s="386"/>
      <c r="AD662" s="386"/>
      <c r="AE662" s="386"/>
      <c r="AF662" s="386"/>
    </row>
    <row r="663" ht="15.75" customHeight="1">
      <c r="A663" s="24"/>
      <c r="B663" s="25"/>
      <c r="C663" s="25"/>
      <c r="D663" s="28"/>
      <c r="E663" s="28"/>
      <c r="F663" s="404"/>
      <c r="G663" s="380"/>
      <c r="H663" s="300"/>
      <c r="I663" s="17"/>
      <c r="J663" s="17"/>
      <c r="K663" s="17"/>
      <c r="L663" s="17"/>
      <c r="M663" s="17"/>
      <c r="N663" s="17"/>
      <c r="O663" s="17"/>
      <c r="P663" s="17"/>
      <c r="Q663" s="17"/>
      <c r="R663" s="17"/>
      <c r="S663" s="17"/>
      <c r="T663" s="17"/>
      <c r="U663" s="300"/>
      <c r="V663" s="47"/>
      <c r="W663" s="17"/>
      <c r="X663" s="17"/>
      <c r="Y663" s="300"/>
      <c r="Z663" s="386"/>
      <c r="AA663" s="386"/>
      <c r="AB663" s="386"/>
      <c r="AC663" s="386"/>
      <c r="AD663" s="386"/>
      <c r="AE663" s="386"/>
      <c r="AF663" s="386"/>
    </row>
    <row r="664" ht="15.75" customHeight="1">
      <c r="A664" s="24"/>
      <c r="B664" s="25"/>
      <c r="C664" s="25"/>
      <c r="D664" s="28"/>
      <c r="E664" s="28"/>
      <c r="F664" s="383"/>
      <c r="G664" s="380"/>
      <c r="H664" s="300"/>
      <c r="I664" s="17"/>
      <c r="J664" s="17"/>
      <c r="K664" s="17"/>
      <c r="L664" s="17"/>
      <c r="M664" s="17"/>
      <c r="N664" s="17"/>
      <c r="O664" s="17"/>
      <c r="P664" s="17"/>
      <c r="Q664" s="17"/>
      <c r="R664" s="17"/>
      <c r="S664" s="17"/>
      <c r="T664" s="17"/>
      <c r="U664" s="300"/>
      <c r="V664" s="67"/>
      <c r="W664" s="17"/>
      <c r="X664" s="17"/>
      <c r="Y664" s="300"/>
      <c r="Z664" s="386"/>
      <c r="AA664" s="386"/>
      <c r="AB664" s="386"/>
      <c r="AC664" s="386"/>
      <c r="AD664" s="386"/>
      <c r="AE664" s="386"/>
      <c r="AF664" s="386"/>
    </row>
    <row r="665" ht="15.75" customHeight="1">
      <c r="A665" s="24"/>
      <c r="B665" s="25"/>
      <c r="C665" s="25"/>
      <c r="D665" s="28"/>
      <c r="E665" s="28"/>
      <c r="F665" s="404"/>
      <c r="G665" s="380"/>
      <c r="H665" s="300"/>
      <c r="I665" s="17"/>
      <c r="J665" s="17"/>
      <c r="K665" s="17"/>
      <c r="L665" s="17"/>
      <c r="M665" s="17"/>
      <c r="N665" s="17"/>
      <c r="O665" s="17"/>
      <c r="P665" s="17"/>
      <c r="Q665" s="17"/>
      <c r="R665" s="17"/>
      <c r="S665" s="17"/>
      <c r="T665" s="17"/>
      <c r="U665" s="300"/>
      <c r="V665" s="47"/>
      <c r="W665" s="17"/>
      <c r="X665" s="17"/>
      <c r="Y665" s="300"/>
      <c r="Z665" s="386"/>
      <c r="AA665" s="386"/>
      <c r="AB665" s="386"/>
      <c r="AC665" s="386"/>
      <c r="AD665" s="386"/>
      <c r="AE665" s="386"/>
      <c r="AF665" s="386"/>
    </row>
    <row r="666" ht="15.75" customHeight="1">
      <c r="A666" s="24"/>
      <c r="B666" s="25"/>
      <c r="C666" s="25"/>
      <c r="D666" s="28"/>
      <c r="E666" s="28"/>
      <c r="F666" s="383"/>
      <c r="G666" s="380"/>
      <c r="H666" s="300"/>
      <c r="I666" s="17"/>
      <c r="J666" s="17"/>
      <c r="K666" s="17"/>
      <c r="L666" s="17"/>
      <c r="M666" s="17"/>
      <c r="N666" s="17"/>
      <c r="O666" s="17"/>
      <c r="P666" s="17"/>
      <c r="Q666" s="17"/>
      <c r="R666" s="17"/>
      <c r="S666" s="17"/>
      <c r="T666" s="17"/>
      <c r="U666" s="300"/>
      <c r="V666" s="67"/>
      <c r="W666" s="17"/>
      <c r="X666" s="17"/>
      <c r="Y666" s="300"/>
      <c r="Z666" s="386"/>
      <c r="AA666" s="386"/>
      <c r="AB666" s="386"/>
      <c r="AC666" s="386"/>
      <c r="AD666" s="386"/>
      <c r="AE666" s="386"/>
      <c r="AF666" s="386"/>
    </row>
    <row r="667" ht="15.75" customHeight="1">
      <c r="A667" s="24"/>
      <c r="B667" s="25"/>
      <c r="C667" s="25"/>
      <c r="D667" s="28"/>
      <c r="E667" s="28"/>
      <c r="F667" s="404"/>
      <c r="G667" s="380"/>
      <c r="H667" s="300"/>
      <c r="I667" s="17"/>
      <c r="J667" s="17"/>
      <c r="K667" s="17"/>
      <c r="L667" s="17"/>
      <c r="M667" s="17"/>
      <c r="N667" s="17"/>
      <c r="O667" s="17"/>
      <c r="P667" s="17"/>
      <c r="Q667" s="17"/>
      <c r="R667" s="17"/>
      <c r="S667" s="17"/>
      <c r="T667" s="17"/>
      <c r="U667" s="300"/>
      <c r="V667" s="47"/>
      <c r="W667" s="17"/>
      <c r="X667" s="17"/>
      <c r="Y667" s="300"/>
      <c r="Z667" s="386"/>
      <c r="AA667" s="386"/>
      <c r="AB667" s="386"/>
      <c r="AC667" s="386"/>
      <c r="AD667" s="386"/>
      <c r="AE667" s="386"/>
      <c r="AF667" s="386"/>
    </row>
    <row r="668" ht="15.75" customHeight="1">
      <c r="A668" s="24"/>
      <c r="B668" s="25"/>
      <c r="C668" s="25"/>
      <c r="D668" s="28"/>
      <c r="E668" s="28"/>
      <c r="F668" s="383"/>
      <c r="G668" s="380"/>
      <c r="H668" s="300"/>
      <c r="I668" s="17"/>
      <c r="J668" s="17"/>
      <c r="K668" s="17"/>
      <c r="L668" s="17"/>
      <c r="M668" s="17"/>
      <c r="N668" s="17"/>
      <c r="O668" s="17"/>
      <c r="P668" s="17"/>
      <c r="Q668" s="17"/>
      <c r="R668" s="17"/>
      <c r="S668" s="17"/>
      <c r="T668" s="17"/>
      <c r="U668" s="300"/>
      <c r="V668" s="67"/>
      <c r="W668" s="17"/>
      <c r="X668" s="17"/>
      <c r="Y668" s="300"/>
      <c r="Z668" s="386"/>
      <c r="AA668" s="386"/>
      <c r="AB668" s="386"/>
      <c r="AC668" s="386"/>
      <c r="AD668" s="386"/>
      <c r="AE668" s="386"/>
      <c r="AF668" s="386"/>
    </row>
    <row r="669" ht="15.75" customHeight="1">
      <c r="A669" s="24"/>
      <c r="B669" s="25"/>
      <c r="C669" s="25"/>
      <c r="D669" s="28"/>
      <c r="E669" s="28"/>
      <c r="F669" s="404"/>
      <c r="G669" s="380"/>
      <c r="H669" s="300"/>
      <c r="I669" s="17"/>
      <c r="J669" s="17"/>
      <c r="K669" s="17"/>
      <c r="L669" s="17"/>
      <c r="M669" s="17"/>
      <c r="N669" s="17"/>
      <c r="O669" s="17"/>
      <c r="P669" s="17"/>
      <c r="Q669" s="17"/>
      <c r="R669" s="17"/>
      <c r="S669" s="17"/>
      <c r="T669" s="17"/>
      <c r="U669" s="300"/>
      <c r="V669" s="47"/>
      <c r="W669" s="17"/>
      <c r="X669" s="17"/>
      <c r="Y669" s="300"/>
      <c r="Z669" s="386"/>
      <c r="AA669" s="386"/>
      <c r="AB669" s="386"/>
      <c r="AC669" s="386"/>
      <c r="AD669" s="386"/>
      <c r="AE669" s="386"/>
      <c r="AF669" s="386"/>
    </row>
    <row r="670" ht="15.75" customHeight="1">
      <c r="A670" s="24"/>
      <c r="B670" s="25"/>
      <c r="C670" s="25"/>
      <c r="D670" s="28"/>
      <c r="E670" s="28"/>
      <c r="F670" s="383"/>
      <c r="G670" s="380"/>
      <c r="H670" s="300"/>
      <c r="I670" s="17"/>
      <c r="J670" s="17"/>
      <c r="K670" s="17"/>
      <c r="L670" s="17"/>
      <c r="M670" s="17"/>
      <c r="N670" s="17"/>
      <c r="O670" s="17"/>
      <c r="P670" s="17"/>
      <c r="Q670" s="17"/>
      <c r="R670" s="17"/>
      <c r="S670" s="17"/>
      <c r="T670" s="17"/>
      <c r="U670" s="300"/>
      <c r="V670" s="67"/>
      <c r="W670" s="17"/>
      <c r="X670" s="17"/>
      <c r="Y670" s="300"/>
      <c r="Z670" s="386"/>
      <c r="AA670" s="386"/>
      <c r="AB670" s="386"/>
      <c r="AC670" s="386"/>
      <c r="AD670" s="386"/>
      <c r="AE670" s="386"/>
      <c r="AF670" s="386"/>
    </row>
    <row r="671" ht="15.75" customHeight="1">
      <c r="A671" s="24"/>
      <c r="B671" s="25"/>
      <c r="C671" s="25"/>
      <c r="D671" s="28"/>
      <c r="E671" s="28"/>
      <c r="F671" s="404"/>
      <c r="G671" s="380"/>
      <c r="H671" s="300"/>
      <c r="I671" s="17"/>
      <c r="J671" s="17"/>
      <c r="K671" s="17"/>
      <c r="L671" s="17"/>
      <c r="M671" s="17"/>
      <c r="N671" s="17"/>
      <c r="O671" s="17"/>
      <c r="P671" s="17"/>
      <c r="Q671" s="17"/>
      <c r="R671" s="17"/>
      <c r="S671" s="17"/>
      <c r="T671" s="17"/>
      <c r="U671" s="300"/>
      <c r="V671" s="47"/>
      <c r="W671" s="17"/>
      <c r="X671" s="17"/>
      <c r="Y671" s="300"/>
      <c r="Z671" s="386"/>
      <c r="AA671" s="386"/>
      <c r="AB671" s="386"/>
      <c r="AC671" s="386"/>
      <c r="AD671" s="386"/>
      <c r="AE671" s="386"/>
      <c r="AF671" s="386"/>
    </row>
    <row r="672" ht="15.75" customHeight="1">
      <c r="A672" s="24"/>
      <c r="B672" s="25"/>
      <c r="C672" s="25"/>
      <c r="D672" s="28"/>
      <c r="E672" s="28"/>
      <c r="F672" s="383"/>
      <c r="G672" s="380"/>
      <c r="H672" s="300"/>
      <c r="I672" s="17"/>
      <c r="J672" s="17"/>
      <c r="K672" s="17"/>
      <c r="L672" s="17"/>
      <c r="M672" s="17"/>
      <c r="N672" s="17"/>
      <c r="O672" s="17"/>
      <c r="P672" s="17"/>
      <c r="Q672" s="17"/>
      <c r="R672" s="17"/>
      <c r="S672" s="17"/>
      <c r="T672" s="17"/>
      <c r="U672" s="300"/>
      <c r="V672" s="67"/>
      <c r="W672" s="17"/>
      <c r="X672" s="17"/>
      <c r="Y672" s="300"/>
      <c r="Z672" s="386"/>
      <c r="AA672" s="386"/>
      <c r="AB672" s="386"/>
      <c r="AC672" s="386"/>
      <c r="AD672" s="386"/>
      <c r="AE672" s="386"/>
      <c r="AF672" s="386"/>
    </row>
    <row r="673" ht="15.75" customHeight="1">
      <c r="A673" s="24"/>
      <c r="B673" s="25"/>
      <c r="C673" s="25"/>
      <c r="D673" s="28"/>
      <c r="E673" s="28"/>
      <c r="F673" s="404"/>
      <c r="G673" s="380"/>
      <c r="H673" s="300"/>
      <c r="I673" s="17"/>
      <c r="J673" s="17"/>
      <c r="K673" s="17"/>
      <c r="L673" s="17"/>
      <c r="M673" s="17"/>
      <c r="N673" s="17"/>
      <c r="O673" s="17"/>
      <c r="P673" s="17"/>
      <c r="Q673" s="17"/>
      <c r="R673" s="17"/>
      <c r="S673" s="17"/>
      <c r="T673" s="17"/>
      <c r="U673" s="300"/>
      <c r="V673" s="47"/>
      <c r="W673" s="17"/>
      <c r="X673" s="17"/>
      <c r="Y673" s="300"/>
      <c r="Z673" s="386"/>
      <c r="AA673" s="386"/>
      <c r="AB673" s="386"/>
      <c r="AC673" s="386"/>
      <c r="AD673" s="386"/>
      <c r="AE673" s="386"/>
      <c r="AF673" s="386"/>
    </row>
    <row r="674" ht="15.75" customHeight="1">
      <c r="A674" s="24"/>
      <c r="B674" s="25"/>
      <c r="C674" s="25"/>
      <c r="D674" s="28"/>
      <c r="E674" s="28"/>
      <c r="F674" s="383"/>
      <c r="G674" s="380"/>
      <c r="H674" s="300"/>
      <c r="I674" s="17"/>
      <c r="J674" s="17"/>
      <c r="K674" s="17"/>
      <c r="L674" s="17"/>
      <c r="M674" s="17"/>
      <c r="N674" s="17"/>
      <c r="O674" s="17"/>
      <c r="P674" s="17"/>
      <c r="Q674" s="17"/>
      <c r="R674" s="17"/>
      <c r="S674" s="17"/>
      <c r="T674" s="17"/>
      <c r="U674" s="300"/>
      <c r="V674" s="67"/>
      <c r="W674" s="17"/>
      <c r="X674" s="17"/>
      <c r="Y674" s="300"/>
      <c r="Z674" s="386"/>
      <c r="AA674" s="386"/>
      <c r="AB674" s="386"/>
      <c r="AC674" s="386"/>
      <c r="AD674" s="386"/>
      <c r="AE674" s="386"/>
      <c r="AF674" s="386"/>
    </row>
    <row r="675" ht="15.75" customHeight="1">
      <c r="A675" s="24"/>
      <c r="B675" s="25"/>
      <c r="C675" s="25"/>
      <c r="D675" s="28"/>
      <c r="E675" s="28"/>
      <c r="F675" s="404"/>
      <c r="G675" s="380"/>
      <c r="H675" s="300"/>
      <c r="I675" s="17"/>
      <c r="J675" s="17"/>
      <c r="K675" s="17"/>
      <c r="L675" s="17"/>
      <c r="M675" s="17"/>
      <c r="N675" s="17"/>
      <c r="O675" s="17"/>
      <c r="P675" s="17"/>
      <c r="Q675" s="17"/>
      <c r="R675" s="17"/>
      <c r="S675" s="17"/>
      <c r="T675" s="17"/>
      <c r="U675" s="300"/>
      <c r="V675" s="47"/>
      <c r="W675" s="17"/>
      <c r="X675" s="17"/>
      <c r="Y675" s="300"/>
      <c r="Z675" s="386"/>
      <c r="AA675" s="386"/>
      <c r="AB675" s="386"/>
      <c r="AC675" s="386"/>
      <c r="AD675" s="386"/>
      <c r="AE675" s="386"/>
      <c r="AF675" s="386"/>
    </row>
    <row r="676" ht="15.75" customHeight="1">
      <c r="A676" s="24"/>
      <c r="B676" s="25"/>
      <c r="C676" s="25"/>
      <c r="D676" s="28"/>
      <c r="E676" s="28"/>
      <c r="F676" s="383"/>
      <c r="G676" s="380"/>
      <c r="H676" s="300"/>
      <c r="I676" s="17"/>
      <c r="J676" s="17"/>
      <c r="K676" s="17"/>
      <c r="L676" s="17"/>
      <c r="M676" s="17"/>
      <c r="N676" s="17"/>
      <c r="O676" s="17"/>
      <c r="P676" s="17"/>
      <c r="Q676" s="17"/>
      <c r="R676" s="17"/>
      <c r="S676" s="17"/>
      <c r="T676" s="17"/>
      <c r="U676" s="300"/>
      <c r="V676" s="67"/>
      <c r="W676" s="17"/>
      <c r="X676" s="17"/>
      <c r="Y676" s="300"/>
      <c r="Z676" s="386"/>
      <c r="AA676" s="386"/>
      <c r="AB676" s="386"/>
      <c r="AC676" s="386"/>
      <c r="AD676" s="386"/>
      <c r="AE676" s="386"/>
      <c r="AF676" s="386"/>
    </row>
    <row r="677" ht="15.75" customHeight="1">
      <c r="A677" s="24"/>
      <c r="B677" s="25"/>
      <c r="C677" s="25"/>
      <c r="D677" s="28"/>
      <c r="E677" s="28"/>
      <c r="F677" s="404"/>
      <c r="G677" s="380"/>
      <c r="H677" s="300"/>
      <c r="I677" s="17"/>
      <c r="J677" s="17"/>
      <c r="K677" s="17"/>
      <c r="L677" s="17"/>
      <c r="M677" s="17"/>
      <c r="N677" s="17"/>
      <c r="O677" s="17"/>
      <c r="P677" s="17"/>
      <c r="Q677" s="17"/>
      <c r="R677" s="17"/>
      <c r="S677" s="17"/>
      <c r="T677" s="17"/>
      <c r="U677" s="300"/>
      <c r="V677" s="47"/>
      <c r="W677" s="17"/>
      <c r="X677" s="17"/>
      <c r="Y677" s="300"/>
      <c r="Z677" s="386"/>
      <c r="AA677" s="386"/>
      <c r="AB677" s="386"/>
      <c r="AC677" s="386"/>
      <c r="AD677" s="386"/>
      <c r="AE677" s="386"/>
      <c r="AF677" s="386"/>
    </row>
    <row r="678" ht="15.75" customHeight="1">
      <c r="A678" s="24"/>
      <c r="B678" s="25"/>
      <c r="C678" s="25"/>
      <c r="D678" s="28"/>
      <c r="E678" s="28"/>
      <c r="F678" s="383"/>
      <c r="G678" s="380"/>
      <c r="H678" s="300"/>
      <c r="I678" s="17"/>
      <c r="J678" s="17"/>
      <c r="K678" s="17"/>
      <c r="L678" s="17"/>
      <c r="M678" s="17"/>
      <c r="N678" s="17"/>
      <c r="O678" s="17"/>
      <c r="P678" s="17"/>
      <c r="Q678" s="17"/>
      <c r="R678" s="17"/>
      <c r="S678" s="17"/>
      <c r="T678" s="17"/>
      <c r="U678" s="300"/>
      <c r="V678" s="67"/>
      <c r="W678" s="17"/>
      <c r="X678" s="17"/>
      <c r="Y678" s="300"/>
      <c r="Z678" s="386"/>
      <c r="AA678" s="386"/>
      <c r="AB678" s="386"/>
      <c r="AC678" s="386"/>
      <c r="AD678" s="386"/>
      <c r="AE678" s="386"/>
      <c r="AF678" s="386"/>
    </row>
    <row r="679" ht="15.75" customHeight="1">
      <c r="A679" s="24"/>
      <c r="B679" s="25"/>
      <c r="C679" s="25"/>
      <c r="D679" s="28"/>
      <c r="E679" s="28"/>
      <c r="F679" s="404"/>
      <c r="G679" s="380"/>
      <c r="H679" s="300"/>
      <c r="I679" s="17"/>
      <c r="J679" s="17"/>
      <c r="K679" s="17"/>
      <c r="L679" s="17"/>
      <c r="M679" s="17"/>
      <c r="N679" s="17"/>
      <c r="O679" s="17"/>
      <c r="P679" s="17"/>
      <c r="Q679" s="17"/>
      <c r="R679" s="17"/>
      <c r="S679" s="17"/>
      <c r="T679" s="17"/>
      <c r="U679" s="300"/>
      <c r="V679" s="47"/>
      <c r="W679" s="17"/>
      <c r="X679" s="17"/>
      <c r="Y679" s="300"/>
      <c r="Z679" s="386"/>
      <c r="AA679" s="386"/>
      <c r="AB679" s="386"/>
      <c r="AC679" s="386"/>
      <c r="AD679" s="386"/>
      <c r="AE679" s="386"/>
      <c r="AF679" s="386"/>
    </row>
    <row r="680" ht="15.75" customHeight="1">
      <c r="A680" s="24"/>
      <c r="B680" s="25"/>
      <c r="C680" s="25"/>
      <c r="D680" s="28"/>
      <c r="E680" s="28"/>
      <c r="F680" s="383"/>
      <c r="G680" s="380"/>
      <c r="H680" s="300"/>
      <c r="I680" s="17"/>
      <c r="J680" s="17"/>
      <c r="K680" s="17"/>
      <c r="L680" s="17"/>
      <c r="M680" s="17"/>
      <c r="N680" s="17"/>
      <c r="O680" s="17"/>
      <c r="P680" s="17"/>
      <c r="Q680" s="17"/>
      <c r="R680" s="17"/>
      <c r="S680" s="17"/>
      <c r="T680" s="17"/>
      <c r="U680" s="300"/>
      <c r="V680" s="67"/>
      <c r="W680" s="17"/>
      <c r="X680" s="17"/>
      <c r="Y680" s="300"/>
      <c r="Z680" s="386"/>
      <c r="AA680" s="386"/>
      <c r="AB680" s="386"/>
      <c r="AC680" s="386"/>
      <c r="AD680" s="386"/>
      <c r="AE680" s="386"/>
      <c r="AF680" s="386"/>
    </row>
    <row r="681" ht="15.75" customHeight="1">
      <c r="A681" s="24"/>
      <c r="B681" s="25"/>
      <c r="C681" s="25"/>
      <c r="D681" s="28"/>
      <c r="E681" s="28"/>
      <c r="F681" s="404"/>
      <c r="G681" s="380"/>
      <c r="H681" s="300"/>
      <c r="I681" s="17"/>
      <c r="J681" s="17"/>
      <c r="K681" s="17"/>
      <c r="L681" s="17"/>
      <c r="M681" s="17"/>
      <c r="N681" s="17"/>
      <c r="O681" s="17"/>
      <c r="P681" s="17"/>
      <c r="Q681" s="17"/>
      <c r="R681" s="17"/>
      <c r="S681" s="17"/>
      <c r="T681" s="17"/>
      <c r="U681" s="300"/>
      <c r="V681" s="47"/>
      <c r="W681" s="17"/>
      <c r="X681" s="17"/>
      <c r="Y681" s="300"/>
      <c r="Z681" s="386"/>
      <c r="AA681" s="386"/>
      <c r="AB681" s="386"/>
      <c r="AC681" s="386"/>
      <c r="AD681" s="386"/>
      <c r="AE681" s="386"/>
      <c r="AF681" s="386"/>
    </row>
    <row r="682" ht="15.75" customHeight="1">
      <c r="A682" s="24"/>
      <c r="B682" s="25"/>
      <c r="C682" s="25"/>
      <c r="D682" s="28"/>
      <c r="E682" s="28"/>
      <c r="F682" s="383"/>
      <c r="G682" s="380"/>
      <c r="H682" s="300"/>
      <c r="I682" s="17"/>
      <c r="J682" s="17"/>
      <c r="K682" s="17"/>
      <c r="L682" s="17"/>
      <c r="M682" s="17"/>
      <c r="N682" s="17"/>
      <c r="O682" s="17"/>
      <c r="P682" s="17"/>
      <c r="Q682" s="17"/>
      <c r="R682" s="17"/>
      <c r="S682" s="17"/>
      <c r="T682" s="17"/>
      <c r="U682" s="300"/>
      <c r="V682" s="67"/>
      <c r="W682" s="17"/>
      <c r="X682" s="17"/>
      <c r="Y682" s="300"/>
      <c r="Z682" s="386"/>
      <c r="AA682" s="386"/>
      <c r="AB682" s="386"/>
      <c r="AC682" s="386"/>
      <c r="AD682" s="386"/>
      <c r="AE682" s="386"/>
      <c r="AF682" s="386"/>
    </row>
    <row r="683" ht="15.75" customHeight="1">
      <c r="A683" s="24"/>
      <c r="B683" s="25"/>
      <c r="C683" s="25"/>
      <c r="D683" s="28"/>
      <c r="E683" s="28"/>
      <c r="F683" s="404"/>
      <c r="G683" s="380"/>
      <c r="H683" s="300"/>
      <c r="I683" s="17"/>
      <c r="J683" s="17"/>
      <c r="K683" s="17"/>
      <c r="L683" s="17"/>
      <c r="M683" s="17"/>
      <c r="N683" s="17"/>
      <c r="O683" s="17"/>
      <c r="P683" s="17"/>
      <c r="Q683" s="17"/>
      <c r="R683" s="17"/>
      <c r="S683" s="17"/>
      <c r="T683" s="17"/>
      <c r="U683" s="300"/>
      <c r="V683" s="47"/>
      <c r="W683" s="17"/>
      <c r="X683" s="17"/>
      <c r="Y683" s="300"/>
      <c r="Z683" s="386"/>
      <c r="AA683" s="386"/>
      <c r="AB683" s="386"/>
      <c r="AC683" s="386"/>
      <c r="AD683" s="386"/>
      <c r="AE683" s="386"/>
      <c r="AF683" s="386"/>
    </row>
    <row r="684" ht="15.75" customHeight="1">
      <c r="A684" s="24"/>
      <c r="B684" s="25"/>
      <c r="C684" s="25"/>
      <c r="D684" s="28"/>
      <c r="E684" s="28"/>
      <c r="F684" s="383"/>
      <c r="G684" s="380"/>
      <c r="H684" s="300"/>
      <c r="I684" s="17"/>
      <c r="J684" s="17"/>
      <c r="K684" s="17"/>
      <c r="L684" s="17"/>
      <c r="M684" s="17"/>
      <c r="N684" s="17"/>
      <c r="O684" s="17"/>
      <c r="P684" s="17"/>
      <c r="Q684" s="17"/>
      <c r="R684" s="17"/>
      <c r="S684" s="17"/>
      <c r="T684" s="17"/>
      <c r="U684" s="300"/>
      <c r="V684" s="67"/>
      <c r="W684" s="17"/>
      <c r="X684" s="17"/>
      <c r="Y684" s="300"/>
      <c r="Z684" s="386"/>
      <c r="AA684" s="386"/>
      <c r="AB684" s="386"/>
      <c r="AC684" s="386"/>
      <c r="AD684" s="386"/>
      <c r="AE684" s="386"/>
      <c r="AF684" s="386"/>
    </row>
    <row r="685" ht="15.75" customHeight="1">
      <c r="A685" s="24"/>
      <c r="B685" s="25"/>
      <c r="C685" s="25"/>
      <c r="D685" s="28"/>
      <c r="E685" s="28"/>
      <c r="F685" s="404"/>
      <c r="G685" s="380"/>
      <c r="H685" s="300"/>
      <c r="I685" s="17"/>
      <c r="J685" s="17"/>
      <c r="K685" s="17"/>
      <c r="L685" s="17"/>
      <c r="M685" s="17"/>
      <c r="N685" s="17"/>
      <c r="O685" s="17"/>
      <c r="P685" s="17"/>
      <c r="Q685" s="17"/>
      <c r="R685" s="17"/>
      <c r="S685" s="17"/>
      <c r="T685" s="17"/>
      <c r="U685" s="300"/>
      <c r="V685" s="47"/>
      <c r="W685" s="17"/>
      <c r="X685" s="17"/>
      <c r="Y685" s="300"/>
      <c r="Z685" s="386"/>
      <c r="AA685" s="386"/>
      <c r="AB685" s="386"/>
      <c r="AC685" s="386"/>
      <c r="AD685" s="386"/>
      <c r="AE685" s="386"/>
      <c r="AF685" s="386"/>
    </row>
    <row r="686" ht="15.75" customHeight="1">
      <c r="A686" s="24"/>
      <c r="B686" s="25"/>
      <c r="C686" s="25"/>
      <c r="D686" s="28"/>
      <c r="E686" s="28"/>
      <c r="F686" s="383"/>
      <c r="G686" s="380"/>
      <c r="H686" s="300"/>
      <c r="I686" s="17"/>
      <c r="J686" s="17"/>
      <c r="K686" s="17"/>
      <c r="L686" s="17"/>
      <c r="M686" s="17"/>
      <c r="N686" s="17"/>
      <c r="O686" s="17"/>
      <c r="P686" s="17"/>
      <c r="Q686" s="17"/>
      <c r="R686" s="17"/>
      <c r="S686" s="17"/>
      <c r="T686" s="17"/>
      <c r="U686" s="300"/>
      <c r="V686" s="67"/>
      <c r="W686" s="17"/>
      <c r="X686" s="17"/>
      <c r="Y686" s="300"/>
      <c r="Z686" s="386"/>
      <c r="AA686" s="386"/>
      <c r="AB686" s="386"/>
      <c r="AC686" s="386"/>
      <c r="AD686" s="386"/>
      <c r="AE686" s="386"/>
      <c r="AF686" s="386"/>
    </row>
    <row r="687" ht="15.75" customHeight="1">
      <c r="A687" s="24"/>
      <c r="B687" s="25"/>
      <c r="C687" s="25"/>
      <c r="D687" s="28"/>
      <c r="E687" s="28"/>
      <c r="F687" s="404"/>
      <c r="G687" s="380"/>
      <c r="H687" s="300"/>
      <c r="I687" s="17"/>
      <c r="J687" s="17"/>
      <c r="K687" s="17"/>
      <c r="L687" s="17"/>
      <c r="M687" s="17"/>
      <c r="N687" s="17"/>
      <c r="O687" s="17"/>
      <c r="P687" s="17"/>
      <c r="Q687" s="17"/>
      <c r="R687" s="17"/>
      <c r="S687" s="17"/>
      <c r="T687" s="17"/>
      <c r="U687" s="300"/>
      <c r="V687" s="47"/>
      <c r="W687" s="17"/>
      <c r="X687" s="17"/>
      <c r="Y687" s="300"/>
      <c r="Z687" s="386"/>
      <c r="AA687" s="386"/>
      <c r="AB687" s="386"/>
      <c r="AC687" s="386"/>
      <c r="AD687" s="386"/>
      <c r="AE687" s="386"/>
      <c r="AF687" s="386"/>
    </row>
    <row r="688" ht="15.75" customHeight="1">
      <c r="A688" s="24"/>
      <c r="B688" s="25"/>
      <c r="C688" s="25"/>
      <c r="D688" s="28"/>
      <c r="E688" s="28"/>
      <c r="F688" s="383"/>
      <c r="G688" s="380"/>
      <c r="H688" s="300"/>
      <c r="I688" s="17"/>
      <c r="J688" s="17"/>
      <c r="K688" s="17"/>
      <c r="L688" s="17"/>
      <c r="M688" s="17"/>
      <c r="N688" s="17"/>
      <c r="O688" s="17"/>
      <c r="P688" s="17"/>
      <c r="Q688" s="17"/>
      <c r="R688" s="17"/>
      <c r="S688" s="17"/>
      <c r="T688" s="17"/>
      <c r="U688" s="300"/>
      <c r="V688" s="67"/>
      <c r="W688" s="17"/>
      <c r="X688" s="17"/>
      <c r="Y688" s="300"/>
      <c r="Z688" s="386"/>
      <c r="AA688" s="386"/>
      <c r="AB688" s="386"/>
      <c r="AC688" s="386"/>
      <c r="AD688" s="386"/>
      <c r="AE688" s="386"/>
      <c r="AF688" s="386"/>
    </row>
    <row r="689" ht="15.75" customHeight="1">
      <c r="A689" s="24"/>
      <c r="B689" s="25"/>
      <c r="C689" s="25"/>
      <c r="D689" s="28"/>
      <c r="E689" s="28"/>
      <c r="F689" s="404"/>
      <c r="G689" s="380"/>
      <c r="H689" s="300"/>
      <c r="I689" s="17"/>
      <c r="J689" s="17"/>
      <c r="K689" s="17"/>
      <c r="L689" s="17"/>
      <c r="M689" s="17"/>
      <c r="N689" s="17"/>
      <c r="O689" s="17"/>
      <c r="P689" s="17"/>
      <c r="Q689" s="17"/>
      <c r="R689" s="17"/>
      <c r="S689" s="17"/>
      <c r="T689" s="17"/>
      <c r="U689" s="300"/>
      <c r="V689" s="47"/>
      <c r="W689" s="17"/>
      <c r="X689" s="17"/>
      <c r="Y689" s="300"/>
      <c r="Z689" s="386"/>
      <c r="AA689" s="386"/>
      <c r="AB689" s="386"/>
      <c r="AC689" s="386"/>
      <c r="AD689" s="386"/>
      <c r="AE689" s="386"/>
      <c r="AF689" s="386"/>
    </row>
    <row r="690" ht="15.75" customHeight="1">
      <c r="A690" s="24"/>
      <c r="B690" s="25"/>
      <c r="C690" s="25"/>
      <c r="D690" s="28"/>
      <c r="E690" s="28"/>
      <c r="F690" s="383"/>
      <c r="G690" s="380"/>
      <c r="H690" s="300"/>
      <c r="I690" s="17"/>
      <c r="J690" s="17"/>
      <c r="K690" s="17"/>
      <c r="L690" s="17"/>
      <c r="M690" s="17"/>
      <c r="N690" s="17"/>
      <c r="O690" s="17"/>
      <c r="P690" s="17"/>
      <c r="Q690" s="17"/>
      <c r="R690" s="17"/>
      <c r="S690" s="17"/>
      <c r="T690" s="17"/>
      <c r="U690" s="300"/>
      <c r="V690" s="67"/>
      <c r="W690" s="17"/>
      <c r="X690" s="17"/>
      <c r="Y690" s="300"/>
      <c r="Z690" s="386"/>
      <c r="AA690" s="386"/>
      <c r="AB690" s="386"/>
      <c r="AC690" s="386"/>
      <c r="AD690" s="386"/>
      <c r="AE690" s="386"/>
      <c r="AF690" s="386"/>
    </row>
    <row r="691" ht="15.75" customHeight="1">
      <c r="A691" s="24"/>
      <c r="B691" s="25"/>
      <c r="C691" s="25"/>
      <c r="D691" s="28"/>
      <c r="E691" s="28"/>
      <c r="F691" s="404"/>
      <c r="G691" s="380"/>
      <c r="H691" s="300"/>
      <c r="I691" s="17"/>
      <c r="J691" s="17"/>
      <c r="K691" s="17"/>
      <c r="L691" s="17"/>
      <c r="M691" s="17"/>
      <c r="N691" s="17"/>
      <c r="O691" s="17"/>
      <c r="P691" s="17"/>
      <c r="Q691" s="17"/>
      <c r="R691" s="17"/>
      <c r="S691" s="17"/>
      <c r="T691" s="17"/>
      <c r="U691" s="300"/>
      <c r="V691" s="47"/>
      <c r="W691" s="17"/>
      <c r="X691" s="17"/>
      <c r="Y691" s="300"/>
      <c r="Z691" s="386"/>
      <c r="AA691" s="386"/>
      <c r="AB691" s="386"/>
      <c r="AC691" s="386"/>
      <c r="AD691" s="386"/>
      <c r="AE691" s="386"/>
      <c r="AF691" s="386"/>
    </row>
    <row r="692" ht="15.75" customHeight="1">
      <c r="A692" s="24"/>
      <c r="B692" s="25"/>
      <c r="C692" s="25"/>
      <c r="D692" s="28"/>
      <c r="E692" s="28"/>
      <c r="F692" s="383"/>
      <c r="G692" s="380"/>
      <c r="H692" s="300"/>
      <c r="I692" s="17"/>
      <c r="J692" s="17"/>
      <c r="K692" s="17"/>
      <c r="L692" s="17"/>
      <c r="M692" s="17"/>
      <c r="N692" s="17"/>
      <c r="O692" s="17"/>
      <c r="P692" s="17"/>
      <c r="Q692" s="17"/>
      <c r="R692" s="17"/>
      <c r="S692" s="17"/>
      <c r="T692" s="17"/>
      <c r="U692" s="300"/>
      <c r="V692" s="67"/>
      <c r="W692" s="17"/>
      <c r="X692" s="17"/>
      <c r="Y692" s="300"/>
      <c r="Z692" s="386"/>
      <c r="AA692" s="386"/>
      <c r="AB692" s="386"/>
      <c r="AC692" s="386"/>
      <c r="AD692" s="386"/>
      <c r="AE692" s="386"/>
      <c r="AF692" s="386"/>
    </row>
    <row r="693" ht="15.75" customHeight="1">
      <c r="A693" s="24"/>
      <c r="B693" s="25"/>
      <c r="C693" s="25"/>
      <c r="D693" s="28"/>
      <c r="E693" s="28"/>
      <c r="F693" s="404"/>
      <c r="G693" s="380"/>
      <c r="H693" s="300"/>
      <c r="I693" s="17"/>
      <c r="J693" s="17"/>
      <c r="K693" s="17"/>
      <c r="L693" s="17"/>
      <c r="M693" s="17"/>
      <c r="N693" s="17"/>
      <c r="O693" s="17"/>
      <c r="P693" s="17"/>
      <c r="Q693" s="17"/>
      <c r="R693" s="17"/>
      <c r="S693" s="17"/>
      <c r="T693" s="17"/>
      <c r="U693" s="300"/>
      <c r="V693" s="47"/>
      <c r="W693" s="17"/>
      <c r="X693" s="17"/>
      <c r="Y693" s="300"/>
      <c r="Z693" s="386"/>
      <c r="AA693" s="386"/>
      <c r="AB693" s="386"/>
      <c r="AC693" s="386"/>
      <c r="AD693" s="386"/>
      <c r="AE693" s="386"/>
      <c r="AF693" s="386"/>
    </row>
    <row r="694" ht="15.75" customHeight="1">
      <c r="A694" s="24"/>
      <c r="B694" s="25"/>
      <c r="C694" s="25"/>
      <c r="D694" s="28"/>
      <c r="E694" s="28"/>
      <c r="F694" s="383"/>
      <c r="G694" s="380"/>
      <c r="H694" s="300"/>
      <c r="I694" s="17"/>
      <c r="J694" s="17"/>
      <c r="K694" s="17"/>
      <c r="L694" s="17"/>
      <c r="M694" s="17"/>
      <c r="N694" s="17"/>
      <c r="O694" s="17"/>
      <c r="P694" s="17"/>
      <c r="Q694" s="17"/>
      <c r="R694" s="17"/>
      <c r="S694" s="17"/>
      <c r="T694" s="17"/>
      <c r="U694" s="300"/>
      <c r="V694" s="67"/>
      <c r="W694" s="17"/>
      <c r="X694" s="17"/>
      <c r="Y694" s="300"/>
      <c r="Z694" s="386"/>
      <c r="AA694" s="386"/>
      <c r="AB694" s="386"/>
      <c r="AC694" s="386"/>
      <c r="AD694" s="386"/>
      <c r="AE694" s="386"/>
      <c r="AF694" s="386"/>
    </row>
    <row r="695" ht="15.75" customHeight="1">
      <c r="A695" s="24"/>
      <c r="B695" s="25"/>
      <c r="C695" s="25"/>
      <c r="D695" s="28"/>
      <c r="E695" s="28"/>
      <c r="F695" s="404"/>
      <c r="G695" s="380"/>
      <c r="H695" s="300"/>
      <c r="I695" s="17"/>
      <c r="J695" s="17"/>
      <c r="K695" s="17"/>
      <c r="L695" s="17"/>
      <c r="M695" s="17"/>
      <c r="N695" s="17"/>
      <c r="O695" s="17"/>
      <c r="P695" s="17"/>
      <c r="Q695" s="17"/>
      <c r="R695" s="17"/>
      <c r="S695" s="17"/>
      <c r="T695" s="17"/>
      <c r="U695" s="300"/>
      <c r="V695" s="47"/>
      <c r="W695" s="17"/>
      <c r="X695" s="17"/>
      <c r="Y695" s="300"/>
      <c r="Z695" s="386"/>
      <c r="AA695" s="386"/>
      <c r="AB695" s="386"/>
      <c r="AC695" s="386"/>
      <c r="AD695" s="386"/>
      <c r="AE695" s="386"/>
      <c r="AF695" s="386"/>
    </row>
    <row r="696" ht="15.75" customHeight="1">
      <c r="A696" s="24"/>
      <c r="B696" s="25"/>
      <c r="C696" s="25"/>
      <c r="D696" s="28"/>
      <c r="E696" s="28"/>
      <c r="F696" s="383"/>
      <c r="G696" s="380"/>
      <c r="H696" s="300"/>
      <c r="I696" s="17"/>
      <c r="J696" s="17"/>
      <c r="K696" s="17"/>
      <c r="L696" s="17"/>
      <c r="M696" s="17"/>
      <c r="N696" s="17"/>
      <c r="O696" s="17"/>
      <c r="P696" s="17"/>
      <c r="Q696" s="17"/>
      <c r="R696" s="17"/>
      <c r="S696" s="17"/>
      <c r="T696" s="17"/>
      <c r="U696" s="300"/>
      <c r="V696" s="67"/>
      <c r="W696" s="17"/>
      <c r="X696" s="17"/>
      <c r="Y696" s="300"/>
      <c r="Z696" s="386"/>
      <c r="AA696" s="386"/>
      <c r="AB696" s="386"/>
      <c r="AC696" s="386"/>
      <c r="AD696" s="386"/>
      <c r="AE696" s="386"/>
      <c r="AF696" s="386"/>
    </row>
    <row r="697" ht="15.75" customHeight="1">
      <c r="A697" s="24"/>
      <c r="B697" s="25"/>
      <c r="C697" s="25"/>
      <c r="D697" s="28"/>
      <c r="E697" s="28"/>
      <c r="F697" s="404"/>
      <c r="G697" s="380"/>
      <c r="H697" s="300"/>
      <c r="I697" s="17"/>
      <c r="J697" s="17"/>
      <c r="K697" s="17"/>
      <c r="L697" s="17"/>
      <c r="M697" s="17"/>
      <c r="N697" s="17"/>
      <c r="O697" s="17"/>
      <c r="P697" s="17"/>
      <c r="Q697" s="17"/>
      <c r="R697" s="17"/>
      <c r="S697" s="17"/>
      <c r="T697" s="17"/>
      <c r="U697" s="300"/>
      <c r="V697" s="47"/>
      <c r="W697" s="17"/>
      <c r="X697" s="17"/>
      <c r="Y697" s="300"/>
      <c r="Z697" s="386"/>
      <c r="AA697" s="386"/>
      <c r="AB697" s="386"/>
      <c r="AC697" s="386"/>
      <c r="AD697" s="386"/>
      <c r="AE697" s="386"/>
      <c r="AF697" s="386"/>
    </row>
    <row r="698" ht="15.75" customHeight="1">
      <c r="A698" s="24"/>
      <c r="B698" s="25"/>
      <c r="C698" s="25"/>
      <c r="D698" s="28"/>
      <c r="E698" s="28"/>
      <c r="F698" s="383"/>
      <c r="G698" s="380"/>
      <c r="H698" s="300"/>
      <c r="I698" s="17"/>
      <c r="J698" s="17"/>
      <c r="K698" s="17"/>
      <c r="L698" s="17"/>
      <c r="M698" s="17"/>
      <c r="N698" s="17"/>
      <c r="O698" s="17"/>
      <c r="P698" s="17"/>
      <c r="Q698" s="17"/>
      <c r="R698" s="17"/>
      <c r="S698" s="17"/>
      <c r="T698" s="17"/>
      <c r="U698" s="300"/>
      <c r="V698" s="67"/>
      <c r="W698" s="17"/>
      <c r="X698" s="17"/>
      <c r="Y698" s="300"/>
      <c r="Z698" s="386"/>
      <c r="AA698" s="386"/>
      <c r="AB698" s="386"/>
      <c r="AC698" s="386"/>
      <c r="AD698" s="386"/>
      <c r="AE698" s="386"/>
      <c r="AF698" s="386"/>
    </row>
    <row r="699" ht="15.75" customHeight="1">
      <c r="A699" s="24"/>
      <c r="B699" s="25"/>
      <c r="C699" s="25"/>
      <c r="D699" s="28"/>
      <c r="E699" s="28"/>
      <c r="F699" s="404"/>
      <c r="G699" s="380"/>
      <c r="H699" s="300"/>
      <c r="I699" s="17"/>
      <c r="J699" s="17"/>
      <c r="K699" s="17"/>
      <c r="L699" s="17"/>
      <c r="M699" s="17"/>
      <c r="N699" s="17"/>
      <c r="O699" s="17"/>
      <c r="P699" s="17"/>
      <c r="Q699" s="17"/>
      <c r="R699" s="17"/>
      <c r="S699" s="17"/>
      <c r="T699" s="17"/>
      <c r="U699" s="300"/>
      <c r="V699" s="47"/>
      <c r="W699" s="17"/>
      <c r="X699" s="17"/>
      <c r="Y699" s="300"/>
      <c r="Z699" s="386"/>
      <c r="AA699" s="386"/>
      <c r="AB699" s="386"/>
      <c r="AC699" s="386"/>
      <c r="AD699" s="386"/>
      <c r="AE699" s="386"/>
      <c r="AF699" s="386"/>
    </row>
    <row r="700" ht="15.75" customHeight="1">
      <c r="A700" s="24"/>
      <c r="B700" s="25"/>
      <c r="C700" s="25"/>
      <c r="D700" s="28"/>
      <c r="E700" s="28"/>
      <c r="F700" s="383"/>
      <c r="G700" s="380"/>
      <c r="H700" s="300"/>
      <c r="I700" s="17"/>
      <c r="J700" s="17"/>
      <c r="K700" s="17"/>
      <c r="L700" s="17"/>
      <c r="M700" s="17"/>
      <c r="N700" s="17"/>
      <c r="O700" s="17"/>
      <c r="P700" s="17"/>
      <c r="Q700" s="17"/>
      <c r="R700" s="17"/>
      <c r="S700" s="17"/>
      <c r="T700" s="17"/>
      <c r="U700" s="300"/>
      <c r="V700" s="67"/>
      <c r="W700" s="17"/>
      <c r="X700" s="17"/>
      <c r="Y700" s="300"/>
      <c r="Z700" s="386"/>
      <c r="AA700" s="386"/>
      <c r="AB700" s="386"/>
      <c r="AC700" s="386"/>
      <c r="AD700" s="386"/>
      <c r="AE700" s="386"/>
      <c r="AF700" s="386"/>
    </row>
    <row r="701" ht="15.75" customHeight="1">
      <c r="A701" s="24"/>
      <c r="B701" s="25"/>
      <c r="C701" s="25"/>
      <c r="D701" s="28"/>
      <c r="E701" s="28"/>
      <c r="F701" s="404"/>
      <c r="G701" s="380"/>
      <c r="H701" s="300"/>
      <c r="I701" s="17"/>
      <c r="J701" s="17"/>
      <c r="K701" s="17"/>
      <c r="L701" s="17"/>
      <c r="M701" s="17"/>
      <c r="N701" s="17"/>
      <c r="O701" s="17"/>
      <c r="P701" s="17"/>
      <c r="Q701" s="17"/>
      <c r="R701" s="17"/>
      <c r="S701" s="17"/>
      <c r="T701" s="17"/>
      <c r="U701" s="300"/>
      <c r="V701" s="47"/>
      <c r="W701" s="17"/>
      <c r="X701" s="17"/>
      <c r="Y701" s="300"/>
      <c r="Z701" s="386"/>
      <c r="AA701" s="386"/>
      <c r="AB701" s="386"/>
      <c r="AC701" s="386"/>
      <c r="AD701" s="386"/>
      <c r="AE701" s="386"/>
      <c r="AF701" s="386"/>
    </row>
    <row r="702" ht="15.75" customHeight="1">
      <c r="A702" s="24"/>
      <c r="B702" s="25"/>
      <c r="C702" s="25"/>
      <c r="D702" s="28"/>
      <c r="E702" s="28"/>
      <c r="F702" s="383"/>
      <c r="G702" s="380"/>
      <c r="H702" s="300"/>
      <c r="I702" s="17"/>
      <c r="J702" s="17"/>
      <c r="K702" s="17"/>
      <c r="L702" s="17"/>
      <c r="M702" s="17"/>
      <c r="N702" s="17"/>
      <c r="O702" s="17"/>
      <c r="P702" s="17"/>
      <c r="Q702" s="17"/>
      <c r="R702" s="17"/>
      <c r="S702" s="17"/>
      <c r="T702" s="17"/>
      <c r="U702" s="300"/>
      <c r="V702" s="67"/>
      <c r="W702" s="17"/>
      <c r="X702" s="17"/>
      <c r="Y702" s="300"/>
      <c r="Z702" s="386"/>
      <c r="AA702" s="386"/>
      <c r="AB702" s="386"/>
      <c r="AC702" s="386"/>
      <c r="AD702" s="386"/>
      <c r="AE702" s="386"/>
      <c r="AF702" s="386"/>
    </row>
    <row r="703" ht="15.75" customHeight="1">
      <c r="A703" s="24"/>
      <c r="B703" s="25"/>
      <c r="C703" s="25"/>
      <c r="D703" s="28"/>
      <c r="E703" s="28"/>
      <c r="F703" s="404"/>
      <c r="G703" s="380"/>
      <c r="H703" s="300"/>
      <c r="I703" s="17"/>
      <c r="J703" s="17"/>
      <c r="K703" s="17"/>
      <c r="L703" s="17"/>
      <c r="M703" s="17"/>
      <c r="N703" s="17"/>
      <c r="O703" s="17"/>
      <c r="P703" s="17"/>
      <c r="Q703" s="17"/>
      <c r="R703" s="17"/>
      <c r="S703" s="17"/>
      <c r="T703" s="17"/>
      <c r="U703" s="300"/>
      <c r="V703" s="47"/>
      <c r="W703" s="17"/>
      <c r="X703" s="17"/>
      <c r="Y703" s="300"/>
      <c r="Z703" s="386"/>
      <c r="AA703" s="386"/>
      <c r="AB703" s="386"/>
      <c r="AC703" s="386"/>
      <c r="AD703" s="386"/>
      <c r="AE703" s="386"/>
      <c r="AF703" s="386"/>
    </row>
    <row r="704" ht="15.75" customHeight="1">
      <c r="A704" s="24"/>
      <c r="B704" s="25"/>
      <c r="C704" s="25"/>
      <c r="D704" s="28"/>
      <c r="E704" s="28"/>
      <c r="F704" s="383"/>
      <c r="G704" s="380"/>
      <c r="H704" s="300"/>
      <c r="I704" s="17"/>
      <c r="J704" s="17"/>
      <c r="K704" s="17"/>
      <c r="L704" s="17"/>
      <c r="M704" s="17"/>
      <c r="N704" s="17"/>
      <c r="O704" s="17"/>
      <c r="P704" s="17"/>
      <c r="Q704" s="17"/>
      <c r="R704" s="17"/>
      <c r="S704" s="17"/>
      <c r="T704" s="17"/>
      <c r="U704" s="300"/>
      <c r="V704" s="67"/>
      <c r="W704" s="17"/>
      <c r="X704" s="17"/>
      <c r="Y704" s="300"/>
      <c r="Z704" s="386"/>
      <c r="AA704" s="386"/>
      <c r="AB704" s="386"/>
      <c r="AC704" s="386"/>
      <c r="AD704" s="386"/>
      <c r="AE704" s="386"/>
      <c r="AF704" s="386"/>
    </row>
    <row r="705" ht="15.75" customHeight="1">
      <c r="A705" s="24"/>
      <c r="B705" s="25"/>
      <c r="C705" s="25"/>
      <c r="D705" s="28"/>
      <c r="E705" s="28"/>
      <c r="F705" s="404"/>
      <c r="G705" s="380"/>
      <c r="H705" s="300"/>
      <c r="I705" s="17"/>
      <c r="J705" s="17"/>
      <c r="K705" s="17"/>
      <c r="L705" s="17"/>
      <c r="M705" s="17"/>
      <c r="N705" s="17"/>
      <c r="O705" s="17"/>
      <c r="P705" s="17"/>
      <c r="Q705" s="17"/>
      <c r="R705" s="17"/>
      <c r="S705" s="17"/>
      <c r="T705" s="17"/>
      <c r="U705" s="300"/>
      <c r="V705" s="47"/>
      <c r="W705" s="17"/>
      <c r="X705" s="17"/>
      <c r="Y705" s="300"/>
      <c r="Z705" s="386"/>
      <c r="AA705" s="386"/>
      <c r="AB705" s="386"/>
      <c r="AC705" s="386"/>
      <c r="AD705" s="386"/>
      <c r="AE705" s="386"/>
      <c r="AF705" s="386"/>
    </row>
    <row r="706" ht="15.75" customHeight="1">
      <c r="A706" s="24"/>
      <c r="B706" s="25"/>
      <c r="C706" s="25"/>
      <c r="D706" s="28"/>
      <c r="E706" s="28"/>
      <c r="F706" s="383"/>
      <c r="G706" s="380"/>
      <c r="H706" s="300"/>
      <c r="I706" s="17"/>
      <c r="J706" s="17"/>
      <c r="K706" s="17"/>
      <c r="L706" s="17"/>
      <c r="M706" s="17"/>
      <c r="N706" s="17"/>
      <c r="O706" s="17"/>
      <c r="P706" s="17"/>
      <c r="Q706" s="17"/>
      <c r="R706" s="17"/>
      <c r="S706" s="17"/>
      <c r="T706" s="17"/>
      <c r="U706" s="300"/>
      <c r="V706" s="67"/>
      <c r="W706" s="17"/>
      <c r="X706" s="17"/>
      <c r="Y706" s="300"/>
      <c r="Z706" s="386"/>
      <c r="AA706" s="386"/>
      <c r="AB706" s="386"/>
      <c r="AC706" s="386"/>
      <c r="AD706" s="386"/>
      <c r="AE706" s="386"/>
      <c r="AF706" s="386"/>
    </row>
    <row r="707" ht="15.75" customHeight="1">
      <c r="A707" s="24"/>
      <c r="B707" s="25"/>
      <c r="C707" s="25"/>
      <c r="D707" s="28"/>
      <c r="E707" s="28"/>
      <c r="F707" s="404"/>
      <c r="G707" s="380"/>
      <c r="H707" s="300"/>
      <c r="I707" s="17"/>
      <c r="J707" s="17"/>
      <c r="K707" s="17"/>
      <c r="L707" s="17"/>
      <c r="M707" s="17"/>
      <c r="N707" s="17"/>
      <c r="O707" s="17"/>
      <c r="P707" s="17"/>
      <c r="Q707" s="17"/>
      <c r="R707" s="17"/>
      <c r="S707" s="17"/>
      <c r="T707" s="17"/>
      <c r="U707" s="300"/>
      <c r="V707" s="47"/>
      <c r="W707" s="17"/>
      <c r="X707" s="17"/>
      <c r="Y707" s="300"/>
      <c r="Z707" s="386"/>
      <c r="AA707" s="386"/>
      <c r="AB707" s="386"/>
      <c r="AC707" s="386"/>
      <c r="AD707" s="386"/>
      <c r="AE707" s="386"/>
      <c r="AF707" s="386"/>
    </row>
    <row r="708" ht="15.75" customHeight="1">
      <c r="A708" s="24"/>
      <c r="B708" s="25"/>
      <c r="C708" s="25"/>
      <c r="D708" s="28"/>
      <c r="E708" s="28"/>
      <c r="F708" s="383"/>
      <c r="G708" s="380"/>
      <c r="H708" s="300"/>
      <c r="I708" s="17"/>
      <c r="J708" s="17"/>
      <c r="K708" s="17"/>
      <c r="L708" s="17"/>
      <c r="M708" s="17"/>
      <c r="N708" s="17"/>
      <c r="O708" s="17"/>
      <c r="P708" s="17"/>
      <c r="Q708" s="17"/>
      <c r="R708" s="17"/>
      <c r="S708" s="17"/>
      <c r="T708" s="17"/>
      <c r="U708" s="300"/>
      <c r="V708" s="67"/>
      <c r="W708" s="17"/>
      <c r="X708" s="17"/>
      <c r="Y708" s="300"/>
      <c r="Z708" s="386"/>
      <c r="AA708" s="386"/>
      <c r="AB708" s="386"/>
      <c r="AC708" s="386"/>
      <c r="AD708" s="386"/>
      <c r="AE708" s="386"/>
      <c r="AF708" s="386"/>
    </row>
    <row r="709" ht="15.75" customHeight="1">
      <c r="A709" s="24"/>
      <c r="B709" s="25"/>
      <c r="C709" s="25"/>
      <c r="D709" s="28"/>
      <c r="E709" s="28"/>
      <c r="F709" s="404"/>
      <c r="G709" s="380"/>
      <c r="H709" s="300"/>
      <c r="I709" s="17"/>
      <c r="J709" s="17"/>
      <c r="K709" s="17"/>
      <c r="L709" s="17"/>
      <c r="M709" s="17"/>
      <c r="N709" s="17"/>
      <c r="O709" s="17"/>
      <c r="P709" s="17"/>
      <c r="Q709" s="17"/>
      <c r="R709" s="17"/>
      <c r="S709" s="17"/>
      <c r="T709" s="17"/>
      <c r="U709" s="300"/>
      <c r="V709" s="47"/>
      <c r="W709" s="17"/>
      <c r="X709" s="17"/>
      <c r="Y709" s="300"/>
      <c r="Z709" s="386"/>
      <c r="AA709" s="386"/>
      <c r="AB709" s="386"/>
      <c r="AC709" s="386"/>
      <c r="AD709" s="386"/>
      <c r="AE709" s="386"/>
      <c r="AF709" s="386"/>
    </row>
    <row r="710" ht="15.75" customHeight="1">
      <c r="A710" s="24"/>
      <c r="B710" s="25"/>
      <c r="C710" s="25"/>
      <c r="D710" s="28"/>
      <c r="E710" s="28"/>
      <c r="F710" s="383"/>
      <c r="G710" s="380"/>
      <c r="H710" s="300"/>
      <c r="I710" s="17"/>
      <c r="J710" s="17"/>
      <c r="K710" s="17"/>
      <c r="L710" s="17"/>
      <c r="M710" s="17"/>
      <c r="N710" s="17"/>
      <c r="O710" s="17"/>
      <c r="P710" s="17"/>
      <c r="Q710" s="17"/>
      <c r="R710" s="17"/>
      <c r="S710" s="17"/>
      <c r="T710" s="17"/>
      <c r="U710" s="300"/>
      <c r="V710" s="67"/>
      <c r="W710" s="17"/>
      <c r="X710" s="17"/>
      <c r="Y710" s="300"/>
      <c r="Z710" s="386"/>
      <c r="AA710" s="386"/>
      <c r="AB710" s="386"/>
      <c r="AC710" s="386"/>
      <c r="AD710" s="386"/>
      <c r="AE710" s="386"/>
      <c r="AF710" s="386"/>
    </row>
    <row r="711" ht="15.75" customHeight="1">
      <c r="A711" s="24"/>
      <c r="B711" s="25"/>
      <c r="C711" s="25"/>
      <c r="D711" s="28"/>
      <c r="E711" s="28"/>
      <c r="F711" s="404"/>
      <c r="G711" s="380"/>
      <c r="H711" s="300"/>
      <c r="I711" s="17"/>
      <c r="J711" s="17"/>
      <c r="K711" s="17"/>
      <c r="L711" s="17"/>
      <c r="M711" s="17"/>
      <c r="N711" s="17"/>
      <c r="O711" s="17"/>
      <c r="P711" s="17"/>
      <c r="Q711" s="17"/>
      <c r="R711" s="17"/>
      <c r="S711" s="17"/>
      <c r="T711" s="17"/>
      <c r="U711" s="300"/>
      <c r="V711" s="47"/>
      <c r="W711" s="17"/>
      <c r="X711" s="17"/>
      <c r="Y711" s="300"/>
      <c r="Z711" s="386"/>
      <c r="AA711" s="386"/>
      <c r="AB711" s="386"/>
      <c r="AC711" s="386"/>
      <c r="AD711" s="386"/>
      <c r="AE711" s="386"/>
      <c r="AF711" s="386"/>
    </row>
    <row r="712" ht="15.75" customHeight="1">
      <c r="A712" s="24"/>
      <c r="B712" s="25"/>
      <c r="C712" s="25"/>
      <c r="D712" s="28"/>
      <c r="E712" s="28"/>
      <c r="F712" s="383"/>
      <c r="G712" s="380"/>
      <c r="H712" s="300"/>
      <c r="I712" s="17"/>
      <c r="J712" s="17"/>
      <c r="K712" s="17"/>
      <c r="L712" s="17"/>
      <c r="M712" s="17"/>
      <c r="N712" s="17"/>
      <c r="O712" s="17"/>
      <c r="P712" s="17"/>
      <c r="Q712" s="17"/>
      <c r="R712" s="17"/>
      <c r="S712" s="17"/>
      <c r="T712" s="17"/>
      <c r="U712" s="300"/>
      <c r="V712" s="67"/>
      <c r="W712" s="17"/>
      <c r="X712" s="17"/>
      <c r="Y712" s="300"/>
      <c r="Z712" s="386"/>
      <c r="AA712" s="386"/>
      <c r="AB712" s="386"/>
      <c r="AC712" s="386"/>
      <c r="AD712" s="386"/>
      <c r="AE712" s="386"/>
      <c r="AF712" s="386"/>
    </row>
    <row r="713" ht="15.75" customHeight="1">
      <c r="A713" s="24"/>
      <c r="B713" s="25"/>
      <c r="C713" s="25"/>
      <c r="D713" s="28"/>
      <c r="E713" s="28"/>
      <c r="F713" s="404"/>
      <c r="G713" s="380"/>
      <c r="H713" s="300"/>
      <c r="I713" s="17"/>
      <c r="J713" s="17"/>
      <c r="K713" s="17"/>
      <c r="L713" s="17"/>
      <c r="M713" s="17"/>
      <c r="N713" s="17"/>
      <c r="O713" s="17"/>
      <c r="P713" s="17"/>
      <c r="Q713" s="17"/>
      <c r="R713" s="17"/>
      <c r="S713" s="17"/>
      <c r="T713" s="17"/>
      <c r="U713" s="300"/>
      <c r="V713" s="47"/>
      <c r="W713" s="17"/>
      <c r="X713" s="17"/>
      <c r="Y713" s="300"/>
      <c r="Z713" s="386"/>
      <c r="AA713" s="386"/>
      <c r="AB713" s="386"/>
      <c r="AC713" s="386"/>
      <c r="AD713" s="386"/>
      <c r="AE713" s="386"/>
      <c r="AF713" s="386"/>
    </row>
    <row r="714" ht="15.75" customHeight="1">
      <c r="A714" s="24"/>
      <c r="B714" s="25"/>
      <c r="C714" s="25"/>
      <c r="D714" s="28"/>
      <c r="E714" s="28"/>
      <c r="F714" s="383"/>
      <c r="G714" s="380"/>
      <c r="H714" s="300"/>
      <c r="I714" s="17"/>
      <c r="J714" s="17"/>
      <c r="K714" s="17"/>
      <c r="L714" s="17"/>
      <c r="M714" s="17"/>
      <c r="N714" s="17"/>
      <c r="O714" s="17"/>
      <c r="P714" s="17"/>
      <c r="Q714" s="17"/>
      <c r="R714" s="17"/>
      <c r="S714" s="17"/>
      <c r="T714" s="17"/>
      <c r="U714" s="300"/>
      <c r="V714" s="67"/>
      <c r="W714" s="17"/>
      <c r="X714" s="17"/>
      <c r="Y714" s="300"/>
      <c r="Z714" s="386"/>
      <c r="AA714" s="386"/>
      <c r="AB714" s="386"/>
      <c r="AC714" s="386"/>
      <c r="AD714" s="386"/>
      <c r="AE714" s="386"/>
      <c r="AF714" s="386"/>
    </row>
    <row r="715" ht="15.75" customHeight="1">
      <c r="A715" s="24"/>
      <c r="B715" s="25"/>
      <c r="C715" s="25"/>
      <c r="D715" s="28"/>
      <c r="E715" s="28"/>
      <c r="F715" s="404"/>
      <c r="G715" s="380"/>
      <c r="H715" s="300"/>
      <c r="I715" s="17"/>
      <c r="J715" s="17"/>
      <c r="K715" s="17"/>
      <c r="L715" s="17"/>
      <c r="M715" s="17"/>
      <c r="N715" s="17"/>
      <c r="O715" s="17"/>
      <c r="P715" s="17"/>
      <c r="Q715" s="17"/>
      <c r="R715" s="17"/>
      <c r="S715" s="17"/>
      <c r="T715" s="17"/>
      <c r="U715" s="300"/>
      <c r="V715" s="47"/>
      <c r="W715" s="17"/>
      <c r="X715" s="17"/>
      <c r="Y715" s="300"/>
      <c r="Z715" s="386"/>
      <c r="AA715" s="386"/>
      <c r="AB715" s="386"/>
      <c r="AC715" s="386"/>
      <c r="AD715" s="386"/>
      <c r="AE715" s="386"/>
      <c r="AF715" s="386"/>
    </row>
    <row r="716" ht="15.75" customHeight="1">
      <c r="A716" s="24"/>
      <c r="B716" s="25"/>
      <c r="C716" s="25"/>
      <c r="D716" s="28"/>
      <c r="E716" s="28"/>
      <c r="F716" s="383"/>
      <c r="G716" s="380"/>
      <c r="H716" s="300"/>
      <c r="I716" s="17"/>
      <c r="J716" s="17"/>
      <c r="K716" s="17"/>
      <c r="L716" s="17"/>
      <c r="M716" s="17"/>
      <c r="N716" s="17"/>
      <c r="O716" s="17"/>
      <c r="P716" s="17"/>
      <c r="Q716" s="17"/>
      <c r="R716" s="17"/>
      <c r="S716" s="17"/>
      <c r="T716" s="17"/>
      <c r="U716" s="300"/>
      <c r="V716" s="67"/>
      <c r="W716" s="17"/>
      <c r="X716" s="17"/>
      <c r="Y716" s="300"/>
      <c r="Z716" s="386"/>
      <c r="AA716" s="386"/>
      <c r="AB716" s="386"/>
      <c r="AC716" s="386"/>
      <c r="AD716" s="386"/>
      <c r="AE716" s="386"/>
      <c r="AF716" s="386"/>
    </row>
    <row r="717" ht="15.75" customHeight="1">
      <c r="A717" s="24"/>
      <c r="B717" s="25"/>
      <c r="C717" s="25"/>
      <c r="D717" s="28"/>
      <c r="E717" s="28"/>
      <c r="F717" s="404"/>
      <c r="G717" s="380"/>
      <c r="H717" s="300"/>
      <c r="I717" s="17"/>
      <c r="J717" s="17"/>
      <c r="K717" s="17"/>
      <c r="L717" s="17"/>
      <c r="M717" s="17"/>
      <c r="N717" s="17"/>
      <c r="O717" s="17"/>
      <c r="P717" s="17"/>
      <c r="Q717" s="17"/>
      <c r="R717" s="17"/>
      <c r="S717" s="17"/>
      <c r="T717" s="17"/>
      <c r="U717" s="300"/>
      <c r="V717" s="47"/>
      <c r="W717" s="17"/>
      <c r="X717" s="17"/>
      <c r="Y717" s="300"/>
      <c r="Z717" s="386"/>
      <c r="AA717" s="386"/>
      <c r="AB717" s="386"/>
      <c r="AC717" s="386"/>
      <c r="AD717" s="386"/>
      <c r="AE717" s="386"/>
      <c r="AF717" s="386"/>
    </row>
    <row r="718" ht="15.75" customHeight="1">
      <c r="A718" s="24"/>
      <c r="B718" s="25"/>
      <c r="C718" s="25"/>
      <c r="D718" s="28"/>
      <c r="E718" s="28"/>
      <c r="F718" s="383"/>
      <c r="G718" s="380"/>
      <c r="H718" s="300"/>
      <c r="I718" s="17"/>
      <c r="J718" s="17"/>
      <c r="K718" s="17"/>
      <c r="L718" s="17"/>
      <c r="M718" s="17"/>
      <c r="N718" s="17"/>
      <c r="O718" s="17"/>
      <c r="P718" s="17"/>
      <c r="Q718" s="17"/>
      <c r="R718" s="17"/>
      <c r="S718" s="17"/>
      <c r="T718" s="17"/>
      <c r="U718" s="300"/>
      <c r="V718" s="67"/>
      <c r="W718" s="17"/>
      <c r="X718" s="17"/>
      <c r="Y718" s="300"/>
      <c r="Z718" s="386"/>
      <c r="AA718" s="386"/>
      <c r="AB718" s="386"/>
      <c r="AC718" s="386"/>
      <c r="AD718" s="386"/>
      <c r="AE718" s="386"/>
      <c r="AF718" s="386"/>
    </row>
    <row r="719" ht="15.75" customHeight="1">
      <c r="A719" s="24"/>
      <c r="B719" s="25"/>
      <c r="C719" s="25"/>
      <c r="D719" s="28"/>
      <c r="E719" s="28"/>
      <c r="F719" s="404"/>
      <c r="G719" s="380"/>
      <c r="H719" s="300"/>
      <c r="I719" s="17"/>
      <c r="J719" s="17"/>
      <c r="K719" s="17"/>
      <c r="L719" s="17"/>
      <c r="M719" s="17"/>
      <c r="N719" s="17"/>
      <c r="O719" s="17"/>
      <c r="P719" s="17"/>
      <c r="Q719" s="17"/>
      <c r="R719" s="17"/>
      <c r="S719" s="17"/>
      <c r="T719" s="17"/>
      <c r="U719" s="300"/>
      <c r="V719" s="47"/>
      <c r="W719" s="17"/>
      <c r="X719" s="17"/>
      <c r="Y719" s="300"/>
      <c r="Z719" s="386"/>
      <c r="AA719" s="386"/>
      <c r="AB719" s="386"/>
      <c r="AC719" s="386"/>
      <c r="AD719" s="386"/>
      <c r="AE719" s="386"/>
      <c r="AF719" s="386"/>
    </row>
    <row r="720" ht="15.75" customHeight="1">
      <c r="A720" s="24"/>
      <c r="B720" s="25"/>
      <c r="C720" s="25"/>
      <c r="D720" s="28"/>
      <c r="E720" s="28"/>
      <c r="F720" s="383"/>
      <c r="G720" s="380"/>
      <c r="H720" s="300"/>
      <c r="I720" s="17"/>
      <c r="J720" s="17"/>
      <c r="K720" s="17"/>
      <c r="L720" s="17"/>
      <c r="M720" s="17"/>
      <c r="N720" s="17"/>
      <c r="O720" s="17"/>
      <c r="P720" s="17"/>
      <c r="Q720" s="17"/>
      <c r="R720" s="17"/>
      <c r="S720" s="17"/>
      <c r="T720" s="17"/>
      <c r="U720" s="300"/>
      <c r="V720" s="67"/>
      <c r="W720" s="17"/>
      <c r="X720" s="17"/>
      <c r="Y720" s="300"/>
      <c r="Z720" s="386"/>
      <c r="AA720" s="386"/>
      <c r="AB720" s="386"/>
      <c r="AC720" s="386"/>
      <c r="AD720" s="386"/>
      <c r="AE720" s="386"/>
      <c r="AF720" s="386"/>
    </row>
    <row r="721" ht="15.75" customHeight="1">
      <c r="A721" s="24"/>
      <c r="B721" s="25"/>
      <c r="C721" s="25"/>
      <c r="D721" s="28"/>
      <c r="E721" s="28"/>
      <c r="F721" s="404"/>
      <c r="G721" s="380"/>
      <c r="H721" s="300"/>
      <c r="I721" s="17"/>
      <c r="J721" s="17"/>
      <c r="K721" s="17"/>
      <c r="L721" s="17"/>
      <c r="M721" s="17"/>
      <c r="N721" s="17"/>
      <c r="O721" s="17"/>
      <c r="P721" s="17"/>
      <c r="Q721" s="17"/>
      <c r="R721" s="17"/>
      <c r="S721" s="17"/>
      <c r="T721" s="17"/>
      <c r="U721" s="300"/>
      <c r="V721" s="47"/>
      <c r="W721" s="17"/>
      <c r="X721" s="17"/>
      <c r="Y721" s="300"/>
      <c r="Z721" s="386"/>
      <c r="AA721" s="386"/>
      <c r="AB721" s="386"/>
      <c r="AC721" s="386"/>
      <c r="AD721" s="386"/>
      <c r="AE721" s="386"/>
      <c r="AF721" s="386"/>
    </row>
    <row r="722" ht="15.75" customHeight="1">
      <c r="A722" s="24"/>
      <c r="B722" s="25"/>
      <c r="C722" s="25"/>
      <c r="D722" s="28"/>
      <c r="E722" s="28"/>
      <c r="F722" s="383"/>
      <c r="G722" s="380"/>
      <c r="H722" s="300"/>
      <c r="I722" s="17"/>
      <c r="J722" s="17"/>
      <c r="K722" s="17"/>
      <c r="L722" s="17"/>
      <c r="M722" s="17"/>
      <c r="N722" s="17"/>
      <c r="O722" s="17"/>
      <c r="P722" s="17"/>
      <c r="Q722" s="17"/>
      <c r="R722" s="17"/>
      <c r="S722" s="17"/>
      <c r="T722" s="17"/>
      <c r="U722" s="300"/>
      <c r="V722" s="67"/>
      <c r="W722" s="17"/>
      <c r="X722" s="17"/>
      <c r="Y722" s="300"/>
      <c r="Z722" s="386"/>
      <c r="AA722" s="386"/>
      <c r="AB722" s="386"/>
      <c r="AC722" s="386"/>
      <c r="AD722" s="386"/>
      <c r="AE722" s="386"/>
      <c r="AF722" s="386"/>
    </row>
    <row r="723" ht="15.75" customHeight="1">
      <c r="A723" s="24"/>
      <c r="B723" s="25"/>
      <c r="C723" s="25"/>
      <c r="D723" s="28"/>
      <c r="E723" s="28"/>
      <c r="F723" s="404"/>
      <c r="G723" s="380"/>
      <c r="H723" s="300"/>
      <c r="I723" s="17"/>
      <c r="J723" s="17"/>
      <c r="K723" s="17"/>
      <c r="L723" s="17"/>
      <c r="M723" s="17"/>
      <c r="N723" s="17"/>
      <c r="O723" s="17"/>
      <c r="P723" s="17"/>
      <c r="Q723" s="17"/>
      <c r="R723" s="17"/>
      <c r="S723" s="17"/>
      <c r="T723" s="17"/>
      <c r="U723" s="300"/>
      <c r="V723" s="47"/>
      <c r="W723" s="17"/>
      <c r="X723" s="17"/>
      <c r="Y723" s="300"/>
      <c r="Z723" s="386"/>
      <c r="AA723" s="386"/>
      <c r="AB723" s="386"/>
      <c r="AC723" s="386"/>
      <c r="AD723" s="386"/>
      <c r="AE723" s="386"/>
      <c r="AF723" s="386"/>
    </row>
    <row r="724" ht="15.75" customHeight="1">
      <c r="A724" s="24"/>
      <c r="B724" s="25"/>
      <c r="C724" s="25"/>
      <c r="D724" s="28"/>
      <c r="E724" s="28"/>
      <c r="F724" s="383"/>
      <c r="G724" s="380"/>
      <c r="H724" s="300"/>
      <c r="I724" s="17"/>
      <c r="J724" s="17"/>
      <c r="K724" s="17"/>
      <c r="L724" s="17"/>
      <c r="M724" s="17"/>
      <c r="N724" s="17"/>
      <c r="O724" s="17"/>
      <c r="P724" s="17"/>
      <c r="Q724" s="17"/>
      <c r="R724" s="17"/>
      <c r="S724" s="17"/>
      <c r="T724" s="17"/>
      <c r="U724" s="300"/>
      <c r="V724" s="67"/>
      <c r="W724" s="17"/>
      <c r="X724" s="17"/>
      <c r="Y724" s="300"/>
      <c r="Z724" s="386"/>
      <c r="AA724" s="386"/>
      <c r="AB724" s="386"/>
      <c r="AC724" s="386"/>
      <c r="AD724" s="386"/>
      <c r="AE724" s="386"/>
      <c r="AF724" s="386"/>
    </row>
    <row r="725" ht="15.75" customHeight="1">
      <c r="A725" s="24"/>
      <c r="B725" s="25"/>
      <c r="C725" s="25"/>
      <c r="D725" s="28"/>
      <c r="E725" s="28"/>
      <c r="F725" s="404"/>
      <c r="G725" s="380"/>
      <c r="H725" s="300"/>
      <c r="I725" s="17"/>
      <c r="J725" s="17"/>
      <c r="K725" s="17"/>
      <c r="L725" s="17"/>
      <c r="M725" s="17"/>
      <c r="N725" s="17"/>
      <c r="O725" s="17"/>
      <c r="P725" s="17"/>
      <c r="Q725" s="17"/>
      <c r="R725" s="17"/>
      <c r="S725" s="17"/>
      <c r="T725" s="17"/>
      <c r="U725" s="300"/>
      <c r="V725" s="47"/>
      <c r="W725" s="17"/>
      <c r="X725" s="17"/>
      <c r="Y725" s="300"/>
      <c r="Z725" s="386"/>
      <c r="AA725" s="386"/>
      <c r="AB725" s="386"/>
      <c r="AC725" s="386"/>
      <c r="AD725" s="386"/>
      <c r="AE725" s="386"/>
      <c r="AF725" s="386"/>
    </row>
    <row r="726" ht="15.75" customHeight="1">
      <c r="A726" s="24"/>
      <c r="B726" s="25"/>
      <c r="C726" s="25"/>
      <c r="D726" s="28"/>
      <c r="E726" s="28"/>
      <c r="F726" s="383"/>
      <c r="G726" s="380"/>
      <c r="H726" s="300"/>
      <c r="I726" s="17"/>
      <c r="J726" s="17"/>
      <c r="K726" s="17"/>
      <c r="L726" s="17"/>
      <c r="M726" s="17"/>
      <c r="N726" s="17"/>
      <c r="O726" s="17"/>
      <c r="P726" s="17"/>
      <c r="Q726" s="17"/>
      <c r="R726" s="17"/>
      <c r="S726" s="17"/>
      <c r="T726" s="17"/>
      <c r="U726" s="300"/>
      <c r="V726" s="67"/>
      <c r="W726" s="17"/>
      <c r="X726" s="17"/>
      <c r="Y726" s="300"/>
      <c r="Z726" s="386"/>
      <c r="AA726" s="386"/>
      <c r="AB726" s="386"/>
      <c r="AC726" s="386"/>
      <c r="AD726" s="386"/>
      <c r="AE726" s="386"/>
      <c r="AF726" s="386"/>
    </row>
    <row r="727" ht="15.75" customHeight="1">
      <c r="A727" s="24"/>
      <c r="B727" s="25"/>
      <c r="C727" s="25"/>
      <c r="D727" s="28"/>
      <c r="E727" s="28"/>
      <c r="F727" s="404"/>
      <c r="G727" s="380"/>
      <c r="H727" s="300"/>
      <c r="I727" s="17"/>
      <c r="J727" s="17"/>
      <c r="K727" s="17"/>
      <c r="L727" s="17"/>
      <c r="M727" s="17"/>
      <c r="N727" s="17"/>
      <c r="O727" s="17"/>
      <c r="P727" s="17"/>
      <c r="Q727" s="17"/>
      <c r="R727" s="17"/>
      <c r="S727" s="17"/>
      <c r="T727" s="17"/>
      <c r="U727" s="300"/>
      <c r="V727" s="47"/>
      <c r="W727" s="17"/>
      <c r="X727" s="17"/>
      <c r="Y727" s="300"/>
      <c r="Z727" s="386"/>
      <c r="AA727" s="386"/>
      <c r="AB727" s="386"/>
      <c r="AC727" s="386"/>
      <c r="AD727" s="386"/>
      <c r="AE727" s="386"/>
      <c r="AF727" s="386"/>
    </row>
    <row r="728" ht="15.75" customHeight="1">
      <c r="A728" s="24"/>
      <c r="B728" s="25"/>
      <c r="C728" s="25"/>
      <c r="D728" s="28"/>
      <c r="E728" s="28"/>
      <c r="F728" s="383"/>
      <c r="G728" s="380"/>
      <c r="H728" s="300"/>
      <c r="I728" s="17"/>
      <c r="J728" s="17"/>
      <c r="K728" s="17"/>
      <c r="L728" s="17"/>
      <c r="M728" s="17"/>
      <c r="N728" s="17"/>
      <c r="O728" s="17"/>
      <c r="P728" s="17"/>
      <c r="Q728" s="17"/>
      <c r="R728" s="17"/>
      <c r="S728" s="17"/>
      <c r="T728" s="17"/>
      <c r="U728" s="300"/>
      <c r="V728" s="67"/>
      <c r="W728" s="17"/>
      <c r="X728" s="17"/>
      <c r="Y728" s="300"/>
      <c r="Z728" s="386"/>
      <c r="AA728" s="386"/>
      <c r="AB728" s="386"/>
      <c r="AC728" s="386"/>
      <c r="AD728" s="386"/>
      <c r="AE728" s="386"/>
      <c r="AF728" s="386"/>
    </row>
    <row r="729" ht="15.75" customHeight="1">
      <c r="A729" s="24"/>
      <c r="B729" s="25"/>
      <c r="C729" s="25"/>
      <c r="D729" s="28"/>
      <c r="E729" s="28"/>
      <c r="F729" s="404"/>
      <c r="G729" s="380"/>
      <c r="H729" s="300"/>
      <c r="I729" s="17"/>
      <c r="J729" s="17"/>
      <c r="K729" s="17"/>
      <c r="L729" s="17"/>
      <c r="M729" s="17"/>
      <c r="N729" s="17"/>
      <c r="O729" s="17"/>
      <c r="P729" s="17"/>
      <c r="Q729" s="17"/>
      <c r="R729" s="17"/>
      <c r="S729" s="17"/>
      <c r="T729" s="17"/>
      <c r="U729" s="300"/>
      <c r="V729" s="47"/>
      <c r="W729" s="17"/>
      <c r="X729" s="17"/>
      <c r="Y729" s="300"/>
      <c r="Z729" s="386"/>
      <c r="AA729" s="386"/>
      <c r="AB729" s="386"/>
      <c r="AC729" s="386"/>
      <c r="AD729" s="386"/>
      <c r="AE729" s="386"/>
      <c r="AF729" s="386"/>
    </row>
    <row r="730" ht="15.75" customHeight="1">
      <c r="A730" s="24"/>
      <c r="B730" s="25"/>
      <c r="C730" s="25"/>
      <c r="D730" s="28"/>
      <c r="E730" s="28"/>
      <c r="F730" s="383"/>
      <c r="G730" s="380"/>
      <c r="H730" s="300"/>
      <c r="I730" s="17"/>
      <c r="J730" s="17"/>
      <c r="K730" s="17"/>
      <c r="L730" s="17"/>
      <c r="M730" s="17"/>
      <c r="N730" s="17"/>
      <c r="O730" s="17"/>
      <c r="P730" s="17"/>
      <c r="Q730" s="17"/>
      <c r="R730" s="17"/>
      <c r="S730" s="17"/>
      <c r="T730" s="17"/>
      <c r="U730" s="300"/>
      <c r="V730" s="67"/>
      <c r="W730" s="17"/>
      <c r="X730" s="17"/>
      <c r="Y730" s="300"/>
      <c r="Z730" s="386"/>
      <c r="AA730" s="386"/>
      <c r="AB730" s="386"/>
      <c r="AC730" s="386"/>
      <c r="AD730" s="386"/>
      <c r="AE730" s="386"/>
      <c r="AF730" s="386"/>
    </row>
    <row r="731" ht="15.75" customHeight="1">
      <c r="A731" s="24"/>
      <c r="B731" s="25"/>
      <c r="C731" s="25"/>
      <c r="D731" s="28"/>
      <c r="E731" s="28"/>
      <c r="F731" s="404"/>
      <c r="G731" s="380"/>
      <c r="H731" s="300"/>
      <c r="I731" s="17"/>
      <c r="J731" s="17"/>
      <c r="K731" s="17"/>
      <c r="L731" s="17"/>
      <c r="M731" s="17"/>
      <c r="N731" s="17"/>
      <c r="O731" s="17"/>
      <c r="P731" s="17"/>
      <c r="Q731" s="17"/>
      <c r="R731" s="17"/>
      <c r="S731" s="17"/>
      <c r="T731" s="17"/>
      <c r="U731" s="300"/>
      <c r="V731" s="47"/>
      <c r="W731" s="17"/>
      <c r="X731" s="17"/>
      <c r="Y731" s="300"/>
      <c r="Z731" s="386"/>
      <c r="AA731" s="386"/>
      <c r="AB731" s="386"/>
      <c r="AC731" s="386"/>
      <c r="AD731" s="386"/>
      <c r="AE731" s="386"/>
      <c r="AF731" s="386"/>
    </row>
    <row r="732" ht="15.75" customHeight="1">
      <c r="A732" s="24"/>
      <c r="B732" s="25"/>
      <c r="C732" s="25"/>
      <c r="D732" s="28"/>
      <c r="E732" s="28"/>
      <c r="F732" s="383"/>
      <c r="G732" s="380"/>
      <c r="H732" s="300"/>
      <c r="I732" s="17"/>
      <c r="J732" s="17"/>
      <c r="K732" s="17"/>
      <c r="L732" s="17"/>
      <c r="M732" s="17"/>
      <c r="N732" s="17"/>
      <c r="O732" s="17"/>
      <c r="P732" s="17"/>
      <c r="Q732" s="17"/>
      <c r="R732" s="17"/>
      <c r="S732" s="17"/>
      <c r="T732" s="17"/>
      <c r="U732" s="300"/>
      <c r="V732" s="67"/>
      <c r="W732" s="17"/>
      <c r="X732" s="17"/>
      <c r="Y732" s="300"/>
      <c r="Z732" s="386"/>
      <c r="AA732" s="386"/>
      <c r="AB732" s="386"/>
      <c r="AC732" s="386"/>
      <c r="AD732" s="386"/>
      <c r="AE732" s="386"/>
      <c r="AF732" s="386"/>
    </row>
    <row r="733" ht="15.75" customHeight="1">
      <c r="A733" s="24"/>
      <c r="B733" s="25"/>
      <c r="C733" s="25"/>
      <c r="D733" s="28"/>
      <c r="E733" s="28"/>
      <c r="F733" s="404"/>
      <c r="G733" s="380"/>
      <c r="H733" s="300"/>
      <c r="I733" s="17"/>
      <c r="J733" s="17"/>
      <c r="K733" s="17"/>
      <c r="L733" s="17"/>
      <c r="M733" s="17"/>
      <c r="N733" s="17"/>
      <c r="O733" s="17"/>
      <c r="P733" s="17"/>
      <c r="Q733" s="17"/>
      <c r="R733" s="17"/>
      <c r="S733" s="17"/>
      <c r="T733" s="17"/>
      <c r="U733" s="300"/>
      <c r="V733" s="47"/>
      <c r="W733" s="17"/>
      <c r="X733" s="17"/>
      <c r="Y733" s="300"/>
      <c r="Z733" s="386"/>
      <c r="AA733" s="386"/>
      <c r="AB733" s="386"/>
      <c r="AC733" s="386"/>
      <c r="AD733" s="386"/>
      <c r="AE733" s="386"/>
      <c r="AF733" s="386"/>
    </row>
    <row r="734" ht="15.75" customHeight="1">
      <c r="A734" s="24"/>
      <c r="B734" s="25"/>
      <c r="C734" s="25"/>
      <c r="D734" s="28"/>
      <c r="E734" s="28"/>
      <c r="F734" s="383"/>
      <c r="G734" s="380"/>
      <c r="H734" s="300"/>
      <c r="I734" s="17"/>
      <c r="J734" s="17"/>
      <c r="K734" s="17"/>
      <c r="L734" s="17"/>
      <c r="M734" s="17"/>
      <c r="N734" s="17"/>
      <c r="O734" s="17"/>
      <c r="P734" s="17"/>
      <c r="Q734" s="17"/>
      <c r="R734" s="17"/>
      <c r="S734" s="17"/>
      <c r="T734" s="17"/>
      <c r="U734" s="300"/>
      <c r="V734" s="67"/>
      <c r="W734" s="17"/>
      <c r="X734" s="17"/>
      <c r="Y734" s="300"/>
      <c r="Z734" s="386"/>
      <c r="AA734" s="386"/>
      <c r="AB734" s="386"/>
      <c r="AC734" s="386"/>
      <c r="AD734" s="386"/>
      <c r="AE734" s="386"/>
      <c r="AF734" s="386"/>
    </row>
    <row r="735" ht="15.75" customHeight="1">
      <c r="A735" s="24"/>
      <c r="B735" s="25"/>
      <c r="C735" s="25"/>
      <c r="D735" s="28"/>
      <c r="E735" s="28"/>
      <c r="F735" s="404"/>
      <c r="G735" s="380"/>
      <c r="H735" s="300"/>
      <c r="I735" s="17"/>
      <c r="J735" s="17"/>
      <c r="K735" s="17"/>
      <c r="L735" s="17"/>
      <c r="M735" s="17"/>
      <c r="N735" s="17"/>
      <c r="O735" s="17"/>
      <c r="P735" s="17"/>
      <c r="Q735" s="17"/>
      <c r="R735" s="17"/>
      <c r="S735" s="17"/>
      <c r="T735" s="17"/>
      <c r="U735" s="300"/>
      <c r="V735" s="47"/>
      <c r="W735" s="17"/>
      <c r="X735" s="17"/>
      <c r="Y735" s="300"/>
      <c r="Z735" s="386"/>
      <c r="AA735" s="386"/>
      <c r="AB735" s="386"/>
      <c r="AC735" s="386"/>
      <c r="AD735" s="386"/>
      <c r="AE735" s="386"/>
      <c r="AF735" s="386"/>
    </row>
    <row r="736" ht="15.75" customHeight="1">
      <c r="A736" s="24"/>
      <c r="B736" s="25"/>
      <c r="C736" s="25"/>
      <c r="D736" s="28"/>
      <c r="E736" s="28"/>
      <c r="F736" s="383"/>
      <c r="G736" s="380"/>
      <c r="H736" s="300"/>
      <c r="I736" s="17"/>
      <c r="J736" s="17"/>
      <c r="K736" s="17"/>
      <c r="L736" s="17"/>
      <c r="M736" s="17"/>
      <c r="N736" s="17"/>
      <c r="O736" s="17"/>
      <c r="P736" s="17"/>
      <c r="Q736" s="17"/>
      <c r="R736" s="17"/>
      <c r="S736" s="17"/>
      <c r="T736" s="17"/>
      <c r="U736" s="300"/>
      <c r="V736" s="67"/>
      <c r="W736" s="17"/>
      <c r="X736" s="17"/>
      <c r="Y736" s="300"/>
      <c r="Z736" s="386"/>
      <c r="AA736" s="386"/>
      <c r="AB736" s="386"/>
      <c r="AC736" s="386"/>
      <c r="AD736" s="386"/>
      <c r="AE736" s="386"/>
      <c r="AF736" s="386"/>
    </row>
    <row r="737" ht="15.75" customHeight="1">
      <c r="A737" s="24"/>
      <c r="B737" s="25"/>
      <c r="C737" s="25"/>
      <c r="D737" s="28"/>
      <c r="E737" s="28"/>
      <c r="F737" s="404"/>
      <c r="G737" s="380"/>
      <c r="H737" s="300"/>
      <c r="I737" s="17"/>
      <c r="J737" s="17"/>
      <c r="K737" s="17"/>
      <c r="L737" s="17"/>
      <c r="M737" s="17"/>
      <c r="N737" s="17"/>
      <c r="O737" s="17"/>
      <c r="P737" s="17"/>
      <c r="Q737" s="17"/>
      <c r="R737" s="17"/>
      <c r="S737" s="17"/>
      <c r="T737" s="17"/>
      <c r="U737" s="300"/>
      <c r="V737" s="47"/>
      <c r="W737" s="17"/>
      <c r="X737" s="17"/>
      <c r="Y737" s="300"/>
      <c r="Z737" s="386"/>
      <c r="AA737" s="386"/>
      <c r="AB737" s="386"/>
      <c r="AC737" s="386"/>
      <c r="AD737" s="386"/>
      <c r="AE737" s="386"/>
      <c r="AF737" s="386"/>
    </row>
    <row r="738" ht="15.75" customHeight="1">
      <c r="A738" s="24"/>
      <c r="B738" s="25"/>
      <c r="C738" s="25"/>
      <c r="D738" s="28"/>
      <c r="E738" s="28"/>
      <c r="F738" s="383"/>
      <c r="G738" s="380"/>
      <c r="H738" s="300"/>
      <c r="I738" s="17"/>
      <c r="J738" s="17"/>
      <c r="K738" s="17"/>
      <c r="L738" s="17"/>
      <c r="M738" s="17"/>
      <c r="N738" s="17"/>
      <c r="O738" s="17"/>
      <c r="P738" s="17"/>
      <c r="Q738" s="17"/>
      <c r="R738" s="17"/>
      <c r="S738" s="17"/>
      <c r="T738" s="17"/>
      <c r="U738" s="300"/>
      <c r="V738" s="67"/>
      <c r="W738" s="17"/>
      <c r="X738" s="17"/>
      <c r="Y738" s="300"/>
      <c r="Z738" s="386"/>
      <c r="AA738" s="386"/>
      <c r="AB738" s="386"/>
      <c r="AC738" s="386"/>
      <c r="AD738" s="386"/>
      <c r="AE738" s="386"/>
      <c r="AF738" s="386"/>
    </row>
    <row r="739" ht="15.75" customHeight="1">
      <c r="A739" s="24"/>
      <c r="B739" s="25"/>
      <c r="C739" s="25"/>
      <c r="D739" s="28"/>
      <c r="E739" s="28"/>
      <c r="F739" s="404"/>
      <c r="G739" s="380"/>
      <c r="H739" s="300"/>
      <c r="I739" s="17"/>
      <c r="J739" s="17"/>
      <c r="K739" s="17"/>
      <c r="L739" s="17"/>
      <c r="M739" s="17"/>
      <c r="N739" s="17"/>
      <c r="O739" s="17"/>
      <c r="P739" s="17"/>
      <c r="Q739" s="17"/>
      <c r="R739" s="17"/>
      <c r="S739" s="17"/>
      <c r="T739" s="17"/>
      <c r="U739" s="300"/>
      <c r="V739" s="47"/>
      <c r="W739" s="17"/>
      <c r="X739" s="17"/>
      <c r="Y739" s="300"/>
      <c r="Z739" s="386"/>
      <c r="AA739" s="386"/>
      <c r="AB739" s="386"/>
      <c r="AC739" s="386"/>
      <c r="AD739" s="386"/>
      <c r="AE739" s="386"/>
      <c r="AF739" s="386"/>
    </row>
    <row r="740" ht="15.75" customHeight="1">
      <c r="A740" s="24"/>
      <c r="B740" s="25"/>
      <c r="C740" s="25"/>
      <c r="D740" s="28"/>
      <c r="E740" s="28"/>
      <c r="F740" s="383"/>
      <c r="G740" s="380"/>
      <c r="H740" s="300"/>
      <c r="I740" s="17"/>
      <c r="J740" s="17"/>
      <c r="K740" s="17"/>
      <c r="L740" s="17"/>
      <c r="M740" s="17"/>
      <c r="N740" s="17"/>
      <c r="O740" s="17"/>
      <c r="P740" s="17"/>
      <c r="Q740" s="17"/>
      <c r="R740" s="17"/>
      <c r="S740" s="17"/>
      <c r="T740" s="17"/>
      <c r="U740" s="300"/>
      <c r="V740" s="67"/>
      <c r="W740" s="17"/>
      <c r="X740" s="17"/>
      <c r="Y740" s="300"/>
      <c r="Z740" s="386"/>
      <c r="AA740" s="386"/>
      <c r="AB740" s="386"/>
      <c r="AC740" s="386"/>
      <c r="AD740" s="386"/>
      <c r="AE740" s="386"/>
      <c r="AF740" s="386"/>
    </row>
    <row r="741" ht="15.75" customHeight="1">
      <c r="A741" s="24"/>
      <c r="B741" s="25"/>
      <c r="C741" s="25"/>
      <c r="D741" s="28"/>
      <c r="E741" s="28"/>
      <c r="F741" s="404"/>
      <c r="G741" s="380"/>
      <c r="H741" s="300"/>
      <c r="I741" s="17"/>
      <c r="J741" s="17"/>
      <c r="K741" s="17"/>
      <c r="L741" s="17"/>
      <c r="M741" s="17"/>
      <c r="N741" s="17"/>
      <c r="O741" s="17"/>
      <c r="P741" s="17"/>
      <c r="Q741" s="17"/>
      <c r="R741" s="17"/>
      <c r="S741" s="17"/>
      <c r="T741" s="17"/>
      <c r="U741" s="300"/>
      <c r="V741" s="47"/>
      <c r="W741" s="17"/>
      <c r="X741" s="17"/>
      <c r="Y741" s="300"/>
      <c r="Z741" s="386"/>
      <c r="AA741" s="386"/>
      <c r="AB741" s="386"/>
      <c r="AC741" s="386"/>
      <c r="AD741" s="386"/>
      <c r="AE741" s="386"/>
      <c r="AF741" s="386"/>
    </row>
    <row r="742" ht="15.75" customHeight="1">
      <c r="A742" s="24"/>
      <c r="B742" s="25"/>
      <c r="C742" s="25"/>
      <c r="D742" s="28"/>
      <c r="E742" s="28"/>
      <c r="F742" s="383"/>
      <c r="G742" s="380"/>
      <c r="H742" s="300"/>
      <c r="I742" s="17"/>
      <c r="J742" s="17"/>
      <c r="K742" s="17"/>
      <c r="L742" s="17"/>
      <c r="M742" s="17"/>
      <c r="N742" s="17"/>
      <c r="O742" s="17"/>
      <c r="P742" s="17"/>
      <c r="Q742" s="17"/>
      <c r="R742" s="17"/>
      <c r="S742" s="17"/>
      <c r="T742" s="17"/>
      <c r="U742" s="300"/>
      <c r="V742" s="67"/>
      <c r="W742" s="17"/>
      <c r="X742" s="17"/>
      <c r="Y742" s="300"/>
      <c r="Z742" s="386"/>
      <c r="AA742" s="386"/>
      <c r="AB742" s="386"/>
      <c r="AC742" s="386"/>
      <c r="AD742" s="386"/>
      <c r="AE742" s="386"/>
      <c r="AF742" s="386"/>
    </row>
    <row r="743" ht="15.75" customHeight="1">
      <c r="A743" s="24"/>
      <c r="B743" s="25"/>
      <c r="C743" s="25"/>
      <c r="D743" s="28"/>
      <c r="E743" s="28"/>
      <c r="F743" s="404"/>
      <c r="G743" s="380"/>
      <c r="H743" s="300"/>
      <c r="I743" s="17"/>
      <c r="J743" s="17"/>
      <c r="K743" s="17"/>
      <c r="L743" s="17"/>
      <c r="M743" s="17"/>
      <c r="N743" s="17"/>
      <c r="O743" s="17"/>
      <c r="P743" s="17"/>
      <c r="Q743" s="17"/>
      <c r="R743" s="17"/>
      <c r="S743" s="17"/>
      <c r="T743" s="17"/>
      <c r="U743" s="300"/>
      <c r="V743" s="47"/>
      <c r="W743" s="17"/>
      <c r="X743" s="17"/>
      <c r="Y743" s="300"/>
      <c r="Z743" s="386"/>
      <c r="AA743" s="386"/>
      <c r="AB743" s="386"/>
      <c r="AC743" s="386"/>
      <c r="AD743" s="386"/>
      <c r="AE743" s="386"/>
      <c r="AF743" s="386"/>
    </row>
    <row r="744" ht="15.75" customHeight="1">
      <c r="A744" s="24"/>
      <c r="B744" s="25"/>
      <c r="C744" s="25"/>
      <c r="D744" s="28"/>
      <c r="E744" s="28"/>
      <c r="F744" s="383"/>
      <c r="G744" s="380"/>
      <c r="H744" s="300"/>
      <c r="I744" s="17"/>
      <c r="J744" s="17"/>
      <c r="K744" s="17"/>
      <c r="L744" s="17"/>
      <c r="M744" s="17"/>
      <c r="N744" s="17"/>
      <c r="O744" s="17"/>
      <c r="P744" s="17"/>
      <c r="Q744" s="17"/>
      <c r="R744" s="17"/>
      <c r="S744" s="17"/>
      <c r="T744" s="17"/>
      <c r="U744" s="300"/>
      <c r="V744" s="67"/>
      <c r="W744" s="17"/>
      <c r="X744" s="17"/>
      <c r="Y744" s="300"/>
      <c r="Z744" s="386"/>
      <c r="AA744" s="386"/>
      <c r="AB744" s="386"/>
      <c r="AC744" s="386"/>
      <c r="AD744" s="386"/>
      <c r="AE744" s="386"/>
      <c r="AF744" s="386"/>
    </row>
    <row r="745" ht="15.75" customHeight="1">
      <c r="A745" s="24"/>
      <c r="B745" s="25"/>
      <c r="C745" s="25"/>
      <c r="D745" s="28"/>
      <c r="E745" s="28"/>
      <c r="F745" s="404"/>
      <c r="G745" s="380"/>
      <c r="H745" s="300"/>
      <c r="I745" s="17"/>
      <c r="J745" s="17"/>
      <c r="K745" s="17"/>
      <c r="L745" s="17"/>
      <c r="M745" s="17"/>
      <c r="N745" s="17"/>
      <c r="O745" s="17"/>
      <c r="P745" s="17"/>
      <c r="Q745" s="17"/>
      <c r="R745" s="17"/>
      <c r="S745" s="17"/>
      <c r="T745" s="17"/>
      <c r="U745" s="300"/>
      <c r="V745" s="47"/>
      <c r="W745" s="17"/>
      <c r="X745" s="17"/>
      <c r="Y745" s="300"/>
      <c r="Z745" s="386"/>
      <c r="AA745" s="386"/>
      <c r="AB745" s="386"/>
      <c r="AC745" s="386"/>
      <c r="AD745" s="386"/>
      <c r="AE745" s="386"/>
      <c r="AF745" s="386"/>
    </row>
    <row r="746" ht="15.75" customHeight="1">
      <c r="A746" s="24"/>
      <c r="B746" s="25"/>
      <c r="C746" s="25"/>
      <c r="D746" s="28"/>
      <c r="E746" s="28"/>
      <c r="F746" s="383"/>
      <c r="G746" s="380"/>
      <c r="H746" s="300"/>
      <c r="I746" s="17"/>
      <c r="J746" s="17"/>
      <c r="K746" s="17"/>
      <c r="L746" s="17"/>
      <c r="M746" s="17"/>
      <c r="N746" s="17"/>
      <c r="O746" s="17"/>
      <c r="P746" s="17"/>
      <c r="Q746" s="17"/>
      <c r="R746" s="17"/>
      <c r="S746" s="17"/>
      <c r="T746" s="17"/>
      <c r="U746" s="300"/>
      <c r="V746" s="67"/>
      <c r="W746" s="17"/>
      <c r="X746" s="17"/>
      <c r="Y746" s="300"/>
      <c r="Z746" s="386"/>
      <c r="AA746" s="386"/>
      <c r="AB746" s="386"/>
      <c r="AC746" s="386"/>
      <c r="AD746" s="386"/>
      <c r="AE746" s="386"/>
      <c r="AF746" s="386"/>
    </row>
    <row r="747" ht="15.75" customHeight="1">
      <c r="A747" s="24"/>
      <c r="B747" s="25"/>
      <c r="C747" s="25"/>
      <c r="D747" s="28"/>
      <c r="E747" s="28"/>
      <c r="F747" s="404"/>
      <c r="G747" s="380"/>
      <c r="H747" s="300"/>
      <c r="I747" s="17"/>
      <c r="J747" s="17"/>
      <c r="K747" s="17"/>
      <c r="L747" s="17"/>
      <c r="M747" s="17"/>
      <c r="N747" s="17"/>
      <c r="O747" s="17"/>
      <c r="P747" s="17"/>
      <c r="Q747" s="17"/>
      <c r="R747" s="17"/>
      <c r="S747" s="17"/>
      <c r="T747" s="17"/>
      <c r="U747" s="300"/>
      <c r="V747" s="47"/>
      <c r="W747" s="17"/>
      <c r="X747" s="17"/>
      <c r="Y747" s="300"/>
      <c r="Z747" s="386"/>
      <c r="AA747" s="386"/>
      <c r="AB747" s="386"/>
      <c r="AC747" s="386"/>
      <c r="AD747" s="386"/>
      <c r="AE747" s="386"/>
      <c r="AF747" s="386"/>
    </row>
    <row r="748" ht="15.75" customHeight="1">
      <c r="A748" s="24"/>
      <c r="B748" s="25"/>
      <c r="C748" s="25"/>
      <c r="D748" s="28"/>
      <c r="E748" s="28"/>
      <c r="F748" s="383"/>
      <c r="G748" s="380"/>
      <c r="H748" s="300"/>
      <c r="I748" s="17"/>
      <c r="J748" s="17"/>
      <c r="K748" s="17"/>
      <c r="L748" s="17"/>
      <c r="M748" s="17"/>
      <c r="N748" s="17"/>
      <c r="O748" s="17"/>
      <c r="P748" s="17"/>
      <c r="Q748" s="17"/>
      <c r="R748" s="17"/>
      <c r="S748" s="17"/>
      <c r="T748" s="17"/>
      <c r="U748" s="300"/>
      <c r="V748" s="67"/>
      <c r="W748" s="17"/>
      <c r="X748" s="17"/>
      <c r="Y748" s="300"/>
      <c r="Z748" s="386"/>
      <c r="AA748" s="386"/>
      <c r="AB748" s="386"/>
      <c r="AC748" s="386"/>
      <c r="AD748" s="386"/>
      <c r="AE748" s="386"/>
      <c r="AF748" s="386"/>
    </row>
    <row r="749" ht="15.75" customHeight="1">
      <c r="A749" s="24"/>
      <c r="B749" s="25"/>
      <c r="C749" s="25"/>
      <c r="D749" s="28"/>
      <c r="E749" s="28"/>
      <c r="F749" s="404"/>
      <c r="G749" s="380"/>
      <c r="H749" s="300"/>
      <c r="I749" s="17"/>
      <c r="J749" s="17"/>
      <c r="K749" s="17"/>
      <c r="L749" s="17"/>
      <c r="M749" s="17"/>
      <c r="N749" s="17"/>
      <c r="O749" s="17"/>
      <c r="P749" s="17"/>
      <c r="Q749" s="17"/>
      <c r="R749" s="17"/>
      <c r="S749" s="17"/>
      <c r="T749" s="17"/>
      <c r="U749" s="300"/>
      <c r="V749" s="47"/>
      <c r="W749" s="17"/>
      <c r="X749" s="17"/>
      <c r="Y749" s="300"/>
      <c r="Z749" s="386"/>
      <c r="AA749" s="386"/>
      <c r="AB749" s="386"/>
      <c r="AC749" s="386"/>
      <c r="AD749" s="386"/>
      <c r="AE749" s="386"/>
      <c r="AF749" s="386"/>
    </row>
    <row r="750" ht="15.75" customHeight="1">
      <c r="A750" s="24"/>
      <c r="B750" s="25"/>
      <c r="C750" s="25"/>
      <c r="D750" s="28"/>
      <c r="E750" s="28"/>
      <c r="F750" s="383"/>
      <c r="G750" s="380"/>
      <c r="H750" s="300"/>
      <c r="I750" s="17"/>
      <c r="J750" s="17"/>
      <c r="K750" s="17"/>
      <c r="L750" s="17"/>
      <c r="M750" s="17"/>
      <c r="N750" s="17"/>
      <c r="O750" s="17"/>
      <c r="P750" s="17"/>
      <c r="Q750" s="17"/>
      <c r="R750" s="17"/>
      <c r="S750" s="17"/>
      <c r="T750" s="17"/>
      <c r="U750" s="300"/>
      <c r="V750" s="67"/>
      <c r="W750" s="17"/>
      <c r="X750" s="17"/>
      <c r="Y750" s="300"/>
      <c r="Z750" s="386"/>
      <c r="AA750" s="386"/>
      <c r="AB750" s="386"/>
      <c r="AC750" s="386"/>
      <c r="AD750" s="386"/>
      <c r="AE750" s="386"/>
      <c r="AF750" s="386"/>
    </row>
    <row r="751" ht="15.75" customHeight="1">
      <c r="A751" s="24"/>
      <c r="B751" s="25"/>
      <c r="C751" s="25"/>
      <c r="D751" s="28"/>
      <c r="E751" s="28"/>
      <c r="F751" s="404"/>
      <c r="G751" s="380"/>
      <c r="H751" s="300"/>
      <c r="I751" s="17"/>
      <c r="J751" s="17"/>
      <c r="K751" s="17"/>
      <c r="L751" s="17"/>
      <c r="M751" s="17"/>
      <c r="N751" s="17"/>
      <c r="O751" s="17"/>
      <c r="P751" s="17"/>
      <c r="Q751" s="17"/>
      <c r="R751" s="17"/>
      <c r="S751" s="17"/>
      <c r="T751" s="17"/>
      <c r="U751" s="300"/>
      <c r="V751" s="47"/>
      <c r="W751" s="17"/>
      <c r="X751" s="17"/>
      <c r="Y751" s="300"/>
      <c r="Z751" s="386"/>
      <c r="AA751" s="386"/>
      <c r="AB751" s="386"/>
      <c r="AC751" s="386"/>
      <c r="AD751" s="386"/>
      <c r="AE751" s="386"/>
      <c r="AF751" s="386"/>
    </row>
    <row r="752" ht="15.75" customHeight="1">
      <c r="A752" s="24"/>
      <c r="B752" s="25"/>
      <c r="C752" s="25"/>
      <c r="D752" s="28"/>
      <c r="E752" s="28"/>
      <c r="F752" s="383"/>
      <c r="G752" s="380"/>
      <c r="H752" s="300"/>
      <c r="I752" s="17"/>
      <c r="J752" s="17"/>
      <c r="K752" s="17"/>
      <c r="L752" s="17"/>
      <c r="M752" s="17"/>
      <c r="N752" s="17"/>
      <c r="O752" s="17"/>
      <c r="P752" s="17"/>
      <c r="Q752" s="17"/>
      <c r="R752" s="17"/>
      <c r="S752" s="17"/>
      <c r="T752" s="17"/>
      <c r="U752" s="300"/>
      <c r="V752" s="67"/>
      <c r="W752" s="17"/>
      <c r="X752" s="17"/>
      <c r="Y752" s="300"/>
      <c r="Z752" s="386"/>
      <c r="AA752" s="386"/>
      <c r="AB752" s="386"/>
      <c r="AC752" s="386"/>
      <c r="AD752" s="386"/>
      <c r="AE752" s="386"/>
      <c r="AF752" s="386"/>
    </row>
    <row r="753" ht="15.75" customHeight="1">
      <c r="A753" s="24"/>
      <c r="B753" s="25"/>
      <c r="C753" s="25"/>
      <c r="D753" s="28"/>
      <c r="E753" s="28"/>
      <c r="F753" s="404"/>
      <c r="G753" s="380"/>
      <c r="H753" s="300"/>
      <c r="I753" s="17"/>
      <c r="J753" s="17"/>
      <c r="K753" s="17"/>
      <c r="L753" s="17"/>
      <c r="M753" s="17"/>
      <c r="N753" s="17"/>
      <c r="O753" s="17"/>
      <c r="P753" s="17"/>
      <c r="Q753" s="17"/>
      <c r="R753" s="17"/>
      <c r="S753" s="17"/>
      <c r="T753" s="17"/>
      <c r="U753" s="300"/>
      <c r="V753" s="47"/>
      <c r="W753" s="17"/>
      <c r="X753" s="17"/>
      <c r="Y753" s="300"/>
      <c r="Z753" s="386"/>
      <c r="AA753" s="386"/>
      <c r="AB753" s="386"/>
      <c r="AC753" s="386"/>
      <c r="AD753" s="386"/>
      <c r="AE753" s="386"/>
      <c r="AF753" s="386"/>
    </row>
    <row r="754" ht="15.75" customHeight="1">
      <c r="A754" s="24"/>
      <c r="B754" s="25"/>
      <c r="C754" s="25"/>
      <c r="D754" s="28"/>
      <c r="E754" s="28"/>
      <c r="F754" s="383"/>
      <c r="G754" s="380"/>
      <c r="H754" s="300"/>
      <c r="I754" s="17"/>
      <c r="J754" s="17"/>
      <c r="K754" s="17"/>
      <c r="L754" s="17"/>
      <c r="M754" s="17"/>
      <c r="N754" s="17"/>
      <c r="O754" s="17"/>
      <c r="P754" s="17"/>
      <c r="Q754" s="17"/>
      <c r="R754" s="17"/>
      <c r="S754" s="17"/>
      <c r="T754" s="17"/>
      <c r="U754" s="300"/>
      <c r="V754" s="67"/>
      <c r="W754" s="17"/>
      <c r="X754" s="17"/>
      <c r="Y754" s="300"/>
      <c r="Z754" s="386"/>
      <c r="AA754" s="386"/>
      <c r="AB754" s="386"/>
      <c r="AC754" s="386"/>
      <c r="AD754" s="386"/>
      <c r="AE754" s="386"/>
      <c r="AF754" s="386"/>
    </row>
    <row r="755" ht="15.75" customHeight="1">
      <c r="A755" s="24"/>
      <c r="B755" s="25"/>
      <c r="C755" s="25"/>
      <c r="D755" s="28"/>
      <c r="E755" s="28"/>
      <c r="F755" s="404"/>
      <c r="G755" s="380"/>
      <c r="H755" s="300"/>
      <c r="I755" s="17"/>
      <c r="J755" s="17"/>
      <c r="K755" s="17"/>
      <c r="L755" s="17"/>
      <c r="M755" s="17"/>
      <c r="N755" s="17"/>
      <c r="O755" s="17"/>
      <c r="P755" s="17"/>
      <c r="Q755" s="17"/>
      <c r="R755" s="17"/>
      <c r="S755" s="17"/>
      <c r="T755" s="17"/>
      <c r="U755" s="300"/>
      <c r="V755" s="47"/>
      <c r="W755" s="17"/>
      <c r="X755" s="17"/>
      <c r="Y755" s="300"/>
      <c r="Z755" s="386"/>
      <c r="AA755" s="386"/>
      <c r="AB755" s="386"/>
      <c r="AC755" s="386"/>
      <c r="AD755" s="386"/>
      <c r="AE755" s="386"/>
      <c r="AF755" s="386"/>
    </row>
    <row r="756" ht="15.75" customHeight="1">
      <c r="A756" s="24"/>
      <c r="B756" s="25"/>
      <c r="C756" s="25"/>
      <c r="D756" s="28"/>
      <c r="E756" s="28"/>
      <c r="F756" s="383"/>
      <c r="G756" s="380"/>
      <c r="H756" s="300"/>
      <c r="I756" s="17"/>
      <c r="J756" s="17"/>
      <c r="K756" s="17"/>
      <c r="L756" s="17"/>
      <c r="M756" s="17"/>
      <c r="N756" s="17"/>
      <c r="O756" s="17"/>
      <c r="P756" s="17"/>
      <c r="Q756" s="17"/>
      <c r="R756" s="17"/>
      <c r="S756" s="17"/>
      <c r="T756" s="17"/>
      <c r="U756" s="300"/>
      <c r="V756" s="67"/>
      <c r="W756" s="17"/>
      <c r="X756" s="17"/>
      <c r="Y756" s="300"/>
      <c r="Z756" s="386"/>
      <c r="AA756" s="386"/>
      <c r="AB756" s="386"/>
      <c r="AC756" s="386"/>
      <c r="AD756" s="386"/>
      <c r="AE756" s="386"/>
      <c r="AF756" s="386"/>
    </row>
    <row r="757" ht="15.75" customHeight="1">
      <c r="A757" s="24"/>
      <c r="B757" s="25"/>
      <c r="C757" s="25"/>
      <c r="D757" s="28"/>
      <c r="E757" s="28"/>
      <c r="F757" s="404"/>
      <c r="G757" s="380"/>
      <c r="H757" s="300"/>
      <c r="I757" s="17"/>
      <c r="J757" s="17"/>
      <c r="K757" s="17"/>
      <c r="L757" s="17"/>
      <c r="M757" s="17"/>
      <c r="N757" s="17"/>
      <c r="O757" s="17"/>
      <c r="P757" s="17"/>
      <c r="Q757" s="17"/>
      <c r="R757" s="17"/>
      <c r="S757" s="17"/>
      <c r="T757" s="17"/>
      <c r="U757" s="300"/>
      <c r="V757" s="47"/>
      <c r="W757" s="17"/>
      <c r="X757" s="17"/>
      <c r="Y757" s="300"/>
      <c r="Z757" s="386"/>
      <c r="AA757" s="386"/>
      <c r="AB757" s="386"/>
      <c r="AC757" s="386"/>
      <c r="AD757" s="386"/>
      <c r="AE757" s="386"/>
      <c r="AF757" s="386"/>
    </row>
    <row r="758" ht="15.75" customHeight="1">
      <c r="A758" s="24"/>
      <c r="B758" s="25"/>
      <c r="C758" s="25"/>
      <c r="D758" s="28"/>
      <c r="E758" s="28"/>
      <c r="F758" s="383"/>
      <c r="G758" s="380"/>
      <c r="H758" s="300"/>
      <c r="I758" s="17"/>
      <c r="J758" s="17"/>
      <c r="K758" s="17"/>
      <c r="L758" s="17"/>
      <c r="M758" s="17"/>
      <c r="N758" s="17"/>
      <c r="O758" s="17"/>
      <c r="P758" s="17"/>
      <c r="Q758" s="17"/>
      <c r="R758" s="17"/>
      <c r="S758" s="17"/>
      <c r="T758" s="17"/>
      <c r="U758" s="300"/>
      <c r="V758" s="67"/>
      <c r="W758" s="17"/>
      <c r="X758" s="17"/>
      <c r="Y758" s="300"/>
      <c r="Z758" s="386"/>
      <c r="AA758" s="386"/>
      <c r="AB758" s="386"/>
      <c r="AC758" s="386"/>
      <c r="AD758" s="386"/>
      <c r="AE758" s="386"/>
      <c r="AF758" s="386"/>
    </row>
    <row r="759" ht="15.75" customHeight="1">
      <c r="A759" s="24"/>
      <c r="B759" s="25"/>
      <c r="C759" s="25"/>
      <c r="D759" s="28"/>
      <c r="E759" s="28"/>
      <c r="F759" s="404"/>
      <c r="G759" s="380"/>
      <c r="H759" s="300"/>
      <c r="I759" s="17"/>
      <c r="J759" s="17"/>
      <c r="K759" s="17"/>
      <c r="L759" s="17"/>
      <c r="M759" s="17"/>
      <c r="N759" s="17"/>
      <c r="O759" s="17"/>
      <c r="P759" s="17"/>
      <c r="Q759" s="17"/>
      <c r="R759" s="17"/>
      <c r="S759" s="17"/>
      <c r="T759" s="17"/>
      <c r="U759" s="300"/>
      <c r="V759" s="47"/>
      <c r="W759" s="17"/>
      <c r="X759" s="17"/>
      <c r="Y759" s="300"/>
      <c r="Z759" s="386"/>
      <c r="AA759" s="386"/>
      <c r="AB759" s="386"/>
      <c r="AC759" s="386"/>
      <c r="AD759" s="386"/>
      <c r="AE759" s="386"/>
      <c r="AF759" s="386"/>
    </row>
    <row r="760" ht="15.75" customHeight="1">
      <c r="A760" s="24"/>
      <c r="B760" s="25"/>
      <c r="C760" s="25"/>
      <c r="D760" s="28"/>
      <c r="E760" s="28"/>
      <c r="F760" s="383"/>
      <c r="G760" s="380"/>
      <c r="H760" s="300"/>
      <c r="I760" s="17"/>
      <c r="J760" s="17"/>
      <c r="K760" s="17"/>
      <c r="L760" s="17"/>
      <c r="M760" s="17"/>
      <c r="N760" s="17"/>
      <c r="O760" s="17"/>
      <c r="P760" s="17"/>
      <c r="Q760" s="17"/>
      <c r="R760" s="17"/>
      <c r="S760" s="17"/>
      <c r="T760" s="17"/>
      <c r="U760" s="300"/>
      <c r="V760" s="67"/>
      <c r="W760" s="17"/>
      <c r="X760" s="17"/>
      <c r="Y760" s="300"/>
      <c r="Z760" s="386"/>
      <c r="AA760" s="386"/>
      <c r="AB760" s="386"/>
      <c r="AC760" s="386"/>
      <c r="AD760" s="386"/>
      <c r="AE760" s="386"/>
      <c r="AF760" s="386"/>
    </row>
    <row r="761" ht="15.75" customHeight="1">
      <c r="A761" s="24"/>
      <c r="B761" s="25"/>
      <c r="C761" s="25"/>
      <c r="D761" s="28"/>
      <c r="E761" s="28"/>
      <c r="F761" s="404"/>
      <c r="G761" s="380"/>
      <c r="H761" s="300"/>
      <c r="I761" s="17"/>
      <c r="J761" s="17"/>
      <c r="K761" s="17"/>
      <c r="L761" s="17"/>
      <c r="M761" s="17"/>
      <c r="N761" s="17"/>
      <c r="O761" s="17"/>
      <c r="P761" s="17"/>
      <c r="Q761" s="17"/>
      <c r="R761" s="17"/>
      <c r="S761" s="17"/>
      <c r="T761" s="17"/>
      <c r="U761" s="300"/>
      <c r="V761" s="47"/>
      <c r="W761" s="17"/>
      <c r="X761" s="17"/>
      <c r="Y761" s="300"/>
      <c r="Z761" s="386"/>
      <c r="AA761" s="386"/>
      <c r="AB761" s="386"/>
      <c r="AC761" s="386"/>
      <c r="AD761" s="386"/>
      <c r="AE761" s="386"/>
      <c r="AF761" s="386"/>
    </row>
    <row r="762" ht="15.75" customHeight="1">
      <c r="A762" s="24"/>
      <c r="B762" s="25"/>
      <c r="C762" s="25"/>
      <c r="D762" s="28"/>
      <c r="E762" s="28"/>
      <c r="F762" s="383"/>
      <c r="G762" s="380"/>
      <c r="H762" s="300"/>
      <c r="I762" s="17"/>
      <c r="J762" s="17"/>
      <c r="K762" s="17"/>
      <c r="L762" s="17"/>
      <c r="M762" s="17"/>
      <c r="N762" s="17"/>
      <c r="O762" s="17"/>
      <c r="P762" s="17"/>
      <c r="Q762" s="17"/>
      <c r="R762" s="17"/>
      <c r="S762" s="17"/>
      <c r="T762" s="17"/>
      <c r="U762" s="300"/>
      <c r="V762" s="67"/>
      <c r="W762" s="17"/>
      <c r="X762" s="17"/>
      <c r="Y762" s="300"/>
      <c r="Z762" s="386"/>
      <c r="AA762" s="386"/>
      <c r="AB762" s="386"/>
      <c r="AC762" s="386"/>
      <c r="AD762" s="386"/>
      <c r="AE762" s="386"/>
      <c r="AF762" s="386"/>
    </row>
    <row r="763" ht="15.75" customHeight="1">
      <c r="A763" s="24"/>
      <c r="B763" s="25"/>
      <c r="C763" s="25"/>
      <c r="D763" s="28"/>
      <c r="E763" s="28"/>
      <c r="F763" s="404"/>
      <c r="G763" s="380"/>
      <c r="H763" s="300"/>
      <c r="I763" s="17"/>
      <c r="J763" s="17"/>
      <c r="K763" s="17"/>
      <c r="L763" s="17"/>
      <c r="M763" s="17"/>
      <c r="N763" s="17"/>
      <c r="O763" s="17"/>
      <c r="P763" s="17"/>
      <c r="Q763" s="17"/>
      <c r="R763" s="17"/>
      <c r="S763" s="17"/>
      <c r="T763" s="17"/>
      <c r="U763" s="300"/>
      <c r="V763" s="47"/>
      <c r="W763" s="17"/>
      <c r="X763" s="17"/>
      <c r="Y763" s="300"/>
      <c r="Z763" s="386"/>
      <c r="AA763" s="386"/>
      <c r="AB763" s="386"/>
      <c r="AC763" s="386"/>
      <c r="AD763" s="386"/>
      <c r="AE763" s="386"/>
      <c r="AF763" s="386"/>
    </row>
    <row r="764" ht="15.75" customHeight="1">
      <c r="A764" s="24"/>
      <c r="B764" s="25"/>
      <c r="C764" s="25"/>
      <c r="D764" s="28"/>
      <c r="E764" s="28"/>
      <c r="F764" s="383"/>
      <c r="G764" s="380"/>
      <c r="H764" s="300"/>
      <c r="I764" s="17"/>
      <c r="J764" s="17"/>
      <c r="K764" s="17"/>
      <c r="L764" s="17"/>
      <c r="M764" s="17"/>
      <c r="N764" s="17"/>
      <c r="O764" s="17"/>
      <c r="P764" s="17"/>
      <c r="Q764" s="17"/>
      <c r="R764" s="17"/>
      <c r="S764" s="17"/>
      <c r="T764" s="17"/>
      <c r="U764" s="300"/>
      <c r="V764" s="67"/>
      <c r="W764" s="17"/>
      <c r="X764" s="17"/>
      <c r="Y764" s="300"/>
      <c r="Z764" s="386"/>
      <c r="AA764" s="386"/>
      <c r="AB764" s="386"/>
      <c r="AC764" s="386"/>
      <c r="AD764" s="386"/>
      <c r="AE764" s="386"/>
      <c r="AF764" s="386"/>
    </row>
    <row r="765" ht="15.75" customHeight="1">
      <c r="A765" s="24"/>
      <c r="B765" s="25"/>
      <c r="C765" s="25"/>
      <c r="D765" s="28"/>
      <c r="E765" s="28"/>
      <c r="F765" s="404"/>
      <c r="G765" s="380"/>
      <c r="H765" s="300"/>
      <c r="I765" s="17"/>
      <c r="J765" s="17"/>
      <c r="K765" s="17"/>
      <c r="L765" s="17"/>
      <c r="M765" s="17"/>
      <c r="N765" s="17"/>
      <c r="O765" s="17"/>
      <c r="P765" s="17"/>
      <c r="Q765" s="17"/>
      <c r="R765" s="17"/>
      <c r="S765" s="17"/>
      <c r="T765" s="17"/>
      <c r="U765" s="300"/>
      <c r="V765" s="47"/>
      <c r="W765" s="17"/>
      <c r="X765" s="17"/>
      <c r="Y765" s="300"/>
      <c r="Z765" s="386"/>
      <c r="AA765" s="386"/>
      <c r="AB765" s="386"/>
      <c r="AC765" s="386"/>
      <c r="AD765" s="386"/>
      <c r="AE765" s="386"/>
      <c r="AF765" s="386"/>
    </row>
    <row r="766" ht="15.75" customHeight="1">
      <c r="A766" s="24"/>
      <c r="B766" s="25"/>
      <c r="C766" s="25"/>
      <c r="D766" s="28"/>
      <c r="E766" s="28"/>
      <c r="F766" s="383"/>
      <c r="G766" s="380"/>
      <c r="H766" s="300"/>
      <c r="I766" s="17"/>
      <c r="J766" s="17"/>
      <c r="K766" s="17"/>
      <c r="L766" s="17"/>
      <c r="M766" s="17"/>
      <c r="N766" s="17"/>
      <c r="O766" s="17"/>
      <c r="P766" s="17"/>
      <c r="Q766" s="17"/>
      <c r="R766" s="17"/>
      <c r="S766" s="17"/>
      <c r="T766" s="17"/>
      <c r="U766" s="300"/>
      <c r="V766" s="67"/>
      <c r="W766" s="17"/>
      <c r="X766" s="17"/>
      <c r="Y766" s="300"/>
      <c r="Z766" s="386"/>
      <c r="AA766" s="386"/>
      <c r="AB766" s="386"/>
      <c r="AC766" s="386"/>
      <c r="AD766" s="386"/>
      <c r="AE766" s="386"/>
      <c r="AF766" s="386"/>
    </row>
    <row r="767" ht="15.75" customHeight="1">
      <c r="A767" s="24"/>
      <c r="B767" s="25"/>
      <c r="C767" s="25"/>
      <c r="D767" s="28"/>
      <c r="E767" s="28"/>
      <c r="F767" s="404"/>
      <c r="G767" s="380"/>
      <c r="H767" s="300"/>
      <c r="I767" s="17"/>
      <c r="J767" s="17"/>
      <c r="K767" s="17"/>
      <c r="L767" s="17"/>
      <c r="M767" s="17"/>
      <c r="N767" s="17"/>
      <c r="O767" s="17"/>
      <c r="P767" s="17"/>
      <c r="Q767" s="17"/>
      <c r="R767" s="17"/>
      <c r="S767" s="17"/>
      <c r="T767" s="17"/>
      <c r="U767" s="300"/>
      <c r="V767" s="47"/>
      <c r="W767" s="17"/>
      <c r="X767" s="17"/>
      <c r="Y767" s="300"/>
      <c r="Z767" s="386"/>
      <c r="AA767" s="386"/>
      <c r="AB767" s="386"/>
      <c r="AC767" s="386"/>
      <c r="AD767" s="386"/>
      <c r="AE767" s="386"/>
      <c r="AF767" s="386"/>
    </row>
    <row r="768" ht="15.75" customHeight="1">
      <c r="A768" s="24"/>
      <c r="B768" s="25"/>
      <c r="C768" s="25"/>
      <c r="D768" s="28"/>
      <c r="E768" s="28"/>
      <c r="F768" s="383"/>
      <c r="G768" s="380"/>
      <c r="H768" s="300"/>
      <c r="I768" s="17"/>
      <c r="J768" s="17"/>
      <c r="K768" s="17"/>
      <c r="L768" s="17"/>
      <c r="M768" s="17"/>
      <c r="N768" s="17"/>
      <c r="O768" s="17"/>
      <c r="P768" s="17"/>
      <c r="Q768" s="17"/>
      <c r="R768" s="17"/>
      <c r="S768" s="17"/>
      <c r="T768" s="17"/>
      <c r="U768" s="300"/>
      <c r="V768" s="67"/>
      <c r="W768" s="17"/>
      <c r="X768" s="17"/>
      <c r="Y768" s="300"/>
      <c r="Z768" s="386"/>
      <c r="AA768" s="386"/>
      <c r="AB768" s="386"/>
      <c r="AC768" s="386"/>
      <c r="AD768" s="386"/>
      <c r="AE768" s="386"/>
      <c r="AF768" s="386"/>
    </row>
    <row r="769" ht="15.75" customHeight="1">
      <c r="A769" s="24"/>
      <c r="B769" s="25"/>
      <c r="C769" s="25"/>
      <c r="D769" s="28"/>
      <c r="E769" s="28"/>
      <c r="F769" s="404"/>
      <c r="G769" s="380"/>
      <c r="H769" s="300"/>
      <c r="I769" s="17"/>
      <c r="J769" s="17"/>
      <c r="K769" s="17"/>
      <c r="L769" s="17"/>
      <c r="M769" s="17"/>
      <c r="N769" s="17"/>
      <c r="O769" s="17"/>
      <c r="P769" s="17"/>
      <c r="Q769" s="17"/>
      <c r="R769" s="17"/>
      <c r="S769" s="17"/>
      <c r="T769" s="17"/>
      <c r="U769" s="300"/>
      <c r="V769" s="47"/>
      <c r="W769" s="17"/>
      <c r="X769" s="17"/>
      <c r="Y769" s="300"/>
      <c r="Z769" s="386"/>
      <c r="AA769" s="386"/>
      <c r="AB769" s="386"/>
      <c r="AC769" s="386"/>
      <c r="AD769" s="386"/>
      <c r="AE769" s="386"/>
      <c r="AF769" s="386"/>
    </row>
    <row r="770" ht="15.75" customHeight="1">
      <c r="A770" s="24"/>
      <c r="B770" s="25"/>
      <c r="C770" s="25"/>
      <c r="D770" s="28"/>
      <c r="E770" s="28"/>
      <c r="F770" s="383"/>
      <c r="G770" s="380"/>
      <c r="H770" s="300"/>
      <c r="I770" s="17"/>
      <c r="J770" s="17"/>
      <c r="K770" s="17"/>
      <c r="L770" s="17"/>
      <c r="M770" s="17"/>
      <c r="N770" s="17"/>
      <c r="O770" s="17"/>
      <c r="P770" s="17"/>
      <c r="Q770" s="17"/>
      <c r="R770" s="17"/>
      <c r="S770" s="17"/>
      <c r="T770" s="17"/>
      <c r="U770" s="300"/>
      <c r="V770" s="67"/>
      <c r="W770" s="17"/>
      <c r="X770" s="17"/>
      <c r="Y770" s="300"/>
      <c r="Z770" s="386"/>
      <c r="AA770" s="386"/>
      <c r="AB770" s="386"/>
      <c r="AC770" s="386"/>
      <c r="AD770" s="386"/>
      <c r="AE770" s="386"/>
      <c r="AF770" s="386"/>
    </row>
    <row r="771" ht="15.75" customHeight="1">
      <c r="A771" s="24"/>
      <c r="B771" s="25"/>
      <c r="C771" s="25"/>
      <c r="D771" s="28"/>
      <c r="E771" s="28"/>
      <c r="F771" s="404"/>
      <c r="G771" s="380"/>
      <c r="H771" s="300"/>
      <c r="I771" s="17"/>
      <c r="J771" s="17"/>
      <c r="K771" s="17"/>
      <c r="L771" s="17"/>
      <c r="M771" s="17"/>
      <c r="N771" s="17"/>
      <c r="O771" s="17"/>
      <c r="P771" s="17"/>
      <c r="Q771" s="17"/>
      <c r="R771" s="17"/>
      <c r="S771" s="17"/>
      <c r="T771" s="17"/>
      <c r="U771" s="300"/>
      <c r="V771" s="47"/>
      <c r="W771" s="17"/>
      <c r="X771" s="17"/>
      <c r="Y771" s="300"/>
      <c r="Z771" s="386"/>
      <c r="AA771" s="386"/>
      <c r="AB771" s="386"/>
      <c r="AC771" s="386"/>
      <c r="AD771" s="386"/>
      <c r="AE771" s="386"/>
      <c r="AF771" s="386"/>
    </row>
    <row r="772" ht="15.75" customHeight="1">
      <c r="A772" s="24"/>
      <c r="B772" s="25"/>
      <c r="C772" s="25"/>
      <c r="D772" s="28"/>
      <c r="E772" s="28"/>
      <c r="F772" s="383"/>
      <c r="G772" s="380"/>
      <c r="H772" s="300"/>
      <c r="I772" s="17"/>
      <c r="J772" s="17"/>
      <c r="K772" s="17"/>
      <c r="L772" s="17"/>
      <c r="M772" s="17"/>
      <c r="N772" s="17"/>
      <c r="O772" s="17"/>
      <c r="P772" s="17"/>
      <c r="Q772" s="17"/>
      <c r="R772" s="17"/>
      <c r="S772" s="17"/>
      <c r="T772" s="17"/>
      <c r="U772" s="300"/>
      <c r="V772" s="67"/>
      <c r="W772" s="17"/>
      <c r="X772" s="17"/>
      <c r="Y772" s="300"/>
      <c r="Z772" s="386"/>
      <c r="AA772" s="386"/>
      <c r="AB772" s="386"/>
      <c r="AC772" s="386"/>
      <c r="AD772" s="386"/>
      <c r="AE772" s="386"/>
      <c r="AF772" s="386"/>
    </row>
    <row r="773" ht="15.75" customHeight="1">
      <c r="A773" s="24"/>
      <c r="B773" s="25"/>
      <c r="C773" s="25"/>
      <c r="D773" s="28"/>
      <c r="E773" s="28"/>
      <c r="F773" s="404"/>
      <c r="G773" s="380"/>
      <c r="H773" s="300"/>
      <c r="I773" s="17"/>
      <c r="J773" s="17"/>
      <c r="K773" s="17"/>
      <c r="L773" s="17"/>
      <c r="M773" s="17"/>
      <c r="N773" s="17"/>
      <c r="O773" s="17"/>
      <c r="P773" s="17"/>
      <c r="Q773" s="17"/>
      <c r="R773" s="17"/>
      <c r="S773" s="17"/>
      <c r="T773" s="17"/>
      <c r="U773" s="300"/>
      <c r="V773" s="47"/>
      <c r="W773" s="17"/>
      <c r="X773" s="17"/>
      <c r="Y773" s="300"/>
      <c r="Z773" s="386"/>
      <c r="AA773" s="386"/>
      <c r="AB773" s="386"/>
      <c r="AC773" s="386"/>
      <c r="AD773" s="386"/>
      <c r="AE773" s="386"/>
      <c r="AF773" s="386"/>
    </row>
    <row r="774" ht="15.75" customHeight="1">
      <c r="A774" s="24"/>
      <c r="B774" s="25"/>
      <c r="C774" s="25"/>
      <c r="D774" s="28"/>
      <c r="E774" s="28"/>
      <c r="F774" s="383"/>
      <c r="G774" s="380"/>
      <c r="H774" s="300"/>
      <c r="I774" s="17"/>
      <c r="J774" s="17"/>
      <c r="K774" s="17"/>
      <c r="L774" s="17"/>
      <c r="M774" s="17"/>
      <c r="N774" s="17"/>
      <c r="O774" s="17"/>
      <c r="P774" s="17"/>
      <c r="Q774" s="17"/>
      <c r="R774" s="17"/>
      <c r="S774" s="17"/>
      <c r="T774" s="17"/>
      <c r="U774" s="300"/>
      <c r="V774" s="67"/>
      <c r="W774" s="17"/>
      <c r="X774" s="17"/>
      <c r="Y774" s="300"/>
      <c r="Z774" s="386"/>
      <c r="AA774" s="386"/>
      <c r="AB774" s="386"/>
      <c r="AC774" s="386"/>
      <c r="AD774" s="386"/>
      <c r="AE774" s="386"/>
      <c r="AF774" s="386"/>
    </row>
    <row r="775" ht="15.75" customHeight="1">
      <c r="A775" s="24"/>
      <c r="B775" s="25"/>
      <c r="C775" s="25"/>
      <c r="D775" s="28"/>
      <c r="E775" s="28"/>
      <c r="F775" s="404"/>
      <c r="G775" s="380"/>
      <c r="H775" s="300"/>
      <c r="I775" s="17"/>
      <c r="J775" s="17"/>
      <c r="K775" s="17"/>
      <c r="L775" s="17"/>
      <c r="M775" s="17"/>
      <c r="N775" s="17"/>
      <c r="O775" s="17"/>
      <c r="P775" s="17"/>
      <c r="Q775" s="17"/>
      <c r="R775" s="17"/>
      <c r="S775" s="17"/>
      <c r="T775" s="17"/>
      <c r="U775" s="300"/>
      <c r="V775" s="47"/>
      <c r="W775" s="17"/>
      <c r="X775" s="17"/>
      <c r="Y775" s="300"/>
      <c r="Z775" s="386"/>
      <c r="AA775" s="386"/>
      <c r="AB775" s="386"/>
      <c r="AC775" s="386"/>
      <c r="AD775" s="386"/>
      <c r="AE775" s="386"/>
      <c r="AF775" s="386"/>
    </row>
    <row r="776" ht="15.75" customHeight="1">
      <c r="A776" s="24"/>
      <c r="B776" s="25"/>
      <c r="C776" s="25"/>
      <c r="D776" s="28"/>
      <c r="E776" s="28"/>
      <c r="F776" s="383"/>
      <c r="G776" s="380"/>
      <c r="H776" s="300"/>
      <c r="I776" s="17"/>
      <c r="J776" s="17"/>
      <c r="K776" s="17"/>
      <c r="L776" s="17"/>
      <c r="M776" s="17"/>
      <c r="N776" s="17"/>
      <c r="O776" s="17"/>
      <c r="P776" s="17"/>
      <c r="Q776" s="17"/>
      <c r="R776" s="17"/>
      <c r="S776" s="17"/>
      <c r="T776" s="17"/>
      <c r="U776" s="300"/>
      <c r="V776" s="67"/>
      <c r="W776" s="17"/>
      <c r="X776" s="17"/>
      <c r="Y776" s="300"/>
      <c r="Z776" s="386"/>
      <c r="AA776" s="386"/>
      <c r="AB776" s="386"/>
      <c r="AC776" s="386"/>
      <c r="AD776" s="386"/>
      <c r="AE776" s="386"/>
      <c r="AF776" s="386"/>
    </row>
    <row r="777" ht="15.75" customHeight="1">
      <c r="A777" s="24"/>
      <c r="B777" s="25"/>
      <c r="C777" s="25"/>
      <c r="D777" s="28"/>
      <c r="E777" s="28"/>
      <c r="F777" s="404"/>
      <c r="G777" s="380"/>
      <c r="H777" s="300"/>
      <c r="I777" s="17"/>
      <c r="J777" s="17"/>
      <c r="K777" s="17"/>
      <c r="L777" s="17"/>
      <c r="M777" s="17"/>
      <c r="N777" s="17"/>
      <c r="O777" s="17"/>
      <c r="P777" s="17"/>
      <c r="Q777" s="17"/>
      <c r="R777" s="17"/>
      <c r="S777" s="17"/>
      <c r="T777" s="17"/>
      <c r="U777" s="300"/>
      <c r="V777" s="47"/>
      <c r="W777" s="17"/>
      <c r="X777" s="17"/>
      <c r="Y777" s="300"/>
      <c r="Z777" s="386"/>
      <c r="AA777" s="386"/>
      <c r="AB777" s="386"/>
      <c r="AC777" s="386"/>
      <c r="AD777" s="386"/>
      <c r="AE777" s="386"/>
      <c r="AF777" s="386"/>
    </row>
    <row r="778" ht="15.75" customHeight="1">
      <c r="A778" s="24"/>
      <c r="B778" s="25"/>
      <c r="C778" s="25"/>
      <c r="D778" s="28"/>
      <c r="E778" s="28"/>
      <c r="F778" s="383"/>
      <c r="G778" s="380"/>
      <c r="H778" s="300"/>
      <c r="I778" s="17"/>
      <c r="J778" s="17"/>
      <c r="K778" s="17"/>
      <c r="L778" s="17"/>
      <c r="M778" s="17"/>
      <c r="N778" s="17"/>
      <c r="O778" s="17"/>
      <c r="P778" s="17"/>
      <c r="Q778" s="17"/>
      <c r="R778" s="17"/>
      <c r="S778" s="17"/>
      <c r="T778" s="17"/>
      <c r="U778" s="300"/>
      <c r="V778" s="67"/>
      <c r="W778" s="17"/>
      <c r="X778" s="17"/>
      <c r="Y778" s="300"/>
      <c r="Z778" s="386"/>
      <c r="AA778" s="386"/>
      <c r="AB778" s="386"/>
      <c r="AC778" s="386"/>
      <c r="AD778" s="386"/>
      <c r="AE778" s="386"/>
      <c r="AF778" s="386"/>
    </row>
    <row r="779" ht="15.75" customHeight="1">
      <c r="A779" s="24"/>
      <c r="B779" s="25"/>
      <c r="C779" s="25"/>
      <c r="D779" s="28"/>
      <c r="E779" s="28"/>
      <c r="F779" s="404"/>
      <c r="G779" s="380"/>
      <c r="H779" s="300"/>
      <c r="I779" s="17"/>
      <c r="J779" s="17"/>
      <c r="K779" s="17"/>
      <c r="L779" s="17"/>
      <c r="M779" s="17"/>
      <c r="N779" s="17"/>
      <c r="O779" s="17"/>
      <c r="P779" s="17"/>
      <c r="Q779" s="17"/>
      <c r="R779" s="17"/>
      <c r="S779" s="17"/>
      <c r="T779" s="17"/>
      <c r="U779" s="300"/>
      <c r="V779" s="47"/>
      <c r="W779" s="17"/>
      <c r="X779" s="17"/>
      <c r="Y779" s="300"/>
      <c r="Z779" s="386"/>
      <c r="AA779" s="386"/>
      <c r="AB779" s="386"/>
      <c r="AC779" s="386"/>
      <c r="AD779" s="386"/>
      <c r="AE779" s="386"/>
      <c r="AF779" s="386"/>
    </row>
    <row r="780" ht="15.75" customHeight="1">
      <c r="A780" s="24"/>
      <c r="B780" s="25"/>
      <c r="C780" s="25"/>
      <c r="D780" s="28"/>
      <c r="E780" s="28"/>
      <c r="F780" s="383"/>
      <c r="G780" s="380"/>
      <c r="H780" s="300"/>
      <c r="I780" s="17"/>
      <c r="J780" s="17"/>
      <c r="K780" s="17"/>
      <c r="L780" s="17"/>
      <c r="M780" s="17"/>
      <c r="N780" s="17"/>
      <c r="O780" s="17"/>
      <c r="P780" s="17"/>
      <c r="Q780" s="17"/>
      <c r="R780" s="17"/>
      <c r="S780" s="17"/>
      <c r="T780" s="17"/>
      <c r="U780" s="300"/>
      <c r="V780" s="67"/>
      <c r="W780" s="17"/>
      <c r="X780" s="17"/>
      <c r="Y780" s="300"/>
      <c r="Z780" s="386"/>
      <c r="AA780" s="386"/>
      <c r="AB780" s="386"/>
      <c r="AC780" s="386"/>
      <c r="AD780" s="386"/>
      <c r="AE780" s="386"/>
      <c r="AF780" s="386"/>
    </row>
    <row r="781" ht="15.75" customHeight="1">
      <c r="A781" s="24"/>
      <c r="B781" s="25"/>
      <c r="C781" s="25"/>
      <c r="D781" s="28"/>
      <c r="E781" s="28"/>
      <c r="F781" s="404"/>
      <c r="G781" s="380"/>
      <c r="H781" s="300"/>
      <c r="I781" s="17"/>
      <c r="J781" s="17"/>
      <c r="K781" s="17"/>
      <c r="L781" s="17"/>
      <c r="M781" s="17"/>
      <c r="N781" s="17"/>
      <c r="O781" s="17"/>
      <c r="P781" s="17"/>
      <c r="Q781" s="17"/>
      <c r="R781" s="17"/>
      <c r="S781" s="17"/>
      <c r="T781" s="17"/>
      <c r="U781" s="300"/>
      <c r="V781" s="47"/>
      <c r="W781" s="17"/>
      <c r="X781" s="17"/>
      <c r="Y781" s="300"/>
      <c r="Z781" s="386"/>
      <c r="AA781" s="386"/>
      <c r="AB781" s="386"/>
      <c r="AC781" s="386"/>
      <c r="AD781" s="386"/>
      <c r="AE781" s="386"/>
      <c r="AF781" s="386"/>
    </row>
    <row r="782" ht="15.75" customHeight="1">
      <c r="A782" s="24"/>
      <c r="B782" s="25"/>
      <c r="C782" s="25"/>
      <c r="D782" s="28"/>
      <c r="E782" s="28"/>
      <c r="F782" s="383"/>
      <c r="G782" s="380"/>
      <c r="H782" s="300"/>
      <c r="I782" s="17"/>
      <c r="J782" s="17"/>
      <c r="K782" s="17"/>
      <c r="L782" s="17"/>
      <c r="M782" s="17"/>
      <c r="N782" s="17"/>
      <c r="O782" s="17"/>
      <c r="P782" s="17"/>
      <c r="Q782" s="17"/>
      <c r="R782" s="17"/>
      <c r="S782" s="17"/>
      <c r="T782" s="17"/>
      <c r="U782" s="300"/>
      <c r="V782" s="67"/>
      <c r="W782" s="17"/>
      <c r="X782" s="17"/>
      <c r="Y782" s="300"/>
      <c r="Z782" s="386"/>
      <c r="AA782" s="386"/>
      <c r="AB782" s="386"/>
      <c r="AC782" s="386"/>
      <c r="AD782" s="386"/>
      <c r="AE782" s="386"/>
      <c r="AF782" s="386"/>
    </row>
    <row r="783" ht="15.75" customHeight="1">
      <c r="A783" s="24"/>
      <c r="B783" s="25"/>
      <c r="C783" s="25"/>
      <c r="D783" s="28"/>
      <c r="E783" s="28"/>
      <c r="F783" s="404"/>
      <c r="G783" s="380"/>
      <c r="H783" s="300"/>
      <c r="I783" s="17"/>
      <c r="J783" s="17"/>
      <c r="K783" s="17"/>
      <c r="L783" s="17"/>
      <c r="M783" s="17"/>
      <c r="N783" s="17"/>
      <c r="O783" s="17"/>
      <c r="P783" s="17"/>
      <c r="Q783" s="17"/>
      <c r="R783" s="17"/>
      <c r="S783" s="17"/>
      <c r="T783" s="17"/>
      <c r="U783" s="300"/>
      <c r="V783" s="47"/>
      <c r="W783" s="17"/>
      <c r="X783" s="17"/>
      <c r="Y783" s="300"/>
      <c r="Z783" s="386"/>
      <c r="AA783" s="386"/>
      <c r="AB783" s="386"/>
      <c r="AC783" s="386"/>
      <c r="AD783" s="386"/>
      <c r="AE783" s="386"/>
      <c r="AF783" s="386"/>
    </row>
    <row r="784" ht="15.75" customHeight="1">
      <c r="A784" s="24"/>
      <c r="B784" s="25"/>
      <c r="C784" s="25"/>
      <c r="D784" s="28"/>
      <c r="E784" s="28"/>
      <c r="F784" s="383"/>
      <c r="G784" s="380"/>
      <c r="H784" s="300"/>
      <c r="I784" s="17"/>
      <c r="J784" s="17"/>
      <c r="K784" s="17"/>
      <c r="L784" s="17"/>
      <c r="M784" s="17"/>
      <c r="N784" s="17"/>
      <c r="O784" s="17"/>
      <c r="P784" s="17"/>
      <c r="Q784" s="17"/>
      <c r="R784" s="17"/>
      <c r="S784" s="17"/>
      <c r="T784" s="17"/>
      <c r="U784" s="300"/>
      <c r="V784" s="67"/>
      <c r="W784" s="17"/>
      <c r="X784" s="17"/>
      <c r="Y784" s="300"/>
      <c r="Z784" s="386"/>
      <c r="AA784" s="386"/>
      <c r="AB784" s="386"/>
      <c r="AC784" s="386"/>
      <c r="AD784" s="386"/>
      <c r="AE784" s="386"/>
      <c r="AF784" s="386"/>
    </row>
    <row r="785" ht="15.75" customHeight="1">
      <c r="A785" s="24"/>
      <c r="B785" s="25"/>
      <c r="C785" s="25"/>
      <c r="D785" s="28"/>
      <c r="E785" s="28"/>
      <c r="F785" s="404"/>
      <c r="G785" s="380"/>
      <c r="H785" s="300"/>
      <c r="I785" s="17"/>
      <c r="J785" s="17"/>
      <c r="K785" s="17"/>
      <c r="L785" s="17"/>
      <c r="M785" s="17"/>
      <c r="N785" s="17"/>
      <c r="O785" s="17"/>
      <c r="P785" s="17"/>
      <c r="Q785" s="17"/>
      <c r="R785" s="17"/>
      <c r="S785" s="17"/>
      <c r="T785" s="17"/>
      <c r="U785" s="300"/>
      <c r="V785" s="47"/>
      <c r="W785" s="17"/>
      <c r="X785" s="17"/>
      <c r="Y785" s="300"/>
      <c r="Z785" s="386"/>
      <c r="AA785" s="386"/>
      <c r="AB785" s="386"/>
      <c r="AC785" s="386"/>
      <c r="AD785" s="386"/>
      <c r="AE785" s="386"/>
      <c r="AF785" s="386"/>
    </row>
    <row r="786" ht="15.75" customHeight="1">
      <c r="A786" s="24"/>
      <c r="B786" s="25"/>
      <c r="C786" s="25"/>
      <c r="D786" s="28"/>
      <c r="E786" s="28"/>
      <c r="F786" s="383"/>
      <c r="G786" s="380"/>
      <c r="H786" s="300"/>
      <c r="I786" s="17"/>
      <c r="J786" s="17"/>
      <c r="K786" s="17"/>
      <c r="L786" s="17"/>
      <c r="M786" s="17"/>
      <c r="N786" s="17"/>
      <c r="O786" s="17"/>
      <c r="P786" s="17"/>
      <c r="Q786" s="17"/>
      <c r="R786" s="17"/>
      <c r="S786" s="17"/>
      <c r="T786" s="17"/>
      <c r="U786" s="300"/>
      <c r="V786" s="67"/>
      <c r="W786" s="17"/>
      <c r="X786" s="17"/>
      <c r="Y786" s="300"/>
      <c r="Z786" s="386"/>
      <c r="AA786" s="386"/>
      <c r="AB786" s="386"/>
      <c r="AC786" s="386"/>
      <c r="AD786" s="386"/>
      <c r="AE786" s="386"/>
      <c r="AF786" s="386"/>
    </row>
    <row r="787" ht="15.75" customHeight="1">
      <c r="A787" s="24"/>
      <c r="B787" s="25"/>
      <c r="C787" s="25"/>
      <c r="D787" s="28"/>
      <c r="E787" s="28"/>
      <c r="F787" s="404"/>
      <c r="G787" s="380"/>
      <c r="H787" s="300"/>
      <c r="I787" s="17"/>
      <c r="J787" s="17"/>
      <c r="K787" s="17"/>
      <c r="L787" s="17"/>
      <c r="M787" s="17"/>
      <c r="N787" s="17"/>
      <c r="O787" s="17"/>
      <c r="P787" s="17"/>
      <c r="Q787" s="17"/>
      <c r="R787" s="17"/>
      <c r="S787" s="17"/>
      <c r="T787" s="17"/>
      <c r="U787" s="300"/>
      <c r="V787" s="47"/>
      <c r="W787" s="17"/>
      <c r="X787" s="17"/>
      <c r="Y787" s="300"/>
      <c r="Z787" s="386"/>
      <c r="AA787" s="386"/>
      <c r="AB787" s="386"/>
      <c r="AC787" s="386"/>
      <c r="AD787" s="386"/>
      <c r="AE787" s="386"/>
      <c r="AF787" s="386"/>
    </row>
    <row r="788" ht="15.75" customHeight="1">
      <c r="A788" s="24"/>
      <c r="B788" s="25"/>
      <c r="C788" s="25"/>
      <c r="D788" s="28"/>
      <c r="E788" s="28"/>
      <c r="F788" s="383"/>
      <c r="G788" s="380"/>
      <c r="H788" s="300"/>
      <c r="I788" s="17"/>
      <c r="J788" s="17"/>
      <c r="K788" s="17"/>
      <c r="L788" s="17"/>
      <c r="M788" s="17"/>
      <c r="N788" s="17"/>
      <c r="O788" s="17"/>
      <c r="P788" s="17"/>
      <c r="Q788" s="17"/>
      <c r="R788" s="17"/>
      <c r="S788" s="17"/>
      <c r="T788" s="17"/>
      <c r="U788" s="300"/>
      <c r="V788" s="67"/>
      <c r="W788" s="17"/>
      <c r="X788" s="17"/>
      <c r="Y788" s="300"/>
      <c r="Z788" s="386"/>
      <c r="AA788" s="386"/>
      <c r="AB788" s="386"/>
      <c r="AC788" s="386"/>
      <c r="AD788" s="386"/>
      <c r="AE788" s="386"/>
      <c r="AF788" s="386"/>
    </row>
    <row r="789" ht="15.75" customHeight="1">
      <c r="A789" s="24"/>
      <c r="B789" s="25"/>
      <c r="C789" s="25"/>
      <c r="D789" s="28"/>
      <c r="E789" s="28"/>
      <c r="F789" s="404"/>
      <c r="G789" s="380"/>
      <c r="H789" s="300"/>
      <c r="I789" s="17"/>
      <c r="J789" s="17"/>
      <c r="K789" s="17"/>
      <c r="L789" s="17"/>
      <c r="M789" s="17"/>
      <c r="N789" s="17"/>
      <c r="O789" s="17"/>
      <c r="P789" s="17"/>
      <c r="Q789" s="17"/>
      <c r="R789" s="17"/>
      <c r="S789" s="17"/>
      <c r="T789" s="17"/>
      <c r="U789" s="300"/>
      <c r="V789" s="47"/>
      <c r="W789" s="17"/>
      <c r="X789" s="17"/>
      <c r="Y789" s="300"/>
      <c r="Z789" s="386"/>
      <c r="AA789" s="386"/>
      <c r="AB789" s="386"/>
      <c r="AC789" s="386"/>
      <c r="AD789" s="386"/>
      <c r="AE789" s="386"/>
      <c r="AF789" s="386"/>
    </row>
    <row r="790" ht="15.75" customHeight="1">
      <c r="A790" s="24"/>
      <c r="B790" s="25"/>
      <c r="C790" s="25"/>
      <c r="D790" s="28"/>
      <c r="E790" s="28"/>
      <c r="F790" s="383"/>
      <c r="G790" s="380"/>
      <c r="H790" s="300"/>
      <c r="I790" s="17"/>
      <c r="J790" s="17"/>
      <c r="K790" s="17"/>
      <c r="L790" s="17"/>
      <c r="M790" s="17"/>
      <c r="N790" s="17"/>
      <c r="O790" s="17"/>
      <c r="P790" s="17"/>
      <c r="Q790" s="17"/>
      <c r="R790" s="17"/>
      <c r="S790" s="17"/>
      <c r="T790" s="17"/>
      <c r="U790" s="300"/>
      <c r="V790" s="67"/>
      <c r="W790" s="17"/>
      <c r="X790" s="17"/>
      <c r="Y790" s="300"/>
      <c r="Z790" s="386"/>
      <c r="AA790" s="386"/>
      <c r="AB790" s="386"/>
      <c r="AC790" s="386"/>
      <c r="AD790" s="386"/>
      <c r="AE790" s="386"/>
      <c r="AF790" s="386"/>
    </row>
    <row r="791" ht="15.75" customHeight="1">
      <c r="A791" s="24"/>
      <c r="B791" s="25"/>
      <c r="C791" s="25"/>
      <c r="D791" s="28"/>
      <c r="E791" s="28"/>
      <c r="F791" s="404"/>
      <c r="G791" s="380"/>
      <c r="H791" s="300"/>
      <c r="I791" s="17"/>
      <c r="J791" s="17"/>
      <c r="K791" s="17"/>
      <c r="L791" s="17"/>
      <c r="M791" s="17"/>
      <c r="N791" s="17"/>
      <c r="O791" s="17"/>
      <c r="P791" s="17"/>
      <c r="Q791" s="17"/>
      <c r="R791" s="17"/>
      <c r="S791" s="17"/>
      <c r="T791" s="17"/>
      <c r="U791" s="300"/>
      <c r="V791" s="47"/>
      <c r="W791" s="17"/>
      <c r="X791" s="17"/>
      <c r="Y791" s="300"/>
      <c r="Z791" s="386"/>
      <c r="AA791" s="386"/>
      <c r="AB791" s="386"/>
      <c r="AC791" s="386"/>
      <c r="AD791" s="386"/>
      <c r="AE791" s="386"/>
      <c r="AF791" s="386"/>
    </row>
    <row r="792" ht="15.75" customHeight="1">
      <c r="A792" s="24"/>
      <c r="B792" s="25"/>
      <c r="C792" s="25"/>
      <c r="D792" s="28"/>
      <c r="E792" s="28"/>
      <c r="F792" s="383"/>
      <c r="G792" s="380"/>
      <c r="H792" s="300"/>
      <c r="I792" s="17"/>
      <c r="J792" s="17"/>
      <c r="K792" s="17"/>
      <c r="L792" s="17"/>
      <c r="M792" s="17"/>
      <c r="N792" s="17"/>
      <c r="O792" s="17"/>
      <c r="P792" s="17"/>
      <c r="Q792" s="17"/>
      <c r="R792" s="17"/>
      <c r="S792" s="17"/>
      <c r="T792" s="17"/>
      <c r="U792" s="300"/>
      <c r="V792" s="67"/>
      <c r="W792" s="17"/>
      <c r="X792" s="17"/>
      <c r="Y792" s="300"/>
      <c r="Z792" s="386"/>
      <c r="AA792" s="386"/>
      <c r="AB792" s="386"/>
      <c r="AC792" s="386"/>
      <c r="AD792" s="386"/>
      <c r="AE792" s="386"/>
      <c r="AF792" s="386"/>
    </row>
    <row r="793" ht="15.75" customHeight="1">
      <c r="A793" s="24"/>
      <c r="B793" s="25"/>
      <c r="C793" s="25"/>
      <c r="D793" s="28"/>
      <c r="E793" s="28"/>
      <c r="F793" s="404"/>
      <c r="G793" s="380"/>
      <c r="H793" s="300"/>
      <c r="I793" s="17"/>
      <c r="J793" s="17"/>
      <c r="K793" s="17"/>
      <c r="L793" s="17"/>
      <c r="M793" s="17"/>
      <c r="N793" s="17"/>
      <c r="O793" s="17"/>
      <c r="P793" s="17"/>
      <c r="Q793" s="17"/>
      <c r="R793" s="17"/>
      <c r="S793" s="17"/>
      <c r="T793" s="17"/>
      <c r="U793" s="300"/>
      <c r="V793" s="47"/>
      <c r="W793" s="17"/>
      <c r="X793" s="17"/>
      <c r="Y793" s="300"/>
      <c r="Z793" s="386"/>
      <c r="AA793" s="386"/>
      <c r="AB793" s="386"/>
      <c r="AC793" s="386"/>
      <c r="AD793" s="386"/>
      <c r="AE793" s="386"/>
      <c r="AF793" s="386"/>
    </row>
    <row r="794" ht="15.75" customHeight="1">
      <c r="A794" s="24"/>
      <c r="B794" s="25"/>
      <c r="C794" s="25"/>
      <c r="D794" s="28"/>
      <c r="E794" s="28"/>
      <c r="F794" s="383"/>
      <c r="G794" s="380"/>
      <c r="H794" s="300"/>
      <c r="I794" s="17"/>
      <c r="J794" s="17"/>
      <c r="K794" s="17"/>
      <c r="L794" s="17"/>
      <c r="M794" s="17"/>
      <c r="N794" s="17"/>
      <c r="O794" s="17"/>
      <c r="P794" s="17"/>
      <c r="Q794" s="17"/>
      <c r="R794" s="17"/>
      <c r="S794" s="17"/>
      <c r="T794" s="17"/>
      <c r="U794" s="300"/>
      <c r="V794" s="67"/>
      <c r="W794" s="17"/>
      <c r="X794" s="17"/>
      <c r="Y794" s="300"/>
      <c r="Z794" s="386"/>
      <c r="AA794" s="386"/>
      <c r="AB794" s="386"/>
      <c r="AC794" s="386"/>
      <c r="AD794" s="386"/>
      <c r="AE794" s="386"/>
      <c r="AF794" s="386"/>
    </row>
    <row r="795" ht="15.75" customHeight="1">
      <c r="A795" s="24"/>
      <c r="B795" s="25"/>
      <c r="C795" s="25"/>
      <c r="D795" s="28"/>
      <c r="E795" s="28"/>
      <c r="F795" s="404"/>
      <c r="G795" s="380"/>
      <c r="H795" s="300"/>
      <c r="I795" s="17"/>
      <c r="J795" s="17"/>
      <c r="K795" s="17"/>
      <c r="L795" s="17"/>
      <c r="M795" s="17"/>
      <c r="N795" s="17"/>
      <c r="O795" s="17"/>
      <c r="P795" s="17"/>
      <c r="Q795" s="17"/>
      <c r="R795" s="17"/>
      <c r="S795" s="17"/>
      <c r="T795" s="17"/>
      <c r="U795" s="300"/>
      <c r="V795" s="47"/>
      <c r="W795" s="17"/>
      <c r="X795" s="17"/>
      <c r="Y795" s="300"/>
      <c r="Z795" s="386"/>
      <c r="AA795" s="386"/>
      <c r="AB795" s="386"/>
      <c r="AC795" s="386"/>
      <c r="AD795" s="386"/>
      <c r="AE795" s="386"/>
      <c r="AF795" s="386"/>
    </row>
    <row r="796" ht="15.75" customHeight="1">
      <c r="A796" s="24"/>
      <c r="B796" s="25"/>
      <c r="C796" s="25"/>
      <c r="D796" s="28"/>
      <c r="E796" s="28"/>
      <c r="F796" s="383"/>
      <c r="G796" s="380"/>
      <c r="H796" s="300"/>
      <c r="I796" s="17"/>
      <c r="J796" s="17"/>
      <c r="K796" s="17"/>
      <c r="L796" s="17"/>
      <c r="M796" s="17"/>
      <c r="N796" s="17"/>
      <c r="O796" s="17"/>
      <c r="P796" s="17"/>
      <c r="Q796" s="17"/>
      <c r="R796" s="17"/>
      <c r="S796" s="17"/>
      <c r="T796" s="17"/>
      <c r="U796" s="300"/>
      <c r="V796" s="67"/>
      <c r="W796" s="17"/>
      <c r="X796" s="17"/>
      <c r="Y796" s="300"/>
      <c r="Z796" s="386"/>
      <c r="AA796" s="386"/>
      <c r="AB796" s="386"/>
      <c r="AC796" s="386"/>
      <c r="AD796" s="386"/>
      <c r="AE796" s="386"/>
      <c r="AF796" s="386"/>
    </row>
    <row r="797" ht="15.75" customHeight="1">
      <c r="A797" s="24"/>
      <c r="B797" s="25"/>
      <c r="C797" s="25"/>
      <c r="D797" s="28"/>
      <c r="E797" s="28"/>
      <c r="F797" s="404"/>
      <c r="G797" s="380"/>
      <c r="H797" s="300"/>
      <c r="I797" s="17"/>
      <c r="J797" s="17"/>
      <c r="K797" s="17"/>
      <c r="L797" s="17"/>
      <c r="M797" s="17"/>
      <c r="N797" s="17"/>
      <c r="O797" s="17"/>
      <c r="P797" s="17"/>
      <c r="Q797" s="17"/>
      <c r="R797" s="17"/>
      <c r="S797" s="17"/>
      <c r="T797" s="17"/>
      <c r="U797" s="300"/>
      <c r="V797" s="47"/>
      <c r="W797" s="17"/>
      <c r="X797" s="17"/>
      <c r="Y797" s="300"/>
      <c r="Z797" s="386"/>
      <c r="AA797" s="386"/>
      <c r="AB797" s="386"/>
      <c r="AC797" s="386"/>
      <c r="AD797" s="386"/>
      <c r="AE797" s="386"/>
      <c r="AF797" s="386"/>
    </row>
    <row r="798" ht="15.75" customHeight="1">
      <c r="A798" s="24"/>
      <c r="B798" s="25"/>
      <c r="C798" s="25"/>
      <c r="D798" s="28"/>
      <c r="E798" s="28"/>
      <c r="F798" s="383"/>
      <c r="G798" s="380"/>
      <c r="H798" s="300"/>
      <c r="I798" s="17"/>
      <c r="J798" s="17"/>
      <c r="K798" s="17"/>
      <c r="L798" s="17"/>
      <c r="M798" s="17"/>
      <c r="N798" s="17"/>
      <c r="O798" s="17"/>
      <c r="P798" s="17"/>
      <c r="Q798" s="17"/>
      <c r="R798" s="17"/>
      <c r="S798" s="17"/>
      <c r="T798" s="17"/>
      <c r="U798" s="300"/>
      <c r="V798" s="67"/>
      <c r="W798" s="17"/>
      <c r="X798" s="17"/>
      <c r="Y798" s="300"/>
      <c r="Z798" s="386"/>
      <c r="AA798" s="386"/>
      <c r="AB798" s="386"/>
      <c r="AC798" s="386"/>
      <c r="AD798" s="386"/>
      <c r="AE798" s="386"/>
      <c r="AF798" s="386"/>
    </row>
    <row r="799" ht="15.75" customHeight="1">
      <c r="A799" s="24"/>
      <c r="B799" s="25"/>
      <c r="C799" s="25"/>
      <c r="D799" s="28"/>
      <c r="E799" s="28"/>
      <c r="F799" s="404"/>
      <c r="G799" s="380"/>
      <c r="H799" s="300"/>
      <c r="I799" s="17"/>
      <c r="J799" s="17"/>
      <c r="K799" s="17"/>
      <c r="L799" s="17"/>
      <c r="M799" s="17"/>
      <c r="N799" s="17"/>
      <c r="O799" s="17"/>
      <c r="P799" s="17"/>
      <c r="Q799" s="17"/>
      <c r="R799" s="17"/>
      <c r="S799" s="17"/>
      <c r="T799" s="17"/>
      <c r="U799" s="300"/>
      <c r="V799" s="47"/>
      <c r="W799" s="17"/>
      <c r="X799" s="17"/>
      <c r="Y799" s="300"/>
      <c r="Z799" s="386"/>
      <c r="AA799" s="386"/>
      <c r="AB799" s="386"/>
      <c r="AC799" s="386"/>
      <c r="AD799" s="386"/>
      <c r="AE799" s="386"/>
      <c r="AF799" s="386"/>
    </row>
    <row r="800" ht="15.75" customHeight="1">
      <c r="A800" s="24"/>
      <c r="B800" s="25"/>
      <c r="C800" s="25"/>
      <c r="D800" s="28"/>
      <c r="E800" s="28"/>
      <c r="F800" s="383"/>
      <c r="G800" s="380"/>
      <c r="H800" s="300"/>
      <c r="I800" s="17"/>
      <c r="J800" s="17"/>
      <c r="K800" s="17"/>
      <c r="L800" s="17"/>
      <c r="M800" s="17"/>
      <c r="N800" s="17"/>
      <c r="O800" s="17"/>
      <c r="P800" s="17"/>
      <c r="Q800" s="17"/>
      <c r="R800" s="17"/>
      <c r="S800" s="17"/>
      <c r="T800" s="17"/>
      <c r="U800" s="300"/>
      <c r="V800" s="67"/>
      <c r="W800" s="17"/>
      <c r="X800" s="17"/>
      <c r="Y800" s="300"/>
      <c r="Z800" s="386"/>
      <c r="AA800" s="386"/>
      <c r="AB800" s="386"/>
      <c r="AC800" s="386"/>
      <c r="AD800" s="386"/>
      <c r="AE800" s="386"/>
      <c r="AF800" s="386"/>
    </row>
    <row r="801" ht="15.75" customHeight="1">
      <c r="A801" s="24"/>
      <c r="B801" s="25"/>
      <c r="C801" s="25"/>
      <c r="D801" s="28"/>
      <c r="E801" s="28"/>
      <c r="F801" s="404"/>
      <c r="G801" s="380"/>
      <c r="H801" s="300"/>
      <c r="I801" s="17"/>
      <c r="J801" s="17"/>
      <c r="K801" s="17"/>
      <c r="L801" s="17"/>
      <c r="M801" s="17"/>
      <c r="N801" s="17"/>
      <c r="O801" s="17"/>
      <c r="P801" s="17"/>
      <c r="Q801" s="17"/>
      <c r="R801" s="17"/>
      <c r="S801" s="17"/>
      <c r="T801" s="17"/>
      <c r="U801" s="300"/>
      <c r="V801" s="47"/>
      <c r="W801" s="17"/>
      <c r="X801" s="17"/>
      <c r="Y801" s="300"/>
      <c r="Z801" s="386"/>
      <c r="AA801" s="386"/>
      <c r="AB801" s="386"/>
      <c r="AC801" s="386"/>
      <c r="AD801" s="386"/>
      <c r="AE801" s="386"/>
      <c r="AF801" s="386"/>
    </row>
    <row r="802" ht="15.75" customHeight="1">
      <c r="A802" s="24"/>
      <c r="B802" s="25"/>
      <c r="C802" s="25"/>
      <c r="D802" s="28"/>
      <c r="E802" s="28"/>
      <c r="F802" s="383"/>
      <c r="G802" s="380"/>
      <c r="H802" s="300"/>
      <c r="I802" s="17"/>
      <c r="J802" s="17"/>
      <c r="K802" s="17"/>
      <c r="L802" s="17"/>
      <c r="M802" s="17"/>
      <c r="N802" s="17"/>
      <c r="O802" s="17"/>
      <c r="P802" s="17"/>
      <c r="Q802" s="17"/>
      <c r="R802" s="17"/>
      <c r="S802" s="17"/>
      <c r="T802" s="17"/>
      <c r="U802" s="300"/>
      <c r="V802" s="67"/>
      <c r="W802" s="17"/>
      <c r="X802" s="17"/>
      <c r="Y802" s="300"/>
      <c r="Z802" s="386"/>
      <c r="AA802" s="386"/>
      <c r="AB802" s="386"/>
      <c r="AC802" s="386"/>
      <c r="AD802" s="386"/>
      <c r="AE802" s="386"/>
      <c r="AF802" s="386"/>
    </row>
    <row r="803" ht="15.75" customHeight="1">
      <c r="A803" s="24"/>
      <c r="B803" s="25"/>
      <c r="C803" s="25"/>
      <c r="D803" s="28"/>
      <c r="E803" s="28"/>
      <c r="F803" s="404"/>
      <c r="G803" s="380"/>
      <c r="H803" s="300"/>
      <c r="I803" s="17"/>
      <c r="J803" s="17"/>
      <c r="K803" s="17"/>
      <c r="L803" s="17"/>
      <c r="M803" s="17"/>
      <c r="N803" s="17"/>
      <c r="O803" s="17"/>
      <c r="P803" s="17"/>
      <c r="Q803" s="17"/>
      <c r="R803" s="17"/>
      <c r="S803" s="17"/>
      <c r="T803" s="17"/>
      <c r="U803" s="300"/>
      <c r="V803" s="47"/>
      <c r="W803" s="17"/>
      <c r="X803" s="17"/>
      <c r="Y803" s="300"/>
      <c r="Z803" s="386"/>
      <c r="AA803" s="386"/>
      <c r="AB803" s="386"/>
      <c r="AC803" s="386"/>
      <c r="AD803" s="386"/>
      <c r="AE803" s="386"/>
      <c r="AF803" s="386"/>
    </row>
    <row r="804" ht="15.75" customHeight="1">
      <c r="A804" s="24"/>
      <c r="B804" s="25"/>
      <c r="C804" s="25"/>
      <c r="D804" s="28"/>
      <c r="E804" s="28"/>
      <c r="F804" s="383"/>
      <c r="G804" s="380"/>
      <c r="H804" s="300"/>
      <c r="I804" s="17"/>
      <c r="J804" s="17"/>
      <c r="K804" s="17"/>
      <c r="L804" s="17"/>
      <c r="M804" s="17"/>
      <c r="N804" s="17"/>
      <c r="O804" s="17"/>
      <c r="P804" s="17"/>
      <c r="Q804" s="17"/>
      <c r="R804" s="17"/>
      <c r="S804" s="17"/>
      <c r="T804" s="17"/>
      <c r="U804" s="300"/>
      <c r="V804" s="67"/>
      <c r="W804" s="17"/>
      <c r="X804" s="17"/>
      <c r="Y804" s="300"/>
      <c r="Z804" s="386"/>
      <c r="AA804" s="386"/>
      <c r="AB804" s="386"/>
      <c r="AC804" s="386"/>
      <c r="AD804" s="386"/>
      <c r="AE804" s="386"/>
      <c r="AF804" s="386"/>
    </row>
    <row r="805" ht="15.75" customHeight="1">
      <c r="A805" s="24"/>
      <c r="B805" s="25"/>
      <c r="C805" s="25"/>
      <c r="D805" s="28"/>
      <c r="E805" s="28"/>
      <c r="F805" s="404"/>
      <c r="G805" s="380"/>
      <c r="H805" s="300"/>
      <c r="I805" s="17"/>
      <c r="J805" s="17"/>
      <c r="K805" s="17"/>
      <c r="L805" s="17"/>
      <c r="M805" s="17"/>
      <c r="N805" s="17"/>
      <c r="O805" s="17"/>
      <c r="P805" s="17"/>
      <c r="Q805" s="17"/>
      <c r="R805" s="17"/>
      <c r="S805" s="17"/>
      <c r="T805" s="17"/>
      <c r="U805" s="300"/>
      <c r="V805" s="47"/>
      <c r="W805" s="17"/>
      <c r="X805" s="17"/>
      <c r="Y805" s="300"/>
      <c r="Z805" s="386"/>
      <c r="AA805" s="386"/>
      <c r="AB805" s="386"/>
      <c r="AC805" s="386"/>
      <c r="AD805" s="386"/>
      <c r="AE805" s="386"/>
      <c r="AF805" s="386"/>
    </row>
    <row r="806" ht="15.75" customHeight="1">
      <c r="A806" s="24"/>
      <c r="B806" s="25"/>
      <c r="C806" s="25"/>
      <c r="D806" s="28"/>
      <c r="E806" s="28"/>
      <c r="F806" s="383"/>
      <c r="G806" s="380"/>
      <c r="H806" s="300"/>
      <c r="I806" s="17"/>
      <c r="J806" s="17"/>
      <c r="K806" s="17"/>
      <c r="L806" s="17"/>
      <c r="M806" s="17"/>
      <c r="N806" s="17"/>
      <c r="O806" s="17"/>
      <c r="P806" s="17"/>
      <c r="Q806" s="17"/>
      <c r="R806" s="17"/>
      <c r="S806" s="17"/>
      <c r="T806" s="17"/>
      <c r="U806" s="300"/>
      <c r="V806" s="67"/>
      <c r="W806" s="17"/>
      <c r="X806" s="17"/>
      <c r="Y806" s="300"/>
      <c r="Z806" s="386"/>
      <c r="AA806" s="386"/>
      <c r="AB806" s="386"/>
      <c r="AC806" s="386"/>
      <c r="AD806" s="386"/>
      <c r="AE806" s="386"/>
      <c r="AF806" s="386"/>
    </row>
    <row r="807" ht="15.75" customHeight="1">
      <c r="A807" s="24"/>
      <c r="B807" s="25"/>
      <c r="C807" s="25"/>
      <c r="D807" s="28"/>
      <c r="E807" s="28"/>
      <c r="F807" s="404"/>
      <c r="G807" s="380"/>
      <c r="H807" s="300"/>
      <c r="I807" s="17"/>
      <c r="J807" s="17"/>
      <c r="K807" s="17"/>
      <c r="L807" s="17"/>
      <c r="M807" s="17"/>
      <c r="N807" s="17"/>
      <c r="O807" s="17"/>
      <c r="P807" s="17"/>
      <c r="Q807" s="17"/>
      <c r="R807" s="17"/>
      <c r="S807" s="17"/>
      <c r="T807" s="17"/>
      <c r="U807" s="300"/>
      <c r="V807" s="47"/>
      <c r="W807" s="17"/>
      <c r="X807" s="17"/>
      <c r="Y807" s="300"/>
      <c r="Z807" s="386"/>
      <c r="AA807" s="386"/>
      <c r="AB807" s="386"/>
      <c r="AC807" s="386"/>
      <c r="AD807" s="386"/>
      <c r="AE807" s="386"/>
      <c r="AF807" s="386"/>
    </row>
    <row r="808" ht="15.75" customHeight="1">
      <c r="A808" s="24"/>
      <c r="B808" s="25"/>
      <c r="C808" s="25"/>
      <c r="D808" s="28"/>
      <c r="E808" s="28"/>
      <c r="F808" s="383"/>
      <c r="G808" s="380"/>
      <c r="H808" s="300"/>
      <c r="I808" s="17"/>
      <c r="J808" s="17"/>
      <c r="K808" s="17"/>
      <c r="L808" s="17"/>
      <c r="M808" s="17"/>
      <c r="N808" s="17"/>
      <c r="O808" s="17"/>
      <c r="P808" s="17"/>
      <c r="Q808" s="17"/>
      <c r="R808" s="17"/>
      <c r="S808" s="17"/>
      <c r="T808" s="17"/>
      <c r="U808" s="300"/>
      <c r="V808" s="67"/>
      <c r="W808" s="17"/>
      <c r="X808" s="17"/>
      <c r="Y808" s="300"/>
      <c r="Z808" s="386"/>
      <c r="AA808" s="386"/>
      <c r="AB808" s="386"/>
      <c r="AC808" s="386"/>
      <c r="AD808" s="386"/>
      <c r="AE808" s="386"/>
      <c r="AF808" s="386"/>
    </row>
    <row r="809" ht="15.75" customHeight="1">
      <c r="A809" s="24"/>
      <c r="B809" s="25"/>
      <c r="C809" s="25"/>
      <c r="D809" s="28"/>
      <c r="E809" s="28"/>
      <c r="F809" s="404"/>
      <c r="G809" s="380"/>
      <c r="H809" s="300"/>
      <c r="I809" s="17"/>
      <c r="J809" s="17"/>
      <c r="K809" s="17"/>
      <c r="L809" s="17"/>
      <c r="M809" s="17"/>
      <c r="N809" s="17"/>
      <c r="O809" s="17"/>
      <c r="P809" s="17"/>
      <c r="Q809" s="17"/>
      <c r="R809" s="17"/>
      <c r="S809" s="17"/>
      <c r="T809" s="17"/>
      <c r="U809" s="300"/>
      <c r="V809" s="47"/>
      <c r="W809" s="17"/>
      <c r="X809" s="17"/>
      <c r="Y809" s="300"/>
      <c r="Z809" s="386"/>
      <c r="AA809" s="386"/>
      <c r="AB809" s="386"/>
      <c r="AC809" s="386"/>
      <c r="AD809" s="386"/>
      <c r="AE809" s="386"/>
      <c r="AF809" s="386"/>
    </row>
    <row r="810" ht="15.75" customHeight="1">
      <c r="A810" s="24"/>
      <c r="B810" s="25"/>
      <c r="C810" s="25"/>
      <c r="D810" s="28"/>
      <c r="E810" s="28"/>
      <c r="F810" s="383"/>
      <c r="G810" s="380"/>
      <c r="H810" s="300"/>
      <c r="I810" s="17"/>
      <c r="J810" s="17"/>
      <c r="K810" s="17"/>
      <c r="L810" s="17"/>
      <c r="M810" s="17"/>
      <c r="N810" s="17"/>
      <c r="O810" s="17"/>
      <c r="P810" s="17"/>
      <c r="Q810" s="17"/>
      <c r="R810" s="17"/>
      <c r="S810" s="17"/>
      <c r="T810" s="17"/>
      <c r="U810" s="300"/>
      <c r="V810" s="67"/>
      <c r="W810" s="17"/>
      <c r="X810" s="17"/>
      <c r="Y810" s="300"/>
      <c r="Z810" s="386"/>
      <c r="AA810" s="386"/>
      <c r="AB810" s="386"/>
      <c r="AC810" s="386"/>
      <c r="AD810" s="386"/>
      <c r="AE810" s="386"/>
      <c r="AF810" s="386"/>
    </row>
    <row r="811" ht="15.75" customHeight="1">
      <c r="A811" s="24"/>
      <c r="B811" s="25"/>
      <c r="C811" s="25"/>
      <c r="D811" s="28"/>
      <c r="E811" s="28"/>
      <c r="F811" s="404"/>
      <c r="G811" s="380"/>
      <c r="H811" s="300"/>
      <c r="I811" s="17"/>
      <c r="J811" s="17"/>
      <c r="K811" s="17"/>
      <c r="L811" s="17"/>
      <c r="M811" s="17"/>
      <c r="N811" s="17"/>
      <c r="O811" s="17"/>
      <c r="P811" s="17"/>
      <c r="Q811" s="17"/>
      <c r="R811" s="17"/>
      <c r="S811" s="17"/>
      <c r="T811" s="17"/>
      <c r="U811" s="300"/>
      <c r="V811" s="47"/>
      <c r="W811" s="17"/>
      <c r="X811" s="17"/>
      <c r="Y811" s="300"/>
      <c r="Z811" s="386"/>
      <c r="AA811" s="386"/>
      <c r="AB811" s="386"/>
      <c r="AC811" s="386"/>
      <c r="AD811" s="386"/>
      <c r="AE811" s="386"/>
      <c r="AF811" s="386"/>
    </row>
    <row r="812" ht="15.75" customHeight="1">
      <c r="A812" s="24"/>
      <c r="B812" s="25"/>
      <c r="C812" s="25"/>
      <c r="D812" s="28"/>
      <c r="E812" s="28"/>
      <c r="F812" s="383"/>
      <c r="G812" s="380"/>
      <c r="H812" s="300"/>
      <c r="I812" s="17"/>
      <c r="J812" s="17"/>
      <c r="K812" s="17"/>
      <c r="L812" s="17"/>
      <c r="M812" s="17"/>
      <c r="N812" s="17"/>
      <c r="O812" s="17"/>
      <c r="P812" s="17"/>
      <c r="Q812" s="17"/>
      <c r="R812" s="17"/>
      <c r="S812" s="17"/>
      <c r="T812" s="17"/>
      <c r="U812" s="300"/>
      <c r="V812" s="67"/>
      <c r="W812" s="17"/>
      <c r="X812" s="17"/>
      <c r="Y812" s="300"/>
      <c r="Z812" s="386"/>
      <c r="AA812" s="386"/>
      <c r="AB812" s="386"/>
      <c r="AC812" s="386"/>
      <c r="AD812" s="386"/>
      <c r="AE812" s="386"/>
      <c r="AF812" s="386"/>
    </row>
    <row r="813" ht="15.75" customHeight="1">
      <c r="A813" s="24"/>
      <c r="B813" s="25"/>
      <c r="C813" s="25"/>
      <c r="D813" s="28"/>
      <c r="E813" s="28"/>
      <c r="F813" s="404"/>
      <c r="G813" s="380"/>
      <c r="H813" s="300"/>
      <c r="I813" s="17"/>
      <c r="J813" s="17"/>
      <c r="K813" s="17"/>
      <c r="L813" s="17"/>
      <c r="M813" s="17"/>
      <c r="N813" s="17"/>
      <c r="O813" s="17"/>
      <c r="P813" s="17"/>
      <c r="Q813" s="17"/>
      <c r="R813" s="17"/>
      <c r="S813" s="17"/>
      <c r="T813" s="17"/>
      <c r="U813" s="300"/>
      <c r="V813" s="47"/>
      <c r="W813" s="17"/>
      <c r="X813" s="17"/>
      <c r="Y813" s="300"/>
      <c r="Z813" s="386"/>
      <c r="AA813" s="386"/>
      <c r="AB813" s="386"/>
      <c r="AC813" s="386"/>
      <c r="AD813" s="386"/>
      <c r="AE813" s="386"/>
      <c r="AF813" s="386"/>
    </row>
    <row r="814" ht="15.75" customHeight="1">
      <c r="A814" s="24"/>
      <c r="B814" s="25"/>
      <c r="C814" s="25"/>
      <c r="D814" s="28"/>
      <c r="E814" s="28"/>
      <c r="F814" s="383"/>
      <c r="G814" s="380"/>
      <c r="H814" s="300"/>
      <c r="I814" s="17"/>
      <c r="J814" s="17"/>
      <c r="K814" s="17"/>
      <c r="L814" s="17"/>
      <c r="M814" s="17"/>
      <c r="N814" s="17"/>
      <c r="O814" s="17"/>
      <c r="P814" s="17"/>
      <c r="Q814" s="17"/>
      <c r="R814" s="17"/>
      <c r="S814" s="17"/>
      <c r="T814" s="17"/>
      <c r="U814" s="300"/>
      <c r="V814" s="67"/>
      <c r="W814" s="17"/>
      <c r="X814" s="17"/>
      <c r="Y814" s="300"/>
      <c r="Z814" s="386"/>
      <c r="AA814" s="386"/>
      <c r="AB814" s="386"/>
      <c r="AC814" s="386"/>
      <c r="AD814" s="386"/>
      <c r="AE814" s="386"/>
      <c r="AF814" s="386"/>
    </row>
    <row r="815" ht="15.75" customHeight="1">
      <c r="A815" s="24"/>
      <c r="B815" s="25"/>
      <c r="C815" s="25"/>
      <c r="D815" s="28"/>
      <c r="E815" s="28"/>
      <c r="F815" s="404"/>
      <c r="G815" s="380"/>
      <c r="H815" s="300"/>
      <c r="I815" s="17"/>
      <c r="J815" s="17"/>
      <c r="K815" s="17"/>
      <c r="L815" s="17"/>
      <c r="M815" s="17"/>
      <c r="N815" s="17"/>
      <c r="O815" s="17"/>
      <c r="P815" s="17"/>
      <c r="Q815" s="17"/>
      <c r="R815" s="17"/>
      <c r="S815" s="17"/>
      <c r="T815" s="17"/>
      <c r="U815" s="300"/>
      <c r="V815" s="47"/>
      <c r="W815" s="17"/>
      <c r="X815" s="17"/>
      <c r="Y815" s="300"/>
      <c r="Z815" s="386"/>
      <c r="AA815" s="386"/>
      <c r="AB815" s="386"/>
      <c r="AC815" s="386"/>
      <c r="AD815" s="386"/>
      <c r="AE815" s="386"/>
      <c r="AF815" s="386"/>
    </row>
    <row r="816" ht="15.75" customHeight="1">
      <c r="A816" s="24"/>
      <c r="B816" s="25"/>
      <c r="C816" s="25"/>
      <c r="D816" s="28"/>
      <c r="E816" s="28"/>
      <c r="F816" s="383"/>
      <c r="G816" s="380"/>
      <c r="H816" s="300"/>
      <c r="I816" s="17"/>
      <c r="J816" s="17"/>
      <c r="K816" s="17"/>
      <c r="L816" s="17"/>
      <c r="M816" s="17"/>
      <c r="N816" s="17"/>
      <c r="O816" s="17"/>
      <c r="P816" s="17"/>
      <c r="Q816" s="17"/>
      <c r="R816" s="17"/>
      <c r="S816" s="17"/>
      <c r="T816" s="17"/>
      <c r="U816" s="300"/>
      <c r="V816" s="67"/>
      <c r="W816" s="17"/>
      <c r="X816" s="17"/>
      <c r="Y816" s="300"/>
      <c r="Z816" s="386"/>
      <c r="AA816" s="386"/>
      <c r="AB816" s="386"/>
      <c r="AC816" s="386"/>
      <c r="AD816" s="386"/>
      <c r="AE816" s="386"/>
      <c r="AF816" s="386"/>
    </row>
    <row r="817" ht="15.75" customHeight="1">
      <c r="A817" s="24"/>
      <c r="B817" s="25"/>
      <c r="C817" s="25"/>
      <c r="D817" s="28"/>
      <c r="E817" s="28"/>
      <c r="F817" s="404"/>
      <c r="G817" s="380"/>
      <c r="H817" s="300"/>
      <c r="I817" s="17"/>
      <c r="J817" s="17"/>
      <c r="K817" s="17"/>
      <c r="L817" s="17"/>
      <c r="M817" s="17"/>
      <c r="N817" s="17"/>
      <c r="O817" s="17"/>
      <c r="P817" s="17"/>
      <c r="Q817" s="17"/>
      <c r="R817" s="17"/>
      <c r="S817" s="17"/>
      <c r="T817" s="17"/>
      <c r="U817" s="300"/>
      <c r="V817" s="47"/>
      <c r="W817" s="17"/>
      <c r="X817" s="17"/>
      <c r="Y817" s="300"/>
      <c r="Z817" s="386"/>
      <c r="AA817" s="386"/>
      <c r="AB817" s="386"/>
      <c r="AC817" s="386"/>
      <c r="AD817" s="386"/>
      <c r="AE817" s="386"/>
      <c r="AF817" s="386"/>
    </row>
    <row r="818" ht="15.75" customHeight="1">
      <c r="A818" s="24"/>
      <c r="B818" s="25"/>
      <c r="C818" s="25"/>
      <c r="D818" s="28"/>
      <c r="E818" s="28"/>
      <c r="F818" s="383"/>
      <c r="G818" s="380"/>
      <c r="H818" s="300"/>
      <c r="I818" s="17"/>
      <c r="J818" s="17"/>
      <c r="K818" s="17"/>
      <c r="L818" s="17"/>
      <c r="M818" s="17"/>
      <c r="N818" s="17"/>
      <c r="O818" s="17"/>
      <c r="P818" s="17"/>
      <c r="Q818" s="17"/>
      <c r="R818" s="17"/>
      <c r="S818" s="17"/>
      <c r="T818" s="17"/>
      <c r="U818" s="300"/>
      <c r="V818" s="67"/>
      <c r="W818" s="17"/>
      <c r="X818" s="17"/>
      <c r="Y818" s="300"/>
      <c r="Z818" s="386"/>
      <c r="AA818" s="386"/>
      <c r="AB818" s="386"/>
      <c r="AC818" s="386"/>
      <c r="AD818" s="386"/>
      <c r="AE818" s="386"/>
      <c r="AF818" s="386"/>
    </row>
    <row r="819" ht="15.75" customHeight="1">
      <c r="A819" s="24"/>
      <c r="B819" s="25"/>
      <c r="C819" s="25"/>
      <c r="D819" s="28"/>
      <c r="E819" s="28"/>
      <c r="F819" s="404"/>
      <c r="G819" s="380"/>
      <c r="H819" s="300"/>
      <c r="I819" s="17"/>
      <c r="J819" s="17"/>
      <c r="K819" s="17"/>
      <c r="L819" s="17"/>
      <c r="M819" s="17"/>
      <c r="N819" s="17"/>
      <c r="O819" s="17"/>
      <c r="P819" s="17"/>
      <c r="Q819" s="17"/>
      <c r="R819" s="17"/>
      <c r="S819" s="17"/>
      <c r="T819" s="17"/>
      <c r="U819" s="300"/>
      <c r="V819" s="47"/>
      <c r="W819" s="17"/>
      <c r="X819" s="17"/>
      <c r="Y819" s="300"/>
      <c r="Z819" s="386"/>
      <c r="AA819" s="386"/>
      <c r="AB819" s="386"/>
      <c r="AC819" s="386"/>
      <c r="AD819" s="386"/>
      <c r="AE819" s="386"/>
      <c r="AF819" s="386"/>
    </row>
    <row r="820" ht="15.75" customHeight="1">
      <c r="A820" s="24"/>
      <c r="B820" s="25"/>
      <c r="C820" s="25"/>
      <c r="D820" s="28"/>
      <c r="E820" s="28"/>
      <c r="F820" s="383"/>
      <c r="G820" s="380"/>
      <c r="H820" s="300"/>
      <c r="I820" s="17"/>
      <c r="J820" s="17"/>
      <c r="K820" s="17"/>
      <c r="L820" s="17"/>
      <c r="M820" s="17"/>
      <c r="N820" s="17"/>
      <c r="O820" s="17"/>
      <c r="P820" s="17"/>
      <c r="Q820" s="17"/>
      <c r="R820" s="17"/>
      <c r="S820" s="17"/>
      <c r="T820" s="17"/>
      <c r="U820" s="300"/>
      <c r="V820" s="67"/>
      <c r="W820" s="17"/>
      <c r="X820" s="17"/>
      <c r="Y820" s="300"/>
      <c r="Z820" s="386"/>
      <c r="AA820" s="386"/>
      <c r="AB820" s="386"/>
      <c r="AC820" s="386"/>
      <c r="AD820" s="386"/>
      <c r="AE820" s="386"/>
      <c r="AF820" s="386"/>
    </row>
    <row r="821" ht="15.75" customHeight="1">
      <c r="A821" s="24"/>
      <c r="B821" s="25"/>
      <c r="C821" s="25"/>
      <c r="D821" s="28"/>
      <c r="E821" s="28"/>
      <c r="F821" s="404"/>
      <c r="G821" s="380"/>
      <c r="H821" s="300"/>
      <c r="I821" s="17"/>
      <c r="J821" s="17"/>
      <c r="K821" s="17"/>
      <c r="L821" s="17"/>
      <c r="M821" s="17"/>
      <c r="N821" s="17"/>
      <c r="O821" s="17"/>
      <c r="P821" s="17"/>
      <c r="Q821" s="17"/>
      <c r="R821" s="17"/>
      <c r="S821" s="17"/>
      <c r="T821" s="17"/>
      <c r="U821" s="300"/>
      <c r="V821" s="47"/>
      <c r="W821" s="17"/>
      <c r="X821" s="17"/>
      <c r="Y821" s="300"/>
      <c r="Z821" s="386"/>
      <c r="AA821" s="386"/>
      <c r="AB821" s="386"/>
      <c r="AC821" s="386"/>
      <c r="AD821" s="386"/>
      <c r="AE821" s="386"/>
      <c r="AF821" s="386"/>
    </row>
    <row r="822" ht="15.75" customHeight="1">
      <c r="A822" s="24"/>
      <c r="B822" s="25"/>
      <c r="C822" s="25"/>
      <c r="D822" s="28"/>
      <c r="E822" s="28"/>
      <c r="F822" s="383"/>
      <c r="G822" s="380"/>
      <c r="H822" s="300"/>
      <c r="I822" s="17"/>
      <c r="J822" s="17"/>
      <c r="K822" s="17"/>
      <c r="L822" s="17"/>
      <c r="M822" s="17"/>
      <c r="N822" s="17"/>
      <c r="O822" s="17"/>
      <c r="P822" s="17"/>
      <c r="Q822" s="17"/>
      <c r="R822" s="17"/>
      <c r="S822" s="17"/>
      <c r="T822" s="17"/>
      <c r="U822" s="300"/>
      <c r="V822" s="67"/>
      <c r="W822" s="17"/>
      <c r="X822" s="17"/>
      <c r="Y822" s="300"/>
      <c r="Z822" s="386"/>
      <c r="AA822" s="386"/>
      <c r="AB822" s="386"/>
      <c r="AC822" s="386"/>
      <c r="AD822" s="386"/>
      <c r="AE822" s="386"/>
      <c r="AF822" s="386"/>
    </row>
    <row r="823" ht="15.75" customHeight="1">
      <c r="A823" s="24"/>
      <c r="B823" s="25"/>
      <c r="C823" s="25"/>
      <c r="D823" s="28"/>
      <c r="E823" s="28"/>
      <c r="F823" s="404"/>
      <c r="G823" s="380"/>
      <c r="H823" s="300"/>
      <c r="I823" s="17"/>
      <c r="J823" s="17"/>
      <c r="K823" s="17"/>
      <c r="L823" s="17"/>
      <c r="M823" s="17"/>
      <c r="N823" s="17"/>
      <c r="O823" s="17"/>
      <c r="P823" s="17"/>
      <c r="Q823" s="17"/>
      <c r="R823" s="17"/>
      <c r="S823" s="17"/>
      <c r="T823" s="17"/>
      <c r="U823" s="300"/>
      <c r="V823" s="47"/>
      <c r="W823" s="17"/>
      <c r="X823" s="17"/>
      <c r="Y823" s="300"/>
      <c r="Z823" s="386"/>
      <c r="AA823" s="386"/>
      <c r="AB823" s="386"/>
      <c r="AC823" s="386"/>
      <c r="AD823" s="386"/>
      <c r="AE823" s="386"/>
      <c r="AF823" s="386"/>
    </row>
    <row r="824" ht="15.75" customHeight="1">
      <c r="A824" s="24"/>
      <c r="B824" s="25"/>
      <c r="C824" s="25"/>
      <c r="D824" s="28"/>
      <c r="E824" s="28"/>
      <c r="F824" s="383"/>
      <c r="G824" s="380"/>
      <c r="H824" s="300"/>
      <c r="I824" s="17"/>
      <c r="J824" s="17"/>
      <c r="K824" s="17"/>
      <c r="L824" s="17"/>
      <c r="M824" s="17"/>
      <c r="N824" s="17"/>
      <c r="O824" s="17"/>
      <c r="P824" s="17"/>
      <c r="Q824" s="17"/>
      <c r="R824" s="17"/>
      <c r="S824" s="17"/>
      <c r="T824" s="17"/>
      <c r="U824" s="300"/>
      <c r="V824" s="67"/>
      <c r="W824" s="17"/>
      <c r="X824" s="17"/>
      <c r="Y824" s="300"/>
      <c r="Z824" s="386"/>
      <c r="AA824" s="386"/>
      <c r="AB824" s="386"/>
      <c r="AC824" s="386"/>
      <c r="AD824" s="386"/>
      <c r="AE824" s="386"/>
      <c r="AF824" s="386"/>
    </row>
    <row r="825" ht="15.75" customHeight="1">
      <c r="A825" s="24"/>
      <c r="B825" s="25"/>
      <c r="C825" s="25"/>
      <c r="D825" s="28"/>
      <c r="E825" s="28"/>
      <c r="F825" s="404"/>
      <c r="G825" s="380"/>
      <c r="H825" s="300"/>
      <c r="I825" s="17"/>
      <c r="J825" s="17"/>
      <c r="K825" s="17"/>
      <c r="L825" s="17"/>
      <c r="M825" s="17"/>
      <c r="N825" s="17"/>
      <c r="O825" s="17"/>
      <c r="P825" s="17"/>
      <c r="Q825" s="17"/>
      <c r="R825" s="17"/>
      <c r="S825" s="17"/>
      <c r="T825" s="17"/>
      <c r="U825" s="300"/>
      <c r="V825" s="47"/>
      <c r="W825" s="17"/>
      <c r="X825" s="17"/>
      <c r="Y825" s="300"/>
      <c r="Z825" s="386"/>
      <c r="AA825" s="386"/>
      <c r="AB825" s="386"/>
      <c r="AC825" s="386"/>
      <c r="AD825" s="386"/>
      <c r="AE825" s="386"/>
      <c r="AF825" s="386"/>
    </row>
    <row r="826" ht="15.75" customHeight="1">
      <c r="A826" s="24"/>
      <c r="B826" s="25"/>
      <c r="C826" s="25"/>
      <c r="D826" s="28"/>
      <c r="E826" s="28"/>
      <c r="F826" s="383"/>
      <c r="G826" s="380"/>
      <c r="H826" s="300"/>
      <c r="I826" s="17"/>
      <c r="J826" s="17"/>
      <c r="K826" s="17"/>
      <c r="L826" s="17"/>
      <c r="M826" s="17"/>
      <c r="N826" s="17"/>
      <c r="O826" s="17"/>
      <c r="P826" s="17"/>
      <c r="Q826" s="17"/>
      <c r="R826" s="17"/>
      <c r="S826" s="17"/>
      <c r="T826" s="17"/>
      <c r="U826" s="300"/>
      <c r="V826" s="67"/>
      <c r="W826" s="17"/>
      <c r="X826" s="17"/>
      <c r="Y826" s="300"/>
      <c r="Z826" s="386"/>
      <c r="AA826" s="386"/>
      <c r="AB826" s="386"/>
      <c r="AC826" s="386"/>
      <c r="AD826" s="386"/>
      <c r="AE826" s="386"/>
      <c r="AF826" s="386"/>
    </row>
    <row r="827" ht="15.75" customHeight="1">
      <c r="A827" s="24"/>
      <c r="B827" s="25"/>
      <c r="C827" s="25"/>
      <c r="D827" s="28"/>
      <c r="E827" s="28"/>
      <c r="F827" s="404"/>
      <c r="G827" s="380"/>
      <c r="H827" s="300"/>
      <c r="I827" s="17"/>
      <c r="J827" s="17"/>
      <c r="K827" s="17"/>
      <c r="L827" s="17"/>
      <c r="M827" s="17"/>
      <c r="N827" s="17"/>
      <c r="O827" s="17"/>
      <c r="P827" s="17"/>
      <c r="Q827" s="17"/>
      <c r="R827" s="17"/>
      <c r="S827" s="17"/>
      <c r="T827" s="17"/>
      <c r="U827" s="300"/>
      <c r="V827" s="47"/>
      <c r="W827" s="17"/>
      <c r="X827" s="17"/>
      <c r="Y827" s="300"/>
      <c r="Z827" s="386"/>
      <c r="AA827" s="386"/>
      <c r="AB827" s="386"/>
      <c r="AC827" s="386"/>
      <c r="AD827" s="386"/>
      <c r="AE827" s="386"/>
      <c r="AF827" s="386"/>
    </row>
    <row r="828" ht="15.75" customHeight="1">
      <c r="A828" s="24"/>
      <c r="B828" s="25"/>
      <c r="C828" s="25"/>
      <c r="D828" s="28"/>
      <c r="E828" s="28"/>
      <c r="F828" s="383"/>
      <c r="G828" s="380"/>
      <c r="H828" s="300"/>
      <c r="I828" s="17"/>
      <c r="J828" s="17"/>
      <c r="K828" s="17"/>
      <c r="L828" s="17"/>
      <c r="M828" s="17"/>
      <c r="N828" s="17"/>
      <c r="O828" s="17"/>
      <c r="P828" s="17"/>
      <c r="Q828" s="17"/>
      <c r="R828" s="17"/>
      <c r="S828" s="17"/>
      <c r="T828" s="17"/>
      <c r="U828" s="300"/>
      <c r="V828" s="67"/>
      <c r="W828" s="17"/>
      <c r="X828" s="17"/>
      <c r="Y828" s="300"/>
      <c r="Z828" s="386"/>
      <c r="AA828" s="386"/>
      <c r="AB828" s="386"/>
      <c r="AC828" s="386"/>
      <c r="AD828" s="386"/>
      <c r="AE828" s="386"/>
      <c r="AF828" s="386"/>
    </row>
    <row r="829" ht="15.75" customHeight="1">
      <c r="A829" s="24"/>
      <c r="B829" s="25"/>
      <c r="C829" s="25"/>
      <c r="D829" s="28"/>
      <c r="E829" s="28"/>
      <c r="F829" s="404"/>
      <c r="G829" s="380"/>
      <c r="H829" s="300"/>
      <c r="I829" s="17"/>
      <c r="J829" s="17"/>
      <c r="K829" s="17"/>
      <c r="L829" s="17"/>
      <c r="M829" s="17"/>
      <c r="N829" s="17"/>
      <c r="O829" s="17"/>
      <c r="P829" s="17"/>
      <c r="Q829" s="17"/>
      <c r="R829" s="17"/>
      <c r="S829" s="17"/>
      <c r="T829" s="17"/>
      <c r="U829" s="300"/>
      <c r="V829" s="47"/>
      <c r="W829" s="17"/>
      <c r="X829" s="17"/>
      <c r="Y829" s="300"/>
      <c r="Z829" s="386"/>
      <c r="AA829" s="386"/>
      <c r="AB829" s="386"/>
      <c r="AC829" s="386"/>
      <c r="AD829" s="386"/>
      <c r="AE829" s="386"/>
      <c r="AF829" s="386"/>
    </row>
    <row r="830" ht="15.75" customHeight="1">
      <c r="A830" s="24"/>
      <c r="B830" s="25"/>
      <c r="C830" s="25"/>
      <c r="D830" s="28"/>
      <c r="E830" s="28"/>
      <c r="F830" s="383"/>
      <c r="G830" s="380"/>
      <c r="H830" s="300"/>
      <c r="I830" s="17"/>
      <c r="J830" s="17"/>
      <c r="K830" s="17"/>
      <c r="L830" s="17"/>
      <c r="M830" s="17"/>
      <c r="N830" s="17"/>
      <c r="O830" s="17"/>
      <c r="P830" s="17"/>
      <c r="Q830" s="17"/>
      <c r="R830" s="17"/>
      <c r="S830" s="17"/>
      <c r="T830" s="17"/>
      <c r="U830" s="300"/>
      <c r="V830" s="67"/>
      <c r="W830" s="17"/>
      <c r="X830" s="17"/>
      <c r="Y830" s="300"/>
      <c r="Z830" s="386"/>
      <c r="AA830" s="386"/>
      <c r="AB830" s="386"/>
      <c r="AC830" s="386"/>
      <c r="AD830" s="386"/>
      <c r="AE830" s="386"/>
      <c r="AF830" s="386"/>
    </row>
    <row r="831" ht="15.75" customHeight="1">
      <c r="A831" s="24"/>
      <c r="B831" s="25"/>
      <c r="C831" s="25"/>
      <c r="D831" s="28"/>
      <c r="E831" s="28"/>
      <c r="F831" s="404"/>
      <c r="G831" s="380"/>
      <c r="H831" s="300"/>
      <c r="I831" s="17"/>
      <c r="J831" s="17"/>
      <c r="K831" s="17"/>
      <c r="L831" s="17"/>
      <c r="M831" s="17"/>
      <c r="N831" s="17"/>
      <c r="O831" s="17"/>
      <c r="P831" s="17"/>
      <c r="Q831" s="17"/>
      <c r="R831" s="17"/>
      <c r="S831" s="17"/>
      <c r="T831" s="17"/>
      <c r="U831" s="300"/>
      <c r="V831" s="47"/>
      <c r="W831" s="17"/>
      <c r="X831" s="17"/>
      <c r="Y831" s="300"/>
      <c r="Z831" s="386"/>
      <c r="AA831" s="386"/>
      <c r="AB831" s="386"/>
      <c r="AC831" s="386"/>
      <c r="AD831" s="386"/>
      <c r="AE831" s="386"/>
      <c r="AF831" s="386"/>
    </row>
    <row r="832" ht="15.75" customHeight="1">
      <c r="A832" s="24"/>
      <c r="B832" s="25"/>
      <c r="C832" s="25"/>
      <c r="D832" s="28"/>
      <c r="E832" s="28"/>
      <c r="F832" s="383"/>
      <c r="G832" s="380"/>
      <c r="H832" s="300"/>
      <c r="I832" s="17"/>
      <c r="J832" s="17"/>
      <c r="K832" s="17"/>
      <c r="L832" s="17"/>
      <c r="M832" s="17"/>
      <c r="N832" s="17"/>
      <c r="O832" s="17"/>
      <c r="P832" s="17"/>
      <c r="Q832" s="17"/>
      <c r="R832" s="17"/>
      <c r="S832" s="17"/>
      <c r="T832" s="17"/>
      <c r="U832" s="300"/>
      <c r="V832" s="67"/>
      <c r="W832" s="17"/>
      <c r="X832" s="17"/>
      <c r="Y832" s="300"/>
      <c r="Z832" s="386"/>
      <c r="AA832" s="386"/>
      <c r="AB832" s="386"/>
      <c r="AC832" s="386"/>
      <c r="AD832" s="386"/>
      <c r="AE832" s="386"/>
      <c r="AF832" s="386"/>
    </row>
    <row r="833" ht="15.75" customHeight="1">
      <c r="A833" s="24"/>
      <c r="B833" s="25"/>
      <c r="C833" s="25"/>
      <c r="D833" s="28"/>
      <c r="E833" s="28"/>
      <c r="F833" s="404"/>
      <c r="G833" s="380"/>
      <c r="H833" s="300"/>
      <c r="I833" s="17"/>
      <c r="J833" s="17"/>
      <c r="K833" s="17"/>
      <c r="L833" s="17"/>
      <c r="M833" s="17"/>
      <c r="N833" s="17"/>
      <c r="O833" s="17"/>
      <c r="P833" s="17"/>
      <c r="Q833" s="17"/>
      <c r="R833" s="17"/>
      <c r="S833" s="17"/>
      <c r="T833" s="17"/>
      <c r="U833" s="300"/>
      <c r="V833" s="47"/>
      <c r="W833" s="17"/>
      <c r="X833" s="17"/>
      <c r="Y833" s="300"/>
      <c r="Z833" s="386"/>
      <c r="AA833" s="386"/>
      <c r="AB833" s="386"/>
      <c r="AC833" s="386"/>
      <c r="AD833" s="386"/>
      <c r="AE833" s="386"/>
      <c r="AF833" s="386"/>
    </row>
    <row r="834" ht="15.75" customHeight="1">
      <c r="A834" s="24"/>
      <c r="B834" s="25"/>
      <c r="C834" s="25"/>
      <c r="D834" s="28"/>
      <c r="E834" s="28"/>
      <c r="F834" s="383"/>
      <c r="G834" s="380"/>
      <c r="H834" s="300"/>
      <c r="I834" s="17"/>
      <c r="J834" s="17"/>
      <c r="K834" s="17"/>
      <c r="L834" s="17"/>
      <c r="M834" s="17"/>
      <c r="N834" s="17"/>
      <c r="O834" s="17"/>
      <c r="P834" s="17"/>
      <c r="Q834" s="17"/>
      <c r="R834" s="17"/>
      <c r="S834" s="17"/>
      <c r="T834" s="17"/>
      <c r="U834" s="300"/>
      <c r="V834" s="67"/>
      <c r="W834" s="17"/>
      <c r="X834" s="17"/>
      <c r="Y834" s="300"/>
      <c r="Z834" s="386"/>
      <c r="AA834" s="386"/>
      <c r="AB834" s="386"/>
      <c r="AC834" s="386"/>
      <c r="AD834" s="386"/>
      <c r="AE834" s="386"/>
      <c r="AF834" s="386"/>
    </row>
    <row r="835" ht="15.75" customHeight="1">
      <c r="A835" s="24"/>
      <c r="B835" s="25"/>
      <c r="C835" s="25"/>
      <c r="D835" s="28"/>
      <c r="E835" s="28"/>
      <c r="F835" s="404"/>
      <c r="G835" s="380"/>
      <c r="H835" s="300"/>
      <c r="I835" s="17"/>
      <c r="J835" s="17"/>
      <c r="K835" s="17"/>
      <c r="L835" s="17"/>
      <c r="M835" s="17"/>
      <c r="N835" s="17"/>
      <c r="O835" s="17"/>
      <c r="P835" s="17"/>
      <c r="Q835" s="17"/>
      <c r="R835" s="17"/>
      <c r="S835" s="17"/>
      <c r="T835" s="17"/>
      <c r="U835" s="300"/>
      <c r="V835" s="47"/>
      <c r="W835" s="17"/>
      <c r="X835" s="17"/>
      <c r="Y835" s="300"/>
      <c r="Z835" s="386"/>
      <c r="AA835" s="386"/>
      <c r="AB835" s="386"/>
      <c r="AC835" s="386"/>
      <c r="AD835" s="386"/>
      <c r="AE835" s="386"/>
      <c r="AF835" s="386"/>
    </row>
    <row r="836" ht="15.75" customHeight="1">
      <c r="A836" s="24"/>
      <c r="B836" s="25"/>
      <c r="C836" s="25"/>
      <c r="D836" s="28"/>
      <c r="E836" s="28"/>
      <c r="F836" s="383"/>
      <c r="G836" s="380"/>
      <c r="H836" s="300"/>
      <c r="I836" s="17"/>
      <c r="J836" s="17"/>
      <c r="K836" s="17"/>
      <c r="L836" s="17"/>
      <c r="M836" s="17"/>
      <c r="N836" s="17"/>
      <c r="O836" s="17"/>
      <c r="P836" s="17"/>
      <c r="Q836" s="17"/>
      <c r="R836" s="17"/>
      <c r="S836" s="17"/>
      <c r="T836" s="17"/>
      <c r="U836" s="300"/>
      <c r="V836" s="67"/>
      <c r="W836" s="17"/>
      <c r="X836" s="17"/>
      <c r="Y836" s="300"/>
      <c r="Z836" s="386"/>
      <c r="AA836" s="386"/>
      <c r="AB836" s="386"/>
      <c r="AC836" s="386"/>
      <c r="AD836" s="386"/>
      <c r="AE836" s="386"/>
      <c r="AF836" s="386"/>
    </row>
    <row r="837" ht="15.75" customHeight="1">
      <c r="A837" s="24"/>
      <c r="B837" s="25"/>
      <c r="C837" s="25"/>
      <c r="D837" s="28"/>
      <c r="E837" s="28"/>
      <c r="F837" s="404"/>
      <c r="G837" s="380"/>
      <c r="H837" s="300"/>
      <c r="I837" s="17"/>
      <c r="J837" s="17"/>
      <c r="K837" s="17"/>
      <c r="L837" s="17"/>
      <c r="M837" s="17"/>
      <c r="N837" s="17"/>
      <c r="O837" s="17"/>
      <c r="P837" s="17"/>
      <c r="Q837" s="17"/>
      <c r="R837" s="17"/>
      <c r="S837" s="17"/>
      <c r="T837" s="17"/>
      <c r="U837" s="300"/>
      <c r="V837" s="47"/>
      <c r="W837" s="17"/>
      <c r="X837" s="17"/>
      <c r="Y837" s="300"/>
      <c r="Z837" s="386"/>
      <c r="AA837" s="386"/>
      <c r="AB837" s="386"/>
      <c r="AC837" s="386"/>
      <c r="AD837" s="386"/>
      <c r="AE837" s="386"/>
      <c r="AF837" s="386"/>
    </row>
    <row r="838" ht="15.75" customHeight="1">
      <c r="A838" s="24"/>
      <c r="B838" s="25"/>
      <c r="C838" s="25"/>
      <c r="D838" s="28"/>
      <c r="E838" s="28"/>
      <c r="F838" s="383"/>
      <c r="G838" s="380"/>
      <c r="H838" s="300"/>
      <c r="I838" s="17"/>
      <c r="J838" s="17"/>
      <c r="K838" s="17"/>
      <c r="L838" s="17"/>
      <c r="M838" s="17"/>
      <c r="N838" s="17"/>
      <c r="O838" s="17"/>
      <c r="P838" s="17"/>
      <c r="Q838" s="17"/>
      <c r="R838" s="17"/>
      <c r="S838" s="17"/>
      <c r="T838" s="17"/>
      <c r="U838" s="300"/>
      <c r="V838" s="67"/>
      <c r="W838" s="17"/>
      <c r="X838" s="17"/>
      <c r="Y838" s="300"/>
      <c r="Z838" s="386"/>
      <c r="AA838" s="386"/>
      <c r="AB838" s="386"/>
      <c r="AC838" s="386"/>
      <c r="AD838" s="386"/>
      <c r="AE838" s="386"/>
      <c r="AF838" s="386"/>
    </row>
    <row r="839" ht="15.75" customHeight="1">
      <c r="A839" s="24"/>
      <c r="B839" s="25"/>
      <c r="C839" s="25"/>
      <c r="D839" s="28"/>
      <c r="E839" s="28"/>
      <c r="F839" s="404"/>
      <c r="G839" s="380"/>
      <c r="H839" s="300"/>
      <c r="I839" s="17"/>
      <c r="J839" s="17"/>
      <c r="K839" s="17"/>
      <c r="L839" s="17"/>
      <c r="M839" s="17"/>
      <c r="N839" s="17"/>
      <c r="O839" s="17"/>
      <c r="P839" s="17"/>
      <c r="Q839" s="17"/>
      <c r="R839" s="17"/>
      <c r="S839" s="17"/>
      <c r="T839" s="17"/>
      <c r="U839" s="300"/>
      <c r="V839" s="47"/>
      <c r="W839" s="17"/>
      <c r="X839" s="17"/>
      <c r="Y839" s="300"/>
      <c r="Z839" s="386"/>
      <c r="AA839" s="386"/>
      <c r="AB839" s="386"/>
      <c r="AC839" s="386"/>
      <c r="AD839" s="386"/>
      <c r="AE839" s="386"/>
      <c r="AF839" s="386"/>
    </row>
    <row r="840" ht="15.75" customHeight="1">
      <c r="A840" s="24"/>
      <c r="B840" s="25"/>
      <c r="C840" s="25"/>
      <c r="D840" s="28"/>
      <c r="E840" s="28"/>
      <c r="F840" s="383"/>
      <c r="G840" s="380"/>
      <c r="H840" s="300"/>
      <c r="I840" s="17"/>
      <c r="J840" s="17"/>
      <c r="K840" s="17"/>
      <c r="L840" s="17"/>
      <c r="M840" s="17"/>
      <c r="N840" s="17"/>
      <c r="O840" s="17"/>
      <c r="P840" s="17"/>
      <c r="Q840" s="17"/>
      <c r="R840" s="17"/>
      <c r="S840" s="17"/>
      <c r="T840" s="17"/>
      <c r="U840" s="300"/>
      <c r="V840" s="67"/>
      <c r="W840" s="17"/>
      <c r="X840" s="17"/>
      <c r="Y840" s="300"/>
      <c r="Z840" s="386"/>
      <c r="AA840" s="386"/>
      <c r="AB840" s="386"/>
      <c r="AC840" s="386"/>
      <c r="AD840" s="386"/>
      <c r="AE840" s="386"/>
      <c r="AF840" s="386"/>
    </row>
    <row r="841" ht="15.75" customHeight="1">
      <c r="A841" s="24"/>
      <c r="B841" s="25"/>
      <c r="C841" s="25"/>
      <c r="D841" s="28"/>
      <c r="E841" s="28"/>
      <c r="F841" s="404"/>
      <c r="G841" s="380"/>
      <c r="H841" s="300"/>
      <c r="I841" s="17"/>
      <c r="J841" s="17"/>
      <c r="K841" s="17"/>
      <c r="L841" s="17"/>
      <c r="M841" s="17"/>
      <c r="N841" s="17"/>
      <c r="O841" s="17"/>
      <c r="P841" s="17"/>
      <c r="Q841" s="17"/>
      <c r="R841" s="17"/>
      <c r="S841" s="17"/>
      <c r="T841" s="17"/>
      <c r="U841" s="300"/>
      <c r="V841" s="47"/>
      <c r="W841" s="17"/>
      <c r="X841" s="17"/>
      <c r="Y841" s="300"/>
      <c r="Z841" s="386"/>
      <c r="AA841" s="386"/>
      <c r="AB841" s="386"/>
      <c r="AC841" s="386"/>
      <c r="AD841" s="386"/>
      <c r="AE841" s="386"/>
      <c r="AF841" s="386"/>
    </row>
    <row r="842" ht="15.75" customHeight="1">
      <c r="A842" s="24"/>
      <c r="B842" s="25"/>
      <c r="C842" s="25"/>
      <c r="D842" s="28"/>
      <c r="E842" s="28"/>
      <c r="F842" s="383"/>
      <c r="G842" s="380"/>
      <c r="H842" s="300"/>
      <c r="I842" s="17"/>
      <c r="J842" s="17"/>
      <c r="K842" s="17"/>
      <c r="L842" s="17"/>
      <c r="M842" s="17"/>
      <c r="N842" s="17"/>
      <c r="O842" s="17"/>
      <c r="P842" s="17"/>
      <c r="Q842" s="17"/>
      <c r="R842" s="17"/>
      <c r="S842" s="17"/>
      <c r="T842" s="17"/>
      <c r="U842" s="300"/>
      <c r="V842" s="67"/>
      <c r="W842" s="17"/>
      <c r="X842" s="17"/>
      <c r="Y842" s="300"/>
      <c r="Z842" s="386"/>
      <c r="AA842" s="386"/>
      <c r="AB842" s="386"/>
      <c r="AC842" s="386"/>
      <c r="AD842" s="386"/>
      <c r="AE842" s="386"/>
      <c r="AF842" s="386"/>
    </row>
    <row r="843" ht="15.75" customHeight="1">
      <c r="A843" s="24"/>
      <c r="B843" s="25"/>
      <c r="C843" s="25"/>
      <c r="D843" s="28"/>
      <c r="E843" s="28"/>
      <c r="F843" s="404"/>
      <c r="G843" s="380"/>
      <c r="H843" s="300"/>
      <c r="I843" s="17"/>
      <c r="J843" s="17"/>
      <c r="K843" s="17"/>
      <c r="L843" s="17"/>
      <c r="M843" s="17"/>
      <c r="N843" s="17"/>
      <c r="O843" s="17"/>
      <c r="P843" s="17"/>
      <c r="Q843" s="17"/>
      <c r="R843" s="17"/>
      <c r="S843" s="17"/>
      <c r="T843" s="17"/>
      <c r="U843" s="300"/>
      <c r="V843" s="47"/>
      <c r="W843" s="17"/>
      <c r="X843" s="17"/>
      <c r="Y843" s="300"/>
      <c r="Z843" s="386"/>
      <c r="AA843" s="386"/>
      <c r="AB843" s="386"/>
      <c r="AC843" s="386"/>
      <c r="AD843" s="386"/>
      <c r="AE843" s="386"/>
      <c r="AF843" s="386"/>
    </row>
    <row r="844" ht="15.75" customHeight="1">
      <c r="A844" s="24"/>
      <c r="B844" s="25"/>
      <c r="C844" s="25"/>
      <c r="D844" s="28"/>
      <c r="E844" s="28"/>
      <c r="F844" s="383"/>
      <c r="G844" s="380"/>
      <c r="H844" s="300"/>
      <c r="I844" s="17"/>
      <c r="J844" s="17"/>
      <c r="K844" s="17"/>
      <c r="L844" s="17"/>
      <c r="M844" s="17"/>
      <c r="N844" s="17"/>
      <c r="O844" s="17"/>
      <c r="P844" s="17"/>
      <c r="Q844" s="17"/>
      <c r="R844" s="17"/>
      <c r="S844" s="17"/>
      <c r="T844" s="17"/>
      <c r="U844" s="300"/>
      <c r="V844" s="67"/>
      <c r="W844" s="17"/>
      <c r="X844" s="17"/>
      <c r="Y844" s="300"/>
      <c r="Z844" s="386"/>
      <c r="AA844" s="386"/>
      <c r="AB844" s="386"/>
      <c r="AC844" s="386"/>
      <c r="AD844" s="386"/>
      <c r="AE844" s="386"/>
      <c r="AF844" s="386"/>
    </row>
    <row r="845" ht="15.75" customHeight="1">
      <c r="A845" s="24"/>
      <c r="B845" s="25"/>
      <c r="C845" s="25"/>
      <c r="D845" s="28"/>
      <c r="E845" s="28"/>
      <c r="F845" s="404"/>
      <c r="G845" s="380"/>
      <c r="H845" s="300"/>
      <c r="I845" s="17"/>
      <c r="J845" s="17"/>
      <c r="K845" s="17"/>
      <c r="L845" s="17"/>
      <c r="M845" s="17"/>
      <c r="N845" s="17"/>
      <c r="O845" s="17"/>
      <c r="P845" s="17"/>
      <c r="Q845" s="17"/>
      <c r="R845" s="17"/>
      <c r="S845" s="17"/>
      <c r="T845" s="17"/>
      <c r="U845" s="300"/>
      <c r="V845" s="47"/>
      <c r="W845" s="17"/>
      <c r="X845" s="17"/>
      <c r="Y845" s="300"/>
      <c r="Z845" s="386"/>
      <c r="AA845" s="386"/>
      <c r="AB845" s="386"/>
      <c r="AC845" s="386"/>
      <c r="AD845" s="386"/>
      <c r="AE845" s="386"/>
      <c r="AF845" s="386"/>
    </row>
    <row r="846" ht="15.75" customHeight="1">
      <c r="A846" s="24"/>
      <c r="B846" s="25"/>
      <c r="C846" s="25"/>
      <c r="D846" s="28"/>
      <c r="E846" s="28"/>
      <c r="F846" s="383"/>
      <c r="G846" s="380"/>
      <c r="H846" s="300"/>
      <c r="I846" s="17"/>
      <c r="J846" s="17"/>
      <c r="K846" s="17"/>
      <c r="L846" s="17"/>
      <c r="M846" s="17"/>
      <c r="N846" s="17"/>
      <c r="O846" s="17"/>
      <c r="P846" s="17"/>
      <c r="Q846" s="17"/>
      <c r="R846" s="17"/>
      <c r="S846" s="17"/>
      <c r="T846" s="17"/>
      <c r="U846" s="300"/>
      <c r="V846" s="67"/>
      <c r="W846" s="17"/>
      <c r="X846" s="17"/>
      <c r="Y846" s="300"/>
      <c r="Z846" s="386"/>
      <c r="AA846" s="386"/>
      <c r="AB846" s="386"/>
      <c r="AC846" s="386"/>
      <c r="AD846" s="386"/>
      <c r="AE846" s="386"/>
      <c r="AF846" s="386"/>
    </row>
    <row r="847" ht="15.75" customHeight="1">
      <c r="A847" s="24"/>
      <c r="B847" s="25"/>
      <c r="C847" s="25"/>
      <c r="D847" s="28"/>
      <c r="E847" s="28"/>
      <c r="F847" s="404"/>
      <c r="G847" s="380"/>
      <c r="H847" s="300"/>
      <c r="I847" s="17"/>
      <c r="J847" s="17"/>
      <c r="K847" s="17"/>
      <c r="L847" s="17"/>
      <c r="M847" s="17"/>
      <c r="N847" s="17"/>
      <c r="O847" s="17"/>
      <c r="P847" s="17"/>
      <c r="Q847" s="17"/>
      <c r="R847" s="17"/>
      <c r="S847" s="17"/>
      <c r="T847" s="17"/>
      <c r="U847" s="300"/>
      <c r="V847" s="47"/>
      <c r="W847" s="17"/>
      <c r="X847" s="17"/>
      <c r="Y847" s="300"/>
      <c r="Z847" s="386"/>
      <c r="AA847" s="386"/>
      <c r="AB847" s="386"/>
      <c r="AC847" s="386"/>
      <c r="AD847" s="386"/>
      <c r="AE847" s="386"/>
      <c r="AF847" s="386"/>
    </row>
    <row r="848" ht="15.75" customHeight="1">
      <c r="A848" s="24"/>
      <c r="B848" s="25"/>
      <c r="C848" s="25"/>
      <c r="D848" s="28"/>
      <c r="E848" s="28"/>
      <c r="F848" s="383"/>
      <c r="G848" s="380"/>
      <c r="H848" s="300"/>
      <c r="I848" s="17"/>
      <c r="J848" s="17"/>
      <c r="K848" s="17"/>
      <c r="L848" s="17"/>
      <c r="M848" s="17"/>
      <c r="N848" s="17"/>
      <c r="O848" s="17"/>
      <c r="P848" s="17"/>
      <c r="Q848" s="17"/>
      <c r="R848" s="17"/>
      <c r="S848" s="17"/>
      <c r="T848" s="17"/>
      <c r="U848" s="300"/>
      <c r="V848" s="67"/>
      <c r="W848" s="17"/>
      <c r="X848" s="17"/>
      <c r="Y848" s="300"/>
      <c r="Z848" s="386"/>
      <c r="AA848" s="386"/>
      <c r="AB848" s="386"/>
      <c r="AC848" s="386"/>
      <c r="AD848" s="386"/>
      <c r="AE848" s="386"/>
      <c r="AF848" s="386"/>
    </row>
    <row r="849" ht="15.75" customHeight="1">
      <c r="A849" s="24"/>
      <c r="B849" s="25"/>
      <c r="C849" s="25"/>
      <c r="D849" s="28"/>
      <c r="E849" s="28"/>
      <c r="F849" s="404"/>
      <c r="G849" s="380"/>
      <c r="H849" s="300"/>
      <c r="I849" s="17"/>
      <c r="J849" s="17"/>
      <c r="K849" s="17"/>
      <c r="L849" s="17"/>
      <c r="M849" s="17"/>
      <c r="N849" s="17"/>
      <c r="O849" s="17"/>
      <c r="P849" s="17"/>
      <c r="Q849" s="17"/>
      <c r="R849" s="17"/>
      <c r="S849" s="17"/>
      <c r="T849" s="17"/>
      <c r="U849" s="300"/>
      <c r="V849" s="47"/>
      <c r="W849" s="17"/>
      <c r="X849" s="17"/>
      <c r="Y849" s="300"/>
      <c r="Z849" s="386"/>
      <c r="AA849" s="386"/>
      <c r="AB849" s="386"/>
      <c r="AC849" s="386"/>
      <c r="AD849" s="386"/>
      <c r="AE849" s="386"/>
      <c r="AF849" s="386"/>
    </row>
    <row r="850" ht="15.75" customHeight="1">
      <c r="A850" s="24"/>
      <c r="B850" s="25"/>
      <c r="C850" s="25"/>
      <c r="D850" s="28"/>
      <c r="E850" s="28"/>
      <c r="F850" s="383"/>
      <c r="G850" s="380"/>
      <c r="H850" s="300"/>
      <c r="I850" s="17"/>
      <c r="J850" s="17"/>
      <c r="K850" s="17"/>
      <c r="L850" s="17"/>
      <c r="M850" s="17"/>
      <c r="N850" s="17"/>
      <c r="O850" s="17"/>
      <c r="P850" s="17"/>
      <c r="Q850" s="17"/>
      <c r="R850" s="17"/>
      <c r="S850" s="17"/>
      <c r="T850" s="17"/>
      <c r="U850" s="300"/>
      <c r="V850" s="67"/>
      <c r="W850" s="17"/>
      <c r="X850" s="17"/>
      <c r="Y850" s="300"/>
      <c r="Z850" s="386"/>
      <c r="AA850" s="386"/>
      <c r="AB850" s="386"/>
      <c r="AC850" s="386"/>
      <c r="AD850" s="386"/>
      <c r="AE850" s="386"/>
      <c r="AF850" s="386"/>
    </row>
    <row r="851" ht="15.75" customHeight="1">
      <c r="A851" s="24"/>
      <c r="B851" s="25"/>
      <c r="C851" s="25"/>
      <c r="D851" s="28"/>
      <c r="E851" s="28"/>
      <c r="F851" s="404"/>
      <c r="G851" s="380"/>
      <c r="H851" s="300"/>
      <c r="I851" s="17"/>
      <c r="J851" s="17"/>
      <c r="K851" s="17"/>
      <c r="L851" s="17"/>
      <c r="M851" s="17"/>
      <c r="N851" s="17"/>
      <c r="O851" s="17"/>
      <c r="P851" s="17"/>
      <c r="Q851" s="17"/>
      <c r="R851" s="17"/>
      <c r="S851" s="17"/>
      <c r="T851" s="17"/>
      <c r="U851" s="300"/>
      <c r="V851" s="47"/>
      <c r="W851" s="17"/>
      <c r="X851" s="17"/>
      <c r="Y851" s="300"/>
      <c r="Z851" s="386"/>
      <c r="AA851" s="386"/>
      <c r="AB851" s="386"/>
      <c r="AC851" s="386"/>
      <c r="AD851" s="386"/>
      <c r="AE851" s="386"/>
      <c r="AF851" s="386"/>
    </row>
    <row r="852" ht="15.75" customHeight="1">
      <c r="A852" s="24"/>
      <c r="B852" s="25"/>
      <c r="C852" s="25"/>
      <c r="D852" s="28"/>
      <c r="E852" s="28"/>
      <c r="F852" s="383"/>
      <c r="G852" s="380"/>
      <c r="H852" s="300"/>
      <c r="I852" s="17"/>
      <c r="J852" s="17"/>
      <c r="K852" s="17"/>
      <c r="L852" s="17"/>
      <c r="M852" s="17"/>
      <c r="N852" s="17"/>
      <c r="O852" s="17"/>
      <c r="P852" s="17"/>
      <c r="Q852" s="17"/>
      <c r="R852" s="17"/>
      <c r="S852" s="17"/>
      <c r="T852" s="17"/>
      <c r="U852" s="300"/>
      <c r="V852" s="67"/>
      <c r="W852" s="17"/>
      <c r="X852" s="17"/>
      <c r="Y852" s="300"/>
      <c r="Z852" s="386"/>
      <c r="AA852" s="386"/>
      <c r="AB852" s="386"/>
      <c r="AC852" s="386"/>
      <c r="AD852" s="386"/>
      <c r="AE852" s="386"/>
      <c r="AF852" s="386"/>
    </row>
    <row r="853" ht="15.75" customHeight="1">
      <c r="A853" s="24"/>
      <c r="B853" s="25"/>
      <c r="C853" s="25"/>
      <c r="D853" s="28"/>
      <c r="E853" s="28"/>
      <c r="F853" s="404"/>
      <c r="G853" s="380"/>
      <c r="H853" s="300"/>
      <c r="I853" s="17"/>
      <c r="J853" s="17"/>
      <c r="K853" s="17"/>
      <c r="L853" s="17"/>
      <c r="M853" s="17"/>
      <c r="N853" s="17"/>
      <c r="O853" s="17"/>
      <c r="P853" s="17"/>
      <c r="Q853" s="17"/>
      <c r="R853" s="17"/>
      <c r="S853" s="17"/>
      <c r="T853" s="17"/>
      <c r="U853" s="300"/>
      <c r="V853" s="47"/>
      <c r="W853" s="17"/>
      <c r="X853" s="17"/>
      <c r="Y853" s="300"/>
      <c r="Z853" s="386"/>
      <c r="AA853" s="386"/>
      <c r="AB853" s="386"/>
      <c r="AC853" s="386"/>
      <c r="AD853" s="386"/>
      <c r="AE853" s="386"/>
      <c r="AF853" s="386"/>
    </row>
    <row r="854" ht="15.75" customHeight="1">
      <c r="A854" s="24"/>
      <c r="B854" s="25"/>
      <c r="C854" s="25"/>
      <c r="D854" s="28"/>
      <c r="E854" s="28"/>
      <c r="F854" s="383"/>
      <c r="G854" s="380"/>
      <c r="H854" s="300"/>
      <c r="I854" s="17"/>
      <c r="J854" s="17"/>
      <c r="K854" s="17"/>
      <c r="L854" s="17"/>
      <c r="M854" s="17"/>
      <c r="N854" s="17"/>
      <c r="O854" s="17"/>
      <c r="P854" s="17"/>
      <c r="Q854" s="17"/>
      <c r="R854" s="17"/>
      <c r="S854" s="17"/>
      <c r="T854" s="17"/>
      <c r="U854" s="300"/>
      <c r="V854" s="67"/>
      <c r="W854" s="17"/>
      <c r="X854" s="17"/>
      <c r="Y854" s="300"/>
      <c r="Z854" s="386"/>
      <c r="AA854" s="386"/>
      <c r="AB854" s="386"/>
      <c r="AC854" s="386"/>
      <c r="AD854" s="386"/>
      <c r="AE854" s="386"/>
      <c r="AF854" s="386"/>
    </row>
    <row r="855" ht="15.75" customHeight="1">
      <c r="A855" s="24"/>
      <c r="B855" s="25"/>
      <c r="C855" s="25"/>
      <c r="D855" s="28"/>
      <c r="E855" s="28"/>
      <c r="F855" s="404"/>
      <c r="G855" s="380"/>
      <c r="H855" s="300"/>
      <c r="I855" s="17"/>
      <c r="J855" s="17"/>
      <c r="K855" s="17"/>
      <c r="L855" s="17"/>
      <c r="M855" s="17"/>
      <c r="N855" s="17"/>
      <c r="O855" s="17"/>
      <c r="P855" s="17"/>
      <c r="Q855" s="17"/>
      <c r="R855" s="17"/>
      <c r="S855" s="17"/>
      <c r="T855" s="17"/>
      <c r="U855" s="300"/>
      <c r="V855" s="47"/>
      <c r="W855" s="17"/>
      <c r="X855" s="17"/>
      <c r="Y855" s="300"/>
      <c r="Z855" s="386"/>
      <c r="AA855" s="386"/>
      <c r="AB855" s="386"/>
      <c r="AC855" s="386"/>
      <c r="AD855" s="386"/>
      <c r="AE855" s="386"/>
      <c r="AF855" s="386"/>
    </row>
    <row r="856" ht="15.75" customHeight="1">
      <c r="A856" s="24"/>
      <c r="B856" s="25"/>
      <c r="C856" s="25"/>
      <c r="D856" s="28"/>
      <c r="E856" s="28"/>
      <c r="F856" s="383"/>
      <c r="G856" s="380"/>
      <c r="H856" s="300"/>
      <c r="I856" s="17"/>
      <c r="J856" s="17"/>
      <c r="K856" s="17"/>
      <c r="L856" s="17"/>
      <c r="M856" s="17"/>
      <c r="N856" s="17"/>
      <c r="O856" s="17"/>
      <c r="P856" s="17"/>
      <c r="Q856" s="17"/>
      <c r="R856" s="17"/>
      <c r="S856" s="17"/>
      <c r="T856" s="17"/>
      <c r="U856" s="300"/>
      <c r="V856" s="67"/>
      <c r="W856" s="17"/>
      <c r="X856" s="17"/>
      <c r="Y856" s="300"/>
      <c r="Z856" s="386"/>
      <c r="AA856" s="386"/>
      <c r="AB856" s="386"/>
      <c r="AC856" s="386"/>
      <c r="AD856" s="386"/>
      <c r="AE856" s="386"/>
      <c r="AF856" s="386"/>
    </row>
    <row r="857" ht="15.75" customHeight="1">
      <c r="A857" s="24"/>
      <c r="B857" s="25"/>
      <c r="C857" s="25"/>
      <c r="D857" s="28"/>
      <c r="E857" s="28"/>
      <c r="F857" s="404"/>
      <c r="G857" s="380"/>
      <c r="H857" s="300"/>
      <c r="I857" s="17"/>
      <c r="J857" s="17"/>
      <c r="K857" s="17"/>
      <c r="L857" s="17"/>
      <c r="M857" s="17"/>
      <c r="N857" s="17"/>
      <c r="O857" s="17"/>
      <c r="P857" s="17"/>
      <c r="Q857" s="17"/>
      <c r="R857" s="17"/>
      <c r="S857" s="17"/>
      <c r="T857" s="17"/>
      <c r="U857" s="300"/>
      <c r="V857" s="47"/>
      <c r="W857" s="17"/>
      <c r="X857" s="17"/>
      <c r="Y857" s="300"/>
      <c r="Z857" s="386"/>
      <c r="AA857" s="386"/>
      <c r="AB857" s="386"/>
      <c r="AC857" s="386"/>
      <c r="AD857" s="386"/>
      <c r="AE857" s="386"/>
      <c r="AF857" s="386"/>
    </row>
    <row r="858" ht="15.75" customHeight="1">
      <c r="A858" s="24"/>
      <c r="B858" s="25"/>
      <c r="C858" s="25"/>
      <c r="D858" s="28"/>
      <c r="E858" s="28"/>
      <c r="F858" s="383"/>
      <c r="G858" s="380"/>
      <c r="H858" s="300"/>
      <c r="I858" s="17"/>
      <c r="J858" s="17"/>
      <c r="K858" s="17"/>
      <c r="L858" s="17"/>
      <c r="M858" s="17"/>
      <c r="N858" s="17"/>
      <c r="O858" s="17"/>
      <c r="P858" s="17"/>
      <c r="Q858" s="17"/>
      <c r="R858" s="17"/>
      <c r="S858" s="17"/>
      <c r="T858" s="17"/>
      <c r="U858" s="300"/>
      <c r="V858" s="67"/>
      <c r="W858" s="17"/>
      <c r="X858" s="17"/>
      <c r="Y858" s="300"/>
      <c r="Z858" s="386"/>
      <c r="AA858" s="386"/>
      <c r="AB858" s="386"/>
      <c r="AC858" s="386"/>
      <c r="AD858" s="386"/>
      <c r="AE858" s="386"/>
      <c r="AF858" s="386"/>
    </row>
    <row r="859" ht="15.75" customHeight="1">
      <c r="A859" s="24"/>
      <c r="B859" s="25"/>
      <c r="C859" s="25"/>
      <c r="D859" s="28"/>
      <c r="E859" s="28"/>
      <c r="F859" s="404"/>
      <c r="G859" s="380"/>
      <c r="H859" s="300"/>
      <c r="I859" s="17"/>
      <c r="J859" s="17"/>
      <c r="K859" s="17"/>
      <c r="L859" s="17"/>
      <c r="M859" s="17"/>
      <c r="N859" s="17"/>
      <c r="O859" s="17"/>
      <c r="P859" s="17"/>
      <c r="Q859" s="17"/>
      <c r="R859" s="17"/>
      <c r="S859" s="17"/>
      <c r="T859" s="17"/>
      <c r="U859" s="300"/>
      <c r="V859" s="47"/>
      <c r="W859" s="17"/>
      <c r="X859" s="17"/>
      <c r="Y859" s="300"/>
      <c r="Z859" s="386"/>
      <c r="AA859" s="386"/>
      <c r="AB859" s="386"/>
      <c r="AC859" s="386"/>
      <c r="AD859" s="386"/>
      <c r="AE859" s="386"/>
      <c r="AF859" s="386"/>
    </row>
    <row r="860" ht="15.75" customHeight="1">
      <c r="A860" s="24"/>
      <c r="B860" s="25"/>
      <c r="C860" s="25"/>
      <c r="D860" s="28"/>
      <c r="E860" s="28"/>
      <c r="F860" s="383"/>
      <c r="G860" s="380"/>
      <c r="H860" s="300"/>
      <c r="I860" s="17"/>
      <c r="J860" s="17"/>
      <c r="K860" s="17"/>
      <c r="L860" s="17"/>
      <c r="M860" s="17"/>
      <c r="N860" s="17"/>
      <c r="O860" s="17"/>
      <c r="P860" s="17"/>
      <c r="Q860" s="17"/>
      <c r="R860" s="17"/>
      <c r="S860" s="17"/>
      <c r="T860" s="17"/>
      <c r="U860" s="300"/>
      <c r="V860" s="67"/>
      <c r="W860" s="17"/>
      <c r="X860" s="17"/>
      <c r="Y860" s="300"/>
      <c r="Z860" s="386"/>
      <c r="AA860" s="386"/>
      <c r="AB860" s="386"/>
      <c r="AC860" s="386"/>
      <c r="AD860" s="386"/>
      <c r="AE860" s="386"/>
      <c r="AF860" s="386"/>
    </row>
    <row r="861" ht="15.75" customHeight="1">
      <c r="A861" s="24"/>
      <c r="B861" s="25"/>
      <c r="C861" s="25"/>
      <c r="D861" s="28"/>
      <c r="E861" s="28"/>
      <c r="F861" s="404"/>
      <c r="G861" s="380"/>
      <c r="H861" s="300"/>
      <c r="I861" s="17"/>
      <c r="J861" s="17"/>
      <c r="K861" s="17"/>
      <c r="L861" s="17"/>
      <c r="M861" s="17"/>
      <c r="N861" s="17"/>
      <c r="O861" s="17"/>
      <c r="P861" s="17"/>
      <c r="Q861" s="17"/>
      <c r="R861" s="17"/>
      <c r="S861" s="17"/>
      <c r="T861" s="17"/>
      <c r="U861" s="300"/>
      <c r="V861" s="47"/>
      <c r="W861" s="17"/>
      <c r="X861" s="17"/>
      <c r="Y861" s="300"/>
      <c r="Z861" s="386"/>
      <c r="AA861" s="386"/>
      <c r="AB861" s="386"/>
      <c r="AC861" s="386"/>
      <c r="AD861" s="386"/>
      <c r="AE861" s="386"/>
      <c r="AF861" s="386"/>
    </row>
    <row r="862" ht="15.75" customHeight="1">
      <c r="A862" s="24"/>
      <c r="B862" s="25"/>
      <c r="C862" s="25"/>
      <c r="D862" s="28"/>
      <c r="E862" s="28"/>
      <c r="F862" s="383"/>
      <c r="G862" s="380"/>
      <c r="H862" s="300"/>
      <c r="I862" s="17"/>
      <c r="J862" s="17"/>
      <c r="K862" s="17"/>
      <c r="L862" s="17"/>
      <c r="M862" s="17"/>
      <c r="N862" s="17"/>
      <c r="O862" s="17"/>
      <c r="P862" s="17"/>
      <c r="Q862" s="17"/>
      <c r="R862" s="17"/>
      <c r="S862" s="17"/>
      <c r="T862" s="17"/>
      <c r="U862" s="300"/>
      <c r="V862" s="67"/>
      <c r="W862" s="17"/>
      <c r="X862" s="17"/>
      <c r="Y862" s="300"/>
      <c r="Z862" s="386"/>
      <c r="AA862" s="386"/>
      <c r="AB862" s="386"/>
      <c r="AC862" s="386"/>
      <c r="AD862" s="386"/>
      <c r="AE862" s="386"/>
      <c r="AF862" s="386"/>
    </row>
    <row r="863" ht="15.75" customHeight="1">
      <c r="A863" s="24"/>
      <c r="B863" s="25"/>
      <c r="C863" s="25"/>
      <c r="D863" s="28"/>
      <c r="E863" s="28"/>
      <c r="F863" s="404"/>
      <c r="G863" s="380"/>
      <c r="H863" s="300"/>
      <c r="I863" s="17"/>
      <c r="J863" s="17"/>
      <c r="K863" s="17"/>
      <c r="L863" s="17"/>
      <c r="M863" s="17"/>
      <c r="N863" s="17"/>
      <c r="O863" s="17"/>
      <c r="P863" s="17"/>
      <c r="Q863" s="17"/>
      <c r="R863" s="17"/>
      <c r="S863" s="17"/>
      <c r="T863" s="17"/>
      <c r="U863" s="300"/>
      <c r="V863" s="47"/>
      <c r="W863" s="17"/>
      <c r="X863" s="17"/>
      <c r="Y863" s="300"/>
      <c r="Z863" s="386"/>
      <c r="AA863" s="386"/>
      <c r="AB863" s="386"/>
      <c r="AC863" s="386"/>
      <c r="AD863" s="386"/>
      <c r="AE863" s="386"/>
      <c r="AF863" s="386"/>
    </row>
    <row r="864" ht="15.75" customHeight="1">
      <c r="A864" s="24"/>
      <c r="B864" s="25"/>
      <c r="C864" s="25"/>
      <c r="D864" s="28"/>
      <c r="E864" s="28"/>
      <c r="F864" s="383"/>
      <c r="G864" s="380"/>
      <c r="H864" s="300"/>
      <c r="I864" s="17"/>
      <c r="J864" s="17"/>
      <c r="K864" s="17"/>
      <c r="L864" s="17"/>
      <c r="M864" s="17"/>
      <c r="N864" s="17"/>
      <c r="O864" s="17"/>
      <c r="P864" s="17"/>
      <c r="Q864" s="17"/>
      <c r="R864" s="17"/>
      <c r="S864" s="17"/>
      <c r="T864" s="17"/>
      <c r="U864" s="300"/>
      <c r="V864" s="67"/>
      <c r="W864" s="17"/>
      <c r="X864" s="17"/>
      <c r="Y864" s="300"/>
      <c r="Z864" s="386"/>
      <c r="AA864" s="386"/>
      <c r="AB864" s="386"/>
      <c r="AC864" s="386"/>
      <c r="AD864" s="386"/>
      <c r="AE864" s="386"/>
      <c r="AF864" s="386"/>
    </row>
    <row r="865" ht="15.75" customHeight="1">
      <c r="A865" s="24"/>
      <c r="B865" s="25"/>
      <c r="C865" s="25"/>
      <c r="D865" s="28"/>
      <c r="E865" s="28"/>
      <c r="F865" s="404"/>
      <c r="G865" s="380"/>
      <c r="H865" s="300"/>
      <c r="I865" s="17"/>
      <c r="J865" s="17"/>
      <c r="K865" s="17"/>
      <c r="L865" s="17"/>
      <c r="M865" s="17"/>
      <c r="N865" s="17"/>
      <c r="O865" s="17"/>
      <c r="P865" s="17"/>
      <c r="Q865" s="17"/>
      <c r="R865" s="17"/>
      <c r="S865" s="17"/>
      <c r="T865" s="17"/>
      <c r="U865" s="300"/>
      <c r="V865" s="47"/>
      <c r="W865" s="17"/>
      <c r="X865" s="17"/>
      <c r="Y865" s="300"/>
      <c r="Z865" s="386"/>
      <c r="AA865" s="386"/>
      <c r="AB865" s="386"/>
      <c r="AC865" s="386"/>
      <c r="AD865" s="386"/>
      <c r="AE865" s="386"/>
      <c r="AF865" s="386"/>
    </row>
    <row r="866" ht="15.75" customHeight="1">
      <c r="A866" s="24"/>
      <c r="B866" s="25"/>
      <c r="C866" s="25"/>
      <c r="D866" s="28"/>
      <c r="E866" s="28"/>
      <c r="F866" s="383"/>
      <c r="G866" s="380"/>
      <c r="H866" s="300"/>
      <c r="I866" s="17"/>
      <c r="J866" s="17"/>
      <c r="K866" s="17"/>
      <c r="L866" s="17"/>
      <c r="M866" s="17"/>
      <c r="N866" s="17"/>
      <c r="O866" s="17"/>
      <c r="P866" s="17"/>
      <c r="Q866" s="17"/>
      <c r="R866" s="17"/>
      <c r="S866" s="17"/>
      <c r="T866" s="17"/>
      <c r="U866" s="300"/>
      <c r="V866" s="67"/>
      <c r="W866" s="17"/>
      <c r="X866" s="17"/>
      <c r="Y866" s="300"/>
      <c r="Z866" s="386"/>
      <c r="AA866" s="386"/>
      <c r="AB866" s="386"/>
      <c r="AC866" s="386"/>
      <c r="AD866" s="386"/>
      <c r="AE866" s="386"/>
      <c r="AF866" s="386"/>
    </row>
    <row r="867" ht="15.75" customHeight="1">
      <c r="A867" s="24"/>
      <c r="B867" s="25"/>
      <c r="C867" s="25"/>
      <c r="D867" s="28"/>
      <c r="E867" s="28"/>
      <c r="F867" s="404"/>
      <c r="G867" s="380"/>
      <c r="H867" s="300"/>
      <c r="I867" s="17"/>
      <c r="J867" s="17"/>
      <c r="K867" s="17"/>
      <c r="L867" s="17"/>
      <c r="M867" s="17"/>
      <c r="N867" s="17"/>
      <c r="O867" s="17"/>
      <c r="P867" s="17"/>
      <c r="Q867" s="17"/>
      <c r="R867" s="17"/>
      <c r="S867" s="17"/>
      <c r="T867" s="17"/>
      <c r="U867" s="300"/>
      <c r="V867" s="47"/>
      <c r="W867" s="17"/>
      <c r="X867" s="17"/>
      <c r="Y867" s="300"/>
      <c r="Z867" s="386"/>
      <c r="AA867" s="386"/>
      <c r="AB867" s="386"/>
      <c r="AC867" s="386"/>
      <c r="AD867" s="386"/>
      <c r="AE867" s="386"/>
      <c r="AF867" s="386"/>
    </row>
    <row r="868" ht="15.75" customHeight="1">
      <c r="A868" s="24"/>
      <c r="B868" s="25"/>
      <c r="C868" s="25"/>
      <c r="D868" s="28"/>
      <c r="E868" s="28"/>
      <c r="F868" s="383"/>
      <c r="G868" s="380"/>
      <c r="H868" s="300"/>
      <c r="I868" s="17"/>
      <c r="J868" s="17"/>
      <c r="K868" s="17"/>
      <c r="L868" s="17"/>
      <c r="M868" s="17"/>
      <c r="N868" s="17"/>
      <c r="O868" s="17"/>
      <c r="P868" s="17"/>
      <c r="Q868" s="17"/>
      <c r="R868" s="17"/>
      <c r="S868" s="17"/>
      <c r="T868" s="17"/>
      <c r="U868" s="300"/>
      <c r="V868" s="67"/>
      <c r="W868" s="17"/>
      <c r="X868" s="17"/>
      <c r="Y868" s="300"/>
      <c r="Z868" s="386"/>
      <c r="AA868" s="386"/>
      <c r="AB868" s="386"/>
      <c r="AC868" s="386"/>
      <c r="AD868" s="386"/>
      <c r="AE868" s="386"/>
      <c r="AF868" s="386"/>
    </row>
    <row r="869" ht="15.75" customHeight="1">
      <c r="A869" s="24"/>
      <c r="B869" s="25"/>
      <c r="C869" s="25"/>
      <c r="D869" s="28"/>
      <c r="E869" s="28"/>
      <c r="F869" s="404"/>
      <c r="G869" s="380"/>
      <c r="H869" s="300"/>
      <c r="I869" s="17"/>
      <c r="J869" s="17"/>
      <c r="K869" s="17"/>
      <c r="L869" s="17"/>
      <c r="M869" s="17"/>
      <c r="N869" s="17"/>
      <c r="O869" s="17"/>
      <c r="P869" s="17"/>
      <c r="Q869" s="17"/>
      <c r="R869" s="17"/>
      <c r="S869" s="17"/>
      <c r="T869" s="17"/>
      <c r="U869" s="300"/>
      <c r="V869" s="47"/>
      <c r="W869" s="17"/>
      <c r="X869" s="17"/>
      <c r="Y869" s="300"/>
      <c r="Z869" s="386"/>
      <c r="AA869" s="386"/>
      <c r="AB869" s="386"/>
      <c r="AC869" s="386"/>
      <c r="AD869" s="386"/>
      <c r="AE869" s="386"/>
      <c r="AF869" s="386"/>
    </row>
    <row r="870" ht="15.75" customHeight="1">
      <c r="A870" s="24"/>
      <c r="B870" s="25"/>
      <c r="C870" s="25"/>
      <c r="D870" s="28"/>
      <c r="E870" s="28"/>
      <c r="F870" s="383"/>
      <c r="G870" s="380"/>
      <c r="H870" s="300"/>
      <c r="I870" s="17"/>
      <c r="J870" s="17"/>
      <c r="K870" s="17"/>
      <c r="L870" s="17"/>
      <c r="M870" s="17"/>
      <c r="N870" s="17"/>
      <c r="O870" s="17"/>
      <c r="P870" s="17"/>
      <c r="Q870" s="17"/>
      <c r="R870" s="17"/>
      <c r="S870" s="17"/>
      <c r="T870" s="17"/>
      <c r="U870" s="300"/>
      <c r="V870" s="67"/>
      <c r="W870" s="17"/>
      <c r="X870" s="17"/>
      <c r="Y870" s="300"/>
      <c r="Z870" s="386"/>
      <c r="AA870" s="386"/>
      <c r="AB870" s="386"/>
      <c r="AC870" s="386"/>
      <c r="AD870" s="386"/>
      <c r="AE870" s="386"/>
      <c r="AF870" s="386"/>
    </row>
    <row r="871" ht="15.75" customHeight="1">
      <c r="A871" s="24"/>
      <c r="B871" s="25"/>
      <c r="C871" s="25"/>
      <c r="D871" s="28"/>
      <c r="E871" s="28"/>
      <c r="F871" s="404"/>
      <c r="G871" s="380"/>
      <c r="H871" s="300"/>
      <c r="I871" s="17"/>
      <c r="J871" s="17"/>
      <c r="K871" s="17"/>
      <c r="L871" s="17"/>
      <c r="M871" s="17"/>
      <c r="N871" s="17"/>
      <c r="O871" s="17"/>
      <c r="P871" s="17"/>
      <c r="Q871" s="17"/>
      <c r="R871" s="17"/>
      <c r="S871" s="17"/>
      <c r="T871" s="17"/>
      <c r="U871" s="300"/>
      <c r="V871" s="47"/>
      <c r="W871" s="17"/>
      <c r="X871" s="17"/>
      <c r="Y871" s="300"/>
      <c r="Z871" s="386"/>
      <c r="AA871" s="386"/>
      <c r="AB871" s="386"/>
      <c r="AC871" s="386"/>
      <c r="AD871" s="386"/>
      <c r="AE871" s="386"/>
      <c r="AF871" s="386"/>
    </row>
    <row r="872" ht="15.75" customHeight="1">
      <c r="A872" s="24"/>
      <c r="B872" s="25"/>
      <c r="C872" s="25"/>
      <c r="D872" s="28"/>
      <c r="E872" s="28"/>
      <c r="F872" s="383"/>
      <c r="G872" s="380"/>
      <c r="H872" s="300"/>
      <c r="I872" s="17"/>
      <c r="J872" s="17"/>
      <c r="K872" s="17"/>
      <c r="L872" s="17"/>
      <c r="M872" s="17"/>
      <c r="N872" s="17"/>
      <c r="O872" s="17"/>
      <c r="P872" s="17"/>
      <c r="Q872" s="17"/>
      <c r="R872" s="17"/>
      <c r="S872" s="17"/>
      <c r="T872" s="17"/>
      <c r="U872" s="300"/>
      <c r="V872" s="67"/>
      <c r="W872" s="17"/>
      <c r="X872" s="17"/>
      <c r="Y872" s="300"/>
      <c r="Z872" s="386"/>
      <c r="AA872" s="386"/>
      <c r="AB872" s="386"/>
      <c r="AC872" s="386"/>
      <c r="AD872" s="386"/>
      <c r="AE872" s="386"/>
      <c r="AF872" s="386"/>
    </row>
    <row r="873" ht="15.75" customHeight="1">
      <c r="A873" s="24"/>
      <c r="B873" s="25"/>
      <c r="C873" s="25"/>
      <c r="D873" s="28"/>
      <c r="E873" s="28"/>
      <c r="F873" s="404"/>
      <c r="G873" s="380"/>
      <c r="H873" s="300"/>
      <c r="I873" s="17"/>
      <c r="J873" s="17"/>
      <c r="K873" s="17"/>
      <c r="L873" s="17"/>
      <c r="M873" s="17"/>
      <c r="N873" s="17"/>
      <c r="O873" s="17"/>
      <c r="P873" s="17"/>
      <c r="Q873" s="17"/>
      <c r="R873" s="17"/>
      <c r="S873" s="17"/>
      <c r="T873" s="17"/>
      <c r="U873" s="300"/>
      <c r="V873" s="47"/>
      <c r="W873" s="17"/>
      <c r="X873" s="17"/>
      <c r="Y873" s="300"/>
      <c r="Z873" s="386"/>
      <c r="AA873" s="386"/>
      <c r="AB873" s="386"/>
      <c r="AC873" s="386"/>
      <c r="AD873" s="386"/>
      <c r="AE873" s="386"/>
      <c r="AF873" s="386"/>
    </row>
    <row r="874" ht="15.75" customHeight="1">
      <c r="A874" s="24"/>
      <c r="B874" s="25"/>
      <c r="C874" s="25"/>
      <c r="D874" s="28"/>
      <c r="E874" s="28"/>
      <c r="F874" s="383"/>
      <c r="G874" s="380"/>
      <c r="H874" s="300"/>
      <c r="I874" s="17"/>
      <c r="J874" s="17"/>
      <c r="K874" s="17"/>
      <c r="L874" s="17"/>
      <c r="M874" s="17"/>
      <c r="N874" s="17"/>
      <c r="O874" s="17"/>
      <c r="P874" s="17"/>
      <c r="Q874" s="17"/>
      <c r="R874" s="17"/>
      <c r="S874" s="17"/>
      <c r="T874" s="17"/>
      <c r="U874" s="300"/>
      <c r="V874" s="67"/>
      <c r="W874" s="17"/>
      <c r="X874" s="17"/>
      <c r="Y874" s="300"/>
      <c r="Z874" s="386"/>
      <c r="AA874" s="386"/>
      <c r="AB874" s="386"/>
      <c r="AC874" s="386"/>
      <c r="AD874" s="386"/>
      <c r="AE874" s="386"/>
      <c r="AF874" s="386"/>
    </row>
    <row r="875" ht="15.75" customHeight="1">
      <c r="A875" s="24"/>
      <c r="B875" s="25"/>
      <c r="C875" s="25"/>
      <c r="D875" s="28"/>
      <c r="E875" s="28"/>
      <c r="F875" s="404"/>
      <c r="G875" s="380"/>
      <c r="H875" s="300"/>
      <c r="I875" s="17"/>
      <c r="J875" s="17"/>
      <c r="K875" s="17"/>
      <c r="L875" s="17"/>
      <c r="M875" s="17"/>
      <c r="N875" s="17"/>
      <c r="O875" s="17"/>
      <c r="P875" s="17"/>
      <c r="Q875" s="17"/>
      <c r="R875" s="17"/>
      <c r="S875" s="17"/>
      <c r="T875" s="17"/>
      <c r="U875" s="300"/>
      <c r="V875" s="47"/>
      <c r="W875" s="17"/>
      <c r="X875" s="17"/>
      <c r="Y875" s="300"/>
      <c r="Z875" s="386"/>
      <c r="AA875" s="386"/>
      <c r="AB875" s="386"/>
      <c r="AC875" s="386"/>
      <c r="AD875" s="386"/>
      <c r="AE875" s="386"/>
      <c r="AF875" s="386"/>
    </row>
    <row r="876" ht="15.75" customHeight="1">
      <c r="A876" s="24"/>
      <c r="B876" s="25"/>
      <c r="C876" s="25"/>
      <c r="D876" s="28"/>
      <c r="E876" s="28"/>
      <c r="F876" s="383"/>
      <c r="G876" s="380"/>
      <c r="H876" s="300"/>
      <c r="I876" s="17"/>
      <c r="J876" s="17"/>
      <c r="K876" s="17"/>
      <c r="L876" s="17"/>
      <c r="M876" s="17"/>
      <c r="N876" s="17"/>
      <c r="O876" s="17"/>
      <c r="P876" s="17"/>
      <c r="Q876" s="17"/>
      <c r="R876" s="17"/>
      <c r="S876" s="17"/>
      <c r="T876" s="17"/>
      <c r="U876" s="300"/>
      <c r="V876" s="67"/>
      <c r="W876" s="17"/>
      <c r="X876" s="17"/>
      <c r="Y876" s="300"/>
      <c r="Z876" s="386"/>
      <c r="AA876" s="386"/>
      <c r="AB876" s="386"/>
      <c r="AC876" s="386"/>
      <c r="AD876" s="386"/>
      <c r="AE876" s="386"/>
      <c r="AF876" s="386"/>
    </row>
    <row r="877" ht="15.75" customHeight="1">
      <c r="A877" s="24"/>
      <c r="B877" s="25"/>
      <c r="C877" s="25"/>
      <c r="D877" s="28"/>
      <c r="E877" s="28"/>
      <c r="F877" s="404"/>
      <c r="G877" s="380"/>
      <c r="H877" s="300"/>
      <c r="I877" s="17"/>
      <c r="J877" s="17"/>
      <c r="K877" s="17"/>
      <c r="L877" s="17"/>
      <c r="M877" s="17"/>
      <c r="N877" s="17"/>
      <c r="O877" s="17"/>
      <c r="P877" s="17"/>
      <c r="Q877" s="17"/>
      <c r="R877" s="17"/>
      <c r="S877" s="17"/>
      <c r="T877" s="17"/>
      <c r="U877" s="300"/>
      <c r="V877" s="47"/>
      <c r="W877" s="17"/>
      <c r="X877" s="17"/>
      <c r="Y877" s="300"/>
      <c r="Z877" s="386"/>
      <c r="AA877" s="386"/>
      <c r="AB877" s="386"/>
      <c r="AC877" s="386"/>
      <c r="AD877" s="386"/>
      <c r="AE877" s="386"/>
      <c r="AF877" s="386"/>
    </row>
    <row r="878" ht="15.75" customHeight="1">
      <c r="A878" s="24"/>
      <c r="B878" s="25"/>
      <c r="C878" s="25"/>
      <c r="D878" s="28"/>
      <c r="E878" s="28"/>
      <c r="F878" s="383"/>
      <c r="G878" s="380"/>
      <c r="H878" s="300"/>
      <c r="I878" s="17"/>
      <c r="J878" s="17"/>
      <c r="K878" s="17"/>
      <c r="L878" s="17"/>
      <c r="M878" s="17"/>
      <c r="N878" s="17"/>
      <c r="O878" s="17"/>
      <c r="P878" s="17"/>
      <c r="Q878" s="17"/>
      <c r="R878" s="17"/>
      <c r="S878" s="17"/>
      <c r="T878" s="17"/>
      <c r="U878" s="300"/>
      <c r="V878" s="67"/>
      <c r="W878" s="17"/>
      <c r="X878" s="17"/>
      <c r="Y878" s="300"/>
      <c r="Z878" s="386"/>
      <c r="AA878" s="386"/>
      <c r="AB878" s="386"/>
      <c r="AC878" s="386"/>
      <c r="AD878" s="386"/>
      <c r="AE878" s="386"/>
      <c r="AF878" s="386"/>
    </row>
    <row r="879" ht="15.75" customHeight="1">
      <c r="A879" s="24"/>
      <c r="B879" s="25"/>
      <c r="C879" s="25"/>
      <c r="D879" s="28"/>
      <c r="E879" s="28"/>
      <c r="F879" s="404"/>
      <c r="G879" s="380"/>
      <c r="H879" s="300"/>
      <c r="I879" s="17"/>
      <c r="J879" s="17"/>
      <c r="K879" s="17"/>
      <c r="L879" s="17"/>
      <c r="M879" s="17"/>
      <c r="N879" s="17"/>
      <c r="O879" s="17"/>
      <c r="P879" s="17"/>
      <c r="Q879" s="17"/>
      <c r="R879" s="17"/>
      <c r="S879" s="17"/>
      <c r="T879" s="17"/>
      <c r="U879" s="300"/>
      <c r="V879" s="47"/>
      <c r="W879" s="17"/>
      <c r="X879" s="17"/>
      <c r="Y879" s="300"/>
      <c r="Z879" s="386"/>
      <c r="AA879" s="386"/>
      <c r="AB879" s="386"/>
      <c r="AC879" s="386"/>
      <c r="AD879" s="386"/>
      <c r="AE879" s="386"/>
      <c r="AF879" s="386"/>
    </row>
    <row r="880" ht="15.75" customHeight="1">
      <c r="A880" s="24"/>
      <c r="B880" s="25"/>
      <c r="C880" s="25"/>
      <c r="D880" s="28"/>
      <c r="E880" s="28"/>
      <c r="F880" s="383"/>
      <c r="G880" s="380"/>
      <c r="H880" s="300"/>
      <c r="I880" s="17"/>
      <c r="J880" s="17"/>
      <c r="K880" s="17"/>
      <c r="L880" s="17"/>
      <c r="M880" s="17"/>
      <c r="N880" s="17"/>
      <c r="O880" s="17"/>
      <c r="P880" s="17"/>
      <c r="Q880" s="17"/>
      <c r="R880" s="17"/>
      <c r="S880" s="17"/>
      <c r="T880" s="17"/>
      <c r="U880" s="300"/>
      <c r="V880" s="67"/>
      <c r="W880" s="17"/>
      <c r="X880" s="17"/>
      <c r="Y880" s="300"/>
      <c r="Z880" s="386"/>
      <c r="AA880" s="386"/>
      <c r="AB880" s="386"/>
      <c r="AC880" s="386"/>
      <c r="AD880" s="386"/>
      <c r="AE880" s="386"/>
      <c r="AF880" s="386"/>
    </row>
    <row r="881" ht="15.75" customHeight="1">
      <c r="A881" s="24"/>
      <c r="B881" s="25"/>
      <c r="C881" s="25"/>
      <c r="D881" s="28"/>
      <c r="E881" s="28"/>
      <c r="F881" s="404"/>
      <c r="G881" s="380"/>
      <c r="H881" s="300"/>
      <c r="I881" s="17"/>
      <c r="J881" s="17"/>
      <c r="K881" s="17"/>
      <c r="L881" s="17"/>
      <c r="M881" s="17"/>
      <c r="N881" s="17"/>
      <c r="O881" s="17"/>
      <c r="P881" s="17"/>
      <c r="Q881" s="17"/>
      <c r="R881" s="17"/>
      <c r="S881" s="17"/>
      <c r="T881" s="17"/>
      <c r="U881" s="300"/>
      <c r="V881" s="47"/>
      <c r="W881" s="17"/>
      <c r="X881" s="17"/>
      <c r="Y881" s="300"/>
      <c r="Z881" s="386"/>
      <c r="AA881" s="386"/>
      <c r="AB881" s="386"/>
      <c r="AC881" s="386"/>
      <c r="AD881" s="386"/>
      <c r="AE881" s="386"/>
      <c r="AF881" s="386"/>
    </row>
    <row r="882" ht="15.75" customHeight="1">
      <c r="A882" s="24"/>
      <c r="B882" s="25"/>
      <c r="C882" s="25"/>
      <c r="D882" s="28"/>
      <c r="E882" s="28"/>
      <c r="F882" s="383"/>
      <c r="G882" s="380"/>
      <c r="H882" s="300"/>
      <c r="I882" s="17"/>
      <c r="J882" s="17"/>
      <c r="K882" s="17"/>
      <c r="L882" s="17"/>
      <c r="M882" s="17"/>
      <c r="N882" s="17"/>
      <c r="O882" s="17"/>
      <c r="P882" s="17"/>
      <c r="Q882" s="17"/>
      <c r="R882" s="17"/>
      <c r="S882" s="17"/>
      <c r="T882" s="17"/>
      <c r="U882" s="300"/>
      <c r="V882" s="67"/>
      <c r="W882" s="17"/>
      <c r="X882" s="17"/>
      <c r="Y882" s="300"/>
      <c r="Z882" s="386"/>
      <c r="AA882" s="386"/>
      <c r="AB882" s="386"/>
      <c r="AC882" s="386"/>
      <c r="AD882" s="386"/>
      <c r="AE882" s="386"/>
      <c r="AF882" s="386"/>
    </row>
    <row r="883" ht="15.75" customHeight="1">
      <c r="A883" s="24"/>
      <c r="B883" s="25"/>
      <c r="C883" s="25"/>
      <c r="D883" s="28"/>
      <c r="E883" s="28"/>
      <c r="F883" s="404"/>
      <c r="G883" s="380"/>
      <c r="H883" s="300"/>
      <c r="I883" s="17"/>
      <c r="J883" s="17"/>
      <c r="K883" s="17"/>
      <c r="L883" s="17"/>
      <c r="M883" s="17"/>
      <c r="N883" s="17"/>
      <c r="O883" s="17"/>
      <c r="P883" s="17"/>
      <c r="Q883" s="17"/>
      <c r="R883" s="17"/>
      <c r="S883" s="17"/>
      <c r="T883" s="17"/>
      <c r="U883" s="300"/>
      <c r="V883" s="47"/>
      <c r="W883" s="17"/>
      <c r="X883" s="17"/>
      <c r="Y883" s="300"/>
      <c r="Z883" s="386"/>
      <c r="AA883" s="386"/>
      <c r="AB883" s="386"/>
      <c r="AC883" s="386"/>
      <c r="AD883" s="386"/>
      <c r="AE883" s="386"/>
      <c r="AF883" s="386"/>
    </row>
    <row r="884" ht="15.75" customHeight="1">
      <c r="A884" s="24"/>
      <c r="B884" s="25"/>
      <c r="C884" s="25"/>
      <c r="D884" s="28"/>
      <c r="E884" s="28"/>
      <c r="F884" s="383"/>
      <c r="G884" s="380"/>
      <c r="H884" s="300"/>
      <c r="I884" s="17"/>
      <c r="J884" s="17"/>
      <c r="K884" s="17"/>
      <c r="L884" s="17"/>
      <c r="M884" s="17"/>
      <c r="N884" s="17"/>
      <c r="O884" s="17"/>
      <c r="P884" s="17"/>
      <c r="Q884" s="17"/>
      <c r="R884" s="17"/>
      <c r="S884" s="17"/>
      <c r="T884" s="17"/>
      <c r="U884" s="300"/>
      <c r="V884" s="67"/>
      <c r="W884" s="17"/>
      <c r="X884" s="17"/>
      <c r="Y884" s="300"/>
      <c r="Z884" s="386"/>
      <c r="AA884" s="386"/>
      <c r="AB884" s="386"/>
      <c r="AC884" s="386"/>
      <c r="AD884" s="386"/>
      <c r="AE884" s="386"/>
      <c r="AF884" s="386"/>
    </row>
    <row r="885" ht="15.75" customHeight="1">
      <c r="A885" s="24"/>
      <c r="B885" s="25"/>
      <c r="C885" s="25"/>
      <c r="D885" s="28"/>
      <c r="E885" s="28"/>
      <c r="F885" s="404"/>
      <c r="G885" s="380"/>
      <c r="H885" s="300"/>
      <c r="I885" s="17"/>
      <c r="J885" s="17"/>
      <c r="K885" s="17"/>
      <c r="L885" s="17"/>
      <c r="M885" s="17"/>
      <c r="N885" s="17"/>
      <c r="O885" s="17"/>
      <c r="P885" s="17"/>
      <c r="Q885" s="17"/>
      <c r="R885" s="17"/>
      <c r="S885" s="17"/>
      <c r="T885" s="17"/>
      <c r="U885" s="300"/>
      <c r="V885" s="47"/>
      <c r="W885" s="17"/>
      <c r="X885" s="17"/>
      <c r="Y885" s="300"/>
      <c r="Z885" s="386"/>
      <c r="AA885" s="386"/>
      <c r="AB885" s="386"/>
      <c r="AC885" s="386"/>
      <c r="AD885" s="386"/>
      <c r="AE885" s="386"/>
      <c r="AF885" s="386"/>
    </row>
    <row r="886" ht="15.75" customHeight="1">
      <c r="A886" s="24"/>
      <c r="B886" s="25"/>
      <c r="C886" s="25"/>
      <c r="D886" s="28"/>
      <c r="E886" s="28"/>
      <c r="F886" s="383"/>
      <c r="G886" s="380"/>
      <c r="H886" s="300"/>
      <c r="I886" s="17"/>
      <c r="J886" s="17"/>
      <c r="K886" s="17"/>
      <c r="L886" s="17"/>
      <c r="M886" s="17"/>
      <c r="N886" s="17"/>
      <c r="O886" s="17"/>
      <c r="P886" s="17"/>
      <c r="Q886" s="17"/>
      <c r="R886" s="17"/>
      <c r="S886" s="17"/>
      <c r="T886" s="17"/>
      <c r="U886" s="300"/>
      <c r="V886" s="67"/>
      <c r="W886" s="17"/>
      <c r="X886" s="17"/>
      <c r="Y886" s="300"/>
      <c r="Z886" s="386"/>
      <c r="AA886" s="386"/>
      <c r="AB886" s="386"/>
      <c r="AC886" s="386"/>
      <c r="AD886" s="386"/>
      <c r="AE886" s="386"/>
      <c r="AF886" s="386"/>
    </row>
    <row r="887" ht="15.75" customHeight="1">
      <c r="A887" s="24"/>
      <c r="B887" s="25"/>
      <c r="C887" s="25"/>
      <c r="D887" s="28"/>
      <c r="E887" s="28"/>
      <c r="F887" s="404"/>
      <c r="G887" s="380"/>
      <c r="H887" s="300"/>
      <c r="I887" s="17"/>
      <c r="J887" s="17"/>
      <c r="K887" s="17"/>
      <c r="L887" s="17"/>
      <c r="M887" s="17"/>
      <c r="N887" s="17"/>
      <c r="O887" s="17"/>
      <c r="P887" s="17"/>
      <c r="Q887" s="17"/>
      <c r="R887" s="17"/>
      <c r="S887" s="17"/>
      <c r="T887" s="17"/>
      <c r="U887" s="300"/>
      <c r="V887" s="47"/>
      <c r="W887" s="17"/>
      <c r="X887" s="17"/>
      <c r="Y887" s="300"/>
      <c r="Z887" s="386"/>
      <c r="AA887" s="386"/>
      <c r="AB887" s="386"/>
      <c r="AC887" s="386"/>
      <c r="AD887" s="386"/>
      <c r="AE887" s="386"/>
      <c r="AF887" s="386"/>
    </row>
    <row r="888" ht="15.75" customHeight="1">
      <c r="A888" s="24"/>
      <c r="B888" s="25"/>
      <c r="C888" s="25"/>
      <c r="D888" s="28"/>
      <c r="E888" s="28"/>
      <c r="F888" s="383"/>
      <c r="G888" s="380"/>
      <c r="H888" s="300"/>
      <c r="I888" s="17"/>
      <c r="J888" s="17"/>
      <c r="K888" s="17"/>
      <c r="L888" s="17"/>
      <c r="M888" s="17"/>
      <c r="N888" s="17"/>
      <c r="O888" s="17"/>
      <c r="P888" s="17"/>
      <c r="Q888" s="17"/>
      <c r="R888" s="17"/>
      <c r="S888" s="17"/>
      <c r="T888" s="17"/>
      <c r="U888" s="300"/>
      <c r="V888" s="67"/>
      <c r="W888" s="17"/>
      <c r="X888" s="17"/>
      <c r="Y888" s="300"/>
      <c r="Z888" s="386"/>
      <c r="AA888" s="386"/>
      <c r="AB888" s="386"/>
      <c r="AC888" s="386"/>
      <c r="AD888" s="386"/>
      <c r="AE888" s="386"/>
      <c r="AF888" s="386"/>
    </row>
    <row r="889" ht="15.75" customHeight="1">
      <c r="A889" s="24"/>
      <c r="B889" s="25"/>
      <c r="C889" s="25"/>
      <c r="D889" s="28"/>
      <c r="E889" s="28"/>
      <c r="F889" s="404"/>
      <c r="G889" s="380"/>
      <c r="H889" s="300"/>
      <c r="I889" s="17"/>
      <c r="J889" s="17"/>
      <c r="K889" s="17"/>
      <c r="L889" s="17"/>
      <c r="M889" s="17"/>
      <c r="N889" s="17"/>
      <c r="O889" s="17"/>
      <c r="P889" s="17"/>
      <c r="Q889" s="17"/>
      <c r="R889" s="17"/>
      <c r="S889" s="17"/>
      <c r="T889" s="17"/>
      <c r="U889" s="300"/>
      <c r="V889" s="47"/>
      <c r="W889" s="17"/>
      <c r="X889" s="17"/>
      <c r="Y889" s="300"/>
      <c r="Z889" s="386"/>
      <c r="AA889" s="386"/>
      <c r="AB889" s="386"/>
      <c r="AC889" s="386"/>
      <c r="AD889" s="386"/>
      <c r="AE889" s="386"/>
      <c r="AF889" s="386"/>
    </row>
    <row r="890" ht="15.75" customHeight="1">
      <c r="A890" s="24"/>
      <c r="B890" s="25"/>
      <c r="C890" s="25"/>
      <c r="D890" s="28"/>
      <c r="E890" s="28"/>
      <c r="F890" s="383"/>
      <c r="G890" s="380"/>
      <c r="H890" s="300"/>
      <c r="I890" s="17"/>
      <c r="J890" s="17"/>
      <c r="K890" s="17"/>
      <c r="L890" s="17"/>
      <c r="M890" s="17"/>
      <c r="N890" s="17"/>
      <c r="O890" s="17"/>
      <c r="P890" s="17"/>
      <c r="Q890" s="17"/>
      <c r="R890" s="17"/>
      <c r="S890" s="17"/>
      <c r="T890" s="17"/>
      <c r="U890" s="300"/>
      <c r="V890" s="67"/>
      <c r="W890" s="17"/>
      <c r="X890" s="17"/>
      <c r="Y890" s="300"/>
      <c r="Z890" s="386"/>
      <c r="AA890" s="386"/>
      <c r="AB890" s="386"/>
      <c r="AC890" s="386"/>
      <c r="AD890" s="386"/>
      <c r="AE890" s="386"/>
      <c r="AF890" s="386"/>
    </row>
    <row r="891" ht="15.75" customHeight="1">
      <c r="A891" s="24"/>
      <c r="B891" s="25"/>
      <c r="C891" s="25"/>
      <c r="D891" s="28"/>
      <c r="E891" s="28"/>
      <c r="F891" s="404"/>
      <c r="G891" s="380"/>
      <c r="H891" s="300"/>
      <c r="I891" s="17"/>
      <c r="J891" s="17"/>
      <c r="K891" s="17"/>
      <c r="L891" s="17"/>
      <c r="M891" s="17"/>
      <c r="N891" s="17"/>
      <c r="O891" s="17"/>
      <c r="P891" s="17"/>
      <c r="Q891" s="17"/>
      <c r="R891" s="17"/>
      <c r="S891" s="17"/>
      <c r="T891" s="17"/>
      <c r="U891" s="300"/>
      <c r="V891" s="47"/>
      <c r="W891" s="17"/>
      <c r="X891" s="17"/>
      <c r="Y891" s="300"/>
      <c r="Z891" s="386"/>
      <c r="AA891" s="386"/>
      <c r="AB891" s="386"/>
      <c r="AC891" s="386"/>
      <c r="AD891" s="386"/>
      <c r="AE891" s="386"/>
      <c r="AF891" s="386"/>
    </row>
    <row r="892" ht="15.75" customHeight="1">
      <c r="A892" s="24"/>
      <c r="B892" s="25"/>
      <c r="C892" s="25"/>
      <c r="D892" s="28"/>
      <c r="E892" s="28"/>
      <c r="F892" s="383"/>
      <c r="G892" s="380"/>
      <c r="H892" s="300"/>
      <c r="I892" s="17"/>
      <c r="J892" s="17"/>
      <c r="K892" s="17"/>
      <c r="L892" s="17"/>
      <c r="M892" s="17"/>
      <c r="N892" s="17"/>
      <c r="O892" s="17"/>
      <c r="P892" s="17"/>
      <c r="Q892" s="17"/>
      <c r="R892" s="17"/>
      <c r="S892" s="17"/>
      <c r="T892" s="17"/>
      <c r="U892" s="300"/>
      <c r="V892" s="67"/>
      <c r="W892" s="17"/>
      <c r="X892" s="17"/>
      <c r="Y892" s="300"/>
      <c r="Z892" s="386"/>
      <c r="AA892" s="386"/>
      <c r="AB892" s="386"/>
      <c r="AC892" s="386"/>
      <c r="AD892" s="386"/>
      <c r="AE892" s="386"/>
      <c r="AF892" s="386"/>
    </row>
    <row r="893" ht="15.75" customHeight="1">
      <c r="A893" s="24"/>
      <c r="B893" s="25"/>
      <c r="C893" s="25"/>
      <c r="D893" s="28"/>
      <c r="E893" s="28"/>
      <c r="F893" s="404"/>
      <c r="G893" s="380"/>
      <c r="H893" s="300"/>
      <c r="I893" s="17"/>
      <c r="J893" s="17"/>
      <c r="K893" s="17"/>
      <c r="L893" s="17"/>
      <c r="M893" s="17"/>
      <c r="N893" s="17"/>
      <c r="O893" s="17"/>
      <c r="P893" s="17"/>
      <c r="Q893" s="17"/>
      <c r="R893" s="17"/>
      <c r="S893" s="17"/>
      <c r="T893" s="17"/>
      <c r="U893" s="300"/>
      <c r="V893" s="47"/>
      <c r="W893" s="17"/>
      <c r="X893" s="17"/>
      <c r="Y893" s="300"/>
      <c r="Z893" s="386"/>
      <c r="AA893" s="386"/>
      <c r="AB893" s="386"/>
      <c r="AC893" s="386"/>
      <c r="AD893" s="386"/>
      <c r="AE893" s="386"/>
      <c r="AF893" s="386"/>
    </row>
    <row r="894" ht="15.75" customHeight="1">
      <c r="A894" s="24"/>
      <c r="B894" s="25"/>
      <c r="C894" s="25"/>
      <c r="D894" s="28"/>
      <c r="E894" s="28"/>
      <c r="F894" s="383"/>
      <c r="G894" s="380"/>
      <c r="H894" s="300"/>
      <c r="I894" s="17"/>
      <c r="J894" s="17"/>
      <c r="K894" s="17"/>
      <c r="L894" s="17"/>
      <c r="M894" s="17"/>
      <c r="N894" s="17"/>
      <c r="O894" s="17"/>
      <c r="P894" s="17"/>
      <c r="Q894" s="17"/>
      <c r="R894" s="17"/>
      <c r="S894" s="17"/>
      <c r="T894" s="17"/>
      <c r="U894" s="300"/>
      <c r="V894" s="67"/>
      <c r="W894" s="17"/>
      <c r="X894" s="17"/>
      <c r="Y894" s="300"/>
      <c r="Z894" s="386"/>
      <c r="AA894" s="386"/>
      <c r="AB894" s="386"/>
      <c r="AC894" s="386"/>
      <c r="AD894" s="386"/>
      <c r="AE894" s="386"/>
      <c r="AF894" s="386"/>
    </row>
    <row r="895" ht="15.75" customHeight="1">
      <c r="A895" s="24"/>
      <c r="B895" s="25"/>
      <c r="C895" s="25"/>
      <c r="D895" s="28"/>
      <c r="E895" s="28"/>
      <c r="F895" s="404"/>
      <c r="G895" s="380"/>
      <c r="H895" s="300"/>
      <c r="I895" s="17"/>
      <c r="J895" s="17"/>
      <c r="K895" s="17"/>
      <c r="L895" s="17"/>
      <c r="M895" s="17"/>
      <c r="N895" s="17"/>
      <c r="O895" s="17"/>
      <c r="P895" s="17"/>
      <c r="Q895" s="17"/>
      <c r="R895" s="17"/>
      <c r="S895" s="17"/>
      <c r="T895" s="17"/>
      <c r="U895" s="300"/>
      <c r="V895" s="47"/>
      <c r="W895" s="17"/>
      <c r="X895" s="17"/>
      <c r="Y895" s="300"/>
      <c r="Z895" s="386"/>
      <c r="AA895" s="386"/>
      <c r="AB895" s="386"/>
      <c r="AC895" s="386"/>
      <c r="AD895" s="386"/>
      <c r="AE895" s="386"/>
      <c r="AF895" s="386"/>
    </row>
    <row r="896" ht="15.75" customHeight="1">
      <c r="A896" s="24"/>
      <c r="B896" s="25"/>
      <c r="C896" s="25"/>
      <c r="D896" s="28"/>
      <c r="E896" s="28"/>
      <c r="F896" s="383"/>
      <c r="G896" s="380"/>
      <c r="H896" s="300"/>
      <c r="I896" s="17"/>
      <c r="J896" s="17"/>
      <c r="K896" s="17"/>
      <c r="L896" s="17"/>
      <c r="M896" s="17"/>
      <c r="N896" s="17"/>
      <c r="O896" s="17"/>
      <c r="P896" s="17"/>
      <c r="Q896" s="17"/>
      <c r="R896" s="17"/>
      <c r="S896" s="17"/>
      <c r="T896" s="17"/>
      <c r="U896" s="300"/>
      <c r="V896" s="67"/>
      <c r="W896" s="17"/>
      <c r="X896" s="17"/>
      <c r="Y896" s="300"/>
      <c r="Z896" s="386"/>
      <c r="AA896" s="386"/>
      <c r="AB896" s="386"/>
      <c r="AC896" s="386"/>
      <c r="AD896" s="386"/>
      <c r="AE896" s="386"/>
      <c r="AF896" s="386"/>
    </row>
    <row r="897" ht="15.75" customHeight="1">
      <c r="A897" s="24"/>
      <c r="B897" s="25"/>
      <c r="C897" s="25"/>
      <c r="D897" s="28"/>
      <c r="E897" s="28"/>
      <c r="F897" s="404"/>
      <c r="G897" s="380"/>
      <c r="H897" s="300"/>
      <c r="I897" s="17"/>
      <c r="J897" s="17"/>
      <c r="K897" s="17"/>
      <c r="L897" s="17"/>
      <c r="M897" s="17"/>
      <c r="N897" s="17"/>
      <c r="O897" s="17"/>
      <c r="P897" s="17"/>
      <c r="Q897" s="17"/>
      <c r="R897" s="17"/>
      <c r="S897" s="17"/>
      <c r="T897" s="17"/>
      <c r="U897" s="300"/>
      <c r="V897" s="47"/>
      <c r="W897" s="17"/>
      <c r="X897" s="17"/>
      <c r="Y897" s="300"/>
      <c r="Z897" s="386"/>
      <c r="AA897" s="386"/>
      <c r="AB897" s="386"/>
      <c r="AC897" s="386"/>
      <c r="AD897" s="386"/>
      <c r="AE897" s="386"/>
      <c r="AF897" s="386"/>
    </row>
    <row r="898" ht="15.75" customHeight="1">
      <c r="A898" s="24"/>
      <c r="B898" s="25"/>
      <c r="C898" s="25"/>
      <c r="D898" s="28"/>
      <c r="E898" s="28"/>
      <c r="F898" s="383"/>
      <c r="G898" s="380"/>
      <c r="H898" s="300"/>
      <c r="I898" s="17"/>
      <c r="J898" s="17"/>
      <c r="K898" s="17"/>
      <c r="L898" s="17"/>
      <c r="M898" s="17"/>
      <c r="N898" s="17"/>
      <c r="O898" s="17"/>
      <c r="P898" s="17"/>
      <c r="Q898" s="17"/>
      <c r="R898" s="17"/>
      <c r="S898" s="17"/>
      <c r="T898" s="17"/>
      <c r="U898" s="300"/>
      <c r="V898" s="67"/>
      <c r="W898" s="17"/>
      <c r="X898" s="17"/>
      <c r="Y898" s="300"/>
      <c r="Z898" s="386"/>
      <c r="AA898" s="386"/>
      <c r="AB898" s="386"/>
      <c r="AC898" s="386"/>
      <c r="AD898" s="386"/>
      <c r="AE898" s="386"/>
      <c r="AF898" s="386"/>
    </row>
    <row r="899" ht="15.75" customHeight="1">
      <c r="A899" s="24"/>
      <c r="B899" s="25"/>
      <c r="C899" s="25"/>
      <c r="D899" s="28"/>
      <c r="E899" s="28"/>
      <c r="F899" s="404"/>
      <c r="G899" s="380"/>
      <c r="H899" s="300"/>
      <c r="I899" s="17"/>
      <c r="J899" s="17"/>
      <c r="K899" s="17"/>
      <c r="L899" s="17"/>
      <c r="M899" s="17"/>
      <c r="N899" s="17"/>
      <c r="O899" s="17"/>
      <c r="P899" s="17"/>
      <c r="Q899" s="17"/>
      <c r="R899" s="17"/>
      <c r="S899" s="17"/>
      <c r="T899" s="17"/>
      <c r="U899" s="300"/>
      <c r="V899" s="47"/>
      <c r="W899" s="17"/>
      <c r="X899" s="17"/>
      <c r="Y899" s="300"/>
      <c r="Z899" s="386"/>
      <c r="AA899" s="386"/>
      <c r="AB899" s="386"/>
      <c r="AC899" s="386"/>
      <c r="AD899" s="386"/>
      <c r="AE899" s="386"/>
      <c r="AF899" s="386"/>
    </row>
    <row r="900" ht="15.75" customHeight="1">
      <c r="A900" s="24"/>
      <c r="B900" s="25"/>
      <c r="C900" s="25"/>
      <c r="D900" s="28"/>
      <c r="E900" s="28"/>
      <c r="F900" s="383"/>
      <c r="G900" s="380"/>
      <c r="H900" s="300"/>
      <c r="I900" s="17"/>
      <c r="J900" s="17"/>
      <c r="K900" s="17"/>
      <c r="L900" s="17"/>
      <c r="M900" s="17"/>
      <c r="N900" s="17"/>
      <c r="O900" s="17"/>
      <c r="P900" s="17"/>
      <c r="Q900" s="17"/>
      <c r="R900" s="17"/>
      <c r="S900" s="17"/>
      <c r="T900" s="17"/>
      <c r="U900" s="300"/>
      <c r="V900" s="67"/>
      <c r="W900" s="17"/>
      <c r="X900" s="17"/>
      <c r="Y900" s="300"/>
      <c r="Z900" s="386"/>
      <c r="AA900" s="386"/>
      <c r="AB900" s="386"/>
      <c r="AC900" s="386"/>
      <c r="AD900" s="386"/>
      <c r="AE900" s="386"/>
      <c r="AF900" s="386"/>
    </row>
    <row r="901" ht="15.75" customHeight="1">
      <c r="A901" s="24"/>
      <c r="B901" s="25"/>
      <c r="C901" s="25"/>
      <c r="D901" s="28"/>
      <c r="E901" s="28"/>
      <c r="F901" s="404"/>
      <c r="G901" s="380"/>
      <c r="H901" s="300"/>
      <c r="I901" s="17"/>
      <c r="J901" s="17"/>
      <c r="K901" s="17"/>
      <c r="L901" s="17"/>
      <c r="M901" s="17"/>
      <c r="N901" s="17"/>
      <c r="O901" s="17"/>
      <c r="P901" s="17"/>
      <c r="Q901" s="17"/>
      <c r="R901" s="17"/>
      <c r="S901" s="17"/>
      <c r="T901" s="17"/>
      <c r="U901" s="300"/>
      <c r="V901" s="47"/>
      <c r="W901" s="17"/>
      <c r="X901" s="17"/>
      <c r="Y901" s="300"/>
      <c r="Z901" s="386"/>
      <c r="AA901" s="386"/>
      <c r="AB901" s="386"/>
      <c r="AC901" s="386"/>
      <c r="AD901" s="386"/>
      <c r="AE901" s="386"/>
      <c r="AF901" s="386"/>
    </row>
    <row r="902" ht="15.75" customHeight="1">
      <c r="A902" s="24"/>
      <c r="B902" s="25"/>
      <c r="C902" s="25"/>
      <c r="D902" s="28"/>
      <c r="E902" s="28"/>
      <c r="F902" s="383"/>
      <c r="G902" s="380"/>
      <c r="H902" s="300"/>
      <c r="I902" s="17"/>
      <c r="J902" s="17"/>
      <c r="K902" s="17"/>
      <c r="L902" s="17"/>
      <c r="M902" s="17"/>
      <c r="N902" s="17"/>
      <c r="O902" s="17"/>
      <c r="P902" s="17"/>
      <c r="Q902" s="17"/>
      <c r="R902" s="17"/>
      <c r="S902" s="17"/>
      <c r="T902" s="17"/>
      <c r="U902" s="300"/>
      <c r="V902" s="67"/>
      <c r="W902" s="17"/>
      <c r="X902" s="17"/>
      <c r="Y902" s="300"/>
      <c r="Z902" s="386"/>
      <c r="AA902" s="386"/>
      <c r="AB902" s="386"/>
      <c r="AC902" s="386"/>
      <c r="AD902" s="386"/>
      <c r="AE902" s="386"/>
      <c r="AF902" s="386"/>
    </row>
    <row r="903" ht="15.75" customHeight="1">
      <c r="A903" s="24"/>
      <c r="B903" s="25"/>
      <c r="C903" s="25"/>
      <c r="D903" s="28"/>
      <c r="E903" s="28"/>
      <c r="F903" s="404"/>
      <c r="G903" s="380"/>
      <c r="H903" s="300"/>
      <c r="I903" s="17"/>
      <c r="J903" s="17"/>
      <c r="K903" s="17"/>
      <c r="L903" s="17"/>
      <c r="M903" s="17"/>
      <c r="N903" s="17"/>
      <c r="O903" s="17"/>
      <c r="P903" s="17"/>
      <c r="Q903" s="17"/>
      <c r="R903" s="17"/>
      <c r="S903" s="17"/>
      <c r="T903" s="17"/>
      <c r="U903" s="300"/>
      <c r="V903" s="47"/>
      <c r="W903" s="17"/>
      <c r="X903" s="17"/>
      <c r="Y903" s="300"/>
      <c r="Z903" s="386"/>
      <c r="AA903" s="386"/>
      <c r="AB903" s="386"/>
      <c r="AC903" s="386"/>
      <c r="AD903" s="386"/>
      <c r="AE903" s="386"/>
      <c r="AF903" s="386"/>
    </row>
    <row r="904" ht="15.75" customHeight="1">
      <c r="A904" s="24"/>
      <c r="B904" s="25"/>
      <c r="C904" s="25"/>
      <c r="D904" s="28"/>
      <c r="E904" s="28"/>
      <c r="F904" s="383"/>
      <c r="G904" s="380"/>
      <c r="H904" s="300"/>
      <c r="I904" s="17"/>
      <c r="J904" s="17"/>
      <c r="K904" s="17"/>
      <c r="L904" s="17"/>
      <c r="M904" s="17"/>
      <c r="N904" s="17"/>
      <c r="O904" s="17"/>
      <c r="P904" s="17"/>
      <c r="Q904" s="17"/>
      <c r="R904" s="17"/>
      <c r="S904" s="17"/>
      <c r="T904" s="17"/>
      <c r="U904" s="300"/>
      <c r="V904" s="67"/>
      <c r="W904" s="17"/>
      <c r="X904" s="17"/>
      <c r="Y904" s="300"/>
      <c r="Z904" s="386"/>
      <c r="AA904" s="386"/>
      <c r="AB904" s="386"/>
      <c r="AC904" s="386"/>
      <c r="AD904" s="386"/>
      <c r="AE904" s="386"/>
      <c r="AF904" s="386"/>
    </row>
    <row r="905" ht="15.75" customHeight="1">
      <c r="A905" s="24"/>
      <c r="B905" s="25"/>
      <c r="C905" s="25"/>
      <c r="D905" s="28"/>
      <c r="E905" s="28"/>
      <c r="F905" s="404"/>
      <c r="G905" s="380"/>
      <c r="H905" s="300"/>
      <c r="I905" s="17"/>
      <c r="J905" s="17"/>
      <c r="K905" s="17"/>
      <c r="L905" s="17"/>
      <c r="M905" s="17"/>
      <c r="N905" s="17"/>
      <c r="O905" s="17"/>
      <c r="P905" s="17"/>
      <c r="Q905" s="17"/>
      <c r="R905" s="17"/>
      <c r="S905" s="17"/>
      <c r="T905" s="17"/>
      <c r="U905" s="300"/>
      <c r="V905" s="47"/>
      <c r="W905" s="17"/>
      <c r="X905" s="17"/>
      <c r="Y905" s="300"/>
      <c r="Z905" s="386"/>
      <c r="AA905" s="386"/>
      <c r="AB905" s="386"/>
      <c r="AC905" s="386"/>
      <c r="AD905" s="386"/>
      <c r="AE905" s="386"/>
      <c r="AF905" s="386"/>
    </row>
    <row r="906" ht="15.75" customHeight="1">
      <c r="A906" s="24"/>
      <c r="B906" s="25"/>
      <c r="C906" s="25"/>
      <c r="D906" s="28"/>
      <c r="E906" s="28"/>
      <c r="F906" s="383"/>
      <c r="G906" s="380"/>
      <c r="H906" s="300"/>
      <c r="I906" s="17"/>
      <c r="J906" s="17"/>
      <c r="K906" s="17"/>
      <c r="L906" s="17"/>
      <c r="M906" s="17"/>
      <c r="N906" s="17"/>
      <c r="O906" s="17"/>
      <c r="P906" s="17"/>
      <c r="Q906" s="17"/>
      <c r="R906" s="17"/>
      <c r="S906" s="17"/>
      <c r="T906" s="17"/>
      <c r="U906" s="300"/>
      <c r="V906" s="67"/>
      <c r="W906" s="17"/>
      <c r="X906" s="17"/>
      <c r="Y906" s="300"/>
      <c r="Z906" s="386"/>
      <c r="AA906" s="386"/>
      <c r="AB906" s="386"/>
      <c r="AC906" s="386"/>
      <c r="AD906" s="386"/>
      <c r="AE906" s="386"/>
      <c r="AF906" s="386"/>
    </row>
    <row r="907" ht="15.75" customHeight="1">
      <c r="A907" s="24"/>
      <c r="B907" s="25"/>
      <c r="C907" s="25"/>
      <c r="D907" s="28"/>
      <c r="E907" s="28"/>
      <c r="F907" s="404"/>
      <c r="G907" s="380"/>
      <c r="H907" s="300"/>
      <c r="I907" s="17"/>
      <c r="J907" s="17"/>
      <c r="K907" s="17"/>
      <c r="L907" s="17"/>
      <c r="M907" s="17"/>
      <c r="N907" s="17"/>
      <c r="O907" s="17"/>
      <c r="P907" s="17"/>
      <c r="Q907" s="17"/>
      <c r="R907" s="17"/>
      <c r="S907" s="17"/>
      <c r="T907" s="17"/>
      <c r="U907" s="300"/>
      <c r="V907" s="47"/>
      <c r="W907" s="17"/>
      <c r="X907" s="17"/>
      <c r="Y907" s="300"/>
      <c r="Z907" s="386"/>
      <c r="AA907" s="386"/>
      <c r="AB907" s="386"/>
      <c r="AC907" s="386"/>
      <c r="AD907" s="386"/>
      <c r="AE907" s="386"/>
      <c r="AF907" s="386"/>
    </row>
    <row r="908" ht="15.75" customHeight="1">
      <c r="A908" s="24"/>
      <c r="B908" s="25"/>
      <c r="C908" s="25"/>
      <c r="D908" s="28"/>
      <c r="E908" s="28"/>
      <c r="F908" s="383"/>
      <c r="G908" s="380"/>
      <c r="H908" s="300"/>
      <c r="I908" s="17"/>
      <c r="J908" s="17"/>
      <c r="K908" s="17"/>
      <c r="L908" s="17"/>
      <c r="M908" s="17"/>
      <c r="N908" s="17"/>
      <c r="O908" s="17"/>
      <c r="P908" s="17"/>
      <c r="Q908" s="17"/>
      <c r="R908" s="17"/>
      <c r="S908" s="17"/>
      <c r="T908" s="17"/>
      <c r="U908" s="300"/>
      <c r="V908" s="67"/>
      <c r="W908" s="17"/>
      <c r="X908" s="17"/>
      <c r="Y908" s="300"/>
      <c r="Z908" s="386"/>
      <c r="AA908" s="386"/>
      <c r="AB908" s="386"/>
      <c r="AC908" s="386"/>
      <c r="AD908" s="386"/>
      <c r="AE908" s="386"/>
      <c r="AF908" s="386"/>
    </row>
    <row r="909" ht="15.75" customHeight="1">
      <c r="A909" s="24"/>
      <c r="B909" s="25"/>
      <c r="C909" s="25"/>
      <c r="D909" s="28"/>
      <c r="E909" s="28"/>
      <c r="F909" s="404"/>
      <c r="G909" s="380"/>
      <c r="H909" s="300"/>
      <c r="I909" s="17"/>
      <c r="J909" s="17"/>
      <c r="K909" s="17"/>
      <c r="L909" s="17"/>
      <c r="M909" s="17"/>
      <c r="N909" s="17"/>
      <c r="O909" s="17"/>
      <c r="P909" s="17"/>
      <c r="Q909" s="17"/>
      <c r="R909" s="17"/>
      <c r="S909" s="17"/>
      <c r="T909" s="17"/>
      <c r="U909" s="300"/>
      <c r="V909" s="47"/>
      <c r="W909" s="17"/>
      <c r="X909" s="17"/>
      <c r="Y909" s="300"/>
      <c r="Z909" s="386"/>
      <c r="AA909" s="386"/>
      <c r="AB909" s="386"/>
      <c r="AC909" s="386"/>
      <c r="AD909" s="386"/>
      <c r="AE909" s="386"/>
      <c r="AF909" s="386"/>
    </row>
    <row r="910" ht="15.75" customHeight="1">
      <c r="A910" s="24"/>
      <c r="B910" s="25"/>
      <c r="C910" s="25"/>
      <c r="D910" s="28"/>
      <c r="E910" s="28"/>
      <c r="F910" s="383"/>
      <c r="G910" s="380"/>
      <c r="H910" s="300"/>
      <c r="I910" s="17"/>
      <c r="J910" s="17"/>
      <c r="K910" s="17"/>
      <c r="L910" s="17"/>
      <c r="M910" s="17"/>
      <c r="N910" s="17"/>
      <c r="O910" s="17"/>
      <c r="P910" s="17"/>
      <c r="Q910" s="17"/>
      <c r="R910" s="17"/>
      <c r="S910" s="17"/>
      <c r="T910" s="17"/>
      <c r="U910" s="300"/>
      <c r="V910" s="67"/>
      <c r="W910" s="17"/>
      <c r="X910" s="17"/>
      <c r="Y910" s="300"/>
      <c r="Z910" s="386"/>
      <c r="AA910" s="386"/>
      <c r="AB910" s="386"/>
      <c r="AC910" s="386"/>
      <c r="AD910" s="386"/>
      <c r="AE910" s="386"/>
      <c r="AF910" s="386"/>
    </row>
    <row r="911" ht="15.75" customHeight="1">
      <c r="A911" s="24"/>
      <c r="B911" s="25"/>
      <c r="C911" s="25"/>
      <c r="D911" s="28"/>
      <c r="E911" s="28"/>
      <c r="F911" s="404"/>
      <c r="G911" s="380"/>
      <c r="H911" s="300"/>
      <c r="I911" s="17"/>
      <c r="J911" s="17"/>
      <c r="K911" s="17"/>
      <c r="L911" s="17"/>
      <c r="M911" s="17"/>
      <c r="N911" s="17"/>
      <c r="O911" s="17"/>
      <c r="P911" s="17"/>
      <c r="Q911" s="17"/>
      <c r="R911" s="17"/>
      <c r="S911" s="17"/>
      <c r="T911" s="17"/>
      <c r="U911" s="300"/>
      <c r="V911" s="47"/>
      <c r="W911" s="17"/>
      <c r="X911" s="17"/>
      <c r="Y911" s="300"/>
      <c r="Z911" s="386"/>
      <c r="AA911" s="386"/>
      <c r="AB911" s="386"/>
      <c r="AC911" s="386"/>
      <c r="AD911" s="386"/>
      <c r="AE911" s="386"/>
      <c r="AF911" s="386"/>
    </row>
    <row r="912" ht="15.75" customHeight="1">
      <c r="A912" s="24"/>
      <c r="B912" s="25"/>
      <c r="C912" s="25"/>
      <c r="D912" s="28"/>
      <c r="E912" s="28"/>
      <c r="F912" s="383"/>
      <c r="G912" s="380"/>
      <c r="H912" s="300"/>
      <c r="I912" s="17"/>
      <c r="J912" s="17"/>
      <c r="K912" s="17"/>
      <c r="L912" s="17"/>
      <c r="M912" s="17"/>
      <c r="N912" s="17"/>
      <c r="O912" s="17"/>
      <c r="P912" s="17"/>
      <c r="Q912" s="17"/>
      <c r="R912" s="17"/>
      <c r="S912" s="17"/>
      <c r="T912" s="17"/>
      <c r="U912" s="300"/>
      <c r="V912" s="67"/>
      <c r="W912" s="17"/>
      <c r="X912" s="17"/>
      <c r="Y912" s="300"/>
      <c r="Z912" s="386"/>
      <c r="AA912" s="386"/>
      <c r="AB912" s="386"/>
      <c r="AC912" s="386"/>
      <c r="AD912" s="386"/>
      <c r="AE912" s="386"/>
      <c r="AF912" s="386"/>
    </row>
    <row r="913" ht="15.75" customHeight="1">
      <c r="A913" s="24"/>
      <c r="B913" s="25"/>
      <c r="C913" s="25"/>
      <c r="D913" s="28"/>
      <c r="E913" s="28"/>
      <c r="F913" s="404"/>
      <c r="G913" s="380"/>
      <c r="H913" s="300"/>
      <c r="I913" s="17"/>
      <c r="J913" s="17"/>
      <c r="K913" s="17"/>
      <c r="L913" s="17"/>
      <c r="M913" s="17"/>
      <c r="N913" s="17"/>
      <c r="O913" s="17"/>
      <c r="P913" s="17"/>
      <c r="Q913" s="17"/>
      <c r="R913" s="17"/>
      <c r="S913" s="17"/>
      <c r="T913" s="17"/>
      <c r="U913" s="300"/>
      <c r="V913" s="47"/>
      <c r="W913" s="17"/>
      <c r="X913" s="17"/>
      <c r="Y913" s="300"/>
      <c r="Z913" s="386"/>
      <c r="AA913" s="386"/>
      <c r="AB913" s="386"/>
      <c r="AC913" s="386"/>
      <c r="AD913" s="386"/>
      <c r="AE913" s="386"/>
      <c r="AF913" s="386"/>
    </row>
    <row r="914" ht="15.75" customHeight="1">
      <c r="A914" s="24"/>
      <c r="B914" s="25"/>
      <c r="C914" s="25"/>
      <c r="D914" s="28"/>
      <c r="E914" s="28"/>
      <c r="F914" s="383"/>
      <c r="G914" s="380"/>
      <c r="H914" s="300"/>
      <c r="I914" s="17"/>
      <c r="J914" s="17"/>
      <c r="K914" s="17"/>
      <c r="L914" s="17"/>
      <c r="M914" s="17"/>
      <c r="N914" s="17"/>
      <c r="O914" s="17"/>
      <c r="P914" s="17"/>
      <c r="Q914" s="17"/>
      <c r="R914" s="17"/>
      <c r="S914" s="17"/>
      <c r="T914" s="17"/>
      <c r="U914" s="300"/>
      <c r="V914" s="67"/>
      <c r="W914" s="17"/>
      <c r="X914" s="17"/>
      <c r="Y914" s="300"/>
      <c r="Z914" s="386"/>
      <c r="AA914" s="386"/>
      <c r="AB914" s="386"/>
      <c r="AC914" s="386"/>
      <c r="AD914" s="386"/>
      <c r="AE914" s="386"/>
      <c r="AF914" s="386"/>
    </row>
    <row r="915" ht="15.75" customHeight="1">
      <c r="A915" s="24"/>
      <c r="B915" s="25"/>
      <c r="C915" s="25"/>
      <c r="D915" s="28"/>
      <c r="E915" s="28"/>
      <c r="F915" s="404"/>
      <c r="G915" s="380"/>
      <c r="H915" s="300"/>
      <c r="I915" s="17"/>
      <c r="J915" s="17"/>
      <c r="K915" s="17"/>
      <c r="L915" s="17"/>
      <c r="M915" s="17"/>
      <c r="N915" s="17"/>
      <c r="O915" s="17"/>
      <c r="P915" s="17"/>
      <c r="Q915" s="17"/>
      <c r="R915" s="17"/>
      <c r="S915" s="17"/>
      <c r="T915" s="17"/>
      <c r="U915" s="300"/>
      <c r="V915" s="47"/>
      <c r="W915" s="17"/>
      <c r="X915" s="17"/>
      <c r="Y915" s="300"/>
      <c r="Z915" s="386"/>
      <c r="AA915" s="386"/>
      <c r="AB915" s="386"/>
      <c r="AC915" s="386"/>
      <c r="AD915" s="386"/>
      <c r="AE915" s="386"/>
      <c r="AF915" s="386"/>
    </row>
    <row r="916" ht="15.75" customHeight="1">
      <c r="A916" s="24"/>
      <c r="B916" s="25"/>
      <c r="C916" s="25"/>
      <c r="D916" s="28"/>
      <c r="E916" s="28"/>
      <c r="F916" s="383"/>
      <c r="G916" s="380"/>
      <c r="H916" s="300"/>
      <c r="I916" s="17"/>
      <c r="J916" s="17"/>
      <c r="K916" s="17"/>
      <c r="L916" s="17"/>
      <c r="M916" s="17"/>
      <c r="N916" s="17"/>
      <c r="O916" s="17"/>
      <c r="P916" s="17"/>
      <c r="Q916" s="17"/>
      <c r="R916" s="17"/>
      <c r="S916" s="17"/>
      <c r="T916" s="17"/>
      <c r="U916" s="300"/>
      <c r="V916" s="67"/>
      <c r="W916" s="17"/>
      <c r="X916" s="17"/>
      <c r="Y916" s="300"/>
      <c r="Z916" s="386"/>
      <c r="AA916" s="386"/>
      <c r="AB916" s="386"/>
      <c r="AC916" s="386"/>
      <c r="AD916" s="386"/>
      <c r="AE916" s="386"/>
      <c r="AF916" s="386"/>
    </row>
    <row r="917" ht="15.75" customHeight="1">
      <c r="A917" s="24"/>
      <c r="B917" s="25"/>
      <c r="C917" s="25"/>
      <c r="D917" s="28"/>
      <c r="E917" s="28"/>
      <c r="F917" s="404"/>
      <c r="G917" s="380"/>
      <c r="H917" s="300"/>
      <c r="I917" s="17"/>
      <c r="J917" s="17"/>
      <c r="K917" s="17"/>
      <c r="L917" s="17"/>
      <c r="M917" s="17"/>
      <c r="N917" s="17"/>
      <c r="O917" s="17"/>
      <c r="P917" s="17"/>
      <c r="Q917" s="17"/>
      <c r="R917" s="17"/>
      <c r="S917" s="17"/>
      <c r="T917" s="17"/>
      <c r="U917" s="300"/>
      <c r="V917" s="47"/>
      <c r="W917" s="17"/>
      <c r="X917" s="17"/>
      <c r="Y917" s="300"/>
      <c r="Z917" s="386"/>
      <c r="AA917" s="386"/>
      <c r="AB917" s="386"/>
      <c r="AC917" s="386"/>
      <c r="AD917" s="386"/>
      <c r="AE917" s="386"/>
      <c r="AF917" s="386"/>
    </row>
    <row r="918" ht="15.75" customHeight="1">
      <c r="A918" s="24"/>
      <c r="B918" s="25"/>
      <c r="C918" s="25"/>
      <c r="D918" s="28"/>
      <c r="E918" s="28"/>
      <c r="F918" s="383"/>
      <c r="G918" s="380"/>
      <c r="H918" s="300"/>
      <c r="I918" s="17"/>
      <c r="J918" s="17"/>
      <c r="K918" s="17"/>
      <c r="L918" s="17"/>
      <c r="M918" s="17"/>
      <c r="N918" s="17"/>
      <c r="O918" s="17"/>
      <c r="P918" s="17"/>
      <c r="Q918" s="17"/>
      <c r="R918" s="17"/>
      <c r="S918" s="17"/>
      <c r="T918" s="17"/>
      <c r="U918" s="300"/>
      <c r="V918" s="67"/>
      <c r="W918" s="17"/>
      <c r="X918" s="17"/>
      <c r="Y918" s="300"/>
      <c r="Z918" s="386"/>
      <c r="AA918" s="386"/>
      <c r="AB918" s="386"/>
      <c r="AC918" s="386"/>
      <c r="AD918" s="386"/>
      <c r="AE918" s="386"/>
      <c r="AF918" s="386"/>
    </row>
    <row r="919" ht="15.75" customHeight="1">
      <c r="A919" s="24"/>
      <c r="B919" s="25"/>
      <c r="C919" s="25"/>
      <c r="D919" s="28"/>
      <c r="E919" s="28"/>
      <c r="F919" s="404"/>
      <c r="G919" s="380"/>
      <c r="H919" s="300"/>
      <c r="I919" s="17"/>
      <c r="J919" s="17"/>
      <c r="K919" s="17"/>
      <c r="L919" s="17"/>
      <c r="M919" s="17"/>
      <c r="N919" s="17"/>
      <c r="O919" s="17"/>
      <c r="P919" s="17"/>
      <c r="Q919" s="17"/>
      <c r="R919" s="17"/>
      <c r="S919" s="17"/>
      <c r="T919" s="17"/>
      <c r="U919" s="300"/>
      <c r="V919" s="47"/>
      <c r="W919" s="17"/>
      <c r="X919" s="17"/>
      <c r="Y919" s="300"/>
      <c r="Z919" s="386"/>
      <c r="AA919" s="386"/>
      <c r="AB919" s="386"/>
      <c r="AC919" s="386"/>
      <c r="AD919" s="386"/>
      <c r="AE919" s="386"/>
      <c r="AF919" s="386"/>
    </row>
    <row r="920" ht="15.75" customHeight="1">
      <c r="A920" s="24"/>
      <c r="B920" s="25"/>
      <c r="C920" s="25"/>
      <c r="D920" s="28"/>
      <c r="E920" s="28"/>
      <c r="F920" s="383"/>
      <c r="G920" s="380"/>
      <c r="H920" s="300"/>
      <c r="I920" s="17"/>
      <c r="J920" s="17"/>
      <c r="K920" s="17"/>
      <c r="L920" s="17"/>
      <c r="M920" s="17"/>
      <c r="N920" s="17"/>
      <c r="O920" s="17"/>
      <c r="P920" s="17"/>
      <c r="Q920" s="17"/>
      <c r="R920" s="17"/>
      <c r="S920" s="17"/>
      <c r="T920" s="17"/>
      <c r="U920" s="300"/>
      <c r="V920" s="67"/>
      <c r="W920" s="17"/>
      <c r="X920" s="17"/>
      <c r="Y920" s="300"/>
      <c r="Z920" s="386"/>
      <c r="AA920" s="386"/>
      <c r="AB920" s="386"/>
      <c r="AC920" s="386"/>
      <c r="AD920" s="386"/>
      <c r="AE920" s="386"/>
      <c r="AF920" s="386"/>
    </row>
    <row r="921" ht="15.75" customHeight="1">
      <c r="A921" s="24"/>
      <c r="B921" s="25"/>
      <c r="C921" s="25"/>
      <c r="D921" s="28"/>
      <c r="E921" s="28"/>
      <c r="F921" s="404"/>
      <c r="G921" s="380"/>
      <c r="H921" s="300"/>
      <c r="I921" s="17"/>
      <c r="J921" s="17"/>
      <c r="K921" s="17"/>
      <c r="L921" s="17"/>
      <c r="M921" s="17"/>
      <c r="N921" s="17"/>
      <c r="O921" s="17"/>
      <c r="P921" s="17"/>
      <c r="Q921" s="17"/>
      <c r="R921" s="17"/>
      <c r="S921" s="17"/>
      <c r="T921" s="17"/>
      <c r="U921" s="300"/>
      <c r="V921" s="47"/>
      <c r="W921" s="17"/>
      <c r="X921" s="17"/>
      <c r="Y921" s="300"/>
      <c r="Z921" s="386"/>
      <c r="AA921" s="386"/>
      <c r="AB921" s="386"/>
      <c r="AC921" s="386"/>
      <c r="AD921" s="386"/>
      <c r="AE921" s="386"/>
      <c r="AF921" s="386"/>
    </row>
    <row r="922" ht="15.75" customHeight="1">
      <c r="A922" s="24"/>
      <c r="B922" s="25"/>
      <c r="C922" s="25"/>
      <c r="D922" s="28"/>
      <c r="E922" s="28"/>
      <c r="F922" s="383"/>
      <c r="G922" s="380"/>
      <c r="H922" s="300"/>
      <c r="I922" s="17"/>
      <c r="J922" s="17"/>
      <c r="K922" s="17"/>
      <c r="L922" s="17"/>
      <c r="M922" s="17"/>
      <c r="N922" s="17"/>
      <c r="O922" s="17"/>
      <c r="P922" s="17"/>
      <c r="Q922" s="17"/>
      <c r="R922" s="17"/>
      <c r="S922" s="17"/>
      <c r="T922" s="17"/>
      <c r="U922" s="300"/>
      <c r="V922" s="67"/>
      <c r="W922" s="17"/>
      <c r="X922" s="17"/>
      <c r="Y922" s="300"/>
      <c r="Z922" s="386"/>
      <c r="AA922" s="386"/>
      <c r="AB922" s="386"/>
      <c r="AC922" s="386"/>
      <c r="AD922" s="386"/>
      <c r="AE922" s="386"/>
      <c r="AF922" s="386"/>
    </row>
    <row r="923" ht="15.75" customHeight="1">
      <c r="A923" s="24"/>
      <c r="B923" s="25"/>
      <c r="C923" s="25"/>
      <c r="D923" s="28"/>
      <c r="E923" s="28"/>
      <c r="F923" s="404"/>
      <c r="G923" s="380"/>
      <c r="H923" s="300"/>
      <c r="I923" s="17"/>
      <c r="J923" s="17"/>
      <c r="K923" s="17"/>
      <c r="L923" s="17"/>
      <c r="M923" s="17"/>
      <c r="N923" s="17"/>
      <c r="O923" s="17"/>
      <c r="P923" s="17"/>
      <c r="Q923" s="17"/>
      <c r="R923" s="17"/>
      <c r="S923" s="17"/>
      <c r="T923" s="17"/>
      <c r="U923" s="300"/>
      <c r="V923" s="47"/>
      <c r="W923" s="17"/>
      <c r="X923" s="17"/>
      <c r="Y923" s="300"/>
      <c r="Z923" s="386"/>
      <c r="AA923" s="386"/>
      <c r="AB923" s="386"/>
      <c r="AC923" s="386"/>
      <c r="AD923" s="386"/>
      <c r="AE923" s="386"/>
      <c r="AF923" s="386"/>
    </row>
    <row r="924" ht="15.75" customHeight="1">
      <c r="A924" s="24"/>
      <c r="B924" s="25"/>
      <c r="C924" s="25"/>
      <c r="D924" s="28"/>
      <c r="E924" s="28"/>
      <c r="F924" s="383"/>
      <c r="G924" s="380"/>
      <c r="H924" s="300"/>
      <c r="I924" s="17"/>
      <c r="J924" s="17"/>
      <c r="K924" s="17"/>
      <c r="L924" s="17"/>
      <c r="M924" s="17"/>
      <c r="N924" s="17"/>
      <c r="O924" s="17"/>
      <c r="P924" s="17"/>
      <c r="Q924" s="17"/>
      <c r="R924" s="17"/>
      <c r="S924" s="17"/>
      <c r="T924" s="17"/>
      <c r="U924" s="300"/>
      <c r="V924" s="67"/>
      <c r="W924" s="17"/>
      <c r="X924" s="17"/>
      <c r="Y924" s="300"/>
      <c r="Z924" s="386"/>
      <c r="AA924" s="386"/>
      <c r="AB924" s="386"/>
      <c r="AC924" s="386"/>
      <c r="AD924" s="386"/>
      <c r="AE924" s="386"/>
      <c r="AF924" s="386"/>
    </row>
    <row r="925" ht="15.75" customHeight="1">
      <c r="A925" s="24"/>
      <c r="B925" s="25"/>
      <c r="C925" s="25"/>
      <c r="D925" s="28"/>
      <c r="E925" s="28"/>
      <c r="F925" s="404"/>
      <c r="G925" s="380"/>
      <c r="H925" s="300"/>
      <c r="I925" s="17"/>
      <c r="J925" s="17"/>
      <c r="K925" s="17"/>
      <c r="L925" s="17"/>
      <c r="M925" s="17"/>
      <c r="N925" s="17"/>
      <c r="O925" s="17"/>
      <c r="P925" s="17"/>
      <c r="Q925" s="17"/>
      <c r="R925" s="17"/>
      <c r="S925" s="17"/>
      <c r="T925" s="17"/>
      <c r="U925" s="300"/>
      <c r="V925" s="47"/>
      <c r="W925" s="17"/>
      <c r="X925" s="17"/>
      <c r="Y925" s="300"/>
      <c r="Z925" s="386"/>
      <c r="AA925" s="386"/>
      <c r="AB925" s="386"/>
      <c r="AC925" s="386"/>
      <c r="AD925" s="386"/>
      <c r="AE925" s="386"/>
      <c r="AF925" s="386"/>
    </row>
    <row r="926" ht="15.75" customHeight="1">
      <c r="A926" s="24"/>
      <c r="B926" s="25"/>
      <c r="C926" s="25"/>
      <c r="D926" s="28"/>
      <c r="E926" s="28"/>
      <c r="F926" s="383"/>
      <c r="G926" s="380"/>
      <c r="H926" s="300"/>
      <c r="I926" s="17"/>
      <c r="J926" s="17"/>
      <c r="K926" s="17"/>
      <c r="L926" s="17"/>
      <c r="M926" s="17"/>
      <c r="N926" s="17"/>
      <c r="O926" s="17"/>
      <c r="P926" s="17"/>
      <c r="Q926" s="17"/>
      <c r="R926" s="17"/>
      <c r="S926" s="17"/>
      <c r="T926" s="17"/>
      <c r="U926" s="300"/>
      <c r="V926" s="67"/>
      <c r="W926" s="17"/>
      <c r="X926" s="17"/>
      <c r="Y926" s="300"/>
      <c r="Z926" s="386"/>
      <c r="AA926" s="386"/>
      <c r="AB926" s="386"/>
      <c r="AC926" s="386"/>
      <c r="AD926" s="386"/>
      <c r="AE926" s="386"/>
      <c r="AF926" s="386"/>
    </row>
    <row r="927" ht="15.75" customHeight="1">
      <c r="A927" s="24"/>
      <c r="B927" s="25"/>
      <c r="C927" s="25"/>
      <c r="D927" s="28"/>
      <c r="E927" s="28"/>
      <c r="F927" s="404"/>
      <c r="G927" s="380"/>
      <c r="H927" s="300"/>
      <c r="I927" s="17"/>
      <c r="J927" s="17"/>
      <c r="K927" s="17"/>
      <c r="L927" s="17"/>
      <c r="M927" s="17"/>
      <c r="N927" s="17"/>
      <c r="O927" s="17"/>
      <c r="P927" s="17"/>
      <c r="Q927" s="17"/>
      <c r="R927" s="17"/>
      <c r="S927" s="17"/>
      <c r="T927" s="17"/>
      <c r="U927" s="300"/>
      <c r="V927" s="47"/>
      <c r="W927" s="17"/>
      <c r="X927" s="17"/>
      <c r="Y927" s="300"/>
      <c r="Z927" s="386"/>
      <c r="AA927" s="386"/>
      <c r="AB927" s="386"/>
      <c r="AC927" s="386"/>
      <c r="AD927" s="386"/>
      <c r="AE927" s="386"/>
      <c r="AF927" s="386"/>
    </row>
    <row r="928" ht="15.75" customHeight="1">
      <c r="A928" s="24"/>
      <c r="B928" s="25"/>
      <c r="C928" s="25"/>
      <c r="D928" s="28"/>
      <c r="E928" s="28"/>
      <c r="F928" s="383"/>
      <c r="G928" s="380"/>
      <c r="H928" s="300"/>
      <c r="I928" s="17"/>
      <c r="J928" s="17"/>
      <c r="K928" s="17"/>
      <c r="L928" s="17"/>
      <c r="M928" s="17"/>
      <c r="N928" s="17"/>
      <c r="O928" s="17"/>
      <c r="P928" s="17"/>
      <c r="Q928" s="17"/>
      <c r="R928" s="17"/>
      <c r="S928" s="17"/>
      <c r="T928" s="17"/>
      <c r="U928" s="300"/>
      <c r="V928" s="67"/>
      <c r="W928" s="17"/>
      <c r="X928" s="17"/>
      <c r="Y928" s="300"/>
      <c r="Z928" s="386"/>
      <c r="AA928" s="386"/>
      <c r="AB928" s="386"/>
      <c r="AC928" s="386"/>
      <c r="AD928" s="386"/>
      <c r="AE928" s="386"/>
      <c r="AF928" s="386"/>
    </row>
    <row r="929" ht="15.75" customHeight="1">
      <c r="A929" s="24"/>
      <c r="B929" s="25"/>
      <c r="C929" s="25"/>
      <c r="D929" s="28"/>
      <c r="E929" s="28"/>
      <c r="F929" s="404"/>
      <c r="G929" s="380"/>
      <c r="H929" s="300"/>
      <c r="I929" s="17"/>
      <c r="J929" s="17"/>
      <c r="K929" s="17"/>
      <c r="L929" s="17"/>
      <c r="M929" s="17"/>
      <c r="N929" s="17"/>
      <c r="O929" s="17"/>
      <c r="P929" s="17"/>
      <c r="Q929" s="17"/>
      <c r="R929" s="17"/>
      <c r="S929" s="17"/>
      <c r="T929" s="17"/>
      <c r="U929" s="300"/>
      <c r="V929" s="47"/>
      <c r="W929" s="17"/>
      <c r="X929" s="17"/>
      <c r="Y929" s="300"/>
      <c r="Z929" s="386"/>
      <c r="AA929" s="386"/>
      <c r="AB929" s="386"/>
      <c r="AC929" s="386"/>
      <c r="AD929" s="386"/>
      <c r="AE929" s="386"/>
      <c r="AF929" s="386"/>
    </row>
    <row r="930" ht="15.75" customHeight="1">
      <c r="A930" s="24"/>
      <c r="B930" s="25"/>
      <c r="C930" s="25"/>
      <c r="D930" s="28"/>
      <c r="E930" s="28"/>
      <c r="F930" s="383"/>
      <c r="G930" s="380"/>
      <c r="H930" s="300"/>
      <c r="I930" s="17"/>
      <c r="J930" s="17"/>
      <c r="K930" s="17"/>
      <c r="L930" s="17"/>
      <c r="M930" s="17"/>
      <c r="N930" s="17"/>
      <c r="O930" s="17"/>
      <c r="P930" s="17"/>
      <c r="Q930" s="17"/>
      <c r="R930" s="17"/>
      <c r="S930" s="17"/>
      <c r="T930" s="17"/>
      <c r="U930" s="300"/>
      <c r="V930" s="67"/>
      <c r="W930" s="17"/>
      <c r="X930" s="17"/>
      <c r="Y930" s="300"/>
      <c r="Z930" s="386"/>
      <c r="AA930" s="386"/>
      <c r="AB930" s="386"/>
      <c r="AC930" s="386"/>
      <c r="AD930" s="386"/>
      <c r="AE930" s="386"/>
      <c r="AF930" s="386"/>
    </row>
    <row r="931" ht="15.75" customHeight="1">
      <c r="A931" s="24"/>
      <c r="B931" s="25"/>
      <c r="C931" s="25"/>
      <c r="D931" s="28"/>
      <c r="E931" s="28"/>
      <c r="F931" s="404"/>
      <c r="G931" s="380"/>
      <c r="H931" s="300"/>
      <c r="I931" s="17"/>
      <c r="J931" s="17"/>
      <c r="K931" s="17"/>
      <c r="L931" s="17"/>
      <c r="M931" s="17"/>
      <c r="N931" s="17"/>
      <c r="O931" s="17"/>
      <c r="P931" s="17"/>
      <c r="Q931" s="17"/>
      <c r="R931" s="17"/>
      <c r="S931" s="17"/>
      <c r="T931" s="17"/>
      <c r="U931" s="300"/>
      <c r="V931" s="47"/>
      <c r="W931" s="17"/>
      <c r="X931" s="17"/>
      <c r="Y931" s="300"/>
      <c r="Z931" s="386"/>
      <c r="AA931" s="386"/>
      <c r="AB931" s="386"/>
      <c r="AC931" s="386"/>
      <c r="AD931" s="386"/>
      <c r="AE931" s="386"/>
      <c r="AF931" s="386"/>
    </row>
    <row r="932" ht="15.75" customHeight="1">
      <c r="A932" s="24"/>
      <c r="B932" s="25"/>
      <c r="C932" s="25"/>
      <c r="D932" s="28"/>
      <c r="E932" s="28"/>
      <c r="F932" s="383"/>
      <c r="G932" s="380"/>
      <c r="H932" s="300"/>
      <c r="I932" s="17"/>
      <c r="J932" s="17"/>
      <c r="K932" s="17"/>
      <c r="L932" s="17"/>
      <c r="M932" s="17"/>
      <c r="N932" s="17"/>
      <c r="O932" s="17"/>
      <c r="P932" s="17"/>
      <c r="Q932" s="17"/>
      <c r="R932" s="17"/>
      <c r="S932" s="17"/>
      <c r="T932" s="17"/>
      <c r="U932" s="300"/>
      <c r="V932" s="67"/>
      <c r="W932" s="17"/>
      <c r="X932" s="17"/>
      <c r="Y932" s="300"/>
      <c r="Z932" s="386"/>
      <c r="AA932" s="386"/>
      <c r="AB932" s="386"/>
      <c r="AC932" s="386"/>
      <c r="AD932" s="386"/>
      <c r="AE932" s="386"/>
      <c r="AF932" s="386"/>
    </row>
    <row r="933" ht="15.75" customHeight="1">
      <c r="A933" s="24"/>
      <c r="B933" s="25"/>
      <c r="C933" s="25"/>
      <c r="D933" s="28"/>
      <c r="E933" s="28"/>
      <c r="F933" s="404"/>
      <c r="G933" s="380"/>
      <c r="H933" s="300"/>
      <c r="I933" s="17"/>
      <c r="J933" s="17"/>
      <c r="K933" s="17"/>
      <c r="L933" s="17"/>
      <c r="M933" s="17"/>
      <c r="N933" s="17"/>
      <c r="O933" s="17"/>
      <c r="P933" s="17"/>
      <c r="Q933" s="17"/>
      <c r="R933" s="17"/>
      <c r="S933" s="17"/>
      <c r="T933" s="17"/>
      <c r="U933" s="300"/>
      <c r="V933" s="47"/>
      <c r="W933" s="17"/>
      <c r="X933" s="17"/>
      <c r="Y933" s="300"/>
      <c r="Z933" s="386"/>
      <c r="AA933" s="386"/>
      <c r="AB933" s="386"/>
      <c r="AC933" s="386"/>
      <c r="AD933" s="386"/>
      <c r="AE933" s="386"/>
      <c r="AF933" s="386"/>
    </row>
    <row r="934" ht="15.75" customHeight="1">
      <c r="A934" s="24"/>
      <c r="B934" s="25"/>
      <c r="C934" s="25"/>
      <c r="D934" s="28"/>
      <c r="E934" s="28"/>
      <c r="F934" s="383"/>
      <c r="G934" s="380"/>
      <c r="H934" s="300"/>
      <c r="I934" s="17"/>
      <c r="J934" s="17"/>
      <c r="K934" s="17"/>
      <c r="L934" s="17"/>
      <c r="M934" s="17"/>
      <c r="N934" s="17"/>
      <c r="O934" s="17"/>
      <c r="P934" s="17"/>
      <c r="Q934" s="17"/>
      <c r="R934" s="17"/>
      <c r="S934" s="17"/>
      <c r="T934" s="17"/>
      <c r="U934" s="300"/>
      <c r="V934" s="67"/>
      <c r="W934" s="17"/>
      <c r="X934" s="17"/>
      <c r="Y934" s="300"/>
      <c r="Z934" s="386"/>
      <c r="AA934" s="386"/>
      <c r="AB934" s="386"/>
      <c r="AC934" s="386"/>
      <c r="AD934" s="386"/>
      <c r="AE934" s="386"/>
      <c r="AF934" s="386"/>
    </row>
    <row r="935" ht="15.75" customHeight="1">
      <c r="A935" s="24"/>
      <c r="B935" s="25"/>
      <c r="C935" s="25"/>
      <c r="D935" s="28"/>
      <c r="E935" s="28"/>
      <c r="F935" s="404"/>
      <c r="G935" s="380"/>
      <c r="H935" s="300"/>
      <c r="I935" s="17"/>
      <c r="J935" s="17"/>
      <c r="K935" s="17"/>
      <c r="L935" s="17"/>
      <c r="M935" s="17"/>
      <c r="N935" s="17"/>
      <c r="O935" s="17"/>
      <c r="P935" s="17"/>
      <c r="Q935" s="17"/>
      <c r="R935" s="17"/>
      <c r="S935" s="17"/>
      <c r="T935" s="17"/>
      <c r="U935" s="300"/>
      <c r="V935" s="47"/>
      <c r="W935" s="17"/>
      <c r="X935" s="17"/>
      <c r="Y935" s="300"/>
      <c r="Z935" s="386"/>
      <c r="AA935" s="386"/>
      <c r="AB935" s="386"/>
      <c r="AC935" s="386"/>
      <c r="AD935" s="386"/>
      <c r="AE935" s="386"/>
      <c r="AF935" s="386"/>
    </row>
    <row r="936" ht="15.75" customHeight="1">
      <c r="A936" s="24"/>
      <c r="B936" s="25"/>
      <c r="C936" s="25"/>
      <c r="D936" s="28"/>
      <c r="E936" s="28"/>
      <c r="F936" s="383"/>
      <c r="G936" s="380"/>
      <c r="H936" s="300"/>
      <c r="I936" s="17"/>
      <c r="J936" s="17"/>
      <c r="K936" s="17"/>
      <c r="L936" s="17"/>
      <c r="M936" s="17"/>
      <c r="N936" s="17"/>
      <c r="O936" s="17"/>
      <c r="P936" s="17"/>
      <c r="Q936" s="17"/>
      <c r="R936" s="17"/>
      <c r="S936" s="17"/>
      <c r="T936" s="17"/>
      <c r="U936" s="300"/>
      <c r="V936" s="67"/>
      <c r="W936" s="17"/>
      <c r="X936" s="17"/>
      <c r="Y936" s="300"/>
      <c r="Z936" s="386"/>
      <c r="AA936" s="386"/>
      <c r="AB936" s="386"/>
      <c r="AC936" s="386"/>
      <c r="AD936" s="386"/>
      <c r="AE936" s="386"/>
      <c r="AF936" s="386"/>
    </row>
    <row r="937" ht="15.75" customHeight="1">
      <c r="A937" s="24"/>
      <c r="B937" s="25"/>
      <c r="C937" s="25"/>
      <c r="D937" s="28"/>
      <c r="E937" s="28"/>
      <c r="F937" s="404"/>
      <c r="G937" s="380"/>
      <c r="H937" s="300"/>
      <c r="I937" s="17"/>
      <c r="J937" s="17"/>
      <c r="K937" s="17"/>
      <c r="L937" s="17"/>
      <c r="M937" s="17"/>
      <c r="N937" s="17"/>
      <c r="O937" s="17"/>
      <c r="P937" s="17"/>
      <c r="Q937" s="17"/>
      <c r="R937" s="17"/>
      <c r="S937" s="17"/>
      <c r="T937" s="17"/>
      <c r="U937" s="300"/>
      <c r="V937" s="47"/>
      <c r="W937" s="17"/>
      <c r="X937" s="17"/>
      <c r="Y937" s="300"/>
      <c r="Z937" s="386"/>
      <c r="AA937" s="386"/>
      <c r="AB937" s="386"/>
      <c r="AC937" s="386"/>
      <c r="AD937" s="386"/>
      <c r="AE937" s="386"/>
      <c r="AF937" s="386"/>
    </row>
    <row r="938" ht="15.75" customHeight="1">
      <c r="A938" s="24"/>
      <c r="B938" s="25"/>
      <c r="C938" s="25"/>
      <c r="D938" s="28"/>
      <c r="E938" s="28"/>
      <c r="F938" s="383"/>
      <c r="G938" s="380"/>
      <c r="H938" s="300"/>
      <c r="I938" s="17"/>
      <c r="J938" s="17"/>
      <c r="K938" s="17"/>
      <c r="L938" s="17"/>
      <c r="M938" s="17"/>
      <c r="N938" s="17"/>
      <c r="O938" s="17"/>
      <c r="P938" s="17"/>
      <c r="Q938" s="17"/>
      <c r="R938" s="17"/>
      <c r="S938" s="17"/>
      <c r="T938" s="17"/>
      <c r="U938" s="300"/>
      <c r="V938" s="67"/>
      <c r="W938" s="17"/>
      <c r="X938" s="17"/>
      <c r="Y938" s="300"/>
      <c r="Z938" s="386"/>
      <c r="AA938" s="386"/>
      <c r="AB938" s="386"/>
      <c r="AC938" s="386"/>
      <c r="AD938" s="386"/>
      <c r="AE938" s="386"/>
      <c r="AF938" s="386"/>
    </row>
    <row r="939" ht="15.75" customHeight="1">
      <c r="A939" s="24"/>
      <c r="B939" s="25"/>
      <c r="C939" s="25"/>
      <c r="D939" s="28"/>
      <c r="E939" s="28"/>
      <c r="F939" s="404"/>
      <c r="G939" s="380"/>
      <c r="H939" s="300"/>
      <c r="I939" s="17"/>
      <c r="J939" s="17"/>
      <c r="K939" s="17"/>
      <c r="L939" s="17"/>
      <c r="M939" s="17"/>
      <c r="N939" s="17"/>
      <c r="O939" s="17"/>
      <c r="P939" s="17"/>
      <c r="Q939" s="17"/>
      <c r="R939" s="17"/>
      <c r="S939" s="17"/>
      <c r="T939" s="17"/>
      <c r="U939" s="300"/>
      <c r="V939" s="47"/>
      <c r="W939" s="17"/>
      <c r="X939" s="17"/>
      <c r="Y939" s="300"/>
      <c r="Z939" s="386"/>
      <c r="AA939" s="386"/>
      <c r="AB939" s="386"/>
      <c r="AC939" s="386"/>
      <c r="AD939" s="386"/>
      <c r="AE939" s="386"/>
      <c r="AF939" s="386"/>
    </row>
    <row r="940" ht="15.75" customHeight="1">
      <c r="A940" s="24"/>
      <c r="B940" s="25"/>
      <c r="C940" s="25"/>
      <c r="D940" s="28"/>
      <c r="E940" s="28"/>
      <c r="F940" s="383"/>
      <c r="G940" s="380"/>
      <c r="H940" s="300"/>
      <c r="I940" s="17"/>
      <c r="J940" s="17"/>
      <c r="K940" s="17"/>
      <c r="L940" s="17"/>
      <c r="M940" s="17"/>
      <c r="N940" s="17"/>
      <c r="O940" s="17"/>
      <c r="P940" s="17"/>
      <c r="Q940" s="17"/>
      <c r="R940" s="17"/>
      <c r="S940" s="17"/>
      <c r="T940" s="17"/>
      <c r="U940" s="300"/>
      <c r="V940" s="67"/>
      <c r="W940" s="17"/>
      <c r="X940" s="17"/>
      <c r="Y940" s="300"/>
      <c r="Z940" s="386"/>
      <c r="AA940" s="386"/>
      <c r="AB940" s="386"/>
      <c r="AC940" s="386"/>
      <c r="AD940" s="386"/>
      <c r="AE940" s="386"/>
      <c r="AF940" s="386"/>
    </row>
    <row r="941" ht="15.75" customHeight="1">
      <c r="A941" s="24"/>
      <c r="B941" s="25"/>
      <c r="C941" s="25"/>
      <c r="D941" s="28"/>
      <c r="E941" s="28"/>
      <c r="F941" s="404"/>
      <c r="G941" s="380"/>
      <c r="H941" s="300"/>
      <c r="I941" s="17"/>
      <c r="J941" s="17"/>
      <c r="K941" s="17"/>
      <c r="L941" s="17"/>
      <c r="M941" s="17"/>
      <c r="N941" s="17"/>
      <c r="O941" s="17"/>
      <c r="P941" s="17"/>
      <c r="Q941" s="17"/>
      <c r="R941" s="17"/>
      <c r="S941" s="17"/>
      <c r="T941" s="17"/>
      <c r="U941" s="300"/>
      <c r="V941" s="47"/>
      <c r="W941" s="17"/>
      <c r="X941" s="17"/>
      <c r="Y941" s="300"/>
      <c r="Z941" s="386"/>
      <c r="AA941" s="386"/>
      <c r="AB941" s="386"/>
      <c r="AC941" s="386"/>
      <c r="AD941" s="386"/>
      <c r="AE941" s="386"/>
      <c r="AF941" s="386"/>
    </row>
    <row r="942" ht="15.75" customHeight="1">
      <c r="A942" s="24"/>
      <c r="B942" s="25"/>
      <c r="C942" s="25"/>
      <c r="D942" s="28"/>
      <c r="E942" s="28"/>
      <c r="F942" s="383"/>
      <c r="G942" s="380"/>
      <c r="H942" s="300"/>
      <c r="I942" s="17"/>
      <c r="J942" s="17"/>
      <c r="K942" s="17"/>
      <c r="L942" s="17"/>
      <c r="M942" s="17"/>
      <c r="N942" s="17"/>
      <c r="O942" s="17"/>
      <c r="P942" s="17"/>
      <c r="Q942" s="17"/>
      <c r="R942" s="17"/>
      <c r="S942" s="17"/>
      <c r="T942" s="17"/>
      <c r="U942" s="300"/>
      <c r="V942" s="67"/>
      <c r="W942" s="17"/>
      <c r="X942" s="17"/>
      <c r="Y942" s="300"/>
      <c r="Z942" s="386"/>
      <c r="AA942" s="386"/>
      <c r="AB942" s="386"/>
      <c r="AC942" s="386"/>
      <c r="AD942" s="386"/>
      <c r="AE942" s="386"/>
      <c r="AF942" s="386"/>
    </row>
    <row r="943" ht="15.75" customHeight="1">
      <c r="A943" s="24"/>
      <c r="B943" s="25"/>
      <c r="C943" s="25"/>
      <c r="D943" s="28"/>
      <c r="E943" s="28"/>
      <c r="F943" s="404"/>
      <c r="G943" s="380"/>
      <c r="H943" s="300"/>
      <c r="I943" s="17"/>
      <c r="J943" s="17"/>
      <c r="K943" s="17"/>
      <c r="L943" s="17"/>
      <c r="M943" s="17"/>
      <c r="N943" s="17"/>
      <c r="O943" s="17"/>
      <c r="P943" s="17"/>
      <c r="Q943" s="17"/>
      <c r="R943" s="17"/>
      <c r="S943" s="17"/>
      <c r="T943" s="17"/>
      <c r="U943" s="300"/>
      <c r="V943" s="47"/>
      <c r="W943" s="17"/>
      <c r="X943" s="17"/>
      <c r="Y943" s="300"/>
      <c r="Z943" s="386"/>
      <c r="AA943" s="386"/>
      <c r="AB943" s="386"/>
      <c r="AC943" s="386"/>
      <c r="AD943" s="386"/>
      <c r="AE943" s="386"/>
      <c r="AF943" s="386"/>
    </row>
    <row r="944" ht="15.75" customHeight="1">
      <c r="A944" s="24"/>
      <c r="B944" s="25"/>
      <c r="C944" s="25"/>
      <c r="D944" s="28"/>
      <c r="E944" s="28"/>
      <c r="F944" s="383"/>
      <c r="G944" s="380"/>
      <c r="H944" s="300"/>
      <c r="I944" s="17"/>
      <c r="J944" s="17"/>
      <c r="K944" s="17"/>
      <c r="L944" s="17"/>
      <c r="M944" s="17"/>
      <c r="N944" s="17"/>
      <c r="O944" s="17"/>
      <c r="P944" s="17"/>
      <c r="Q944" s="17"/>
      <c r="R944" s="17"/>
      <c r="S944" s="17"/>
      <c r="T944" s="17"/>
      <c r="U944" s="300"/>
      <c r="V944" s="67"/>
      <c r="W944" s="17"/>
      <c r="X944" s="17"/>
      <c r="Y944" s="300"/>
      <c r="Z944" s="386"/>
      <c r="AA944" s="386"/>
      <c r="AB944" s="386"/>
      <c r="AC944" s="386"/>
      <c r="AD944" s="386"/>
      <c r="AE944" s="386"/>
      <c r="AF944" s="386"/>
    </row>
    <row r="945" ht="15.75" customHeight="1">
      <c r="A945" s="24"/>
      <c r="B945" s="25"/>
      <c r="C945" s="25"/>
      <c r="D945" s="28"/>
      <c r="E945" s="28"/>
      <c r="F945" s="404"/>
      <c r="G945" s="380"/>
      <c r="H945" s="300"/>
      <c r="I945" s="17"/>
      <c r="J945" s="17"/>
      <c r="K945" s="17"/>
      <c r="L945" s="17"/>
      <c r="M945" s="17"/>
      <c r="N945" s="17"/>
      <c r="O945" s="17"/>
      <c r="P945" s="17"/>
      <c r="Q945" s="17"/>
      <c r="R945" s="17"/>
      <c r="S945" s="17"/>
      <c r="T945" s="17"/>
      <c r="U945" s="300"/>
      <c r="V945" s="47"/>
      <c r="W945" s="17"/>
      <c r="X945" s="17"/>
      <c r="Y945" s="300"/>
      <c r="Z945" s="386"/>
      <c r="AA945" s="386"/>
      <c r="AB945" s="386"/>
      <c r="AC945" s="386"/>
      <c r="AD945" s="386"/>
      <c r="AE945" s="386"/>
      <c r="AF945" s="386"/>
    </row>
    <row r="946" ht="15.75" customHeight="1">
      <c r="A946" s="24"/>
      <c r="B946" s="25"/>
      <c r="C946" s="25"/>
      <c r="D946" s="28"/>
      <c r="E946" s="28"/>
      <c r="F946" s="383"/>
      <c r="G946" s="380"/>
      <c r="H946" s="300"/>
      <c r="I946" s="17"/>
      <c r="J946" s="17"/>
      <c r="K946" s="17"/>
      <c r="L946" s="17"/>
      <c r="M946" s="17"/>
      <c r="N946" s="17"/>
      <c r="O946" s="17"/>
      <c r="P946" s="17"/>
      <c r="Q946" s="17"/>
      <c r="R946" s="17"/>
      <c r="S946" s="17"/>
      <c r="T946" s="17"/>
      <c r="U946" s="300"/>
      <c r="V946" s="67"/>
      <c r="W946" s="17"/>
      <c r="X946" s="17"/>
      <c r="Y946" s="300"/>
      <c r="Z946" s="386"/>
      <c r="AA946" s="386"/>
      <c r="AB946" s="386"/>
      <c r="AC946" s="386"/>
      <c r="AD946" s="386"/>
      <c r="AE946" s="386"/>
      <c r="AF946" s="386"/>
    </row>
    <row r="947" ht="15.75" customHeight="1">
      <c r="A947" s="24"/>
      <c r="B947" s="25"/>
      <c r="C947" s="25"/>
      <c r="D947" s="28"/>
      <c r="E947" s="28"/>
      <c r="F947" s="404"/>
      <c r="G947" s="380"/>
      <c r="H947" s="300"/>
      <c r="I947" s="17"/>
      <c r="J947" s="17"/>
      <c r="K947" s="17"/>
      <c r="L947" s="17"/>
      <c r="M947" s="17"/>
      <c r="N947" s="17"/>
      <c r="O947" s="17"/>
      <c r="P947" s="17"/>
      <c r="Q947" s="17"/>
      <c r="R947" s="17"/>
      <c r="S947" s="17"/>
      <c r="T947" s="17"/>
      <c r="U947" s="300"/>
      <c r="V947" s="47"/>
      <c r="W947" s="17"/>
      <c r="X947" s="17"/>
      <c r="Y947" s="300"/>
      <c r="Z947" s="386"/>
      <c r="AA947" s="386"/>
      <c r="AB947" s="386"/>
      <c r="AC947" s="386"/>
      <c r="AD947" s="386"/>
      <c r="AE947" s="386"/>
      <c r="AF947" s="386"/>
    </row>
    <row r="948" ht="15.75" customHeight="1">
      <c r="A948" s="24"/>
      <c r="B948" s="25"/>
      <c r="C948" s="25"/>
      <c r="D948" s="28"/>
      <c r="E948" s="28"/>
      <c r="F948" s="383"/>
      <c r="G948" s="380"/>
      <c r="H948" s="300"/>
      <c r="I948" s="17"/>
      <c r="J948" s="17"/>
      <c r="K948" s="17"/>
      <c r="L948" s="17"/>
      <c r="M948" s="17"/>
      <c r="N948" s="17"/>
      <c r="O948" s="17"/>
      <c r="P948" s="17"/>
      <c r="Q948" s="17"/>
      <c r="R948" s="17"/>
      <c r="S948" s="17"/>
      <c r="T948" s="17"/>
      <c r="U948" s="300"/>
      <c r="V948" s="67"/>
      <c r="W948" s="17"/>
      <c r="X948" s="17"/>
      <c r="Y948" s="300"/>
      <c r="Z948" s="386"/>
      <c r="AA948" s="386"/>
      <c r="AB948" s="386"/>
      <c r="AC948" s="386"/>
      <c r="AD948" s="386"/>
      <c r="AE948" s="386"/>
      <c r="AF948" s="386"/>
    </row>
    <row r="949" ht="15.75" customHeight="1">
      <c r="A949" s="24"/>
      <c r="B949" s="25"/>
      <c r="C949" s="25"/>
      <c r="D949" s="28"/>
      <c r="E949" s="28"/>
      <c r="F949" s="404"/>
      <c r="G949" s="380"/>
      <c r="H949" s="300"/>
      <c r="I949" s="17"/>
      <c r="J949" s="17"/>
      <c r="K949" s="17"/>
      <c r="L949" s="17"/>
      <c r="M949" s="17"/>
      <c r="N949" s="17"/>
      <c r="O949" s="17"/>
      <c r="P949" s="17"/>
      <c r="Q949" s="17"/>
      <c r="R949" s="17"/>
      <c r="S949" s="17"/>
      <c r="T949" s="17"/>
      <c r="U949" s="300"/>
      <c r="V949" s="47"/>
      <c r="W949" s="17"/>
      <c r="X949" s="17"/>
      <c r="Y949" s="300"/>
      <c r="Z949" s="386"/>
      <c r="AA949" s="386"/>
      <c r="AB949" s="386"/>
      <c r="AC949" s="386"/>
      <c r="AD949" s="386"/>
      <c r="AE949" s="386"/>
      <c r="AF949" s="386"/>
    </row>
    <row r="950" ht="15.75" customHeight="1">
      <c r="A950" s="24"/>
      <c r="B950" s="25"/>
      <c r="C950" s="25"/>
      <c r="D950" s="28"/>
      <c r="E950" s="28"/>
      <c r="F950" s="383"/>
      <c r="G950" s="380"/>
      <c r="H950" s="300"/>
      <c r="I950" s="17"/>
      <c r="J950" s="17"/>
      <c r="K950" s="17"/>
      <c r="L950" s="17"/>
      <c r="M950" s="17"/>
      <c r="N950" s="17"/>
      <c r="O950" s="17"/>
      <c r="P950" s="17"/>
      <c r="Q950" s="17"/>
      <c r="R950" s="17"/>
      <c r="S950" s="17"/>
      <c r="T950" s="17"/>
      <c r="U950" s="300"/>
      <c r="V950" s="67"/>
      <c r="W950" s="17"/>
      <c r="X950" s="17"/>
      <c r="Y950" s="300"/>
      <c r="Z950" s="386"/>
      <c r="AA950" s="386"/>
      <c r="AB950" s="386"/>
      <c r="AC950" s="386"/>
      <c r="AD950" s="386"/>
      <c r="AE950" s="386"/>
      <c r="AF950" s="386"/>
    </row>
    <row r="951" ht="15.75" customHeight="1">
      <c r="A951" s="24"/>
      <c r="B951" s="25"/>
      <c r="C951" s="25"/>
      <c r="D951" s="28"/>
      <c r="E951" s="28"/>
      <c r="F951" s="404"/>
      <c r="G951" s="380"/>
      <c r="H951" s="300"/>
      <c r="I951" s="17"/>
      <c r="J951" s="17"/>
      <c r="K951" s="17"/>
      <c r="L951" s="17"/>
      <c r="M951" s="17"/>
      <c r="N951" s="17"/>
      <c r="O951" s="17"/>
      <c r="P951" s="17"/>
      <c r="Q951" s="17"/>
      <c r="R951" s="17"/>
      <c r="S951" s="17"/>
      <c r="T951" s="17"/>
      <c r="U951" s="300"/>
      <c r="V951" s="47"/>
      <c r="W951" s="17"/>
      <c r="X951" s="17"/>
      <c r="Y951" s="300"/>
      <c r="Z951" s="386"/>
      <c r="AA951" s="386"/>
      <c r="AB951" s="386"/>
      <c r="AC951" s="386"/>
      <c r="AD951" s="386"/>
      <c r="AE951" s="386"/>
      <c r="AF951" s="386"/>
    </row>
    <row r="952" ht="15.75" customHeight="1">
      <c r="A952" s="24"/>
      <c r="B952" s="25"/>
      <c r="C952" s="25"/>
      <c r="D952" s="28"/>
      <c r="E952" s="28"/>
      <c r="F952" s="383"/>
      <c r="G952" s="380"/>
      <c r="H952" s="300"/>
      <c r="I952" s="17"/>
      <c r="J952" s="17"/>
      <c r="K952" s="17"/>
      <c r="L952" s="17"/>
      <c r="M952" s="17"/>
      <c r="N952" s="17"/>
      <c r="O952" s="17"/>
      <c r="P952" s="17"/>
      <c r="Q952" s="17"/>
      <c r="R952" s="17"/>
      <c r="S952" s="17"/>
      <c r="T952" s="17"/>
      <c r="U952" s="300"/>
      <c r="V952" s="67"/>
      <c r="W952" s="17"/>
      <c r="X952" s="17"/>
      <c r="Y952" s="300"/>
      <c r="Z952" s="386"/>
      <c r="AA952" s="386"/>
      <c r="AB952" s="386"/>
      <c r="AC952" s="386"/>
      <c r="AD952" s="386"/>
      <c r="AE952" s="386"/>
      <c r="AF952" s="386"/>
    </row>
    <row r="953" ht="15.75" customHeight="1">
      <c r="A953" s="24"/>
      <c r="B953" s="25"/>
      <c r="C953" s="25"/>
      <c r="D953" s="28"/>
      <c r="E953" s="28"/>
      <c r="F953" s="404"/>
      <c r="G953" s="380"/>
      <c r="H953" s="300"/>
      <c r="I953" s="17"/>
      <c r="J953" s="17"/>
      <c r="K953" s="17"/>
      <c r="L953" s="17"/>
      <c r="M953" s="17"/>
      <c r="N953" s="17"/>
      <c r="O953" s="17"/>
      <c r="P953" s="17"/>
      <c r="Q953" s="17"/>
      <c r="R953" s="17"/>
      <c r="S953" s="17"/>
      <c r="T953" s="17"/>
      <c r="U953" s="300"/>
      <c r="V953" s="47"/>
      <c r="W953" s="17"/>
      <c r="X953" s="17"/>
      <c r="Y953" s="300"/>
      <c r="Z953" s="386"/>
      <c r="AA953" s="386"/>
      <c r="AB953" s="386"/>
      <c r="AC953" s="386"/>
      <c r="AD953" s="386"/>
      <c r="AE953" s="386"/>
      <c r="AF953" s="386"/>
    </row>
    <row r="954" ht="15.75" customHeight="1">
      <c r="A954" s="24"/>
      <c r="B954" s="25"/>
      <c r="C954" s="25"/>
      <c r="D954" s="28"/>
      <c r="E954" s="28"/>
      <c r="F954" s="383"/>
      <c r="G954" s="380"/>
      <c r="H954" s="300"/>
      <c r="I954" s="17"/>
      <c r="J954" s="17"/>
      <c r="K954" s="17"/>
      <c r="L954" s="17"/>
      <c r="M954" s="17"/>
      <c r="N954" s="17"/>
      <c r="O954" s="17"/>
      <c r="P954" s="17"/>
      <c r="Q954" s="17"/>
      <c r="R954" s="17"/>
      <c r="S954" s="17"/>
      <c r="T954" s="17"/>
      <c r="U954" s="300"/>
      <c r="V954" s="67"/>
      <c r="W954" s="17"/>
      <c r="X954" s="17"/>
      <c r="Y954" s="300"/>
      <c r="Z954" s="386"/>
      <c r="AA954" s="386"/>
      <c r="AB954" s="386"/>
      <c r="AC954" s="386"/>
      <c r="AD954" s="386"/>
      <c r="AE954" s="386"/>
      <c r="AF954" s="386"/>
    </row>
    <row r="955" ht="15.75" customHeight="1">
      <c r="A955" s="24"/>
      <c r="B955" s="25"/>
      <c r="C955" s="25"/>
      <c r="D955" s="28"/>
      <c r="E955" s="28"/>
      <c r="F955" s="404"/>
      <c r="G955" s="380"/>
      <c r="H955" s="300"/>
      <c r="I955" s="17"/>
      <c r="J955" s="17"/>
      <c r="K955" s="17"/>
      <c r="L955" s="17"/>
      <c r="M955" s="17"/>
      <c r="N955" s="17"/>
      <c r="O955" s="17"/>
      <c r="P955" s="17"/>
      <c r="Q955" s="17"/>
      <c r="R955" s="17"/>
      <c r="S955" s="17"/>
      <c r="T955" s="17"/>
      <c r="U955" s="300"/>
      <c r="V955" s="47"/>
      <c r="W955" s="17"/>
      <c r="X955" s="17"/>
      <c r="Y955" s="300"/>
      <c r="Z955" s="386"/>
      <c r="AA955" s="386"/>
      <c r="AB955" s="386"/>
      <c r="AC955" s="386"/>
      <c r="AD955" s="386"/>
      <c r="AE955" s="386"/>
      <c r="AF955" s="386"/>
    </row>
    <row r="956" ht="15.75" customHeight="1">
      <c r="A956" s="24"/>
      <c r="B956" s="25"/>
      <c r="C956" s="25"/>
      <c r="D956" s="28"/>
      <c r="E956" s="28"/>
      <c r="F956" s="383"/>
      <c r="G956" s="380"/>
      <c r="H956" s="300"/>
      <c r="I956" s="17"/>
      <c r="J956" s="17"/>
      <c r="K956" s="17"/>
      <c r="L956" s="17"/>
      <c r="M956" s="17"/>
      <c r="N956" s="17"/>
      <c r="O956" s="17"/>
      <c r="P956" s="17"/>
      <c r="Q956" s="17"/>
      <c r="R956" s="17"/>
      <c r="S956" s="17"/>
      <c r="T956" s="17"/>
      <c r="U956" s="300"/>
      <c r="V956" s="67"/>
      <c r="W956" s="17"/>
      <c r="X956" s="17"/>
      <c r="Y956" s="300"/>
      <c r="Z956" s="386"/>
      <c r="AA956" s="386"/>
      <c r="AB956" s="386"/>
      <c r="AC956" s="386"/>
      <c r="AD956" s="386"/>
      <c r="AE956" s="386"/>
      <c r="AF956" s="386"/>
    </row>
    <row r="957" ht="15.75" customHeight="1">
      <c r="A957" s="24"/>
      <c r="B957" s="25"/>
      <c r="C957" s="25"/>
      <c r="D957" s="28"/>
      <c r="E957" s="28"/>
      <c r="F957" s="404"/>
      <c r="G957" s="380"/>
      <c r="H957" s="300"/>
      <c r="I957" s="17"/>
      <c r="J957" s="17"/>
      <c r="K957" s="17"/>
      <c r="L957" s="17"/>
      <c r="M957" s="17"/>
      <c r="N957" s="17"/>
      <c r="O957" s="17"/>
      <c r="P957" s="17"/>
      <c r="Q957" s="17"/>
      <c r="R957" s="17"/>
      <c r="S957" s="17"/>
      <c r="T957" s="17"/>
      <c r="U957" s="300"/>
      <c r="V957" s="47"/>
      <c r="W957" s="17"/>
      <c r="X957" s="17"/>
      <c r="Y957" s="300"/>
      <c r="Z957" s="386"/>
      <c r="AA957" s="386"/>
      <c r="AB957" s="386"/>
      <c r="AC957" s="386"/>
      <c r="AD957" s="386"/>
      <c r="AE957" s="386"/>
      <c r="AF957" s="386"/>
    </row>
    <row r="958" ht="15.75" customHeight="1">
      <c r="A958" s="24"/>
      <c r="B958" s="25"/>
      <c r="C958" s="25"/>
      <c r="D958" s="28"/>
      <c r="E958" s="28"/>
      <c r="F958" s="383"/>
      <c r="G958" s="380"/>
      <c r="H958" s="300"/>
      <c r="I958" s="17"/>
      <c r="J958" s="17"/>
      <c r="K958" s="17"/>
      <c r="L958" s="17"/>
      <c r="M958" s="17"/>
      <c r="N958" s="17"/>
      <c r="O958" s="17"/>
      <c r="P958" s="17"/>
      <c r="Q958" s="17"/>
      <c r="R958" s="17"/>
      <c r="S958" s="17"/>
      <c r="T958" s="17"/>
      <c r="U958" s="300"/>
      <c r="V958" s="67"/>
      <c r="W958" s="17"/>
      <c r="X958" s="17"/>
      <c r="Y958" s="300"/>
      <c r="Z958" s="386"/>
      <c r="AA958" s="386"/>
      <c r="AB958" s="386"/>
      <c r="AC958" s="386"/>
      <c r="AD958" s="386"/>
      <c r="AE958" s="386"/>
      <c r="AF958" s="386"/>
    </row>
    <row r="959" ht="15.75" customHeight="1">
      <c r="A959" s="24"/>
      <c r="B959" s="25"/>
      <c r="C959" s="25"/>
      <c r="D959" s="28"/>
      <c r="E959" s="28"/>
      <c r="F959" s="404"/>
      <c r="G959" s="380"/>
      <c r="H959" s="300"/>
      <c r="I959" s="17"/>
      <c r="J959" s="17"/>
      <c r="K959" s="17"/>
      <c r="L959" s="17"/>
      <c r="M959" s="17"/>
      <c r="N959" s="17"/>
      <c r="O959" s="17"/>
      <c r="P959" s="17"/>
      <c r="Q959" s="17"/>
      <c r="R959" s="17"/>
      <c r="S959" s="17"/>
      <c r="T959" s="17"/>
      <c r="U959" s="300"/>
      <c r="V959" s="47"/>
      <c r="W959" s="17"/>
      <c r="X959" s="17"/>
      <c r="Y959" s="300"/>
      <c r="Z959" s="386"/>
      <c r="AA959" s="386"/>
      <c r="AB959" s="386"/>
      <c r="AC959" s="386"/>
      <c r="AD959" s="386"/>
      <c r="AE959" s="386"/>
      <c r="AF959" s="386"/>
    </row>
    <row r="960" ht="15.75" customHeight="1">
      <c r="A960" s="24"/>
      <c r="B960" s="25"/>
      <c r="C960" s="25"/>
      <c r="D960" s="28"/>
      <c r="E960" s="28"/>
      <c r="F960" s="383"/>
      <c r="G960" s="380"/>
      <c r="H960" s="300"/>
      <c r="I960" s="17"/>
      <c r="J960" s="17"/>
      <c r="K960" s="17"/>
      <c r="L960" s="17"/>
      <c r="M960" s="17"/>
      <c r="N960" s="17"/>
      <c r="O960" s="17"/>
      <c r="P960" s="17"/>
      <c r="Q960" s="17"/>
      <c r="R960" s="17"/>
      <c r="S960" s="17"/>
      <c r="T960" s="17"/>
      <c r="U960" s="300"/>
      <c r="V960" s="67"/>
      <c r="W960" s="17"/>
      <c r="X960" s="17"/>
      <c r="Y960" s="300"/>
      <c r="Z960" s="386"/>
      <c r="AA960" s="386"/>
      <c r="AB960" s="386"/>
      <c r="AC960" s="386"/>
      <c r="AD960" s="386"/>
      <c r="AE960" s="386"/>
      <c r="AF960" s="386"/>
    </row>
    <row r="961" ht="15.75" customHeight="1">
      <c r="A961" s="24"/>
      <c r="B961" s="25"/>
      <c r="C961" s="25"/>
      <c r="D961" s="28"/>
      <c r="E961" s="28"/>
      <c r="F961" s="404"/>
      <c r="G961" s="380"/>
      <c r="H961" s="300"/>
      <c r="I961" s="17"/>
      <c r="J961" s="17"/>
      <c r="K961" s="17"/>
      <c r="L961" s="17"/>
      <c r="M961" s="17"/>
      <c r="N961" s="17"/>
      <c r="O961" s="17"/>
      <c r="P961" s="17"/>
      <c r="Q961" s="17"/>
      <c r="R961" s="17"/>
      <c r="S961" s="17"/>
      <c r="T961" s="17"/>
      <c r="U961" s="300"/>
      <c r="V961" s="47"/>
      <c r="W961" s="17"/>
      <c r="X961" s="17"/>
      <c r="Y961" s="300"/>
      <c r="Z961" s="386"/>
      <c r="AA961" s="386"/>
      <c r="AB961" s="386"/>
      <c r="AC961" s="386"/>
      <c r="AD961" s="386"/>
      <c r="AE961" s="386"/>
      <c r="AF961" s="386"/>
    </row>
    <row r="962" ht="15.75" customHeight="1">
      <c r="A962" s="24"/>
      <c r="B962" s="25"/>
      <c r="C962" s="25"/>
      <c r="D962" s="28"/>
      <c r="E962" s="28"/>
      <c r="F962" s="383"/>
      <c r="G962" s="380"/>
      <c r="H962" s="300"/>
      <c r="I962" s="17"/>
      <c r="J962" s="17"/>
      <c r="K962" s="17"/>
      <c r="L962" s="17"/>
      <c r="M962" s="17"/>
      <c r="N962" s="17"/>
      <c r="O962" s="17"/>
      <c r="P962" s="17"/>
      <c r="Q962" s="17"/>
      <c r="R962" s="17"/>
      <c r="S962" s="17"/>
      <c r="T962" s="17"/>
      <c r="U962" s="300"/>
      <c r="V962" s="67"/>
      <c r="W962" s="17"/>
      <c r="X962" s="17"/>
      <c r="Y962" s="300"/>
      <c r="Z962" s="386"/>
      <c r="AA962" s="386"/>
      <c r="AB962" s="386"/>
      <c r="AC962" s="386"/>
      <c r="AD962" s="386"/>
      <c r="AE962" s="386"/>
      <c r="AF962" s="386"/>
    </row>
    <row r="963" ht="15.75" customHeight="1">
      <c r="A963" s="24"/>
      <c r="B963" s="25"/>
      <c r="C963" s="25"/>
      <c r="D963" s="28"/>
      <c r="E963" s="28"/>
      <c r="F963" s="404"/>
      <c r="G963" s="380"/>
      <c r="H963" s="300"/>
      <c r="I963" s="17"/>
      <c r="J963" s="17"/>
      <c r="K963" s="17"/>
      <c r="L963" s="17"/>
      <c r="M963" s="17"/>
      <c r="N963" s="17"/>
      <c r="O963" s="17"/>
      <c r="P963" s="17"/>
      <c r="Q963" s="17"/>
      <c r="R963" s="17"/>
      <c r="S963" s="17"/>
      <c r="T963" s="17"/>
      <c r="U963" s="300"/>
      <c r="V963" s="47"/>
      <c r="W963" s="17"/>
      <c r="X963" s="17"/>
      <c r="Y963" s="300"/>
      <c r="Z963" s="386"/>
      <c r="AA963" s="386"/>
      <c r="AB963" s="386"/>
      <c r="AC963" s="386"/>
      <c r="AD963" s="386"/>
      <c r="AE963" s="386"/>
      <c r="AF963" s="386"/>
    </row>
    <row r="964" ht="15.75" customHeight="1">
      <c r="A964" s="24"/>
      <c r="B964" s="25"/>
      <c r="C964" s="25"/>
      <c r="D964" s="28"/>
      <c r="E964" s="28"/>
      <c r="F964" s="383"/>
      <c r="G964" s="380"/>
      <c r="H964" s="300"/>
      <c r="I964" s="17"/>
      <c r="J964" s="17"/>
      <c r="K964" s="17"/>
      <c r="L964" s="17"/>
      <c r="M964" s="17"/>
      <c r="N964" s="17"/>
      <c r="O964" s="17"/>
      <c r="P964" s="17"/>
      <c r="Q964" s="17"/>
      <c r="R964" s="17"/>
      <c r="S964" s="17"/>
      <c r="T964" s="17"/>
      <c r="U964" s="300"/>
      <c r="V964" s="67"/>
      <c r="W964" s="17"/>
      <c r="X964" s="17"/>
      <c r="Y964" s="300"/>
      <c r="Z964" s="386"/>
      <c r="AA964" s="386"/>
      <c r="AB964" s="386"/>
      <c r="AC964" s="386"/>
      <c r="AD964" s="386"/>
      <c r="AE964" s="386"/>
      <c r="AF964" s="386"/>
    </row>
    <row r="965" ht="15.75" customHeight="1">
      <c r="A965" s="24"/>
      <c r="B965" s="25"/>
      <c r="C965" s="25"/>
      <c r="D965" s="28"/>
      <c r="E965" s="28"/>
      <c r="F965" s="404"/>
      <c r="G965" s="380"/>
      <c r="H965" s="300"/>
      <c r="I965" s="17"/>
      <c r="J965" s="17"/>
      <c r="K965" s="17"/>
      <c r="L965" s="17"/>
      <c r="M965" s="17"/>
      <c r="N965" s="17"/>
      <c r="O965" s="17"/>
      <c r="P965" s="17"/>
      <c r="Q965" s="17"/>
      <c r="R965" s="17"/>
      <c r="S965" s="17"/>
      <c r="T965" s="17"/>
      <c r="U965" s="300"/>
      <c r="V965" s="47"/>
      <c r="W965" s="17"/>
      <c r="X965" s="17"/>
      <c r="Y965" s="300"/>
      <c r="Z965" s="386"/>
      <c r="AA965" s="386"/>
      <c r="AB965" s="386"/>
      <c r="AC965" s="386"/>
      <c r="AD965" s="386"/>
      <c r="AE965" s="386"/>
      <c r="AF965" s="386"/>
    </row>
    <row r="966" ht="15.75" customHeight="1">
      <c r="A966" s="24"/>
      <c r="B966" s="25"/>
      <c r="C966" s="25"/>
      <c r="D966" s="28"/>
      <c r="E966" s="28"/>
      <c r="F966" s="383"/>
      <c r="G966" s="380"/>
      <c r="H966" s="300"/>
      <c r="I966" s="17"/>
      <c r="J966" s="17"/>
      <c r="K966" s="17"/>
      <c r="L966" s="17"/>
      <c r="M966" s="17"/>
      <c r="N966" s="17"/>
      <c r="O966" s="17"/>
      <c r="P966" s="17"/>
      <c r="Q966" s="17"/>
      <c r="R966" s="17"/>
      <c r="S966" s="17"/>
      <c r="T966" s="17"/>
      <c r="U966" s="300"/>
      <c r="V966" s="67"/>
      <c r="W966" s="17"/>
      <c r="X966" s="17"/>
      <c r="Y966" s="300"/>
      <c r="Z966" s="386"/>
      <c r="AA966" s="386"/>
      <c r="AB966" s="386"/>
      <c r="AC966" s="386"/>
      <c r="AD966" s="386"/>
      <c r="AE966" s="386"/>
      <c r="AF966" s="386"/>
    </row>
    <row r="967" ht="15.75" customHeight="1">
      <c r="A967" s="24"/>
      <c r="B967" s="25"/>
      <c r="C967" s="25"/>
      <c r="D967" s="28"/>
      <c r="E967" s="28"/>
      <c r="F967" s="404"/>
      <c r="G967" s="380"/>
      <c r="H967" s="300"/>
      <c r="I967" s="17"/>
      <c r="J967" s="17"/>
      <c r="K967" s="17"/>
      <c r="L967" s="17"/>
      <c r="M967" s="17"/>
      <c r="N967" s="17"/>
      <c r="O967" s="17"/>
      <c r="P967" s="17"/>
      <c r="Q967" s="17"/>
      <c r="R967" s="17"/>
      <c r="S967" s="17"/>
      <c r="T967" s="17"/>
      <c r="U967" s="300"/>
      <c r="V967" s="47"/>
      <c r="W967" s="17"/>
      <c r="X967" s="17"/>
      <c r="Y967" s="300"/>
      <c r="Z967" s="386"/>
      <c r="AA967" s="386"/>
      <c r="AB967" s="386"/>
      <c r="AC967" s="386"/>
      <c r="AD967" s="386"/>
      <c r="AE967" s="386"/>
      <c r="AF967" s="386"/>
    </row>
    <row r="968" ht="15.75" customHeight="1">
      <c r="A968" s="24"/>
      <c r="B968" s="25"/>
      <c r="C968" s="25"/>
      <c r="D968" s="28"/>
      <c r="E968" s="28"/>
      <c r="F968" s="383"/>
      <c r="G968" s="380"/>
      <c r="H968" s="300"/>
      <c r="I968" s="17"/>
      <c r="J968" s="17"/>
      <c r="K968" s="17"/>
      <c r="L968" s="17"/>
      <c r="M968" s="17"/>
      <c r="N968" s="17"/>
      <c r="O968" s="17"/>
      <c r="P968" s="17"/>
      <c r="Q968" s="17"/>
      <c r="R968" s="17"/>
      <c r="S968" s="17"/>
      <c r="T968" s="17"/>
      <c r="U968" s="300"/>
      <c r="V968" s="67"/>
      <c r="W968" s="17"/>
      <c r="X968" s="17"/>
      <c r="Y968" s="300"/>
      <c r="Z968" s="386"/>
      <c r="AA968" s="386"/>
      <c r="AB968" s="386"/>
      <c r="AC968" s="386"/>
      <c r="AD968" s="386"/>
      <c r="AE968" s="386"/>
      <c r="AF968" s="386"/>
    </row>
    <row r="969" ht="15.75" customHeight="1">
      <c r="A969" s="24"/>
      <c r="B969" s="25"/>
      <c r="C969" s="25"/>
      <c r="D969" s="28"/>
      <c r="E969" s="28"/>
      <c r="F969" s="404"/>
      <c r="G969" s="380"/>
      <c r="H969" s="300"/>
      <c r="I969" s="17"/>
      <c r="J969" s="17"/>
      <c r="K969" s="17"/>
      <c r="L969" s="17"/>
      <c r="M969" s="17"/>
      <c r="N969" s="17"/>
      <c r="O969" s="17"/>
      <c r="P969" s="17"/>
      <c r="Q969" s="17"/>
      <c r="R969" s="17"/>
      <c r="S969" s="17"/>
      <c r="T969" s="17"/>
      <c r="U969" s="300"/>
      <c r="V969" s="47"/>
      <c r="W969" s="17"/>
      <c r="X969" s="17"/>
      <c r="Y969" s="300"/>
      <c r="Z969" s="386"/>
      <c r="AA969" s="386"/>
      <c r="AB969" s="386"/>
      <c r="AC969" s="386"/>
      <c r="AD969" s="386"/>
      <c r="AE969" s="386"/>
      <c r="AF969" s="386"/>
    </row>
    <row r="970" ht="15.75" customHeight="1">
      <c r="A970" s="24"/>
      <c r="B970" s="25"/>
      <c r="C970" s="25"/>
      <c r="D970" s="28"/>
      <c r="E970" s="28"/>
      <c r="F970" s="383"/>
      <c r="G970" s="380"/>
      <c r="H970" s="300"/>
      <c r="I970" s="17"/>
      <c r="J970" s="17"/>
      <c r="K970" s="17"/>
      <c r="L970" s="17"/>
      <c r="M970" s="17"/>
      <c r="N970" s="17"/>
      <c r="O970" s="17"/>
      <c r="P970" s="17"/>
      <c r="Q970" s="17"/>
      <c r="R970" s="17"/>
      <c r="S970" s="17"/>
      <c r="T970" s="17"/>
      <c r="U970" s="300"/>
      <c r="V970" s="67"/>
      <c r="W970" s="17"/>
      <c r="X970" s="17"/>
      <c r="Y970" s="300"/>
      <c r="Z970" s="386"/>
      <c r="AA970" s="386"/>
      <c r="AB970" s="386"/>
      <c r="AC970" s="386"/>
      <c r="AD970" s="386"/>
      <c r="AE970" s="386"/>
      <c r="AF970" s="386"/>
    </row>
    <row r="971" ht="15.75" customHeight="1">
      <c r="A971" s="24"/>
      <c r="B971" s="25"/>
      <c r="C971" s="25"/>
      <c r="D971" s="28"/>
      <c r="E971" s="28"/>
      <c r="F971" s="404"/>
      <c r="G971" s="380"/>
      <c r="H971" s="300"/>
      <c r="I971" s="17"/>
      <c r="J971" s="17"/>
      <c r="K971" s="17"/>
      <c r="L971" s="17"/>
      <c r="M971" s="17"/>
      <c r="N971" s="17"/>
      <c r="O971" s="17"/>
      <c r="P971" s="17"/>
      <c r="Q971" s="17"/>
      <c r="R971" s="17"/>
      <c r="S971" s="17"/>
      <c r="T971" s="17"/>
      <c r="U971" s="300"/>
      <c r="V971" s="47"/>
      <c r="W971" s="17"/>
      <c r="X971" s="17"/>
      <c r="Y971" s="300"/>
      <c r="Z971" s="386"/>
      <c r="AA971" s="386"/>
      <c r="AB971" s="386"/>
      <c r="AC971" s="386"/>
      <c r="AD971" s="386"/>
      <c r="AE971" s="386"/>
      <c r="AF971" s="386"/>
    </row>
    <row r="972" ht="15.75" customHeight="1">
      <c r="A972" s="24"/>
      <c r="B972" s="25"/>
      <c r="C972" s="25"/>
      <c r="D972" s="28"/>
      <c r="E972" s="28"/>
      <c r="F972" s="383"/>
      <c r="G972" s="380"/>
      <c r="H972" s="300"/>
      <c r="I972" s="17"/>
      <c r="J972" s="17"/>
      <c r="K972" s="17"/>
      <c r="L972" s="17"/>
      <c r="M972" s="17"/>
      <c r="N972" s="17"/>
      <c r="O972" s="17"/>
      <c r="P972" s="17"/>
      <c r="Q972" s="17"/>
      <c r="R972" s="17"/>
      <c r="S972" s="17"/>
      <c r="T972" s="17"/>
      <c r="U972" s="300"/>
      <c r="V972" s="67"/>
      <c r="W972" s="17"/>
      <c r="X972" s="17"/>
      <c r="Y972" s="300"/>
      <c r="Z972" s="386"/>
      <c r="AA972" s="386"/>
      <c r="AB972" s="386"/>
      <c r="AC972" s="386"/>
      <c r="AD972" s="386"/>
      <c r="AE972" s="386"/>
      <c r="AF972" s="386"/>
    </row>
    <row r="973" ht="15.75" customHeight="1">
      <c r="A973" s="24"/>
      <c r="B973" s="25"/>
      <c r="C973" s="25"/>
      <c r="D973" s="28"/>
      <c r="E973" s="28"/>
      <c r="F973" s="404"/>
      <c r="G973" s="380"/>
      <c r="H973" s="300"/>
      <c r="I973" s="17"/>
      <c r="J973" s="17"/>
      <c r="K973" s="17"/>
      <c r="L973" s="17"/>
      <c r="M973" s="17"/>
      <c r="N973" s="17"/>
      <c r="O973" s="17"/>
      <c r="P973" s="17"/>
      <c r="Q973" s="17"/>
      <c r="R973" s="17"/>
      <c r="S973" s="17"/>
      <c r="T973" s="17"/>
      <c r="U973" s="300"/>
      <c r="V973" s="47"/>
      <c r="W973" s="17"/>
      <c r="X973" s="17"/>
      <c r="Y973" s="300"/>
      <c r="Z973" s="386"/>
      <c r="AA973" s="386"/>
      <c r="AB973" s="386"/>
      <c r="AC973" s="386"/>
      <c r="AD973" s="386"/>
      <c r="AE973" s="386"/>
      <c r="AF973" s="386"/>
    </row>
    <row r="974" ht="15.75" customHeight="1">
      <c r="A974" s="24"/>
      <c r="B974" s="25"/>
      <c r="C974" s="25"/>
      <c r="D974" s="28"/>
      <c r="E974" s="28"/>
      <c r="F974" s="383"/>
      <c r="G974" s="380"/>
      <c r="H974" s="300"/>
      <c r="I974" s="17"/>
      <c r="J974" s="17"/>
      <c r="K974" s="17"/>
      <c r="L974" s="17"/>
      <c r="M974" s="17"/>
      <c r="N974" s="17"/>
      <c r="O974" s="17"/>
      <c r="P974" s="17"/>
      <c r="Q974" s="17"/>
      <c r="R974" s="17"/>
      <c r="S974" s="17"/>
      <c r="T974" s="17"/>
      <c r="U974" s="300"/>
      <c r="V974" s="67"/>
      <c r="W974" s="17"/>
      <c r="X974" s="17"/>
      <c r="Y974" s="300"/>
      <c r="Z974" s="386"/>
      <c r="AA974" s="386"/>
      <c r="AB974" s="386"/>
      <c r="AC974" s="386"/>
      <c r="AD974" s="386"/>
      <c r="AE974" s="386"/>
      <c r="AF974" s="386"/>
    </row>
    <row r="975" ht="15.75" customHeight="1">
      <c r="A975" s="24"/>
      <c r="B975" s="25"/>
      <c r="C975" s="25"/>
      <c r="D975" s="28"/>
      <c r="E975" s="28"/>
      <c r="F975" s="404"/>
      <c r="G975" s="380"/>
      <c r="H975" s="300"/>
      <c r="I975" s="17"/>
      <c r="J975" s="17"/>
      <c r="K975" s="17"/>
      <c r="L975" s="17"/>
      <c r="M975" s="17"/>
      <c r="N975" s="17"/>
      <c r="O975" s="17"/>
      <c r="P975" s="17"/>
      <c r="Q975" s="17"/>
      <c r="R975" s="17"/>
      <c r="S975" s="17"/>
      <c r="T975" s="17"/>
      <c r="U975" s="300"/>
      <c r="V975" s="47"/>
      <c r="W975" s="17"/>
      <c r="X975" s="17"/>
      <c r="Y975" s="300"/>
      <c r="Z975" s="386"/>
      <c r="AA975" s="386"/>
      <c r="AB975" s="386"/>
      <c r="AC975" s="386"/>
      <c r="AD975" s="386"/>
      <c r="AE975" s="386"/>
      <c r="AF975" s="386"/>
    </row>
    <row r="976" ht="15.75" customHeight="1">
      <c r="A976" s="24"/>
      <c r="B976" s="25"/>
      <c r="C976" s="25"/>
      <c r="D976" s="28"/>
      <c r="E976" s="28"/>
      <c r="F976" s="383"/>
      <c r="G976" s="380"/>
      <c r="H976" s="300"/>
      <c r="I976" s="17"/>
      <c r="J976" s="17"/>
      <c r="K976" s="17"/>
      <c r="L976" s="17"/>
      <c r="M976" s="17"/>
      <c r="N976" s="17"/>
      <c r="O976" s="17"/>
      <c r="P976" s="17"/>
      <c r="Q976" s="17"/>
      <c r="R976" s="17"/>
      <c r="S976" s="17"/>
      <c r="T976" s="17"/>
      <c r="U976" s="300"/>
      <c r="V976" s="67"/>
      <c r="W976" s="17"/>
      <c r="X976" s="17"/>
      <c r="Y976" s="300"/>
      <c r="Z976" s="386"/>
      <c r="AA976" s="386"/>
      <c r="AB976" s="386"/>
      <c r="AC976" s="386"/>
      <c r="AD976" s="386"/>
      <c r="AE976" s="386"/>
      <c r="AF976" s="386"/>
    </row>
    <row r="977" ht="15.75" customHeight="1">
      <c r="A977" s="24"/>
      <c r="B977" s="25"/>
      <c r="C977" s="25"/>
      <c r="D977" s="28"/>
      <c r="E977" s="28"/>
      <c r="F977" s="404"/>
      <c r="G977" s="380"/>
      <c r="H977" s="300"/>
      <c r="I977" s="17"/>
      <c r="J977" s="17"/>
      <c r="K977" s="17"/>
      <c r="L977" s="17"/>
      <c r="M977" s="17"/>
      <c r="N977" s="17"/>
      <c r="O977" s="17"/>
      <c r="P977" s="17"/>
      <c r="Q977" s="17"/>
      <c r="R977" s="17"/>
      <c r="S977" s="17"/>
      <c r="T977" s="17"/>
      <c r="U977" s="300"/>
      <c r="V977" s="47"/>
      <c r="W977" s="17"/>
      <c r="X977" s="17"/>
      <c r="Y977" s="300"/>
      <c r="Z977" s="386"/>
      <c r="AA977" s="386"/>
      <c r="AB977" s="386"/>
      <c r="AC977" s="386"/>
      <c r="AD977" s="386"/>
      <c r="AE977" s="386"/>
      <c r="AF977" s="386"/>
    </row>
    <row r="978" ht="15.75" customHeight="1">
      <c r="A978" s="24"/>
      <c r="B978" s="25"/>
      <c r="C978" s="25"/>
      <c r="D978" s="28"/>
      <c r="E978" s="28"/>
      <c r="F978" s="383"/>
      <c r="G978" s="380"/>
      <c r="H978" s="300"/>
      <c r="I978" s="17"/>
      <c r="J978" s="17"/>
      <c r="K978" s="17"/>
      <c r="L978" s="17"/>
      <c r="M978" s="17"/>
      <c r="N978" s="17"/>
      <c r="O978" s="17"/>
      <c r="P978" s="17"/>
      <c r="Q978" s="17"/>
      <c r="R978" s="17"/>
      <c r="S978" s="17"/>
      <c r="T978" s="17"/>
      <c r="U978" s="300"/>
      <c r="V978" s="67"/>
      <c r="W978" s="17"/>
      <c r="X978" s="17"/>
      <c r="Y978" s="300"/>
      <c r="Z978" s="386"/>
      <c r="AA978" s="386"/>
      <c r="AB978" s="386"/>
      <c r="AC978" s="386"/>
      <c r="AD978" s="386"/>
      <c r="AE978" s="386"/>
      <c r="AF978" s="386"/>
    </row>
    <row r="979" ht="15.75" customHeight="1">
      <c r="A979" s="24"/>
      <c r="B979" s="25"/>
      <c r="C979" s="25"/>
      <c r="D979" s="28"/>
      <c r="E979" s="28"/>
      <c r="F979" s="404"/>
      <c r="G979" s="380"/>
      <c r="H979" s="300"/>
      <c r="I979" s="17"/>
      <c r="J979" s="17"/>
      <c r="K979" s="17"/>
      <c r="L979" s="17"/>
      <c r="M979" s="17"/>
      <c r="N979" s="17"/>
      <c r="O979" s="17"/>
      <c r="P979" s="17"/>
      <c r="Q979" s="17"/>
      <c r="R979" s="17"/>
      <c r="S979" s="17"/>
      <c r="T979" s="17"/>
      <c r="U979" s="300"/>
      <c r="V979" s="47"/>
      <c r="W979" s="17"/>
      <c r="X979" s="17"/>
      <c r="Y979" s="300"/>
      <c r="Z979" s="386"/>
      <c r="AA979" s="386"/>
      <c r="AB979" s="386"/>
      <c r="AC979" s="386"/>
      <c r="AD979" s="386"/>
      <c r="AE979" s="386"/>
      <c r="AF979" s="386"/>
    </row>
    <row r="980" ht="15.75" customHeight="1">
      <c r="A980" s="24"/>
      <c r="B980" s="25"/>
      <c r="C980" s="25"/>
      <c r="D980" s="28"/>
      <c r="E980" s="28"/>
      <c r="F980" s="383"/>
      <c r="G980" s="380"/>
      <c r="H980" s="300"/>
      <c r="I980" s="17"/>
      <c r="J980" s="17"/>
      <c r="K980" s="17"/>
      <c r="L980" s="17"/>
      <c r="M980" s="17"/>
      <c r="N980" s="17"/>
      <c r="O980" s="17"/>
      <c r="P980" s="17"/>
      <c r="Q980" s="17"/>
      <c r="R980" s="17"/>
      <c r="S980" s="17"/>
      <c r="T980" s="17"/>
      <c r="U980" s="300"/>
      <c r="V980" s="67"/>
      <c r="W980" s="17"/>
      <c r="X980" s="17"/>
      <c r="Y980" s="300"/>
      <c r="Z980" s="386"/>
      <c r="AA980" s="386"/>
      <c r="AB980" s="386"/>
      <c r="AC980" s="386"/>
      <c r="AD980" s="386"/>
      <c r="AE980" s="386"/>
      <c r="AF980" s="386"/>
    </row>
    <row r="981" ht="15.75" customHeight="1">
      <c r="A981" s="24"/>
      <c r="B981" s="25"/>
      <c r="C981" s="25"/>
      <c r="D981" s="28"/>
      <c r="E981" s="28"/>
      <c r="F981" s="404"/>
      <c r="G981" s="380"/>
      <c r="H981" s="300"/>
      <c r="I981" s="17"/>
      <c r="J981" s="17"/>
      <c r="K981" s="17"/>
      <c r="L981" s="17"/>
      <c r="M981" s="17"/>
      <c r="N981" s="17"/>
      <c r="O981" s="17"/>
      <c r="P981" s="17"/>
      <c r="Q981" s="17"/>
      <c r="R981" s="17"/>
      <c r="S981" s="17"/>
      <c r="T981" s="17"/>
      <c r="U981" s="300"/>
      <c r="V981" s="47"/>
      <c r="W981" s="17"/>
      <c r="X981" s="17"/>
      <c r="Y981" s="300"/>
      <c r="Z981" s="386"/>
      <c r="AA981" s="386"/>
      <c r="AB981" s="386"/>
      <c r="AC981" s="386"/>
      <c r="AD981" s="386"/>
      <c r="AE981" s="386"/>
      <c r="AF981" s="386"/>
    </row>
    <row r="982" ht="15.75" customHeight="1">
      <c r="A982" s="24"/>
      <c r="B982" s="25"/>
      <c r="C982" s="25"/>
      <c r="D982" s="28"/>
      <c r="E982" s="28"/>
      <c r="F982" s="383"/>
      <c r="G982" s="380"/>
      <c r="H982" s="300"/>
      <c r="I982" s="17"/>
      <c r="J982" s="17"/>
      <c r="K982" s="17"/>
      <c r="L982" s="17"/>
      <c r="M982" s="17"/>
      <c r="N982" s="17"/>
      <c r="O982" s="17"/>
      <c r="P982" s="17"/>
      <c r="Q982" s="17"/>
      <c r="R982" s="17"/>
      <c r="S982" s="17"/>
      <c r="T982" s="17"/>
      <c r="U982" s="300"/>
      <c r="V982" s="67"/>
      <c r="W982" s="17"/>
      <c r="X982" s="17"/>
      <c r="Y982" s="300"/>
      <c r="Z982" s="386"/>
      <c r="AA982" s="386"/>
      <c r="AB982" s="386"/>
      <c r="AC982" s="386"/>
      <c r="AD982" s="386"/>
      <c r="AE982" s="386"/>
      <c r="AF982" s="386"/>
    </row>
    <row r="983" ht="15.75" customHeight="1">
      <c r="A983" s="24"/>
      <c r="B983" s="25"/>
      <c r="C983" s="25"/>
      <c r="D983" s="28"/>
      <c r="E983" s="28"/>
      <c r="F983" s="404"/>
      <c r="G983" s="380"/>
      <c r="H983" s="300"/>
      <c r="I983" s="17"/>
      <c r="J983" s="17"/>
      <c r="K983" s="17"/>
      <c r="L983" s="17"/>
      <c r="M983" s="17"/>
      <c r="N983" s="17"/>
      <c r="O983" s="17"/>
      <c r="P983" s="17"/>
      <c r="Q983" s="17"/>
      <c r="R983" s="17"/>
      <c r="S983" s="17"/>
      <c r="T983" s="17"/>
      <c r="U983" s="300"/>
      <c r="V983" s="47"/>
      <c r="W983" s="17"/>
      <c r="X983" s="17"/>
      <c r="Y983" s="300"/>
      <c r="Z983" s="386"/>
      <c r="AA983" s="386"/>
      <c r="AB983" s="386"/>
      <c r="AC983" s="386"/>
      <c r="AD983" s="386"/>
      <c r="AE983" s="386"/>
      <c r="AF983" s="386"/>
    </row>
    <row r="984" ht="15.75" customHeight="1">
      <c r="A984" s="24"/>
      <c r="B984" s="25"/>
      <c r="C984" s="25"/>
      <c r="D984" s="28"/>
      <c r="E984" s="28"/>
      <c r="F984" s="383"/>
      <c r="G984" s="380"/>
      <c r="H984" s="300"/>
      <c r="I984" s="17"/>
      <c r="J984" s="17"/>
      <c r="K984" s="17"/>
      <c r="L984" s="17"/>
      <c r="M984" s="17"/>
      <c r="N984" s="17"/>
      <c r="O984" s="17"/>
      <c r="P984" s="17"/>
      <c r="Q984" s="17"/>
      <c r="R984" s="17"/>
      <c r="S984" s="17"/>
      <c r="T984" s="17"/>
      <c r="U984" s="300"/>
      <c r="V984" s="67"/>
      <c r="W984" s="17"/>
      <c r="X984" s="17"/>
      <c r="Y984" s="300"/>
      <c r="Z984" s="386"/>
      <c r="AA984" s="386"/>
      <c r="AB984" s="386"/>
      <c r="AC984" s="386"/>
      <c r="AD984" s="386"/>
      <c r="AE984" s="386"/>
      <c r="AF984" s="386"/>
    </row>
    <row r="985" ht="15.75" customHeight="1">
      <c r="A985" s="24"/>
      <c r="B985" s="25"/>
      <c r="C985" s="25"/>
      <c r="D985" s="28"/>
      <c r="E985" s="28"/>
      <c r="F985" s="404"/>
      <c r="G985" s="380"/>
      <c r="H985" s="300"/>
      <c r="I985" s="17"/>
      <c r="J985" s="17"/>
      <c r="K985" s="17"/>
      <c r="L985" s="17"/>
      <c r="M985" s="17"/>
      <c r="N985" s="17"/>
      <c r="O985" s="17"/>
      <c r="P985" s="17"/>
      <c r="Q985" s="17"/>
      <c r="R985" s="17"/>
      <c r="S985" s="17"/>
      <c r="T985" s="17"/>
      <c r="U985" s="300"/>
      <c r="V985" s="47"/>
      <c r="W985" s="17"/>
      <c r="X985" s="17"/>
      <c r="Y985" s="300"/>
      <c r="Z985" s="386"/>
      <c r="AA985" s="386"/>
      <c r="AB985" s="386"/>
      <c r="AC985" s="386"/>
      <c r="AD985" s="386"/>
      <c r="AE985" s="386"/>
      <c r="AF985" s="386"/>
    </row>
    <row r="986" ht="15.75" customHeight="1">
      <c r="A986" s="24"/>
      <c r="B986" s="25"/>
      <c r="C986" s="25"/>
      <c r="D986" s="28"/>
      <c r="E986" s="28"/>
      <c r="F986" s="383"/>
      <c r="G986" s="380"/>
      <c r="H986" s="300"/>
      <c r="I986" s="17"/>
      <c r="J986" s="17"/>
      <c r="K986" s="17"/>
      <c r="L986" s="17"/>
      <c r="M986" s="17"/>
      <c r="N986" s="17"/>
      <c r="O986" s="17"/>
      <c r="P986" s="17"/>
      <c r="Q986" s="17"/>
      <c r="R986" s="17"/>
      <c r="S986" s="17"/>
      <c r="T986" s="17"/>
      <c r="U986" s="300"/>
      <c r="V986" s="67"/>
      <c r="W986" s="17"/>
      <c r="X986" s="17"/>
      <c r="Y986" s="300"/>
      <c r="Z986" s="386"/>
      <c r="AA986" s="386"/>
      <c r="AB986" s="386"/>
      <c r="AC986" s="386"/>
      <c r="AD986" s="386"/>
      <c r="AE986" s="386"/>
      <c r="AF986" s="386"/>
    </row>
    <row r="987" ht="15.75" customHeight="1">
      <c r="A987" s="24"/>
      <c r="B987" s="25"/>
      <c r="C987" s="25"/>
      <c r="D987" s="28"/>
      <c r="E987" s="28"/>
      <c r="F987" s="404"/>
      <c r="G987" s="380"/>
      <c r="H987" s="300"/>
      <c r="I987" s="17"/>
      <c r="J987" s="17"/>
      <c r="K987" s="17"/>
      <c r="L987" s="17"/>
      <c r="M987" s="17"/>
      <c r="N987" s="17"/>
      <c r="O987" s="17"/>
      <c r="P987" s="17"/>
      <c r="Q987" s="17"/>
      <c r="R987" s="17"/>
      <c r="S987" s="17"/>
      <c r="T987" s="17"/>
      <c r="U987" s="300"/>
      <c r="V987" s="47"/>
      <c r="W987" s="17"/>
      <c r="X987" s="17"/>
      <c r="Y987" s="300"/>
      <c r="Z987" s="386"/>
      <c r="AA987" s="386"/>
      <c r="AB987" s="386"/>
      <c r="AC987" s="386"/>
      <c r="AD987" s="386"/>
      <c r="AE987" s="386"/>
      <c r="AF987" s="386"/>
    </row>
    <row r="988" ht="15.75" customHeight="1">
      <c r="A988" s="24"/>
      <c r="B988" s="25"/>
      <c r="C988" s="25"/>
      <c r="D988" s="28"/>
      <c r="E988" s="28"/>
      <c r="F988" s="383"/>
      <c r="G988" s="380"/>
      <c r="H988" s="300"/>
      <c r="I988" s="17"/>
      <c r="J988" s="17"/>
      <c r="K988" s="17"/>
      <c r="L988" s="17"/>
      <c r="M988" s="17"/>
      <c r="N988" s="17"/>
      <c r="O988" s="17"/>
      <c r="P988" s="17"/>
      <c r="Q988" s="17"/>
      <c r="R988" s="17"/>
      <c r="S988" s="17"/>
      <c r="T988" s="17"/>
      <c r="U988" s="300"/>
      <c r="V988" s="67"/>
      <c r="W988" s="17"/>
      <c r="X988" s="17"/>
      <c r="Y988" s="300"/>
      <c r="Z988" s="386"/>
      <c r="AA988" s="386"/>
      <c r="AB988" s="386"/>
      <c r="AC988" s="386"/>
      <c r="AD988" s="386"/>
      <c r="AE988" s="386"/>
      <c r="AF988" s="386"/>
    </row>
    <row r="989" ht="15.75" customHeight="1">
      <c r="A989" s="24"/>
      <c r="B989" s="25"/>
      <c r="C989" s="25"/>
      <c r="D989" s="28"/>
      <c r="E989" s="28"/>
      <c r="F989" s="404"/>
      <c r="G989" s="380"/>
      <c r="H989" s="300"/>
      <c r="I989" s="17"/>
      <c r="J989" s="17"/>
      <c r="K989" s="17"/>
      <c r="L989" s="17"/>
      <c r="M989" s="17"/>
      <c r="N989" s="17"/>
      <c r="O989" s="17"/>
      <c r="P989" s="17"/>
      <c r="Q989" s="17"/>
      <c r="R989" s="17"/>
      <c r="S989" s="17"/>
      <c r="T989" s="17"/>
      <c r="U989" s="300"/>
      <c r="V989" s="47"/>
      <c r="W989" s="17"/>
      <c r="X989" s="17"/>
      <c r="Y989" s="300"/>
      <c r="Z989" s="386"/>
      <c r="AA989" s="386"/>
      <c r="AB989" s="386"/>
      <c r="AC989" s="386"/>
      <c r="AD989" s="386"/>
      <c r="AE989" s="386"/>
      <c r="AF989" s="386"/>
    </row>
    <row r="990" ht="15.75" customHeight="1">
      <c r="A990" s="24"/>
      <c r="B990" s="25"/>
      <c r="C990" s="25"/>
      <c r="D990" s="28"/>
      <c r="E990" s="28"/>
      <c r="F990" s="383"/>
      <c r="G990" s="380"/>
      <c r="H990" s="300"/>
      <c r="I990" s="17"/>
      <c r="J990" s="17"/>
      <c r="K990" s="17"/>
      <c r="L990" s="17"/>
      <c r="M990" s="17"/>
      <c r="N990" s="17"/>
      <c r="O990" s="17"/>
      <c r="P990" s="17"/>
      <c r="Q990" s="17"/>
      <c r="R990" s="17"/>
      <c r="S990" s="17"/>
      <c r="T990" s="17"/>
      <c r="U990" s="300"/>
      <c r="V990" s="67"/>
      <c r="W990" s="17"/>
      <c r="X990" s="17"/>
      <c r="Y990" s="300"/>
      <c r="Z990" s="386"/>
      <c r="AA990" s="386"/>
      <c r="AB990" s="386"/>
      <c r="AC990" s="386"/>
      <c r="AD990" s="386"/>
      <c r="AE990" s="386"/>
      <c r="AF990" s="386"/>
    </row>
    <row r="991" ht="15.75" customHeight="1">
      <c r="A991" s="24"/>
      <c r="B991" s="25"/>
      <c r="C991" s="25"/>
      <c r="D991" s="28"/>
      <c r="E991" s="28"/>
      <c r="F991" s="404"/>
      <c r="G991" s="380"/>
      <c r="H991" s="300"/>
      <c r="I991" s="17"/>
      <c r="J991" s="17"/>
      <c r="K991" s="17"/>
      <c r="L991" s="17"/>
      <c r="M991" s="17"/>
      <c r="N991" s="17"/>
      <c r="O991" s="17"/>
      <c r="P991" s="17"/>
      <c r="Q991" s="17"/>
      <c r="R991" s="17"/>
      <c r="S991" s="17"/>
      <c r="T991" s="17"/>
      <c r="U991" s="300"/>
      <c r="V991" s="47"/>
      <c r="W991" s="17"/>
      <c r="X991" s="17"/>
      <c r="Y991" s="300"/>
      <c r="Z991" s="386"/>
      <c r="AA991" s="386"/>
      <c r="AB991" s="386"/>
      <c r="AC991" s="386"/>
      <c r="AD991" s="386"/>
      <c r="AE991" s="386"/>
      <c r="AF991" s="386"/>
    </row>
    <row r="992" ht="15.75" customHeight="1">
      <c r="A992" s="24"/>
      <c r="B992" s="25"/>
      <c r="C992" s="25"/>
      <c r="D992" s="28"/>
      <c r="E992" s="28"/>
      <c r="F992" s="383"/>
      <c r="G992" s="380"/>
      <c r="H992" s="300"/>
      <c r="I992" s="17"/>
      <c r="J992" s="17"/>
      <c r="K992" s="17"/>
      <c r="L992" s="17"/>
      <c r="M992" s="17"/>
      <c r="N992" s="17"/>
      <c r="O992" s="17"/>
      <c r="P992" s="17"/>
      <c r="Q992" s="17"/>
      <c r="R992" s="17"/>
      <c r="S992" s="17"/>
      <c r="T992" s="17"/>
      <c r="U992" s="300"/>
      <c r="V992" s="67"/>
      <c r="W992" s="17"/>
      <c r="X992" s="17"/>
      <c r="Y992" s="300"/>
      <c r="Z992" s="386"/>
      <c r="AA992" s="386"/>
      <c r="AB992" s="386"/>
      <c r="AC992" s="386"/>
      <c r="AD992" s="386"/>
      <c r="AE992" s="386"/>
      <c r="AF992" s="386"/>
    </row>
    <row r="993" ht="15.75" customHeight="1">
      <c r="A993" s="24"/>
      <c r="B993" s="25"/>
      <c r="C993" s="25"/>
      <c r="D993" s="28"/>
      <c r="E993" s="28"/>
      <c r="F993" s="404"/>
      <c r="G993" s="380"/>
      <c r="H993" s="300"/>
      <c r="I993" s="17"/>
      <c r="J993" s="17"/>
      <c r="K993" s="17"/>
      <c r="L993" s="17"/>
      <c r="M993" s="17"/>
      <c r="N993" s="17"/>
      <c r="O993" s="17"/>
      <c r="P993" s="17"/>
      <c r="Q993" s="17"/>
      <c r="R993" s="17"/>
      <c r="S993" s="17"/>
      <c r="T993" s="17"/>
      <c r="U993" s="300"/>
      <c r="V993" s="47"/>
      <c r="W993" s="17"/>
      <c r="X993" s="17"/>
      <c r="Y993" s="300"/>
      <c r="Z993" s="386"/>
      <c r="AA993" s="386"/>
      <c r="AB993" s="386"/>
      <c r="AC993" s="386"/>
      <c r="AD993" s="386"/>
      <c r="AE993" s="386"/>
      <c r="AF993" s="386"/>
    </row>
    <row r="994" ht="15.75" customHeight="1">
      <c r="A994" s="24"/>
      <c r="B994" s="25"/>
      <c r="C994" s="25"/>
      <c r="D994" s="28"/>
      <c r="E994" s="28"/>
      <c r="F994" s="383"/>
      <c r="G994" s="380"/>
      <c r="H994" s="300"/>
      <c r="I994" s="17"/>
      <c r="J994" s="17"/>
      <c r="K994" s="17"/>
      <c r="L994" s="17"/>
      <c r="M994" s="17"/>
      <c r="N994" s="17"/>
      <c r="O994" s="17"/>
      <c r="P994" s="17"/>
      <c r="Q994" s="17"/>
      <c r="R994" s="17"/>
      <c r="S994" s="17"/>
      <c r="T994" s="17"/>
      <c r="U994" s="300"/>
      <c r="V994" s="67"/>
      <c r="W994" s="17"/>
      <c r="X994" s="17"/>
      <c r="Y994" s="300"/>
      <c r="Z994" s="386"/>
      <c r="AA994" s="386"/>
      <c r="AB994" s="386"/>
      <c r="AC994" s="386"/>
      <c r="AD994" s="386"/>
      <c r="AE994" s="386"/>
      <c r="AF994" s="386"/>
    </row>
    <row r="995" ht="15.75" customHeight="1">
      <c r="A995" s="24"/>
      <c r="B995" s="25"/>
      <c r="C995" s="25"/>
      <c r="D995" s="28"/>
      <c r="E995" s="28"/>
      <c r="F995" s="404"/>
      <c r="G995" s="380"/>
      <c r="H995" s="300"/>
      <c r="I995" s="17"/>
      <c r="J995" s="17"/>
      <c r="K995" s="17"/>
      <c r="L995" s="17"/>
      <c r="M995" s="17"/>
      <c r="N995" s="17"/>
      <c r="O995" s="17"/>
      <c r="P995" s="17"/>
      <c r="Q995" s="17"/>
      <c r="R995" s="17"/>
      <c r="S995" s="17"/>
      <c r="T995" s="17"/>
      <c r="U995" s="300"/>
      <c r="V995" s="47"/>
      <c r="W995" s="17"/>
      <c r="X995" s="17"/>
      <c r="Y995" s="300"/>
      <c r="Z995" s="386"/>
      <c r="AA995" s="386"/>
      <c r="AB995" s="386"/>
      <c r="AC995" s="386"/>
      <c r="AD995" s="386"/>
      <c r="AE995" s="386"/>
      <c r="AF995" s="386"/>
    </row>
    <row r="996" ht="15.75" customHeight="1">
      <c r="A996" s="24"/>
      <c r="B996" s="25"/>
      <c r="C996" s="25"/>
      <c r="D996" s="28"/>
      <c r="E996" s="28"/>
      <c r="F996" s="383"/>
      <c r="G996" s="380"/>
      <c r="H996" s="300"/>
      <c r="I996" s="17"/>
      <c r="J996" s="17"/>
      <c r="K996" s="17"/>
      <c r="L996" s="17"/>
      <c r="M996" s="17"/>
      <c r="N996" s="17"/>
      <c r="O996" s="17"/>
      <c r="P996" s="17"/>
      <c r="Q996" s="17"/>
      <c r="R996" s="17"/>
      <c r="S996" s="17"/>
      <c r="T996" s="17"/>
      <c r="U996" s="300"/>
      <c r="V996" s="67"/>
      <c r="W996" s="17"/>
      <c r="X996" s="17"/>
      <c r="Y996" s="300"/>
      <c r="Z996" s="386"/>
      <c r="AA996" s="386"/>
      <c r="AB996" s="386"/>
      <c r="AC996" s="386"/>
      <c r="AD996" s="386"/>
      <c r="AE996" s="386"/>
      <c r="AF996" s="386"/>
    </row>
    <row r="997" ht="15.75" customHeight="1">
      <c r="A997" s="24"/>
      <c r="B997" s="25"/>
      <c r="C997" s="25"/>
      <c r="D997" s="28"/>
      <c r="E997" s="28"/>
      <c r="F997" s="404"/>
      <c r="G997" s="380"/>
      <c r="H997" s="300"/>
      <c r="I997" s="17"/>
      <c r="J997" s="17"/>
      <c r="K997" s="17"/>
      <c r="L997" s="17"/>
      <c r="M997" s="17"/>
      <c r="N997" s="17"/>
      <c r="O997" s="17"/>
      <c r="P997" s="17"/>
      <c r="Q997" s="17"/>
      <c r="R997" s="17"/>
      <c r="S997" s="17"/>
      <c r="T997" s="17"/>
      <c r="U997" s="300"/>
      <c r="V997" s="47"/>
      <c r="W997" s="17"/>
      <c r="X997" s="17"/>
      <c r="Y997" s="300"/>
      <c r="Z997" s="386"/>
      <c r="AA997" s="386"/>
      <c r="AB997" s="386"/>
      <c r="AC997" s="386"/>
      <c r="AD997" s="386"/>
      <c r="AE997" s="386"/>
      <c r="AF997" s="386"/>
    </row>
    <row r="998" ht="15.75" customHeight="1">
      <c r="A998" s="24"/>
      <c r="B998" s="25"/>
      <c r="C998" s="25"/>
      <c r="D998" s="28"/>
      <c r="E998" s="28"/>
      <c r="F998" s="383"/>
      <c r="G998" s="380"/>
      <c r="H998" s="300"/>
      <c r="I998" s="17"/>
      <c r="J998" s="17"/>
      <c r="K998" s="17"/>
      <c r="L998" s="17"/>
      <c r="M998" s="17"/>
      <c r="N998" s="17"/>
      <c r="O998" s="17"/>
      <c r="P998" s="17"/>
      <c r="Q998" s="17"/>
      <c r="R998" s="17"/>
      <c r="S998" s="17"/>
      <c r="T998" s="17"/>
      <c r="U998" s="300"/>
      <c r="V998" s="67"/>
      <c r="W998" s="17"/>
      <c r="X998" s="17"/>
      <c r="Y998" s="300"/>
      <c r="Z998" s="386"/>
      <c r="AA998" s="386"/>
      <c r="AB998" s="386"/>
      <c r="AC998" s="386"/>
      <c r="AD998" s="386"/>
      <c r="AE998" s="386"/>
      <c r="AF998" s="386"/>
    </row>
    <row r="999" ht="15.75" customHeight="1">
      <c r="A999" s="24"/>
      <c r="B999" s="25"/>
      <c r="C999" s="25"/>
      <c r="D999" s="28"/>
      <c r="E999" s="28"/>
      <c r="F999" s="404"/>
      <c r="G999" s="380"/>
      <c r="H999" s="300"/>
      <c r="I999" s="17"/>
      <c r="J999" s="17"/>
      <c r="K999" s="17"/>
      <c r="L999" s="17"/>
      <c r="M999" s="17"/>
      <c r="N999" s="17"/>
      <c r="O999" s="17"/>
      <c r="P999" s="17"/>
      <c r="Q999" s="17"/>
      <c r="R999" s="17"/>
      <c r="S999" s="17"/>
      <c r="T999" s="17"/>
      <c r="U999" s="300"/>
      <c r="V999" s="47"/>
      <c r="W999" s="17"/>
      <c r="X999" s="17"/>
      <c r="Y999" s="300"/>
      <c r="Z999" s="386"/>
      <c r="AA999" s="386"/>
      <c r="AB999" s="386"/>
      <c r="AC999" s="386"/>
      <c r="AD999" s="386"/>
      <c r="AE999" s="386"/>
      <c r="AF999" s="386"/>
    </row>
  </sheetData>
  <customSheetViews>
    <customSheetView guid="{DBF0331A-7161-4710-9928-0F97B5489D4D}" filter="1" showAutoFilter="1">
      <autoFilter ref="$A$1:$Y$999">
        <sortState ref="A1:Y999">
          <sortCondition ref="A1:A999"/>
        </sortState>
      </autoFilter>
    </customSheetView>
  </customSheetViews>
  <conditionalFormatting sqref="F1:F999 S1:U999">
    <cfRule type="cellIs" dxfId="30" priority="1" operator="greaterThanOrEqual">
      <formula>10</formula>
    </cfRule>
  </conditionalFormatting>
  <conditionalFormatting sqref="F1:F999 S1:U999">
    <cfRule type="cellIs" dxfId="19" priority="2" operator="between">
      <formula>6.499</formula>
      <formula>10</formula>
    </cfRule>
  </conditionalFormatting>
  <conditionalFormatting sqref="F1:F999 S1:U999">
    <cfRule type="cellIs" dxfId="20" priority="3" operator="between">
      <formula>2.5</formula>
      <formula>-0.001</formula>
    </cfRule>
  </conditionalFormatting>
  <conditionalFormatting sqref="V39">
    <cfRule type="notContainsBlanks" dxfId="28" priority="4">
      <formula>LEN(TRIM(V39))&gt;0</formula>
    </cfRule>
  </conditionalFormatting>
  <conditionalFormatting sqref="F1:F999 S1:U999">
    <cfRule type="cellIs" dxfId="24" priority="5" operator="between">
      <formula>2.5</formula>
      <formula>4</formula>
    </cfRule>
  </conditionalFormatting>
  <conditionalFormatting sqref="F1:F999 S1:U999">
    <cfRule type="cellIs" dxfId="22" priority="6" operator="between">
      <formula>4</formula>
      <formula>6.5</formula>
    </cfRule>
  </conditionalFormatting>
  <conditionalFormatting sqref="T14 T48">
    <cfRule type="notContainsBlanks" dxfId="28" priority="7">
      <formula>LEN(TRIM(T14))&gt;0</formula>
    </cfRule>
  </conditionalFormatting>
  <conditionalFormatting sqref="F1:F999 S1:U999">
    <cfRule type="cellIs" dxfId="21" priority="8" operator="lessThan">
      <formula>0</formula>
    </cfRule>
  </conditionalFormatting>
  <printOptions/>
  <pageMargins bottom="0.3" footer="0.0" header="0.0" left="0.7" right="0.7" top="0.3"/>
  <pageSetup paperSize="9" orientation="portrait"/>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2" max="2" width="17.63"/>
    <col customWidth="1" min="3" max="3" width="16.88"/>
    <col customWidth="1" min="5" max="5" width="12.5"/>
    <col customWidth="1" min="6" max="6" width="9.88"/>
    <col customWidth="1" min="7" max="7" width="12.63"/>
    <col customWidth="1" min="8" max="8" width="13.75"/>
    <col customWidth="1" min="9" max="9" width="15.88"/>
    <col customWidth="1" min="10" max="10" width="21.88"/>
  </cols>
  <sheetData>
    <row r="1">
      <c r="A1" s="175" t="s">
        <v>319</v>
      </c>
      <c r="B1" s="99"/>
      <c r="C1" s="99"/>
      <c r="D1" s="100"/>
      <c r="E1" s="176" t="s">
        <v>82</v>
      </c>
      <c r="F1" s="99"/>
      <c r="G1" s="99"/>
      <c r="H1" s="99"/>
      <c r="I1" s="99"/>
      <c r="J1" s="100"/>
      <c r="K1" s="177" t="s">
        <v>64</v>
      </c>
      <c r="L1" s="99"/>
      <c r="M1" s="99"/>
      <c r="N1" s="99"/>
      <c r="O1" s="99"/>
      <c r="P1" s="99"/>
      <c r="Q1" s="99"/>
      <c r="R1" s="99"/>
      <c r="S1" s="99"/>
      <c r="T1" s="99"/>
      <c r="U1" s="99"/>
      <c r="V1" s="99"/>
      <c r="W1" s="99"/>
    </row>
    <row r="2">
      <c r="A2" s="102"/>
      <c r="D2" s="103"/>
      <c r="E2" s="102"/>
      <c r="J2" s="103"/>
    </row>
    <row r="3">
      <c r="A3" s="102"/>
      <c r="D3" s="103"/>
      <c r="E3" s="179" t="s">
        <v>6</v>
      </c>
      <c r="F3" s="180" t="s">
        <v>107</v>
      </c>
      <c r="G3" s="180" t="s">
        <v>321</v>
      </c>
      <c r="H3" s="180" t="s">
        <v>322</v>
      </c>
      <c r="I3" s="181" t="s">
        <v>324</v>
      </c>
      <c r="J3" s="182" t="s">
        <v>326</v>
      </c>
      <c r="K3" s="183" t="s">
        <v>327</v>
      </c>
      <c r="L3" s="184" t="s">
        <v>68</v>
      </c>
      <c r="N3" s="185" t="s">
        <v>328</v>
      </c>
      <c r="P3" s="184" t="s">
        <v>330</v>
      </c>
      <c r="R3" s="185" t="s">
        <v>331</v>
      </c>
      <c r="T3" s="184" t="s">
        <v>332</v>
      </c>
      <c r="V3" s="185" t="s">
        <v>333</v>
      </c>
    </row>
    <row r="4">
      <c r="A4" s="102"/>
      <c r="D4" s="103"/>
      <c r="E4" s="187">
        <v>15.0</v>
      </c>
      <c r="F4" s="188">
        <v>1.0</v>
      </c>
      <c r="G4" s="189">
        <v>1.0</v>
      </c>
      <c r="H4" s="189">
        <v>1.0</v>
      </c>
      <c r="I4" s="190">
        <v>0.05</v>
      </c>
      <c r="J4" s="192" t="s">
        <v>335</v>
      </c>
      <c r="L4" s="194" t="s">
        <v>336</v>
      </c>
      <c r="M4" s="194" t="s">
        <v>337</v>
      </c>
      <c r="N4" s="195" t="s">
        <v>336</v>
      </c>
      <c r="O4" s="195" t="s">
        <v>337</v>
      </c>
      <c r="P4" s="194" t="s">
        <v>336</v>
      </c>
      <c r="Q4" s="194" t="s">
        <v>337</v>
      </c>
      <c r="R4" s="195" t="s">
        <v>336</v>
      </c>
      <c r="S4" s="195" t="s">
        <v>337</v>
      </c>
      <c r="T4" s="194" t="s">
        <v>336</v>
      </c>
      <c r="U4" s="194" t="s">
        <v>337</v>
      </c>
      <c r="V4" s="195" t="s">
        <v>336</v>
      </c>
      <c r="W4" s="195" t="s">
        <v>337</v>
      </c>
    </row>
    <row r="5">
      <c r="A5" s="196" t="s">
        <v>65</v>
      </c>
      <c r="B5" s="197" t="s">
        <v>344</v>
      </c>
      <c r="C5" s="197" t="s">
        <v>345</v>
      </c>
      <c r="D5" s="197" t="s">
        <v>346</v>
      </c>
      <c r="E5" s="198"/>
      <c r="F5" s="199"/>
      <c r="G5" s="199"/>
      <c r="H5" s="199"/>
      <c r="I5" s="199"/>
      <c r="J5" s="200" t="s">
        <v>347</v>
      </c>
      <c r="K5" s="201">
        <v>1.0</v>
      </c>
      <c r="L5" s="202">
        <v>5.0</v>
      </c>
      <c r="M5" s="203">
        <v>0.05</v>
      </c>
      <c r="N5" s="204">
        <v>5.0</v>
      </c>
      <c r="O5" s="205">
        <v>0.13</v>
      </c>
      <c r="P5" s="202">
        <v>5.0</v>
      </c>
      <c r="Q5" s="203">
        <v>0.08</v>
      </c>
      <c r="R5" s="204">
        <v>5.0</v>
      </c>
      <c r="S5" s="205">
        <v>0.16</v>
      </c>
      <c r="T5" s="202">
        <v>7.5</v>
      </c>
      <c r="U5" s="203">
        <v>0.05</v>
      </c>
      <c r="V5" s="204">
        <v>7.5</v>
      </c>
      <c r="W5" s="205">
        <v>0.13</v>
      </c>
    </row>
    <row r="6">
      <c r="A6" s="206">
        <v>5.0</v>
      </c>
      <c r="B6" s="207">
        <f>If(A6&gt;-0.5, 1-1/(1+ 2/30*A6),-(1-1/(1+ 2/30*(-A6))))</f>
        <v>0.25</v>
      </c>
      <c r="C6" s="207">
        <f>1/(1-B6)</f>
        <v>1.333333333</v>
      </c>
      <c r="D6" s="210">
        <f>Round(B6,2)</f>
        <v>0.25</v>
      </c>
      <c r="E6" s="211"/>
      <c r="F6" s="212"/>
      <c r="G6" s="212"/>
      <c r="H6" s="212"/>
      <c r="I6" s="212"/>
      <c r="J6" s="216">
        <f>IF(J4="噩梦",0.11,0.1)</f>
        <v>0.11</v>
      </c>
      <c r="K6" s="217" t="s">
        <v>107</v>
      </c>
      <c r="L6" s="194" t="s">
        <v>361</v>
      </c>
      <c r="M6" s="218" t="s">
        <v>363</v>
      </c>
      <c r="N6" s="195" t="s">
        <v>361</v>
      </c>
      <c r="O6" s="219" t="s">
        <v>363</v>
      </c>
      <c r="P6" s="194" t="s">
        <v>361</v>
      </c>
      <c r="Q6" s="218" t="s">
        <v>363</v>
      </c>
      <c r="R6" s="195" t="s">
        <v>361</v>
      </c>
      <c r="S6" s="219" t="s">
        <v>363</v>
      </c>
      <c r="T6" s="194" t="s">
        <v>361</v>
      </c>
      <c r="U6" s="218" t="s">
        <v>363</v>
      </c>
      <c r="V6" s="195" t="s">
        <v>361</v>
      </c>
      <c r="W6" s="219" t="s">
        <v>363</v>
      </c>
    </row>
    <row r="7">
      <c r="A7" s="220" t="s">
        <v>366</v>
      </c>
      <c r="B7" s="221"/>
      <c r="C7" s="223" t="s">
        <v>367</v>
      </c>
      <c r="D7" s="224"/>
      <c r="E7" s="225" t="s">
        <v>368</v>
      </c>
      <c r="J7" s="103"/>
      <c r="K7" s="227">
        <f t="shared" ref="K7:L7" si="1">K5</f>
        <v>1</v>
      </c>
      <c r="L7" s="228">
        <f t="shared" si="1"/>
        <v>5</v>
      </c>
      <c r="M7" s="228">
        <v>0.0</v>
      </c>
      <c r="N7" s="229">
        <f>N5</f>
        <v>5</v>
      </c>
      <c r="O7" s="229">
        <v>0.0</v>
      </c>
      <c r="P7" s="228">
        <f>P5</f>
        <v>5</v>
      </c>
      <c r="Q7" s="228">
        <v>0.0</v>
      </c>
      <c r="R7" s="229">
        <f>R5</f>
        <v>5</v>
      </c>
      <c r="S7" s="229">
        <v>0.0</v>
      </c>
      <c r="T7" s="228">
        <f>T5</f>
        <v>7.5</v>
      </c>
      <c r="U7" s="228">
        <v>0.0</v>
      </c>
      <c r="V7" s="229">
        <f>V5</f>
        <v>7.5</v>
      </c>
      <c r="W7" s="229">
        <v>0.0</v>
      </c>
    </row>
    <row r="8">
      <c r="A8" s="230">
        <v>50.0</v>
      </c>
      <c r="B8" s="231"/>
      <c r="C8" s="233">
        <f>If(A8&gt;0, 1/(1-A8/100),1)</f>
        <v>2</v>
      </c>
      <c r="D8" s="224"/>
      <c r="E8" s="234" t="s">
        <v>371</v>
      </c>
      <c r="F8" s="235" t="s">
        <v>372</v>
      </c>
      <c r="G8" s="235" t="s">
        <v>324</v>
      </c>
      <c r="H8" s="235" t="s">
        <v>373</v>
      </c>
      <c r="I8" s="235" t="s">
        <v>374</v>
      </c>
      <c r="J8" s="236" t="s">
        <v>375</v>
      </c>
      <c r="K8" s="227">
        <f t="shared" ref="K8:K37" si="2">K7+1</f>
        <v>2</v>
      </c>
      <c r="L8" s="238">
        <f t="shared" ref="L8:L37" si="3">If(L7&gt;0,If($K8&gt;20 ,L7-ROUNDUP(L7*0.2,0) , L7+ROUNDUP(L7*M$5,0)),L7)</f>
        <v>6</v>
      </c>
      <c r="M8" s="238">
        <f t="shared" ref="M8:M37" si="4">M7+L7</f>
        <v>5</v>
      </c>
      <c r="N8" s="241">
        <f t="shared" ref="N8:N37" si="5">If(N7&gt;0,If($K8&gt;20 ,N7-ROUNDUP(N7*0.2,0) , N7+ROUNDUP(N7*O$5,0)),N7)</f>
        <v>6</v>
      </c>
      <c r="O8" s="241">
        <f t="shared" ref="O8:O37" si="6">O7+N7</f>
        <v>5</v>
      </c>
      <c r="P8" s="238">
        <f t="shared" ref="P8:P37" si="7">If(P7&gt;0,If($K8&gt;20 ,P7-ROUNDUP(P7*0.2,0) , P7+ROUNDUP(P7*Q$5,0)),P7)</f>
        <v>6</v>
      </c>
      <c r="Q8" s="238">
        <f t="shared" ref="Q8:Q37" si="8">Q7+P7</f>
        <v>5</v>
      </c>
      <c r="R8" s="241">
        <f t="shared" ref="R8:R37" si="9">If(R7&gt;0,If($K8&gt;20 ,R7-ROUNDUP(R7*0.2,0) , R7+ROUNDUP(R7*S$5,0)),R7)</f>
        <v>6</v>
      </c>
      <c r="S8" s="241">
        <f t="shared" ref="S8:S37" si="10">S7+R7</f>
        <v>5</v>
      </c>
      <c r="T8" s="238">
        <f t="shared" ref="T8:T37" si="11">If(T7&gt;0,If($K8&gt;20 ,T7-ROUNDUP(T7*0.2,0)*1.5 , T7+ROUNDUP(T7*U$5,0)*1.5),T7)</f>
        <v>9</v>
      </c>
      <c r="U8" s="238">
        <f t="shared" ref="U8:U37" si="12">U7+T7</f>
        <v>7.5</v>
      </c>
      <c r="V8" s="241">
        <f t="shared" ref="V8:V37" si="13">If(V7&gt;0,If($K8&gt;20 ,V7-ROUNDUP(V7*0.2,0)*1.5 , V7+ROUNDUP(V7*W$5,0)*1.5),V7)</f>
        <v>9</v>
      </c>
      <c r="W8" s="241">
        <f t="shared" ref="W8:W37" si="14">W7+V7</f>
        <v>7.5</v>
      </c>
    </row>
    <row r="9">
      <c r="A9" s="245"/>
      <c r="B9" s="224"/>
      <c r="C9" s="246" t="s">
        <v>394</v>
      </c>
      <c r="D9" s="224"/>
      <c r="E9" s="247">
        <f>MAX(1,ROUNDDOWN(G4*(1+J9)*(E4+(J6*E4+1)*(F4)),0))</f>
        <v>17</v>
      </c>
      <c r="F9" s="248">
        <f>MAX(1,ROUNDDOWN(MIN(1,H4)*ROUNDDOWN(G4*(E4+(J6*E4+1)*(F4)),0),0))</f>
        <v>17</v>
      </c>
      <c r="G9" s="249">
        <f>MAX(1,ROUNDDOWN(G4*(1+J9)*(I4*E4+(J6*I4*E4+1)*(F4)),0))</f>
        <v>1</v>
      </c>
      <c r="H9" s="248">
        <f>MAX(1,ROUNDDOWN(MIN(1,H4)*ROUNDDOWN(G4*(I4*E4+(J6*I4*E4+1)*(F4)),0),0))</f>
        <v>1</v>
      </c>
      <c r="I9" s="248" t="str">
        <f>ROUNDUP(E9/20,0) &amp; "生命值"</f>
        <v>1点生命</v>
      </c>
      <c r="J9" s="250">
        <f>Max(0,((max(F4-20,0)*((F4-20)+1))/2)/100)*(2+Max(0,(F4-35)*0.2))/5</f>
        <v>0</v>
      </c>
      <c r="K9" s="227">
        <f t="shared" si="2"/>
        <v>3</v>
      </c>
      <c r="L9" s="238">
        <f t="shared" si="3"/>
        <v>7</v>
      </c>
      <c r="M9" s="238">
        <f t="shared" si="4"/>
        <v>11</v>
      </c>
      <c r="N9" s="241">
        <f t="shared" si="5"/>
        <v>7</v>
      </c>
      <c r="O9" s="241">
        <f t="shared" si="6"/>
        <v>11</v>
      </c>
      <c r="P9" s="238">
        <f t="shared" si="7"/>
        <v>7</v>
      </c>
      <c r="Q9" s="238">
        <f t="shared" si="8"/>
        <v>11</v>
      </c>
      <c r="R9" s="241">
        <f t="shared" si="9"/>
        <v>7</v>
      </c>
      <c r="S9" s="241">
        <f t="shared" si="10"/>
        <v>11</v>
      </c>
      <c r="T9" s="238">
        <f t="shared" si="11"/>
        <v>10.5</v>
      </c>
      <c r="U9" s="238">
        <f t="shared" si="12"/>
        <v>16.5</v>
      </c>
      <c r="V9" s="241">
        <f t="shared" si="13"/>
        <v>12</v>
      </c>
      <c r="W9" s="241">
        <f t="shared" si="14"/>
        <v>16.5</v>
      </c>
    </row>
    <row r="10">
      <c r="A10" s="245"/>
      <c r="B10" s="224"/>
      <c r="C10" s="255">
        <f>C6*C8</f>
        <v>2.666666667</v>
      </c>
      <c r="D10" s="224"/>
      <c r="E10" s="102"/>
      <c r="J10" s="103"/>
      <c r="K10" s="227">
        <f t="shared" si="2"/>
        <v>4</v>
      </c>
      <c r="L10" s="238">
        <f t="shared" si="3"/>
        <v>8</v>
      </c>
      <c r="M10" s="238">
        <f t="shared" si="4"/>
        <v>18</v>
      </c>
      <c r="N10" s="241">
        <f t="shared" si="5"/>
        <v>8</v>
      </c>
      <c r="O10" s="241">
        <f t="shared" si="6"/>
        <v>18</v>
      </c>
      <c r="P10" s="238">
        <f t="shared" si="7"/>
        <v>8</v>
      </c>
      <c r="Q10" s="238">
        <f t="shared" si="8"/>
        <v>18</v>
      </c>
      <c r="R10" s="241">
        <f t="shared" si="9"/>
        <v>9</v>
      </c>
      <c r="S10" s="241">
        <f t="shared" si="10"/>
        <v>18</v>
      </c>
      <c r="T10" s="238">
        <f t="shared" si="11"/>
        <v>12</v>
      </c>
      <c r="U10" s="238">
        <f t="shared" si="12"/>
        <v>27</v>
      </c>
      <c r="V10" s="241">
        <f t="shared" si="13"/>
        <v>15</v>
      </c>
      <c r="W10" s="241">
        <f t="shared" si="14"/>
        <v>28.5</v>
      </c>
    </row>
    <row r="11">
      <c r="A11" s="258" t="s">
        <v>113</v>
      </c>
      <c r="B11" s="260"/>
      <c r="C11" s="261" t="s">
        <v>423</v>
      </c>
      <c r="D11" s="224"/>
      <c r="E11" s="262" t="s">
        <v>425</v>
      </c>
      <c r="J11" s="103"/>
      <c r="K11" s="227">
        <f t="shared" si="2"/>
        <v>5</v>
      </c>
      <c r="L11" s="238">
        <f t="shared" si="3"/>
        <v>9</v>
      </c>
      <c r="M11" s="238">
        <f t="shared" si="4"/>
        <v>26</v>
      </c>
      <c r="N11" s="241">
        <f t="shared" si="5"/>
        <v>10</v>
      </c>
      <c r="O11" s="241">
        <f t="shared" si="6"/>
        <v>26</v>
      </c>
      <c r="P11" s="238">
        <f t="shared" si="7"/>
        <v>9</v>
      </c>
      <c r="Q11" s="238">
        <f t="shared" si="8"/>
        <v>26</v>
      </c>
      <c r="R11" s="241">
        <f t="shared" si="9"/>
        <v>11</v>
      </c>
      <c r="S11" s="241">
        <f t="shared" si="10"/>
        <v>27</v>
      </c>
      <c r="T11" s="238">
        <f t="shared" si="11"/>
        <v>13.5</v>
      </c>
      <c r="U11" s="238">
        <f t="shared" si="12"/>
        <v>39</v>
      </c>
      <c r="V11" s="241">
        <f t="shared" si="13"/>
        <v>18</v>
      </c>
      <c r="W11" s="241">
        <f t="shared" si="14"/>
        <v>43.5</v>
      </c>
    </row>
    <row r="12">
      <c r="A12" s="264">
        <v>100.0</v>
      </c>
      <c r="B12" s="238"/>
      <c r="C12" s="265">
        <f>C10*A12</f>
        <v>266.6666667</v>
      </c>
      <c r="D12" s="224"/>
      <c r="E12" s="102"/>
      <c r="J12" s="103"/>
      <c r="K12" s="227">
        <f t="shared" si="2"/>
        <v>6</v>
      </c>
      <c r="L12" s="238">
        <f t="shared" si="3"/>
        <v>10</v>
      </c>
      <c r="M12" s="238">
        <f t="shared" si="4"/>
        <v>35</v>
      </c>
      <c r="N12" s="241">
        <f t="shared" si="5"/>
        <v>12</v>
      </c>
      <c r="O12" s="241">
        <f t="shared" si="6"/>
        <v>36</v>
      </c>
      <c r="P12" s="238">
        <f t="shared" si="7"/>
        <v>10</v>
      </c>
      <c r="Q12" s="238">
        <f t="shared" si="8"/>
        <v>35</v>
      </c>
      <c r="R12" s="241">
        <f t="shared" si="9"/>
        <v>13</v>
      </c>
      <c r="S12" s="241">
        <f t="shared" si="10"/>
        <v>38</v>
      </c>
      <c r="T12" s="238">
        <f t="shared" si="11"/>
        <v>15</v>
      </c>
      <c r="U12" s="238">
        <f t="shared" si="12"/>
        <v>52.5</v>
      </c>
      <c r="V12" s="241">
        <f t="shared" si="13"/>
        <v>22.5</v>
      </c>
      <c r="W12" s="241">
        <f t="shared" si="14"/>
        <v>61.5</v>
      </c>
    </row>
    <row r="13">
      <c r="A13" s="266" t="s">
        <v>428</v>
      </c>
      <c r="B13" s="267" t="s">
        <v>429</v>
      </c>
      <c r="C13" s="267" t="s">
        <v>430</v>
      </c>
      <c r="D13" s="224"/>
      <c r="E13" s="102"/>
      <c r="J13" s="103"/>
      <c r="K13" s="227">
        <f t="shared" si="2"/>
        <v>7</v>
      </c>
      <c r="L13" s="238">
        <f t="shared" si="3"/>
        <v>11</v>
      </c>
      <c r="M13" s="238">
        <f t="shared" si="4"/>
        <v>45</v>
      </c>
      <c r="N13" s="241">
        <f t="shared" si="5"/>
        <v>14</v>
      </c>
      <c r="O13" s="241">
        <f t="shared" si="6"/>
        <v>48</v>
      </c>
      <c r="P13" s="238">
        <f t="shared" si="7"/>
        <v>11</v>
      </c>
      <c r="Q13" s="238">
        <f t="shared" si="8"/>
        <v>45</v>
      </c>
      <c r="R13" s="241">
        <f t="shared" si="9"/>
        <v>16</v>
      </c>
      <c r="S13" s="241">
        <f t="shared" si="10"/>
        <v>51</v>
      </c>
      <c r="T13" s="238">
        <f t="shared" si="11"/>
        <v>16.5</v>
      </c>
      <c r="U13" s="238">
        <f t="shared" si="12"/>
        <v>67.5</v>
      </c>
      <c r="V13" s="241">
        <f t="shared" si="13"/>
        <v>27</v>
      </c>
      <c r="W13" s="241">
        <f t="shared" si="14"/>
        <v>84</v>
      </c>
    </row>
    <row r="14">
      <c r="A14" s="268">
        <v>10.0</v>
      </c>
      <c r="B14" s="270">
        <f>1/(5 / (1 + (abs(A14 - 1) / 2.25)))</f>
        <v>1</v>
      </c>
      <c r="C14" s="270">
        <f>B14*C10</f>
        <v>2.666666667</v>
      </c>
      <c r="D14" s="224"/>
      <c r="E14" s="102"/>
      <c r="J14" s="103"/>
      <c r="K14" s="227">
        <f t="shared" si="2"/>
        <v>8</v>
      </c>
      <c r="L14" s="238">
        <f t="shared" si="3"/>
        <v>12</v>
      </c>
      <c r="M14" s="238">
        <f t="shared" si="4"/>
        <v>56</v>
      </c>
      <c r="N14" s="241">
        <f t="shared" si="5"/>
        <v>16</v>
      </c>
      <c r="O14" s="241">
        <f t="shared" si="6"/>
        <v>62</v>
      </c>
      <c r="P14" s="238">
        <f t="shared" si="7"/>
        <v>12</v>
      </c>
      <c r="Q14" s="238">
        <f t="shared" si="8"/>
        <v>56</v>
      </c>
      <c r="R14" s="241">
        <f t="shared" si="9"/>
        <v>19</v>
      </c>
      <c r="S14" s="241">
        <f t="shared" si="10"/>
        <v>67</v>
      </c>
      <c r="T14" s="238">
        <f t="shared" si="11"/>
        <v>18</v>
      </c>
      <c r="U14" s="238">
        <f t="shared" si="12"/>
        <v>84</v>
      </c>
      <c r="V14" s="241">
        <f t="shared" si="13"/>
        <v>33</v>
      </c>
      <c r="W14" s="241">
        <f t="shared" si="14"/>
        <v>111</v>
      </c>
    </row>
    <row r="15">
      <c r="A15" s="271"/>
      <c r="B15" s="272"/>
      <c r="C15" s="272"/>
      <c r="D15" s="272"/>
      <c r="E15" s="102"/>
      <c r="J15" s="103"/>
      <c r="K15" s="227">
        <f t="shared" si="2"/>
        <v>9</v>
      </c>
      <c r="L15" s="238">
        <f t="shared" si="3"/>
        <v>13</v>
      </c>
      <c r="M15" s="238">
        <f t="shared" si="4"/>
        <v>68</v>
      </c>
      <c r="N15" s="241">
        <f t="shared" si="5"/>
        <v>19</v>
      </c>
      <c r="O15" s="241">
        <f t="shared" si="6"/>
        <v>78</v>
      </c>
      <c r="P15" s="238">
        <f t="shared" si="7"/>
        <v>13</v>
      </c>
      <c r="Q15" s="238">
        <f t="shared" si="8"/>
        <v>68</v>
      </c>
      <c r="R15" s="241">
        <f t="shared" si="9"/>
        <v>23</v>
      </c>
      <c r="S15" s="241">
        <f t="shared" si="10"/>
        <v>86</v>
      </c>
      <c r="T15" s="238">
        <f t="shared" si="11"/>
        <v>19.5</v>
      </c>
      <c r="U15" s="238">
        <f t="shared" si="12"/>
        <v>102</v>
      </c>
      <c r="V15" s="241">
        <f t="shared" si="13"/>
        <v>40.5</v>
      </c>
      <c r="W15" s="241">
        <f t="shared" si="14"/>
        <v>144</v>
      </c>
    </row>
    <row r="16">
      <c r="A16" s="273" t="s">
        <v>436</v>
      </c>
      <c r="B16" s="99"/>
      <c r="C16" s="99"/>
      <c r="D16" s="274"/>
      <c r="E16" s="107"/>
      <c r="F16" s="108"/>
      <c r="G16" s="108"/>
      <c r="H16" s="108"/>
      <c r="I16" s="108"/>
      <c r="J16" s="109"/>
      <c r="K16" s="227">
        <f t="shared" si="2"/>
        <v>10</v>
      </c>
      <c r="L16" s="238">
        <f t="shared" si="3"/>
        <v>14</v>
      </c>
      <c r="M16" s="238">
        <f t="shared" si="4"/>
        <v>81</v>
      </c>
      <c r="N16" s="241">
        <f t="shared" si="5"/>
        <v>22</v>
      </c>
      <c r="O16" s="241">
        <f t="shared" si="6"/>
        <v>97</v>
      </c>
      <c r="P16" s="238">
        <f t="shared" si="7"/>
        <v>15</v>
      </c>
      <c r="Q16" s="238">
        <f t="shared" si="8"/>
        <v>81</v>
      </c>
      <c r="R16" s="241">
        <f t="shared" si="9"/>
        <v>27</v>
      </c>
      <c r="S16" s="241">
        <f t="shared" si="10"/>
        <v>109</v>
      </c>
      <c r="T16" s="238">
        <f t="shared" si="11"/>
        <v>21</v>
      </c>
      <c r="U16" s="238">
        <f t="shared" si="12"/>
        <v>121.5</v>
      </c>
      <c r="V16" s="241">
        <f t="shared" si="13"/>
        <v>49.5</v>
      </c>
      <c r="W16" s="241">
        <f t="shared" si="14"/>
        <v>184.5</v>
      </c>
    </row>
    <row r="17">
      <c r="A17" s="275" t="s">
        <v>438</v>
      </c>
      <c r="D17" s="276"/>
      <c r="E17" s="277" t="s">
        <v>440</v>
      </c>
      <c r="F17" s="99"/>
      <c r="G17" s="99"/>
      <c r="H17" s="99"/>
      <c r="I17" s="99"/>
      <c r="J17" s="100"/>
      <c r="K17" s="227">
        <f t="shared" si="2"/>
        <v>11</v>
      </c>
      <c r="L17" s="238">
        <f t="shared" si="3"/>
        <v>15</v>
      </c>
      <c r="M17" s="238">
        <f t="shared" si="4"/>
        <v>95</v>
      </c>
      <c r="N17" s="241">
        <f t="shared" si="5"/>
        <v>25</v>
      </c>
      <c r="O17" s="241">
        <f t="shared" si="6"/>
        <v>119</v>
      </c>
      <c r="P17" s="238">
        <f t="shared" si="7"/>
        <v>17</v>
      </c>
      <c r="Q17" s="238">
        <f t="shared" si="8"/>
        <v>96</v>
      </c>
      <c r="R17" s="241">
        <f t="shared" si="9"/>
        <v>32</v>
      </c>
      <c r="S17" s="241">
        <f t="shared" si="10"/>
        <v>136</v>
      </c>
      <c r="T17" s="238">
        <f t="shared" si="11"/>
        <v>24</v>
      </c>
      <c r="U17" s="238">
        <f t="shared" si="12"/>
        <v>142.5</v>
      </c>
      <c r="V17" s="241">
        <f t="shared" si="13"/>
        <v>60</v>
      </c>
      <c r="W17" s="241">
        <f t="shared" si="14"/>
        <v>234</v>
      </c>
    </row>
    <row r="18">
      <c r="A18" s="102"/>
      <c r="D18" s="276"/>
      <c r="E18" s="102"/>
      <c r="J18" s="103"/>
      <c r="K18" s="227">
        <f t="shared" si="2"/>
        <v>12</v>
      </c>
      <c r="L18" s="238">
        <f t="shared" si="3"/>
        <v>16</v>
      </c>
      <c r="M18" s="238">
        <f t="shared" si="4"/>
        <v>110</v>
      </c>
      <c r="N18" s="241">
        <f t="shared" si="5"/>
        <v>29</v>
      </c>
      <c r="O18" s="241">
        <f t="shared" si="6"/>
        <v>144</v>
      </c>
      <c r="P18" s="238">
        <f t="shared" si="7"/>
        <v>19</v>
      </c>
      <c r="Q18" s="238">
        <f t="shared" si="8"/>
        <v>113</v>
      </c>
      <c r="R18" s="241">
        <f t="shared" si="9"/>
        <v>38</v>
      </c>
      <c r="S18" s="241">
        <f t="shared" si="10"/>
        <v>168</v>
      </c>
      <c r="T18" s="238">
        <f t="shared" si="11"/>
        <v>27</v>
      </c>
      <c r="U18" s="238">
        <f t="shared" si="12"/>
        <v>166.5</v>
      </c>
      <c r="V18" s="241">
        <f t="shared" si="13"/>
        <v>72</v>
      </c>
      <c r="W18" s="241">
        <f t="shared" si="14"/>
        <v>294</v>
      </c>
    </row>
    <row r="19">
      <c r="A19" s="102"/>
      <c r="D19" s="276"/>
      <c r="E19" s="282" t="s">
        <v>107</v>
      </c>
      <c r="F19" s="283" t="s">
        <v>455</v>
      </c>
      <c r="H19" s="283" t="s">
        <v>456</v>
      </c>
      <c r="J19" s="286" t="s">
        <v>458</v>
      </c>
      <c r="K19" s="227">
        <f t="shared" si="2"/>
        <v>13</v>
      </c>
      <c r="L19" s="238">
        <f t="shared" si="3"/>
        <v>17</v>
      </c>
      <c r="M19" s="238">
        <f t="shared" si="4"/>
        <v>126</v>
      </c>
      <c r="N19" s="241">
        <f t="shared" si="5"/>
        <v>33</v>
      </c>
      <c r="O19" s="241">
        <f t="shared" si="6"/>
        <v>173</v>
      </c>
      <c r="P19" s="238">
        <f t="shared" si="7"/>
        <v>21</v>
      </c>
      <c r="Q19" s="238">
        <f t="shared" si="8"/>
        <v>132</v>
      </c>
      <c r="R19" s="241">
        <f t="shared" si="9"/>
        <v>45</v>
      </c>
      <c r="S19" s="241">
        <f t="shared" si="10"/>
        <v>206</v>
      </c>
      <c r="T19" s="238">
        <f t="shared" si="11"/>
        <v>30</v>
      </c>
      <c r="U19" s="238">
        <f t="shared" si="12"/>
        <v>193.5</v>
      </c>
      <c r="V19" s="241">
        <f t="shared" si="13"/>
        <v>87</v>
      </c>
      <c r="W19" s="241">
        <f t="shared" si="14"/>
        <v>366</v>
      </c>
    </row>
    <row r="20">
      <c r="A20" s="102"/>
      <c r="D20" s="276"/>
      <c r="E20" s="187">
        <v>1.0</v>
      </c>
      <c r="F20" s="295">
        <v>0.0</v>
      </c>
      <c r="H20" s="297">
        <v>1.0</v>
      </c>
      <c r="J20" s="299">
        <f>Max(0,((max(E20-20,0)*((E20-20)+1))/2)/100)*(2+Max(0,(E20-35)*0.2))</f>
        <v>0</v>
      </c>
      <c r="K20" s="227">
        <f t="shared" si="2"/>
        <v>14</v>
      </c>
      <c r="L20" s="238">
        <f t="shared" si="3"/>
        <v>18</v>
      </c>
      <c r="M20" s="238">
        <f t="shared" si="4"/>
        <v>143</v>
      </c>
      <c r="N20" s="241">
        <f t="shared" si="5"/>
        <v>38</v>
      </c>
      <c r="O20" s="241">
        <f t="shared" si="6"/>
        <v>206</v>
      </c>
      <c r="P20" s="238">
        <f t="shared" si="7"/>
        <v>23</v>
      </c>
      <c r="Q20" s="238">
        <f t="shared" si="8"/>
        <v>153</v>
      </c>
      <c r="R20" s="241">
        <f t="shared" si="9"/>
        <v>53</v>
      </c>
      <c r="S20" s="241">
        <f t="shared" si="10"/>
        <v>251</v>
      </c>
      <c r="T20" s="238">
        <f t="shared" si="11"/>
        <v>33</v>
      </c>
      <c r="U20" s="238">
        <f t="shared" si="12"/>
        <v>223.5</v>
      </c>
      <c r="V20" s="241">
        <f t="shared" si="13"/>
        <v>105</v>
      </c>
      <c r="W20" s="241">
        <f t="shared" si="14"/>
        <v>453</v>
      </c>
    </row>
    <row r="21">
      <c r="A21" s="302" t="s">
        <v>466</v>
      </c>
      <c r="B21" s="303" t="s">
        <v>467</v>
      </c>
      <c r="C21" s="303" t="s">
        <v>469</v>
      </c>
      <c r="D21" s="276"/>
      <c r="E21" s="282" t="s">
        <v>470</v>
      </c>
      <c r="F21" s="283" t="s">
        <v>471</v>
      </c>
      <c r="H21" s="283" t="s">
        <v>472</v>
      </c>
      <c r="J21" s="305"/>
      <c r="K21" s="227">
        <f t="shared" si="2"/>
        <v>15</v>
      </c>
      <c r="L21" s="238">
        <f t="shared" si="3"/>
        <v>19</v>
      </c>
      <c r="M21" s="238">
        <f t="shared" si="4"/>
        <v>161</v>
      </c>
      <c r="N21" s="241">
        <f t="shared" si="5"/>
        <v>43</v>
      </c>
      <c r="O21" s="241">
        <f t="shared" si="6"/>
        <v>244</v>
      </c>
      <c r="P21" s="238">
        <f t="shared" si="7"/>
        <v>25</v>
      </c>
      <c r="Q21" s="238">
        <f t="shared" si="8"/>
        <v>176</v>
      </c>
      <c r="R21" s="241">
        <f t="shared" si="9"/>
        <v>62</v>
      </c>
      <c r="S21" s="241">
        <f t="shared" si="10"/>
        <v>304</v>
      </c>
      <c r="T21" s="238">
        <f t="shared" si="11"/>
        <v>36</v>
      </c>
      <c r="U21" s="238">
        <f t="shared" si="12"/>
        <v>256.5</v>
      </c>
      <c r="V21" s="241">
        <f t="shared" si="13"/>
        <v>126</v>
      </c>
      <c r="W21" s="241">
        <f t="shared" si="14"/>
        <v>558</v>
      </c>
    </row>
    <row r="22">
      <c r="A22" s="307">
        <v>2.0</v>
      </c>
      <c r="B22" s="308">
        <v>2.0</v>
      </c>
      <c r="C22" s="308">
        <v>1.5</v>
      </c>
      <c r="D22" s="276"/>
      <c r="E22" s="312">
        <f>ROUNDUP(MAX(0.1,1-F20)*(F22+Rounddown(E20*0.75,0)),0)</f>
        <v>1</v>
      </c>
      <c r="F22" s="315">
        <f>Rounddown(max(1,0.4*E20*(1+J20)^0.5),0)</f>
        <v>1</v>
      </c>
      <c r="G22" s="108"/>
      <c r="H22" s="315">
        <f>E22+F22*(H20-1)</f>
        <v>1</v>
      </c>
      <c r="I22" s="108"/>
      <c r="J22" s="318"/>
      <c r="K22" s="227">
        <f t="shared" si="2"/>
        <v>16</v>
      </c>
      <c r="L22" s="238">
        <f t="shared" si="3"/>
        <v>20</v>
      </c>
      <c r="M22" s="238">
        <f t="shared" si="4"/>
        <v>180</v>
      </c>
      <c r="N22" s="241">
        <f t="shared" si="5"/>
        <v>49</v>
      </c>
      <c r="O22" s="241">
        <f t="shared" si="6"/>
        <v>287</v>
      </c>
      <c r="P22" s="238">
        <f t="shared" si="7"/>
        <v>27</v>
      </c>
      <c r="Q22" s="238">
        <f t="shared" si="8"/>
        <v>201</v>
      </c>
      <c r="R22" s="241">
        <f t="shared" si="9"/>
        <v>72</v>
      </c>
      <c r="S22" s="241">
        <f t="shared" si="10"/>
        <v>366</v>
      </c>
      <c r="T22" s="238">
        <f t="shared" si="11"/>
        <v>39</v>
      </c>
      <c r="U22" s="238">
        <f t="shared" si="12"/>
        <v>292.5</v>
      </c>
      <c r="V22" s="241">
        <f t="shared" si="13"/>
        <v>151.5</v>
      </c>
      <c r="W22" s="241">
        <f t="shared" si="14"/>
        <v>684</v>
      </c>
    </row>
    <row r="23">
      <c r="A23" s="319" t="s">
        <v>505</v>
      </c>
      <c r="D23" s="321"/>
      <c r="E23" s="288"/>
      <c r="F23" s="288"/>
      <c r="G23" s="288"/>
      <c r="H23" s="288"/>
      <c r="I23" s="288"/>
      <c r="K23" s="227">
        <f t="shared" si="2"/>
        <v>17</v>
      </c>
      <c r="L23" s="238">
        <f t="shared" si="3"/>
        <v>21</v>
      </c>
      <c r="M23" s="238">
        <f t="shared" si="4"/>
        <v>200</v>
      </c>
      <c r="N23" s="241">
        <f t="shared" si="5"/>
        <v>56</v>
      </c>
      <c r="O23" s="241">
        <f t="shared" si="6"/>
        <v>336</v>
      </c>
      <c r="P23" s="238">
        <f t="shared" si="7"/>
        <v>30</v>
      </c>
      <c r="Q23" s="238">
        <f t="shared" si="8"/>
        <v>228</v>
      </c>
      <c r="R23" s="241">
        <f t="shared" si="9"/>
        <v>84</v>
      </c>
      <c r="S23" s="241">
        <f t="shared" si="10"/>
        <v>438</v>
      </c>
      <c r="T23" s="238">
        <f t="shared" si="11"/>
        <v>42</v>
      </c>
      <c r="U23" s="238">
        <f t="shared" si="12"/>
        <v>331.5</v>
      </c>
      <c r="V23" s="241">
        <f t="shared" si="13"/>
        <v>181.5</v>
      </c>
      <c r="W23" s="241">
        <f t="shared" si="14"/>
        <v>835.5</v>
      </c>
    </row>
    <row r="24">
      <c r="A24" s="322"/>
      <c r="B24" s="323">
        <f>ROUND((A22*B22*C22)^(1/3),2)</f>
        <v>1.82</v>
      </c>
      <c r="C24" s="276"/>
      <c r="D24" s="321"/>
      <c r="E24" s="288"/>
      <c r="F24" s="288"/>
      <c r="G24" s="288"/>
      <c r="H24" s="288"/>
      <c r="K24" s="227">
        <f t="shared" si="2"/>
        <v>18</v>
      </c>
      <c r="L24" s="238">
        <f t="shared" si="3"/>
        <v>23</v>
      </c>
      <c r="M24" s="238">
        <f t="shared" si="4"/>
        <v>221</v>
      </c>
      <c r="N24" s="241">
        <f t="shared" si="5"/>
        <v>64</v>
      </c>
      <c r="O24" s="241">
        <f t="shared" si="6"/>
        <v>392</v>
      </c>
      <c r="P24" s="238">
        <f t="shared" si="7"/>
        <v>33</v>
      </c>
      <c r="Q24" s="238">
        <f t="shared" si="8"/>
        <v>258</v>
      </c>
      <c r="R24" s="241">
        <f t="shared" si="9"/>
        <v>98</v>
      </c>
      <c r="S24" s="241">
        <f t="shared" si="10"/>
        <v>522</v>
      </c>
      <c r="T24" s="238">
        <f t="shared" si="11"/>
        <v>46.5</v>
      </c>
      <c r="U24" s="238">
        <f t="shared" si="12"/>
        <v>373.5</v>
      </c>
      <c r="V24" s="241">
        <f t="shared" si="13"/>
        <v>217.5</v>
      </c>
      <c r="W24" s="241">
        <f t="shared" si="14"/>
        <v>1017</v>
      </c>
    </row>
    <row r="25">
      <c r="A25" s="324"/>
      <c r="B25" s="325"/>
      <c r="C25" s="325"/>
      <c r="D25" s="326"/>
      <c r="E25" s="288"/>
      <c r="F25" s="288"/>
      <c r="G25" s="288"/>
      <c r="H25" s="288"/>
      <c r="K25" s="227">
        <f t="shared" si="2"/>
        <v>19</v>
      </c>
      <c r="L25" s="238">
        <f t="shared" si="3"/>
        <v>25</v>
      </c>
      <c r="M25" s="238">
        <f t="shared" si="4"/>
        <v>244</v>
      </c>
      <c r="N25" s="241">
        <f t="shared" si="5"/>
        <v>73</v>
      </c>
      <c r="O25" s="241">
        <f t="shared" si="6"/>
        <v>456</v>
      </c>
      <c r="P25" s="238">
        <f t="shared" si="7"/>
        <v>36</v>
      </c>
      <c r="Q25" s="238">
        <f t="shared" si="8"/>
        <v>291</v>
      </c>
      <c r="R25" s="241">
        <f t="shared" si="9"/>
        <v>114</v>
      </c>
      <c r="S25" s="241">
        <f t="shared" si="10"/>
        <v>620</v>
      </c>
      <c r="T25" s="238">
        <f t="shared" si="11"/>
        <v>51</v>
      </c>
      <c r="U25" s="238">
        <f t="shared" si="12"/>
        <v>420</v>
      </c>
      <c r="V25" s="241">
        <f t="shared" si="13"/>
        <v>261</v>
      </c>
      <c r="W25" s="241">
        <f t="shared" si="14"/>
        <v>1234.5</v>
      </c>
    </row>
    <row r="26">
      <c r="A26" s="327" t="s">
        <v>509</v>
      </c>
      <c r="B26" s="99"/>
      <c r="C26" s="99"/>
      <c r="D26" s="328"/>
      <c r="E26" s="288"/>
      <c r="F26" s="288"/>
      <c r="G26" s="288"/>
      <c r="H26" s="288"/>
      <c r="I26" s="288"/>
      <c r="K26" s="227">
        <f t="shared" si="2"/>
        <v>20</v>
      </c>
      <c r="L26" s="238">
        <f t="shared" si="3"/>
        <v>27</v>
      </c>
      <c r="M26" s="238">
        <f t="shared" si="4"/>
        <v>269</v>
      </c>
      <c r="N26" s="241">
        <f t="shared" si="5"/>
        <v>83</v>
      </c>
      <c r="O26" s="241">
        <f t="shared" si="6"/>
        <v>529</v>
      </c>
      <c r="P26" s="238">
        <f t="shared" si="7"/>
        <v>39</v>
      </c>
      <c r="Q26" s="238">
        <f t="shared" si="8"/>
        <v>327</v>
      </c>
      <c r="R26" s="241">
        <f t="shared" si="9"/>
        <v>133</v>
      </c>
      <c r="S26" s="241">
        <f t="shared" si="10"/>
        <v>734</v>
      </c>
      <c r="T26" s="238">
        <f t="shared" si="11"/>
        <v>55.5</v>
      </c>
      <c r="U26" s="238">
        <f t="shared" si="12"/>
        <v>471</v>
      </c>
      <c r="V26" s="241">
        <f t="shared" si="13"/>
        <v>312</v>
      </c>
      <c r="W26" s="241">
        <f t="shared" si="14"/>
        <v>1495.5</v>
      </c>
    </row>
    <row r="27">
      <c r="A27" s="331" t="s">
        <v>512</v>
      </c>
      <c r="D27" s="332"/>
      <c r="E27" s="288"/>
      <c r="F27" s="288"/>
      <c r="G27" s="288"/>
      <c r="H27" s="288"/>
      <c r="I27" s="288"/>
      <c r="K27" s="227">
        <f t="shared" si="2"/>
        <v>21</v>
      </c>
      <c r="L27" s="238">
        <f t="shared" si="3"/>
        <v>21</v>
      </c>
      <c r="M27" s="238">
        <f t="shared" si="4"/>
        <v>296</v>
      </c>
      <c r="N27" s="241">
        <f t="shared" si="5"/>
        <v>66</v>
      </c>
      <c r="O27" s="241">
        <f t="shared" si="6"/>
        <v>612</v>
      </c>
      <c r="P27" s="238">
        <f t="shared" si="7"/>
        <v>31</v>
      </c>
      <c r="Q27" s="238">
        <f t="shared" si="8"/>
        <v>366</v>
      </c>
      <c r="R27" s="241">
        <f t="shared" si="9"/>
        <v>106</v>
      </c>
      <c r="S27" s="241">
        <f t="shared" si="10"/>
        <v>867</v>
      </c>
      <c r="T27" s="238">
        <f t="shared" si="11"/>
        <v>37.5</v>
      </c>
      <c r="U27" s="238">
        <f t="shared" si="12"/>
        <v>526.5</v>
      </c>
      <c r="V27" s="241">
        <f t="shared" si="13"/>
        <v>217.5</v>
      </c>
      <c r="W27" s="241">
        <f t="shared" si="14"/>
        <v>1807.5</v>
      </c>
    </row>
    <row r="28">
      <c r="A28" s="102"/>
      <c r="D28" s="332"/>
      <c r="E28" s="288"/>
      <c r="F28" s="288"/>
      <c r="G28" s="288"/>
      <c r="H28" s="288"/>
      <c r="I28" s="288"/>
      <c r="K28" s="227">
        <f t="shared" si="2"/>
        <v>22</v>
      </c>
      <c r="L28" s="238">
        <f t="shared" si="3"/>
        <v>16</v>
      </c>
      <c r="M28" s="238">
        <f t="shared" si="4"/>
        <v>317</v>
      </c>
      <c r="N28" s="241">
        <f t="shared" si="5"/>
        <v>52</v>
      </c>
      <c r="O28" s="241">
        <f t="shared" si="6"/>
        <v>678</v>
      </c>
      <c r="P28" s="238">
        <f t="shared" si="7"/>
        <v>24</v>
      </c>
      <c r="Q28" s="238">
        <f t="shared" si="8"/>
        <v>397</v>
      </c>
      <c r="R28" s="241">
        <f t="shared" si="9"/>
        <v>84</v>
      </c>
      <c r="S28" s="241">
        <f t="shared" si="10"/>
        <v>973</v>
      </c>
      <c r="T28" s="238">
        <f t="shared" si="11"/>
        <v>25.5</v>
      </c>
      <c r="U28" s="238">
        <f t="shared" si="12"/>
        <v>564</v>
      </c>
      <c r="V28" s="241">
        <f t="shared" si="13"/>
        <v>151.5</v>
      </c>
      <c r="W28" s="241">
        <f t="shared" si="14"/>
        <v>2025</v>
      </c>
    </row>
    <row r="29">
      <c r="A29" s="102"/>
      <c r="D29" s="332"/>
      <c r="E29" s="288"/>
      <c r="F29" s="288"/>
      <c r="G29" s="288"/>
      <c r="H29" s="288"/>
      <c r="I29" s="288"/>
      <c r="K29" s="227">
        <f t="shared" si="2"/>
        <v>23</v>
      </c>
      <c r="L29" s="238">
        <f t="shared" si="3"/>
        <v>12</v>
      </c>
      <c r="M29" s="238">
        <f t="shared" si="4"/>
        <v>333</v>
      </c>
      <c r="N29" s="241">
        <f t="shared" si="5"/>
        <v>41</v>
      </c>
      <c r="O29" s="241">
        <f t="shared" si="6"/>
        <v>730</v>
      </c>
      <c r="P29" s="238">
        <f t="shared" si="7"/>
        <v>19</v>
      </c>
      <c r="Q29" s="238">
        <f t="shared" si="8"/>
        <v>421</v>
      </c>
      <c r="R29" s="241">
        <f t="shared" si="9"/>
        <v>67</v>
      </c>
      <c r="S29" s="241">
        <f t="shared" si="10"/>
        <v>1057</v>
      </c>
      <c r="T29" s="238">
        <f t="shared" si="11"/>
        <v>16.5</v>
      </c>
      <c r="U29" s="238">
        <f t="shared" si="12"/>
        <v>589.5</v>
      </c>
      <c r="V29" s="241">
        <f t="shared" si="13"/>
        <v>105</v>
      </c>
      <c r="W29" s="241">
        <f t="shared" si="14"/>
        <v>2176.5</v>
      </c>
    </row>
    <row r="30">
      <c r="A30" s="102"/>
      <c r="D30" s="332"/>
      <c r="E30" s="288"/>
      <c r="F30" s="288"/>
      <c r="G30" s="288"/>
      <c r="H30" s="288"/>
      <c r="I30" s="288"/>
      <c r="K30" s="227">
        <f t="shared" si="2"/>
        <v>24</v>
      </c>
      <c r="L30" s="238">
        <f t="shared" si="3"/>
        <v>9</v>
      </c>
      <c r="M30" s="238">
        <f t="shared" si="4"/>
        <v>345</v>
      </c>
      <c r="N30" s="241">
        <f t="shared" si="5"/>
        <v>32</v>
      </c>
      <c r="O30" s="241">
        <f t="shared" si="6"/>
        <v>771</v>
      </c>
      <c r="P30" s="238">
        <f t="shared" si="7"/>
        <v>15</v>
      </c>
      <c r="Q30" s="238">
        <f t="shared" si="8"/>
        <v>440</v>
      </c>
      <c r="R30" s="241">
        <f t="shared" si="9"/>
        <v>53</v>
      </c>
      <c r="S30" s="241">
        <f t="shared" si="10"/>
        <v>1124</v>
      </c>
      <c r="T30" s="238">
        <f t="shared" si="11"/>
        <v>10.5</v>
      </c>
      <c r="U30" s="238">
        <f t="shared" si="12"/>
        <v>606</v>
      </c>
      <c r="V30" s="241">
        <f t="shared" si="13"/>
        <v>73.5</v>
      </c>
      <c r="W30" s="241">
        <f t="shared" si="14"/>
        <v>2281.5</v>
      </c>
    </row>
    <row r="31">
      <c r="A31" s="333" t="s">
        <v>517</v>
      </c>
      <c r="B31" s="334" t="s">
        <v>518</v>
      </c>
      <c r="C31" s="334" t="s">
        <v>519</v>
      </c>
      <c r="D31" s="332"/>
      <c r="E31" s="288"/>
      <c r="F31" s="288"/>
      <c r="G31" s="288"/>
      <c r="H31" s="288"/>
      <c r="I31" s="288"/>
      <c r="K31" s="227">
        <f t="shared" si="2"/>
        <v>25</v>
      </c>
      <c r="L31" s="238">
        <f t="shared" si="3"/>
        <v>7</v>
      </c>
      <c r="M31" s="238">
        <f t="shared" si="4"/>
        <v>354</v>
      </c>
      <c r="N31" s="241">
        <f t="shared" si="5"/>
        <v>25</v>
      </c>
      <c r="O31" s="241">
        <f t="shared" si="6"/>
        <v>803</v>
      </c>
      <c r="P31" s="238">
        <f t="shared" si="7"/>
        <v>12</v>
      </c>
      <c r="Q31" s="238">
        <f t="shared" si="8"/>
        <v>455</v>
      </c>
      <c r="R31" s="241">
        <f t="shared" si="9"/>
        <v>42</v>
      </c>
      <c r="S31" s="241">
        <f t="shared" si="10"/>
        <v>1177</v>
      </c>
      <c r="T31" s="238">
        <f t="shared" si="11"/>
        <v>6</v>
      </c>
      <c r="U31" s="238">
        <f t="shared" si="12"/>
        <v>616.5</v>
      </c>
      <c r="V31" s="241">
        <f t="shared" si="13"/>
        <v>51</v>
      </c>
      <c r="W31" s="241">
        <f t="shared" si="14"/>
        <v>2355</v>
      </c>
    </row>
    <row r="32">
      <c r="A32" s="335">
        <v>11.0</v>
      </c>
      <c r="B32" s="336">
        <v>3.0</v>
      </c>
      <c r="C32" s="336">
        <v>227.0</v>
      </c>
      <c r="D32" s="332"/>
      <c r="K32" s="227">
        <f t="shared" si="2"/>
        <v>26</v>
      </c>
      <c r="L32" s="238">
        <f t="shared" si="3"/>
        <v>5</v>
      </c>
      <c r="M32" s="238">
        <f t="shared" si="4"/>
        <v>361</v>
      </c>
      <c r="N32" s="241">
        <f t="shared" si="5"/>
        <v>20</v>
      </c>
      <c r="O32" s="241">
        <f t="shared" si="6"/>
        <v>828</v>
      </c>
      <c r="P32" s="238">
        <f t="shared" si="7"/>
        <v>9</v>
      </c>
      <c r="Q32" s="238">
        <f t="shared" si="8"/>
        <v>467</v>
      </c>
      <c r="R32" s="241">
        <f t="shared" si="9"/>
        <v>33</v>
      </c>
      <c r="S32" s="241">
        <f t="shared" si="10"/>
        <v>1219</v>
      </c>
      <c r="T32" s="238">
        <f t="shared" si="11"/>
        <v>3</v>
      </c>
      <c r="U32" s="238">
        <f t="shared" si="12"/>
        <v>622.5</v>
      </c>
      <c r="V32" s="241">
        <f t="shared" si="13"/>
        <v>34.5</v>
      </c>
      <c r="W32" s="241">
        <f t="shared" si="14"/>
        <v>2406</v>
      </c>
    </row>
    <row r="33">
      <c r="A33" s="337" t="s">
        <v>522</v>
      </c>
      <c r="D33" s="332"/>
      <c r="K33" s="227">
        <f t="shared" si="2"/>
        <v>27</v>
      </c>
      <c r="L33" s="238">
        <f t="shared" si="3"/>
        <v>4</v>
      </c>
      <c r="M33" s="238">
        <f t="shared" si="4"/>
        <v>366</v>
      </c>
      <c r="N33" s="241">
        <f t="shared" si="5"/>
        <v>16</v>
      </c>
      <c r="O33" s="241">
        <f t="shared" si="6"/>
        <v>848</v>
      </c>
      <c r="P33" s="238">
        <f t="shared" si="7"/>
        <v>7</v>
      </c>
      <c r="Q33" s="238">
        <f t="shared" si="8"/>
        <v>476</v>
      </c>
      <c r="R33" s="241">
        <f t="shared" si="9"/>
        <v>26</v>
      </c>
      <c r="S33" s="241">
        <f t="shared" si="10"/>
        <v>1252</v>
      </c>
      <c r="T33" s="238">
        <f t="shared" si="11"/>
        <v>1.5</v>
      </c>
      <c r="U33" s="238">
        <f t="shared" si="12"/>
        <v>625.5</v>
      </c>
      <c r="V33" s="241">
        <f t="shared" si="13"/>
        <v>24</v>
      </c>
      <c r="W33" s="241">
        <f t="shared" si="14"/>
        <v>2440.5</v>
      </c>
    </row>
    <row r="34">
      <c r="A34" s="338"/>
      <c r="B34" s="339">
        <f>min(95%,(A32/10)*((0+B32)/4)*(C32/300))</f>
        <v>0.62425</v>
      </c>
      <c r="C34" s="340"/>
      <c r="D34" s="332"/>
      <c r="K34" s="227">
        <f t="shared" si="2"/>
        <v>28</v>
      </c>
      <c r="L34" s="238">
        <f t="shared" si="3"/>
        <v>3</v>
      </c>
      <c r="M34" s="238">
        <f t="shared" si="4"/>
        <v>370</v>
      </c>
      <c r="N34" s="241">
        <f t="shared" si="5"/>
        <v>12</v>
      </c>
      <c r="O34" s="241">
        <f t="shared" si="6"/>
        <v>864</v>
      </c>
      <c r="P34" s="238">
        <f t="shared" si="7"/>
        <v>5</v>
      </c>
      <c r="Q34" s="238">
        <f t="shared" si="8"/>
        <v>483</v>
      </c>
      <c r="R34" s="241">
        <f t="shared" si="9"/>
        <v>20</v>
      </c>
      <c r="S34" s="241">
        <f t="shared" si="10"/>
        <v>1278</v>
      </c>
      <c r="T34" s="238">
        <f t="shared" si="11"/>
        <v>0</v>
      </c>
      <c r="U34" s="238">
        <f t="shared" si="12"/>
        <v>627</v>
      </c>
      <c r="V34" s="241">
        <f t="shared" si="13"/>
        <v>16.5</v>
      </c>
      <c r="W34" s="241">
        <f t="shared" si="14"/>
        <v>2464.5</v>
      </c>
    </row>
    <row r="35">
      <c r="A35" s="341"/>
      <c r="B35" s="342"/>
      <c r="C35" s="342"/>
      <c r="D35" s="343"/>
      <c r="K35" s="227">
        <f t="shared" si="2"/>
        <v>29</v>
      </c>
      <c r="L35" s="238">
        <f t="shared" si="3"/>
        <v>2</v>
      </c>
      <c r="M35" s="238">
        <f t="shared" si="4"/>
        <v>373</v>
      </c>
      <c r="N35" s="241">
        <f t="shared" si="5"/>
        <v>9</v>
      </c>
      <c r="O35" s="241">
        <f t="shared" si="6"/>
        <v>876</v>
      </c>
      <c r="P35" s="238">
        <f t="shared" si="7"/>
        <v>4</v>
      </c>
      <c r="Q35" s="238">
        <f t="shared" si="8"/>
        <v>488</v>
      </c>
      <c r="R35" s="241">
        <f t="shared" si="9"/>
        <v>16</v>
      </c>
      <c r="S35" s="241">
        <f t="shared" si="10"/>
        <v>1298</v>
      </c>
      <c r="T35" s="238">
        <f t="shared" si="11"/>
        <v>0</v>
      </c>
      <c r="U35" s="238">
        <f t="shared" si="12"/>
        <v>627</v>
      </c>
      <c r="V35" s="241">
        <f t="shared" si="13"/>
        <v>10.5</v>
      </c>
      <c r="W35" s="241">
        <f t="shared" si="14"/>
        <v>2481</v>
      </c>
    </row>
    <row r="36">
      <c r="K36" s="227">
        <f t="shared" si="2"/>
        <v>30</v>
      </c>
      <c r="L36" s="238">
        <f t="shared" si="3"/>
        <v>1</v>
      </c>
      <c r="M36" s="238">
        <f t="shared" si="4"/>
        <v>375</v>
      </c>
      <c r="N36" s="241">
        <f t="shared" si="5"/>
        <v>7</v>
      </c>
      <c r="O36" s="241">
        <f t="shared" si="6"/>
        <v>885</v>
      </c>
      <c r="P36" s="238">
        <f t="shared" si="7"/>
        <v>3</v>
      </c>
      <c r="Q36" s="238">
        <f t="shared" si="8"/>
        <v>492</v>
      </c>
      <c r="R36" s="241">
        <f t="shared" si="9"/>
        <v>12</v>
      </c>
      <c r="S36" s="241">
        <f t="shared" si="10"/>
        <v>1314</v>
      </c>
      <c r="T36" s="238">
        <f t="shared" si="11"/>
        <v>0</v>
      </c>
      <c r="U36" s="238">
        <f t="shared" si="12"/>
        <v>627</v>
      </c>
      <c r="V36" s="241">
        <f t="shared" si="13"/>
        <v>6</v>
      </c>
      <c r="W36" s="241">
        <f t="shared" si="14"/>
        <v>2491.5</v>
      </c>
    </row>
    <row r="37">
      <c r="K37" s="227">
        <f t="shared" si="2"/>
        <v>31</v>
      </c>
      <c r="L37" s="238">
        <f t="shared" si="3"/>
        <v>0</v>
      </c>
      <c r="M37" s="238">
        <f t="shared" si="4"/>
        <v>376</v>
      </c>
      <c r="N37" s="241">
        <f t="shared" si="5"/>
        <v>5</v>
      </c>
      <c r="O37" s="241">
        <f t="shared" si="6"/>
        <v>892</v>
      </c>
      <c r="P37" s="238">
        <f t="shared" si="7"/>
        <v>2</v>
      </c>
      <c r="Q37" s="238">
        <f t="shared" si="8"/>
        <v>495</v>
      </c>
      <c r="R37" s="241">
        <f t="shared" si="9"/>
        <v>9</v>
      </c>
      <c r="S37" s="241">
        <f t="shared" si="10"/>
        <v>1326</v>
      </c>
      <c r="T37" s="238">
        <f t="shared" si="11"/>
        <v>0</v>
      </c>
      <c r="U37" s="238">
        <f t="shared" si="12"/>
        <v>627</v>
      </c>
      <c r="V37" s="241">
        <f t="shared" si="13"/>
        <v>3</v>
      </c>
      <c r="W37" s="241">
        <f t="shared" si="14"/>
        <v>2497.5</v>
      </c>
    </row>
    <row r="45">
      <c r="G45" s="288"/>
      <c r="H45" s="344"/>
      <c r="I45" s="288"/>
      <c r="J45" s="288"/>
    </row>
    <row r="46">
      <c r="G46" s="288"/>
      <c r="H46" s="288"/>
      <c r="I46" s="288"/>
      <c r="J46" s="288"/>
    </row>
    <row r="47">
      <c r="K47" s="344"/>
    </row>
    <row r="48">
      <c r="K48" s="344"/>
    </row>
    <row r="49">
      <c r="M49" s="288"/>
      <c r="N49" s="288"/>
      <c r="O49" s="288"/>
      <c r="P49" s="288"/>
      <c r="Q49" s="288"/>
      <c r="R49" s="288"/>
      <c r="S49" s="288"/>
      <c r="T49" s="344"/>
    </row>
    <row r="50">
      <c r="M50" s="288"/>
      <c r="N50" s="288"/>
      <c r="O50" s="288"/>
      <c r="P50" s="288"/>
      <c r="Q50" s="288"/>
      <c r="R50" s="288"/>
      <c r="S50" s="288"/>
      <c r="T50" s="344"/>
    </row>
    <row r="51">
      <c r="M51" s="288"/>
      <c r="N51" s="288"/>
      <c r="O51" s="288"/>
      <c r="P51" s="288"/>
      <c r="Q51" s="288"/>
      <c r="R51" s="288"/>
      <c r="S51" s="288"/>
      <c r="T51" s="288"/>
    </row>
    <row r="52">
      <c r="M52" s="288"/>
      <c r="N52" s="288"/>
      <c r="O52" s="288"/>
      <c r="P52" s="288"/>
      <c r="Q52" s="288"/>
      <c r="R52" s="288"/>
      <c r="S52" s="288"/>
      <c r="T52" s="344"/>
    </row>
    <row r="53">
      <c r="M53" s="288"/>
      <c r="N53" s="288"/>
      <c r="O53" s="288"/>
      <c r="P53" s="288"/>
      <c r="Q53" s="288"/>
      <c r="R53" s="288"/>
      <c r="S53" s="288"/>
      <c r="T53" s="288"/>
    </row>
  </sheetData>
  <customSheetViews>
    <customSheetView guid="{DBF0331A-7161-4710-9928-0F97B5489D4D}" filter="1" showAutoFilter="1">
      <autoFilter ref="$D$15"/>
    </customSheetView>
  </customSheetViews>
  <mergeCells count="33">
    <mergeCell ref="R3:S3"/>
    <mergeCell ref="T3:U3"/>
    <mergeCell ref="A1:D4"/>
    <mergeCell ref="K1:W2"/>
    <mergeCell ref="K3:K4"/>
    <mergeCell ref="L3:M3"/>
    <mergeCell ref="N3:O3"/>
    <mergeCell ref="P3:Q3"/>
    <mergeCell ref="V3:W3"/>
    <mergeCell ref="E1:J2"/>
    <mergeCell ref="E7:J7"/>
    <mergeCell ref="E9:E10"/>
    <mergeCell ref="F9:F10"/>
    <mergeCell ref="G9:G10"/>
    <mergeCell ref="H9:H10"/>
    <mergeCell ref="I9:I10"/>
    <mergeCell ref="J9:J10"/>
    <mergeCell ref="E11:J16"/>
    <mergeCell ref="A16:C16"/>
    <mergeCell ref="A17:C20"/>
    <mergeCell ref="E17:J18"/>
    <mergeCell ref="F19:G19"/>
    <mergeCell ref="H19:I19"/>
    <mergeCell ref="A26:C26"/>
    <mergeCell ref="A27:C30"/>
    <mergeCell ref="A33:C33"/>
    <mergeCell ref="F20:G20"/>
    <mergeCell ref="H20:I20"/>
    <mergeCell ref="F21:G21"/>
    <mergeCell ref="H21:I21"/>
    <mergeCell ref="F22:G22"/>
    <mergeCell ref="H22:I22"/>
    <mergeCell ref="A23:C23"/>
  </mergeCells>
  <conditionalFormatting sqref="A22:B22">
    <cfRule type="cellIs" dxfId="17" priority="1" operator="notBetween">
      <formula>0.25</formula>
      <formula>2</formula>
    </cfRule>
  </conditionalFormatting>
  <conditionalFormatting sqref="C22">
    <cfRule type="cellIs" dxfId="17" priority="2" operator="notBetween">
      <formula>0.25</formula>
      <formula>1.5</formula>
    </cfRule>
  </conditionalFormatting>
  <dataValidations>
    <dataValidation type="list" allowBlank="1" showErrorMessage="1" sqref="J4">
      <formula1>"危险0到5,噩梦"</formula1>
    </dataValidation>
  </dataValidations>
  <drawing r:id="rId2"/>
  <legacyDrawing r:id="rId3"/>
  <tableParts count="3">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3" max="4" width="14.5"/>
  </cols>
  <sheetData>
    <row r="1" ht="25.5" customHeight="1">
      <c r="A1" s="278" t="s">
        <v>444</v>
      </c>
      <c r="B1" s="279" t="s">
        <v>445</v>
      </c>
      <c r="C1" s="118" t="s">
        <v>446</v>
      </c>
      <c r="D1" s="280" t="s">
        <v>447</v>
      </c>
      <c r="E1" s="280" t="s">
        <v>448</v>
      </c>
      <c r="F1" s="280" t="s">
        <v>449</v>
      </c>
      <c r="G1" s="163" t="s">
        <v>450</v>
      </c>
      <c r="H1" s="117" t="s">
        <v>451</v>
      </c>
      <c r="I1" s="117" t="s">
        <v>452</v>
      </c>
      <c r="J1" s="281" t="s">
        <v>453</v>
      </c>
      <c r="K1" s="284" t="s">
        <v>454</v>
      </c>
      <c r="L1" s="285" t="s">
        <v>457</v>
      </c>
      <c r="M1" s="287" t="s">
        <v>459</v>
      </c>
      <c r="N1" s="287" t="s">
        <v>460</v>
      </c>
      <c r="O1" s="112" t="s">
        <v>461</v>
      </c>
      <c r="P1" s="112" t="s">
        <v>462</v>
      </c>
      <c r="AA1" s="288"/>
    </row>
    <row r="2" ht="26.25" customHeight="1">
      <c r="A2" s="289">
        <v>1.0</v>
      </c>
      <c r="B2" s="290">
        <v>5.0</v>
      </c>
      <c r="C2" s="291">
        <v>0.0</v>
      </c>
      <c r="D2" s="292">
        <v>1.0</v>
      </c>
      <c r="E2" s="292">
        <v>1.0</v>
      </c>
      <c r="F2" s="292">
        <v>1.0</v>
      </c>
      <c r="G2" s="293">
        <v>400.0</v>
      </c>
      <c r="H2" s="294">
        <v>0.0</v>
      </c>
      <c r="I2" s="294">
        <v>0.0</v>
      </c>
      <c r="J2" s="296" t="b">
        <v>0</v>
      </c>
      <c r="K2" s="298" t="b">
        <v>0</v>
      </c>
      <c r="L2" s="301">
        <f>(If(C2&gt;-0.5, 1/(1+ 2/30*C2),1+(1-1/(1+ 2/30*(-C2)))))</f>
        <v>1</v>
      </c>
      <c r="M2" s="304">
        <f t="shared" ref="M2:N2" si="1">1+IF($B$2=3,0.12,0)+IF($B$2=4,0.26,0)+IF($B$2=5,0.4,0)</f>
        <v>1.4</v>
      </c>
      <c r="N2" s="304">
        <f t="shared" si="1"/>
        <v>1.4</v>
      </c>
      <c r="O2" s="306">
        <f>If(J2=True,1.5,1)</f>
        <v>1</v>
      </c>
      <c r="P2" s="306">
        <f>If(J2=True,3.5,1)</f>
        <v>1</v>
      </c>
      <c r="AA2" s="288"/>
    </row>
    <row r="3">
      <c r="A3" s="309" t="s">
        <v>123</v>
      </c>
      <c r="B3" s="309" t="s">
        <v>474</v>
      </c>
      <c r="AA3" s="310"/>
    </row>
    <row r="4">
      <c r="A4" s="311" t="s">
        <v>475</v>
      </c>
      <c r="B4" s="313" t="s">
        <v>476</v>
      </c>
      <c r="C4" s="313" t="s">
        <v>478</v>
      </c>
      <c r="D4" s="313" t="s">
        <v>479</v>
      </c>
      <c r="E4" s="313" t="s">
        <v>480</v>
      </c>
      <c r="F4" s="313" t="s">
        <v>481</v>
      </c>
      <c r="G4" s="313" t="s">
        <v>482</v>
      </c>
      <c r="H4" s="313" t="s">
        <v>483</v>
      </c>
      <c r="I4" s="313" t="s">
        <v>484</v>
      </c>
      <c r="J4" s="313" t="s">
        <v>485</v>
      </c>
      <c r="K4" s="313" t="s">
        <v>486</v>
      </c>
      <c r="L4" s="313" t="s">
        <v>488</v>
      </c>
      <c r="M4" s="313" t="s">
        <v>489</v>
      </c>
      <c r="N4" s="313" t="s">
        <v>490</v>
      </c>
      <c r="O4" s="313" t="s">
        <v>491</v>
      </c>
      <c r="P4" s="313" t="s">
        <v>492</v>
      </c>
      <c r="Q4" s="313" t="s">
        <v>493</v>
      </c>
      <c r="R4" s="313" t="s">
        <v>494</v>
      </c>
      <c r="S4" s="313" t="s">
        <v>495</v>
      </c>
      <c r="T4" s="313" t="s">
        <v>496</v>
      </c>
      <c r="U4" s="313" t="s">
        <v>497</v>
      </c>
      <c r="V4" s="313" t="s">
        <v>498</v>
      </c>
      <c r="W4" s="313" t="s">
        <v>499</v>
      </c>
      <c r="X4" s="313" t="s">
        <v>500</v>
      </c>
      <c r="Y4" s="313" t="s">
        <v>501</v>
      </c>
      <c r="Z4" s="313" t="s">
        <v>502</v>
      </c>
      <c r="AA4" s="316" t="s">
        <v>503</v>
      </c>
    </row>
    <row r="5">
      <c r="A5" s="311" t="s">
        <v>123</v>
      </c>
      <c r="B5" s="317">
        <v>0.0</v>
      </c>
      <c r="C5" s="320" t="str">
        <f>Round(C$87*$F$2*IF(EnemyBuffed=TRUE,1.5,1),0) &amp; "  (" &amp; Round(Round(C$87*$F$2*IF(EnemyBuffed=TRUE,1.5,1),0)/4.5,0) &amp; "%" &amp; ")"</f>
        <v>250  (56%)</v>
      </c>
      <c r="D5" s="320" t="str">
        <f>Round(D$87*$F$2*IF(EnemyBuffed=TRUE,1.5,1),0) &amp; "  (" &amp; Round(Round(D$87*$F$2*IF(EnemyBuffed=TRUE,1.5,1),0)/4.5,0) &amp; "%" &amp; ")"</f>
        <v>380  (84%)</v>
      </c>
      <c r="E5" s="320" t="str">
        <f>Round(E$87*$F$2*IF(EnemyBuffed=TRUE,1.5,1),0) &amp; "  (" &amp; Round(Round(E$87*$F$2*IF(EnemyBuffed=TRUE,1.5,1),0)/4.5,0) &amp; "%" &amp; ")"</f>
        <v>200  (44%)</v>
      </c>
      <c r="F5" s="320" t="str">
        <f>Round(F$87*$F$2*IF(EnemyBuffed=TRUE,1.5,1),0) &amp; "  (" &amp; Round(Round(F$87*$F$2*IF(EnemyBuffed=TRUE,1.5,1),0)/4.5,0) &amp; "%" &amp; ")"</f>
        <v>400  (89%)</v>
      </c>
      <c r="G5" s="320" t="str">
        <f>Round(G$87*$F$2*IF(EnemyBuffed=TRUE,1.5,1),0) &amp; "  (" &amp; Round(Round(G$87*$F$2*IF(EnemyBuffed=TRUE,1.5,1),0)/4.5,0) &amp; "%" &amp; ")"</f>
        <v>600  (133%)</v>
      </c>
      <c r="H5" s="320" t="str">
        <f>Round(H$87*$F$2*IF(EnemyBuffed=TRUE,1.5,1),0) &amp; "  (" &amp; Round(Round(H$87*$F$2*IF(EnemyBuffed=TRUE,1.5,1),0)/4.5,0) &amp; "%" &amp; ")"</f>
        <v>300  (67%)</v>
      </c>
      <c r="I5" s="320" t="str">
        <f>Round(I$87*$F$2*IF(EnemyBuffed=TRUE,1.5,1),0) &amp; "  (" &amp; Round(Round(I$87*$F$2*IF(EnemyBuffed=TRUE,1.5,1),0)/4.5,0) &amp; "%" &amp; ")"</f>
        <v>150  (33%)</v>
      </c>
      <c r="J5" s="320" t="str">
        <f>Round(J$87*$F$2*IF(EnemyBuffed=TRUE,1.5,1),0) &amp; "  (" &amp; Round(Round(J$87*$F$2*IF(EnemyBuffed=TRUE,1.5,1),0)/4.5,0) &amp; "%" &amp; ")"</f>
        <v>350  (78%)</v>
      </c>
      <c r="K5" s="320" t="str">
        <f>Round(K$87*$F$2*IF(EnemyBuffed=TRUE,1.5,1),0) &amp; "  (" &amp; Round(Round(K$87*$F$2*IF(EnemyBuffed=TRUE,1.5,1),0)/4.5,0) &amp; "%" &amp; ")"</f>
        <v>400  (89%)</v>
      </c>
      <c r="L5" s="320" t="str">
        <f>Round(L$87*$F$2*IF(EnemyBuffed=TRUE,1.5,1),0) &amp; "  (" &amp; Round(Round(L$87*$F$2*IF(EnemyBuffed=TRUE,1.5,1),0)/4.5,0) &amp; "%" &amp; ")"</f>
        <v>350  (78%)</v>
      </c>
      <c r="M5" s="320" t="str">
        <f>Round(M$87*$F$2*IF(EnemyBuffed=TRUE,1.5,1),0) &amp; "  (" &amp; Round(Round(M$87*$F$2*IF(EnemyBuffed=TRUE,1.5,1),0)/4.5,0) &amp; "%" &amp; ")"</f>
        <v>250  (56%)</v>
      </c>
      <c r="N5" s="320" t="str">
        <f>Round(N$87*$F$2*IF(EnemyBuffed=TRUE,1.5,1),0) &amp; "  (" &amp; Round(Round(N$87*$F$2*IF(EnemyBuffed=TRUE,1.5,1),0)/4.5,0) &amp; "%" &amp; ")"</f>
        <v>400  (89%)</v>
      </c>
      <c r="O5" s="320" t="str">
        <f>Round(O$87*$F$2*IF(EnemyBuffed=TRUE,1.5,1),0) &amp; "  (" &amp; Round(Round(O$87*$F$2*IF(EnemyBuffed=TRUE,1.5,1),0)/4.5,0) &amp; "%" &amp; ")"</f>
        <v>120  (27%)</v>
      </c>
      <c r="P5" s="320" t="str">
        <f>Round(P$87*$F$2*IF(EnemyBuffed=TRUE,1.5,1),0) &amp; "  (" &amp; Round(Round(P$87*$F$2*IF(EnemyBuffed=TRUE,1.5,1),0)/4.5,0) &amp; "%" &amp; ")"</f>
        <v>350  (78%)</v>
      </c>
      <c r="Q5" s="320" t="str">
        <f>Round(Q$87*$F$2*IF(EnemyBuffed=TRUE,1.5,1),0) &amp; "  (" &amp; Round(Round(Q$87*$F$2*IF(EnemyBuffed=TRUE,1.5,1),0)/4.5,0) &amp; "%" &amp; ")"</f>
        <v>300  (67%)</v>
      </c>
      <c r="R5" s="320" t="str">
        <f>Round(R$87*$F$2*IF(EnemyBuffed=TRUE,1.5,1),0) &amp; "  (" &amp; Round(Round(R$87*$F$2*IF(EnemyBuffed=TRUE,1.5,1),0)/4.5,0) &amp; "%" &amp; ")"</f>
        <v>425  (94%)</v>
      </c>
      <c r="S5" s="320" t="str">
        <f>Round(S$87*$F$2*IF(EnemyBuffed=TRUE,1.5,1),0) &amp; "  (" &amp; Round(Round(S$87*$F$2*IF(EnemyBuffed=TRUE,1.5,1),0)/4.5,0) &amp; "%" &amp; ")"</f>
        <v>0  (0%)</v>
      </c>
      <c r="T5" s="320" t="str">
        <f>Round(T$87*$F$2*IF(EnemyBuffed=TRUE,1.5,1),0) &amp; "  (" &amp; Round(Round(T$87*$F$2*IF(EnemyBuffed=TRUE,1.5,1),0)/4.5,0) &amp; "%" &amp; ")"</f>
        <v>275  (61%)</v>
      </c>
      <c r="U5" s="320" t="str">
        <f>Round(U$87*$F$2*IF(EnemyBuffed=TRUE,1.5,1),0) &amp; "  (" &amp; Round(Round(U$87*$F$2*IF(EnemyBuffed=TRUE,1.5,1),0)/4.5,0) &amp; "%" &amp; ")"</f>
        <v>175  (39%)</v>
      </c>
      <c r="V5" s="320" t="str">
        <f>Round(V$87*$F$2*IF(EnemyBuffed=TRUE,1.5,1),0) &amp; "  (" &amp; Round(Round(V$87*$F$2*IF(EnemyBuffed=TRUE,1.5,1),0)/4.5,0) &amp; "%" &amp; ")"</f>
        <v>250  (56%)</v>
      </c>
      <c r="W5" s="320" t="str">
        <f>Round(W$87*$F$2*IF(EnemyBuffed=TRUE,1.5,1),0) &amp; "  (" &amp; Round(Round(W$87*$F$2*IF(EnemyBuffed=TRUE,1.5,1),0)/4.5,0) &amp; "%" &amp; ")"</f>
        <v>200  (44%)</v>
      </c>
      <c r="X5" s="320" t="str">
        <f>Round(X$87*$F$2*IF(EnemyBuffed=TRUE,1.5,1),0) &amp; "  (" &amp; Round(Round(X$87*$F$2*IF(EnemyBuffed=TRUE,1.5,1),0)/4.5,0) &amp; "%" &amp; ")"</f>
        <v>350  (78%)</v>
      </c>
      <c r="Y5" s="320" t="str">
        <f>Round(Y$87*$F$2*IF(EnemyBuffed=TRUE,1.5,1),0) &amp; "  (" &amp; Round(Round(Y$87*$F$2*IF(EnemyBuffed=TRUE,1.5,1),0)/4.5,0) &amp; "%" &amp; ")"</f>
        <v>300  (67%)</v>
      </c>
      <c r="Z5" s="320" t="str">
        <f>Round(Z$87*$F$2*IF(EnemyBuffed=TRUE,1.5,1),0) &amp; "  (" &amp; Round(Round(Z$87*$F$2*IF(EnemyBuffed=TRUE,1.5,1),0)/4.5,0) &amp; "%" &amp; ")"</f>
        <v>200  (44%)</v>
      </c>
      <c r="AA5" s="320" t="str">
        <f>Round(AA$87*$F$2*IF(EnemyBuffed=TRUE,1.5,1),0) &amp; "  (" &amp; Round(Round(AA$87*$F$2*IF(EnemyBuffed=TRUE,1.5,1),0)/4.5,0) &amp; "%" &amp; ")"</f>
        <v>350  (78%)</v>
      </c>
    </row>
    <row r="6">
      <c r="A6" s="345" t="str">
        <f> "无尽 " &amp; $G$2</f>
        <v>Endless 400</v>
      </c>
      <c r="B6" s="317">
        <v>0.0</v>
      </c>
      <c r="C6" s="320" t="str">
        <f>Round(C$87*$F$2*IF(EnemyBuffed=TRUE,1.5,1)*(1+Min(1.75,IF($G$2&gt;20,(Max(0,((($G$2-20)*(($G$2-20)+1))/2)/100)*(2+Max(0,($G$2-35)*0.2))/(1000/75)),0))),0) &amp; "  (" &amp; Round(Round(C$87*$F$2*IF(EnemyBuffed=TRUE,1.5,1)*(1+Min(1.75,IF($G$2&gt;20,(Max(0,((($G$2-20)*(($G$2-20)+1))/2)/100)*(2+Max(0,($G$2-35)*0.2))/(1000/75)),0))),0)/4.5,0) &amp; "%" &amp; ")"
</f>
        <v>688  (153%)</v>
      </c>
      <c r="D6" s="320" t="str">
        <f>Round(D$87*$F$2*IF(EnemyBuffed=TRUE,1.5,1)*(1+Min(1.75,IF($G$2&gt;20,(Max(0,((($G$2-20)*(($G$2-20)+1))/2)/100)*(2+Max(0,($G$2-35)*0.2))/(1000/75)),0))),0) &amp; "  (" &amp; Round(Round(D$87*$F$2*IF(EnemyBuffed=TRUE,1.5,1)*(1+Min(1.75,IF($G$2&gt;20,(Max(0,((($G$2-20)*(($G$2-20)+1))/2)/100)*(2+Max(0,($G$2-35)*0.2))/(1000/75)),0))),0)/4.5,0) &amp; "%" &amp; ")"
</f>
        <v>1045  (232%)</v>
      </c>
      <c r="E6" s="320" t="str">
        <f>Round(E$87*$F$2*IF(EnemyBuffed=TRUE,1.5,1)*(1+Min(1.75,IF($G$2&gt;20,(Max(0,((($G$2-20)*(($G$2-20)+1))/2)/100)*(2+Max(0,($G$2-35)*0.2))/(1000/75)),0))),0) &amp; "  (" &amp; Round(Round(E$87*$F$2*IF(EnemyBuffed=TRUE,1.5,1)*(1+Min(1.75,IF($G$2&gt;20,(Max(0,((($G$2-20)*(($G$2-20)+1))/2)/100)*(2+Max(0,($G$2-35)*0.2))/(1000/75)),0))),0)/4.5,0) &amp; "%" &amp; ")"
</f>
        <v>550  (122%)</v>
      </c>
      <c r="F6" s="320" t="str">
        <f>Round(F$87*$F$2*IF(EnemyBuffed=TRUE,1.5,1)*(1+Min(1.75,IF($G$2&gt;20,(Max(0,((($G$2-20)*(($G$2-20)+1))/2)/100)*(2+Max(0,($G$2-35)*0.2))/(1000/75)),0))),0) &amp; "  (" &amp; Round(Round(F$87*$F$2*IF(EnemyBuffed=TRUE,1.5,1)*(1+Min(1.75,IF($G$2&gt;20,(Max(0,((($G$2-20)*(($G$2-20)+1))/2)/100)*(2+Max(0,($G$2-35)*0.2))/(1000/75)),0))),0)/4.5,0) &amp; "%" &amp; ")"
</f>
        <v>1100  (244%)</v>
      </c>
      <c r="G6" s="320" t="str">
        <f>Round(G$87*$F$2*IF(EnemyBuffed=TRUE,1.5,1)*(1+Min(1.75,IF($G$2&gt;20,(Max(0,((($G$2-20)*(($G$2-20)+1))/2)/100)*(2+Max(0,($G$2-35)*0.2))/(1000/75)),0))),0) &amp; "  (" &amp; Round(Round(G$87*$F$2*IF(EnemyBuffed=TRUE,1.5,1)*(1+Min(1.75,IF($G$2&gt;20,(Max(0,((($G$2-20)*(($G$2-20)+1))/2)/100)*(2+Max(0,($G$2-35)*0.2))/(1000/75)),0))),0)/4.5,0) &amp; "%" &amp; ")"
</f>
        <v>1650  (367%)</v>
      </c>
      <c r="H6" s="320" t="str">
        <f>Round(H$87*$F$2*IF(EnemyBuffed=TRUE,1.5,1)*(1+Min(1.75,IF($G$2&gt;20,(Max(0,((($G$2-20)*(($G$2-20)+1))/2)/100)*(2+Max(0,($G$2-35)*0.2))/(1000/75)),0))),0) &amp; "  (" &amp; Round(Round(H$87*$F$2*IF(EnemyBuffed=TRUE,1.5,1)*(1+Min(1.75,IF($G$2&gt;20,(Max(0,((($G$2-20)*(($G$2-20)+1))/2)/100)*(2+Max(0,($G$2-35)*0.2))/(1000/75)),0))),0)/4.5,0) &amp; "%" &amp; ")"
</f>
        <v>825  (183%)</v>
      </c>
      <c r="I6" s="320" t="str">
        <f>Round(I$87*$F$2*IF(EnemyBuffed=TRUE,1.5,1)*(1+Min(1.75,IF($G$2&gt;20,(Max(0,((($G$2-20)*(($G$2-20)+1))/2)/100)*(2+Max(0,($G$2-35)*0.2))/(1000/75)),0))),0) &amp; "  (" &amp; Round(Round(I$87*$F$2*IF(EnemyBuffed=TRUE,1.5,1)*(1+Min(1.75,IF($G$2&gt;20,(Max(0,((($G$2-20)*(($G$2-20)+1))/2)/100)*(2+Max(0,($G$2-35)*0.2))/(1000/75)),0))),0)/4.5,0) &amp; "%" &amp; ")"
</f>
        <v>413  (92%)</v>
      </c>
      <c r="J6" s="320" t="str">
        <f>Round(J$87*$F$2*IF(EnemyBuffed=TRUE,1.5,1)*(1+Min(1.75,IF($G$2&gt;20,(Max(0,((($G$2-20)*(($G$2-20)+1))/2)/100)*(2+Max(0,($G$2-35)*0.2))/(1000/75)),0))),0) &amp; "  (" &amp; Round(Round(J$87*$F$2*IF(EnemyBuffed=TRUE,1.5,1)*(1+Min(1.75,IF($G$2&gt;20,(Max(0,((($G$2-20)*(($G$2-20)+1))/2)/100)*(2+Max(0,($G$2-35)*0.2))/(1000/75)),0))),0)/4.5,0) &amp; "%" &amp; ")"
</f>
        <v>963  (214%)</v>
      </c>
      <c r="K6" s="320" t="str">
        <f>Round(K$87*$F$2*IF(EnemyBuffed=TRUE,1.5,1)*(1+Min(1.75,IF($G$2&gt;20,(Max(0,((($G$2-20)*(($G$2-20)+1))/2)/100)*(2+Max(0,($G$2-35)*0.2))/(1000/75)),0))),0) &amp; "  (" &amp; Round(Round(K$87*$F$2*IF(EnemyBuffed=TRUE,1.5,1)*(1+Min(1.75,IF($G$2&gt;20,(Max(0,((($G$2-20)*(($G$2-20)+1))/2)/100)*(2+Max(0,($G$2-35)*0.2))/(1000/75)),0))),0)/4.5,0) &amp; "%" &amp; ")"
</f>
        <v>1100  (244%)</v>
      </c>
      <c r="L6" s="320" t="str">
        <f>Round(L$87*$F$2*IF(EnemyBuffed=TRUE,1.5,1)*(1+Min(1.75,IF($G$2&gt;20,(Max(0,((($G$2-20)*(($G$2-20)+1))/2)/100)*(2+Max(0,($G$2-35)*0.2))/(1000/75)),0))),0) &amp; "  (" &amp; Round(Round(L$87*$F$2*IF(EnemyBuffed=TRUE,1.5,1)*(1+Min(1.75,IF($G$2&gt;20,(Max(0,((($G$2-20)*(($G$2-20)+1))/2)/100)*(2+Max(0,($G$2-35)*0.2))/(1000/75)),0))),0)/4.5,0) &amp; "%" &amp; ")"
</f>
        <v>963  (214%)</v>
      </c>
      <c r="M6" s="320" t="str">
        <f>Round(M$87*$F$2*IF(EnemyBuffed=TRUE,1.5,1)*(1+Min(1.75,IF($G$2&gt;20,(Max(0,((($G$2-20)*(($G$2-20)+1))/2)/100)*(2+Max(0,($G$2-35)*0.2))/(1000/75)),0))),0) &amp; "  (" &amp; Round(Round(M$87*$F$2*IF(EnemyBuffed=TRUE,1.5,1)*(1+Min(1.75,IF($G$2&gt;20,(Max(0,((($G$2-20)*(($G$2-20)+1))/2)/100)*(2+Max(0,($G$2-35)*0.2))/(1000/75)),0))),0)/4.5,0) &amp; "%" &amp; ")"
</f>
        <v>688  (153%)</v>
      </c>
      <c r="N6" s="320" t="str">
        <f>Round(N$87*$F$2*IF(EnemyBuffed=TRUE,1.5,1)*(1+Min(1.75,IF($G$2&gt;20,(Max(0,((($G$2-20)*(($G$2-20)+1))/2)/100)*(2+Max(0,($G$2-35)*0.2))/(1000/75)),0))),0) &amp; "  (" &amp; Round(Round(N$87*$F$2*IF(EnemyBuffed=TRUE,1.5,1)*(1+Min(1.75,IF($G$2&gt;20,(Max(0,((($G$2-20)*(($G$2-20)+1))/2)/100)*(2+Max(0,($G$2-35)*0.2))/(1000/75)),0))),0)/4.5,0) &amp; "%" &amp; ")"
</f>
        <v>1100  (244%)</v>
      </c>
      <c r="O6" s="320" t="str">
        <f>Round(O$87*$F$2*IF(EnemyBuffed=TRUE,1.5,1)*(1+Min(1.75,IF($G$2&gt;20,(Max(0,((($G$2-20)*(($G$2-20)+1))/2)/100)*(2+Max(0,($G$2-35)*0.2))/(1000/75)),0))),0) &amp; "  (" &amp; Round(Round(O$87*$F$2*IF(EnemyBuffed=TRUE,1.5,1)*(1+Min(1.75,IF($G$2&gt;20,(Max(0,((($G$2-20)*(($G$2-20)+1))/2)/100)*(2+Max(0,($G$2-35)*0.2))/(1000/75)),0))),0)/4.5,0) &amp; "%" &amp; ")"
</f>
        <v>330  (73%)</v>
      </c>
      <c r="P6" s="320" t="str">
        <f>Round(P$87*$F$2*IF(EnemyBuffed=TRUE,1.5,1)*(1+Min(1.75,IF($G$2&gt;20,(Max(0,((($G$2-20)*(($G$2-20)+1))/2)/100)*(2+Max(0,($G$2-35)*0.2))/(1000/75)),0))),0) &amp; "  (" &amp; Round(Round(P$87*$F$2*IF(EnemyBuffed=TRUE,1.5,1)*(1+Min(1.75,IF($G$2&gt;20,(Max(0,((($G$2-20)*(($G$2-20)+1))/2)/100)*(2+Max(0,($G$2-35)*0.2))/(1000/75)),0))),0)/4.5,0) &amp; "%" &amp; ")"
</f>
        <v>963  (214%)</v>
      </c>
      <c r="Q6" s="320" t="str">
        <f>Round(Q$87*$F$2*IF(EnemyBuffed=TRUE,1.5,1)*(1+Min(1.75,IF($G$2&gt;20,(Max(0,((($G$2-20)*(($G$2-20)+1))/2)/100)*(2+Max(0,($G$2-35)*0.2))/(1000/75)),0))),0) &amp; "  (" &amp; Round(Round(Q$87*$F$2*IF(EnemyBuffed=TRUE,1.5,1)*(1+Min(1.75,IF($G$2&gt;20,(Max(0,((($G$2-20)*(($G$2-20)+1))/2)/100)*(2+Max(0,($G$2-35)*0.2))/(1000/75)),0))),0)/4.5,0) &amp; "%" &amp; ")"
</f>
        <v>825  (183%)</v>
      </c>
      <c r="R6" s="320" t="str">
        <f>Round(R$87*$F$2*IF(EnemyBuffed=TRUE,1.5,1)*(1+Min(1.75,IF($G$2&gt;20,(Max(0,((($G$2-20)*(($G$2-20)+1))/2)/100)*(2+Max(0,($G$2-35)*0.2))/(1000/75)),0))),0) &amp; "  (" &amp; Round(Round(R$87*$F$2*IF(EnemyBuffed=TRUE,1.5,1)*(1+Min(1.75,IF($G$2&gt;20,(Max(0,((($G$2-20)*(($G$2-20)+1))/2)/100)*(2+Max(0,($G$2-35)*0.2))/(1000/75)),0))),0)/4.5,0) &amp; "%" &amp; ")"
</f>
        <v>1169  (260%)</v>
      </c>
      <c r="S6" s="320" t="str">
        <f>Round(S$87*$F$2*IF(EnemyBuffed=TRUE,1.5,1)*(1+Min(1.75,IF($G$2&gt;20,(Max(0,((($G$2-20)*(($G$2-20)+1))/2)/100)*(2+Max(0,($G$2-35)*0.2))/(1000/75)),0))),0) &amp; "  (" &amp; Round(Round(S$87*$F$2*IF(EnemyBuffed=TRUE,1.5,1)*(1+Min(1.75,IF($G$2&gt;20,(Max(0,((($G$2-20)*(($G$2-20)+1))/2)/100)*(2+Max(0,($G$2-35)*0.2))/(1000/75)),0))),0)/4.5,0) &amp; "%" &amp; ")"
</f>
        <v>0  (0%)</v>
      </c>
      <c r="T6" s="320" t="str">
        <f>Round(T$87*$F$2*IF(EnemyBuffed=TRUE,1.5,1)*(1+Min(1.75,IF($G$2&gt;20,(Max(0,((($G$2-20)*(($G$2-20)+1))/2)/100)*(2+Max(0,($G$2-35)*0.2))/(1000/75)),0))),0) &amp; "  (" &amp; Round(Round(T$87*$F$2*IF(EnemyBuffed=TRUE,1.5,1)*(1+Min(1.75,IF($G$2&gt;20,(Max(0,((($G$2-20)*(($G$2-20)+1))/2)/100)*(2+Max(0,($G$2-35)*0.2))/(1000/75)),0))),0)/4.5,0) &amp; "%" &amp; ")"
</f>
        <v>756  (168%)</v>
      </c>
      <c r="U6" s="320" t="str">
        <f>Round(U$87*$F$2*IF(EnemyBuffed=TRUE,1.5,1)*(1+Min(1.75,IF($G$2&gt;20,(Max(0,((($G$2-20)*(($G$2-20)+1))/2)/100)*(2+Max(0,($G$2-35)*0.2))/(1000/75)),0))),0) &amp; "  (" &amp; Round(Round(U$87*$F$2*IF(EnemyBuffed=TRUE,1.5,1)*(1+Min(1.75,IF($G$2&gt;20,(Max(0,((($G$2-20)*(($G$2-20)+1))/2)/100)*(2+Max(0,($G$2-35)*0.2))/(1000/75)),0))),0)/4.5,0) &amp; "%" &amp; ")"
</f>
        <v>481  (107%)</v>
      </c>
      <c r="V6" s="320" t="str">
        <f>Round(V$87*$F$2*IF(EnemyBuffed=TRUE,1.5,1)*(1+Min(1.75,IF($G$2&gt;20,(Max(0,((($G$2-20)*(($G$2-20)+1))/2)/100)*(2+Max(0,($G$2-35)*0.2))/(1000/75)),0))),0) &amp; "  (" &amp; Round(Round(V$87*$F$2*IF(EnemyBuffed=TRUE,1.5,1)*(1+Min(1.75,IF($G$2&gt;20,(Max(0,((($G$2-20)*(($G$2-20)+1))/2)/100)*(2+Max(0,($G$2-35)*0.2))/(1000/75)),0))),0)/4.5,0) &amp; "%" &amp; ")"
</f>
        <v>688  (153%)</v>
      </c>
      <c r="W6" s="320" t="str">
        <f>Round(W$87*$F$2*IF(EnemyBuffed=TRUE,1.5,1)*(1+Min(1.75,IF($G$2&gt;20,(Max(0,((($G$2-20)*(($G$2-20)+1))/2)/100)*(2+Max(0,($G$2-35)*0.2))/(1000/75)),0))),0) &amp; "  (" &amp; Round(Round(W$87*$F$2*IF(EnemyBuffed=TRUE,1.5,1)*(1+Min(1.75,IF($G$2&gt;20,(Max(0,((($G$2-20)*(($G$2-20)+1))/2)/100)*(2+Max(0,($G$2-35)*0.2))/(1000/75)),0))),0)/4.5,0) &amp; "%" &amp; ")"
</f>
        <v>550  (122%)</v>
      </c>
      <c r="X6" s="320" t="str">
        <f>Round(X$87*$F$2*IF(EnemyBuffed=TRUE,1.5,1)*(1+Min(1.75,IF($G$2&gt;20,(Max(0,((($G$2-20)*(($G$2-20)+1))/2)/100)*(2+Max(0,($G$2-35)*0.2))/(1000/75)),0))),0) &amp; "  (" &amp; Round(Round(X$87*$F$2*IF(EnemyBuffed=TRUE,1.5,1)*(1+Min(1.75,IF($G$2&gt;20,(Max(0,((($G$2-20)*(($G$2-20)+1))/2)/100)*(2+Max(0,($G$2-35)*0.2))/(1000/75)),0))),0)/4.5,0) &amp; "%" &amp; ")"
</f>
        <v>963  (214%)</v>
      </c>
      <c r="Y6" s="320" t="str">
        <f>Round(Y$87*$F$2*IF(EnemyBuffed=TRUE,1.5,1)*(1+Min(1.75,IF($G$2&gt;20,(Max(0,((($G$2-20)*(($G$2-20)+1))/2)/100)*(2+Max(0,($G$2-35)*0.2))/(1000/75)),0))),0) &amp; "  (" &amp; Round(Round(Y$87*$F$2*IF(EnemyBuffed=TRUE,1.5,1)*(1+Min(1.75,IF($G$2&gt;20,(Max(0,((($G$2-20)*(($G$2-20)+1))/2)/100)*(2+Max(0,($G$2-35)*0.2))/(1000/75)),0))),0)/4.5,0) &amp; "%" &amp; ")"
</f>
        <v>825  (183%)</v>
      </c>
      <c r="Z6" s="320" t="str">
        <f>Round(Z$87*$F$2*IF(EnemyBuffed=TRUE,1.5,1)*(1+Min(1.75,IF($G$2&gt;20,(Max(0,((($G$2-20)*(($G$2-20)+1))/2)/100)*(2+Max(0,($G$2-35)*0.2))/(1000/75)),0))),0) &amp; "  (" &amp; Round(Round(Z$87*$F$2*IF(EnemyBuffed=TRUE,1.5,1)*(1+Min(1.75,IF($G$2&gt;20,(Max(0,((($G$2-20)*(($G$2-20)+1))/2)/100)*(2+Max(0,($G$2-35)*0.2))/(1000/75)),0))),0)/4.5,0) &amp; "%" &amp; ")"
</f>
        <v>550  (122%)</v>
      </c>
      <c r="AA6" s="320" t="str">
        <f>Round(AA$87*$F$2*IF(EnemyBuffed=TRUE,1.5,1)*(1+Min(1.75,IF($G$2&gt;20,(Max(0,((($G$2-20)*(($G$2-20)+1))/2)/100)*(2+Max(0,($G$2-35)*0.2))/(1000/75)),0))),0) &amp; "  (" &amp; Round(Round(AA$87*$F$2*IF(EnemyBuffed=TRUE,1.5,1)*(1+Min(1.75,IF($G$2&gt;20,(Max(0,((($G$2-20)*(($G$2-20)+1))/2)/100)*(2+Max(0,($G$2-35)*0.2))/(1000/75)),0))),0)/4.5,0) &amp; "%" &amp; ")"
</f>
        <v>963  (214%)</v>
      </c>
    </row>
    <row r="7">
      <c r="A7" s="359" t="s">
        <v>598</v>
      </c>
      <c r="B7" s="359"/>
      <c r="AA7" s="360"/>
    </row>
    <row r="8">
      <c r="A8" s="361" t="s">
        <v>107</v>
      </c>
      <c r="B8" s="313" t="s">
        <v>476</v>
      </c>
      <c r="C8" s="313" t="s">
        <v>478</v>
      </c>
      <c r="D8" s="313" t="s">
        <v>479</v>
      </c>
      <c r="E8" s="313" t="s">
        <v>480</v>
      </c>
      <c r="F8" s="313" t="s">
        <v>481</v>
      </c>
      <c r="G8" s="313" t="s">
        <v>482</v>
      </c>
      <c r="H8" s="313" t="s">
        <v>483</v>
      </c>
      <c r="I8" s="313" t="s">
        <v>484</v>
      </c>
      <c r="J8" s="313" t="s">
        <v>485</v>
      </c>
      <c r="K8" s="313" t="s">
        <v>486</v>
      </c>
      <c r="L8" s="313" t="s">
        <v>488</v>
      </c>
      <c r="M8" s="313" t="s">
        <v>489</v>
      </c>
      <c r="N8" s="313" t="s">
        <v>490</v>
      </c>
      <c r="O8" s="313" t="s">
        <v>491</v>
      </c>
      <c r="P8" s="313" t="s">
        <v>492</v>
      </c>
      <c r="Q8" s="313" t="s">
        <v>493</v>
      </c>
      <c r="R8" s="313" t="s">
        <v>494</v>
      </c>
      <c r="S8" s="313" t="s">
        <v>495</v>
      </c>
      <c r="T8" s="313" t="s">
        <v>496</v>
      </c>
      <c r="U8" s="313" t="s">
        <v>497</v>
      </c>
      <c r="V8" s="313" t="s">
        <v>498</v>
      </c>
      <c r="W8" s="313" t="s">
        <v>499</v>
      </c>
      <c r="X8" s="313" t="s">
        <v>500</v>
      </c>
      <c r="Y8" s="313" t="s">
        <v>501</v>
      </c>
      <c r="Z8" s="313" t="s">
        <v>502</v>
      </c>
      <c r="AA8" s="316" t="s">
        <v>503</v>
      </c>
    </row>
    <row r="9">
      <c r="A9" s="146" t="s">
        <v>669</v>
      </c>
      <c r="B9" s="317">
        <v>10.0</v>
      </c>
      <c r="C9" s="317">
        <v>3.0</v>
      </c>
      <c r="D9" s="317">
        <v>1.0</v>
      </c>
      <c r="E9" s="317">
        <v>8.0</v>
      </c>
      <c r="F9" s="317">
        <v>4.0</v>
      </c>
      <c r="G9" s="317">
        <v>10.0</v>
      </c>
      <c r="H9" s="317">
        <v>20.0</v>
      </c>
      <c r="I9" s="317">
        <v>20.0</v>
      </c>
      <c r="J9" s="317">
        <v>15.0</v>
      </c>
      <c r="K9" s="317">
        <v>10.0</v>
      </c>
      <c r="L9" s="317">
        <v>50.0</v>
      </c>
      <c r="M9" s="317">
        <v>8.0</v>
      </c>
      <c r="N9" s="317">
        <v>12.0</v>
      </c>
      <c r="O9" s="317">
        <v>10.0</v>
      </c>
      <c r="P9" s="317">
        <v>5.0</v>
      </c>
      <c r="Q9" s="317">
        <v>30.0</v>
      </c>
      <c r="R9" s="317">
        <v>12.0</v>
      </c>
      <c r="S9" s="317">
        <v>5.0</v>
      </c>
      <c r="T9" s="317">
        <v>50.0</v>
      </c>
      <c r="U9" s="317">
        <v>100.0</v>
      </c>
      <c r="V9" s="317">
        <v>1.0</v>
      </c>
      <c r="W9" s="317">
        <v>1.0</v>
      </c>
      <c r="X9" s="317">
        <v>1.0</v>
      </c>
      <c r="Y9" s="317">
        <v>15000.0</v>
      </c>
      <c r="Z9" s="317">
        <v>15000.0</v>
      </c>
      <c r="AA9" s="317">
        <v>30.0</v>
      </c>
    </row>
    <row r="10">
      <c r="A10" s="146" t="s">
        <v>671</v>
      </c>
      <c r="B10" s="317">
        <v>5.0</v>
      </c>
      <c r="C10" s="317">
        <v>2.0</v>
      </c>
      <c r="D10" s="317">
        <v>1.0</v>
      </c>
      <c r="E10" s="317">
        <v>1.0</v>
      </c>
      <c r="F10" s="317">
        <v>2.5</v>
      </c>
      <c r="G10" s="317">
        <v>24.0</v>
      </c>
      <c r="H10" s="317">
        <v>11.0</v>
      </c>
      <c r="I10" s="317">
        <v>3.0</v>
      </c>
      <c r="J10" s="317">
        <v>4.0</v>
      </c>
      <c r="K10" s="317">
        <v>8.0</v>
      </c>
      <c r="L10" s="317">
        <v>25.0</v>
      </c>
      <c r="M10" s="317">
        <v>3.0</v>
      </c>
      <c r="N10" s="317">
        <v>2.0</v>
      </c>
      <c r="O10" s="317">
        <v>1.0</v>
      </c>
      <c r="P10" s="317">
        <v>5.0</v>
      </c>
      <c r="Q10" s="317">
        <v>22.0</v>
      </c>
      <c r="R10" s="317">
        <v>5.0</v>
      </c>
      <c r="S10" s="317">
        <v>3.0</v>
      </c>
      <c r="T10" s="317">
        <v>25.0</v>
      </c>
      <c r="U10" s="317">
        <v>20.0</v>
      </c>
      <c r="V10" s="317">
        <v>750.0</v>
      </c>
      <c r="W10" s="317">
        <v>750.0</v>
      </c>
      <c r="X10" s="317">
        <v>700.0</v>
      </c>
      <c r="Y10" s="317">
        <v>750.0</v>
      </c>
      <c r="Z10" s="317">
        <v>750.0</v>
      </c>
      <c r="AA10" s="317">
        <v>15.0</v>
      </c>
    </row>
    <row r="11">
      <c r="A11" s="362">
        <v>1.0</v>
      </c>
      <c r="B11" s="363">
        <f>Rounddown(Round(Round((B$9+B$10*($A11-1))*(1+(EnemyHPSlider-1)+(EnemyHPDanger-1)+(EnemyJackHP-1)),0)*IF($A11&gt;20,(1+Max(0,((($A11-20)*(($A11-20)+1))/2)/100)*(2+Max(0,($A11-35)*0.2))*2),1),0)*IF(EnemyBuffed=TRUE,2.5,1),0)</f>
        <v>14</v>
      </c>
      <c r="C11" s="363">
        <f>Rounddown(Round(Round((C$9+C$10*($A11-1))*(1+(EnemyHPSlider-1)+(EnemyHPDanger-1)+(EnemyJackHP-1)),0)*IF($A11&gt;20,(1+Max(0,((($A11-20)*(($A11-20)+1))/2)/100)*(2+Max(0,($A11-35)*0.2))*2),1),0)*IF(EnemyBuffed=TRUE,2.5,1),0)</f>
        <v>4</v>
      </c>
      <c r="D11" s="363">
        <f>Rounddown(Round(Round((D$9+D$10*($A11-1))*(1+(EnemyHPSlider-1)+(EnemyHPDanger-1)+(EnemyJackHP-1)),0)*IF($A11&gt;20,(1+Max(0,((($A11-20)*(($A11-20)+1))/2)/100)*(2+Max(0,($A11-35)*0.2))*2),1),0)*IF(EnemyBuffed=TRUE,2.5,1),0)</f>
        <v>1</v>
      </c>
      <c r="E11" s="363">
        <f>Rounddown(Round(Round((E$9+E$10*($A11-1))*(1+(EnemyHPSlider-1)+(EnemyHPDanger-1)+(EnemyJackHP-1)),0)*IF($A11&gt;20,(1+Max(0,((($A11-20)*(($A11-20)+1))/2)/100)*(2+Max(0,($A11-35)*0.2))*2),1),0)*IF(EnemyBuffed=TRUE,2.5,1),0)</f>
        <v>11</v>
      </c>
      <c r="F11" s="363">
        <f>Rounddown(Round(Round((F$9+F$10*($A11-1))*(1+(EnemyHPSlider-1)+(EnemyHPDanger-1)+(EnemyJackHP-1)),0)*IF($A11&gt;20,(1+Max(0,((($A11-20)*(($A11-20)+1))/2)/100)*(2+Max(0,($A11-35)*0.2))*2),1),0)*IF(EnemyBuffed=TRUE,2.5,1),0)</f>
        <v>6</v>
      </c>
      <c r="G11" s="363">
        <f>Rounddown(Round(Round((G$9+G$10*($A11-1))*(1+(EnemyHPSlider-1)+(EnemyHPDanger-1)+(EnemyJackHP-1)),0)*IF($A11&gt;20,(1+Max(0,((($A11-20)*(($A11-20)+1))/2)/100)*(2+Max(0,($A11-35)*0.2))*2),1),0)*IF(EnemyBuffed=TRUE,2.5,1),0)</f>
        <v>14</v>
      </c>
      <c r="H11" s="363">
        <f>Rounddown(Round(Round((H$9+H$10*($A11-1))*(1+(EnemyHPSlider-1)+(EnemyHPDanger-1)+(EnemyJackHP-1)),0)*IF($A11&gt;20,(1+Max(0,((($A11-20)*(($A11-20)+1))/2)/100)*(2+Max(0,($A11-35)*0.2))*2),1),0)*IF(EnemyBuffed=TRUE,2.5,1),0)</f>
        <v>28</v>
      </c>
      <c r="I11" s="363">
        <f>Rounddown(Round(Round((I$9+I$10*($A11-1))*(1+(EnemyHPSlider-1)+(EnemyHPDanger-1)+(EnemyJackHP-1)),0)*IF($A11&gt;20,(1+Max(0,((($A11-20)*(($A11-20)+1))/2)/100)*(2+Max(0,($A11-35)*0.2))*2),1),0)*IF(EnemyBuffed=TRUE,2.5,1),0)</f>
        <v>28</v>
      </c>
      <c r="J11" s="363">
        <f>Rounddown(Round(Round((J$9+J$10*($A11-1))*(1+(EnemyHPSlider-1)+(EnemyHPDanger-1)+(EnemyJackHP-1)),0)*IF($A11&gt;20,(1+Max(0,((($A11-20)*(($A11-20)+1))/2)/100)*(2+Max(0,($A11-35)*0.2))*2),1),0)*IF(EnemyBuffed=TRUE,2.5,1),0)</f>
        <v>21</v>
      </c>
      <c r="K11" s="363">
        <f>Rounddown(Round(Round((K$9+K$10*($A11-1))*(1+(EnemyHPSlider-1)+(EnemyHPDanger-1)+(EnemyJackHP-1)),0)*IF($A11&gt;20,(1+Max(0,((($A11-20)*(($A11-20)+1))/2)/100)*(2+Max(0,($A11-35)*0.2))*2),1),0)*IF(EnemyBuffed=TRUE,2.5,1),0)</f>
        <v>14</v>
      </c>
      <c r="L11" s="363">
        <f>Rounddown(Round(Round((L$9+L$10*($A11-1))*(1+(EnemyHPSlider-1)+(EnemyHPDanger-1)+(EnemyJackHP-1)),0)*IF($A11&gt;20,(1+Max(0,((($A11-20)*(($A11-20)+1))/2)/100)*(2+Max(0,($A11-35)*0.2))*2),1),0)*IF(EnemyBuffed=TRUE,2.5,1),0)</f>
        <v>70</v>
      </c>
      <c r="M11" s="363">
        <f>Rounddown(Round(Round((M$9+M$10*($A11-1))*(1+(EnemyHPSlider-1)+(EnemyHPDanger-1)+(EnemyJackHP-1)),0)*IF($A11&gt;20,(1+Max(0,((($A11-20)*(($A11-20)+1))/2)/100)*(2+Max(0,($A11-35)*0.2))*2),1),0)*IF(EnemyBuffed=TRUE,2.5,1),0)</f>
        <v>11</v>
      </c>
      <c r="N11" s="363">
        <f>Rounddown(Round(Round((N$9+N$10*($A11-1))*(1+(EnemyHPSlider-1)+(EnemyHPDanger-1)+(EnemyJackHP-1)),0)*IF($A11&gt;20,(1+Max(0,((($A11-20)*(($A11-20)+1))/2)/100)*(2+Max(0,($A11-35)*0.2))*2),1),0)*IF(EnemyBuffed=TRUE,2.5,1),0)</f>
        <v>17</v>
      </c>
      <c r="O11" s="363">
        <f>Rounddown(Round(Round((O$9+O$10*($A11-1))*(1+(EnemyHPSlider-1)+(EnemyHPDanger-1)+(EnemyJackHP-1)),0)*IF($A11&gt;20,(1+Max(0,((($A11-20)*(($A11-20)+1))/2)/100)*(2+Max(0,($A11-35)*0.2))*2),1),0)*IF(EnemyBuffed=TRUE,2.5,1),0)</f>
        <v>14</v>
      </c>
      <c r="P11" s="363">
        <f>Rounddown(Round(Round((P$9+P$10*($A11-1))*(1+(EnemyHPSlider-1)+(EnemyHPDanger-1)+(EnemyJackHP-1)),0)*IF($A11&gt;20,(1+Max(0,((($A11-20)*(($A11-20)+1))/2)/100)*(2+Max(0,($A11-35)*0.2))*2),1),0)*IF(EnemyBuffed=TRUE,2.5,1),0)</f>
        <v>7</v>
      </c>
      <c r="Q11" s="363">
        <f>Rounddown(Round(Round((Q$9+Q$10*($A11-1))*(1+(EnemyHPSlider-1)+(EnemyHPDanger-1)+(EnemyJackHP-1)),0)*IF($A11&gt;20,(1+Max(0,((($A11-20)*(($A11-20)+1))/2)/100)*(2+Max(0,($A11-35)*0.2))*2),1),0)*IF(EnemyBuffed=TRUE,2.5,1),0)</f>
        <v>42</v>
      </c>
      <c r="R11" s="363">
        <f>Rounddown(Round(Round((R$9+R$10*($A11-1))*(1+(EnemyHPSlider-1)+(EnemyHPDanger-1)+(EnemyJackHP-1)),0)*IF($A11&gt;20,(1+Max(0,((($A11-20)*(($A11-20)+1))/2)/100)*(2+Max(0,($A11-35)*0.2))*2),1),0)*IF(EnemyBuffed=TRUE,2.5,1),0)</f>
        <v>17</v>
      </c>
      <c r="S11" s="363">
        <f>Rounddown(Round(Round((S$9+S$10*($A11-1))*(1+(EnemyHPSlider-1)+(EnemyHPDanger-1)+(EnemyJackHP-1)),0)*IF($A11&gt;20,(1+Max(0,((($A11-20)*(($A11-20)+1))/2)/100)*(2+Max(0,($A11-35)*0.2))*2),1),0)*IF(EnemyBuffed=TRUE,2.5,1),0)</f>
        <v>7</v>
      </c>
      <c r="T11" s="363">
        <f>Rounddown(Round(Round((T$9+T$10*($A11-1))*(1+(EnemyHPSlider-1)+(EnemyHPDanger-1)+(EnemyJackHP-1)),0)*IF($A11&gt;20,(1+Max(0,((($A11-20)*(($A11-20)+1))/2)/100)*(2+Max(0,($A11-35)*0.2))*2),1),0)*IF(EnemyBuffed=TRUE,2.5,1),0)</f>
        <v>70</v>
      </c>
      <c r="U11" s="363">
        <f>Rounddown(Round(Round((U$9+U$10*($A11-1))*(1+(EnemyHPSlider-1)+(EnemyHPDanger-1)+(EnemyJackHP-1)),0)*IF($A11&gt;20,(1+Max(0,((($A11-20)*(($A11-20)+1))/2)/100)*(2+Max(0,($A11-35)*0.2))*2),1),0)*IF(EnemyBuffed=TRUE,2.5,1),0)</f>
        <v>140</v>
      </c>
      <c r="V11" s="363">
        <f>Rounddown(Round(Round((V$9+V$10*($A11-1))*(1+(EnemyHPSlider-1)+(EnemyHPDanger-1)+(EnemyJackHP-1)),0)*IF($A11&gt;20,(1+Max(0,((($A11-20)*(($A11-20)+1))/2)/100)*(2+Max(0,($A11-35)*0.2))*2),1),0)*IF(EnemyBuffed=TRUE,2.5,1),0)</f>
        <v>1</v>
      </c>
      <c r="W11" s="363">
        <f>Rounddown(Round(Round((W$9+W$10*($A11-1))*(1+(EnemyHPSlider-1)+(EnemyHPDanger-1)+(EnemyJackHP-1)),0)*IF($A11&gt;20,(1+Max(0,((($A11-20)*(($A11-20)+1))/2)/100)*(2+Max(0,($A11-35)*0.2))*2),1),0)*IF(EnemyBuffed=TRUE,2.5,1),0)</f>
        <v>1</v>
      </c>
      <c r="X11" s="363">
        <f>Rounddown(Round(Round((X$9+X$10*($A11-1))*(1+(EnemyHPSlider-1)+(EnemyHPDanger-1)+(EnemyJackHP-1)),0)*IF($A11&gt;20,(1+Max(0,((($A11-20)*(($A11-20)+1))/2)/100)*(2+Max(0,($A11-35)*0.2))*2),1),0)*IF(EnemyBuffed=TRUE,2.5,1),0)</f>
        <v>1</v>
      </c>
      <c r="Y11" s="363">
        <f>Rounddown(Round(Round((Y$9+Y$10*($A11-1))*(1+(EnemyHPSlider-1)+(EnemyHPDanger-1)+(EnemyJackHP-1)),0)*IF($A11&gt;20,(1+Max(0,((($A11-20)*(($A11-20)+1))/2)/100)*(2+Max(0,($A11-35)*0.2))*2),1),0)*IF(EnemyBuffed=TRUE,2.5,1)*IF(AND($B$2=5,$A11&lt;=20),0.75,1),0)</f>
        <v>15750</v>
      </c>
      <c r="Z11" s="363">
        <f>Rounddown(Round(Round((Z$9+Z$10*($A11-1))*(1+(EnemyHPSlider-1)+(EnemyHPDanger-1)+(EnemyJackHP-1)),0)*IF($A11&gt;20,(1+Max(0,((($A11-20)*(($A11-20)+1))/2)/100)*(2+Max(0,($A11-35)*0.2))*2),1),0)*IF(EnemyBuffed=TRUE,2.5,1)*IF(AND($B$2=5,$A11&lt;=20),0.75,1),0)</f>
        <v>15750</v>
      </c>
      <c r="AA11" s="363">
        <f>Rounddown(Round(Round((AA$9+AA$10*($A11-1))*(1+(EnemyHPSlider-1)+(EnemyHPDanger-1)+(EnemyJackHP-1)),0)*IF($A11&gt;20,(1+Max(0,((($A11-20)*(($A11-20)+1))/2)/100)*(2+Max(0,($A11-35)*0.2))*2),1),0)*IF(EnemyBuffed=TRUE,2.5,1),0)</f>
        <v>42</v>
      </c>
    </row>
    <row r="12">
      <c r="A12" s="362">
        <v>2.0</v>
      </c>
      <c r="B12" s="379">
        <f>Rounddown(Round(Round((B$9+B$10*($A12-1))*(1+(EnemyHPSlider-1)+(EnemyHPDanger-1)+(EnemyJackHP-1)),0)*IF($A12&gt;20,(1+Max(0,((($A12-20)*(($A12-20)+1))/2)/100)*(2+Max(0,($A12-35)*0.2))*2),1),0)*IF(EnemyBuffed=TRUE,2.5,1),0)</f>
        <v>21</v>
      </c>
      <c r="C12" s="379">
        <f>Rounddown(Round(Round((C$9+C$10*($A12-1))*(1+(EnemyHPSlider-1)+(EnemyHPDanger-1)+(EnemyJackHP-1)),0)*IF($A12&gt;20,(1+Max(0,((($A12-20)*(($A12-20)+1))/2)/100)*(2+Max(0,($A12-35)*0.2))*2),1),0)*IF(EnemyBuffed=TRUE,2.5,1),0)</f>
        <v>7</v>
      </c>
      <c r="D12" s="379">
        <f>Rounddown(Round(Round((D$9+D$10*($A12-1))*(1+(EnemyHPSlider-1)+(EnemyHPDanger-1)+(EnemyJackHP-1)),0)*IF($A12&gt;20,(1+Max(0,((($A12-20)*(($A12-20)+1))/2)/100)*(2+Max(0,($A12-35)*0.2))*2),1),0)*IF(EnemyBuffed=TRUE,2.5,1),0)</f>
        <v>3</v>
      </c>
      <c r="E12" s="379">
        <f>Rounddown(Round(Round((E$9+E$10*($A12-1))*(1+(EnemyHPSlider-1)+(EnemyHPDanger-1)+(EnemyJackHP-1)),0)*IF($A12&gt;20,(1+Max(0,((($A12-20)*(($A12-20)+1))/2)/100)*(2+Max(0,($A12-35)*0.2))*2),1),0)*IF(EnemyBuffed=TRUE,2.5,1),0)</f>
        <v>13</v>
      </c>
      <c r="F12" s="379">
        <f>Rounddown(Round(Round((F$9+F$10*($A12-1))*(1+(EnemyHPSlider-1)+(EnemyHPDanger-1)+(EnemyJackHP-1)),0)*IF($A12&gt;20,(1+Max(0,((($A12-20)*(($A12-20)+1))/2)/100)*(2+Max(0,($A12-35)*0.2))*2),1),0)*IF(EnemyBuffed=TRUE,2.5,1),0)</f>
        <v>9</v>
      </c>
      <c r="G12" s="379">
        <f>Rounddown(Round(Round((G$9+G$10*($A12-1))*(1+(EnemyHPSlider-1)+(EnemyHPDanger-1)+(EnemyJackHP-1)),0)*IF($A12&gt;20,(1+Max(0,((($A12-20)*(($A12-20)+1))/2)/100)*(2+Max(0,($A12-35)*0.2))*2),1),0)*IF(EnemyBuffed=TRUE,2.5,1),0)</f>
        <v>48</v>
      </c>
      <c r="H12" s="379">
        <f>Rounddown(Round(Round((H$9+H$10*($A12-1))*(1+(EnemyHPSlider-1)+(EnemyHPDanger-1)+(EnemyJackHP-1)),0)*IF($A12&gt;20,(1+Max(0,((($A12-20)*(($A12-20)+1))/2)/100)*(2+Max(0,($A12-35)*0.2))*2),1),0)*IF(EnemyBuffed=TRUE,2.5,1),0)</f>
        <v>43</v>
      </c>
      <c r="I12" s="379">
        <f>Rounddown(Round(Round((I$9+I$10*($A12-1))*(1+(EnemyHPSlider-1)+(EnemyHPDanger-1)+(EnemyJackHP-1)),0)*IF($A12&gt;20,(1+Max(0,((($A12-20)*(($A12-20)+1))/2)/100)*(2+Max(0,($A12-35)*0.2))*2),1),0)*IF(EnemyBuffed=TRUE,2.5,1),0)</f>
        <v>32</v>
      </c>
      <c r="J12" s="379">
        <f>Rounddown(Round(Round((J$9+J$10*($A12-1))*(1+(EnemyHPSlider-1)+(EnemyHPDanger-1)+(EnemyJackHP-1)),0)*IF($A12&gt;20,(1+Max(0,((($A12-20)*(($A12-20)+1))/2)/100)*(2+Max(0,($A12-35)*0.2))*2),1),0)*IF(EnemyBuffed=TRUE,2.5,1),0)</f>
        <v>27</v>
      </c>
      <c r="K12" s="379">
        <f>Rounddown(Round(Round((K$9+K$10*($A12-1))*(1+(EnemyHPSlider-1)+(EnemyHPDanger-1)+(EnemyJackHP-1)),0)*IF($A12&gt;20,(1+Max(0,((($A12-20)*(($A12-20)+1))/2)/100)*(2+Max(0,($A12-35)*0.2))*2),1),0)*IF(EnemyBuffed=TRUE,2.5,1),0)</f>
        <v>25</v>
      </c>
      <c r="L12" s="379">
        <f>Rounddown(Round(Round((L$9+L$10*($A12-1))*(1+(EnemyHPSlider-1)+(EnemyHPDanger-1)+(EnemyJackHP-1)),0)*IF($A12&gt;20,(1+Max(0,((($A12-20)*(($A12-20)+1))/2)/100)*(2+Max(0,($A12-35)*0.2))*2),1),0)*IF(EnemyBuffed=TRUE,2.5,1),0)</f>
        <v>105</v>
      </c>
      <c r="M12" s="379">
        <f>Rounddown(Round(Round((M$9+M$10*($A12-1))*(1+(EnemyHPSlider-1)+(EnemyHPDanger-1)+(EnemyJackHP-1)),0)*IF($A12&gt;20,(1+Max(0,((($A12-20)*(($A12-20)+1))/2)/100)*(2+Max(0,($A12-35)*0.2))*2),1),0)*IF(EnemyBuffed=TRUE,2.5,1),0)</f>
        <v>15</v>
      </c>
      <c r="N12" s="379">
        <f>Rounddown(Round(Round((N$9+N$10*($A12-1))*(1+(EnemyHPSlider-1)+(EnemyHPDanger-1)+(EnemyJackHP-1)),0)*IF($A12&gt;20,(1+Max(0,((($A12-20)*(($A12-20)+1))/2)/100)*(2+Max(0,($A12-35)*0.2))*2),1),0)*IF(EnemyBuffed=TRUE,2.5,1),0)</f>
        <v>20</v>
      </c>
      <c r="O12" s="379">
        <f>Rounddown(Round(Round((O$9+O$10*($A12-1))*(1+(EnemyHPSlider-1)+(EnemyHPDanger-1)+(EnemyJackHP-1)),0)*IF($A12&gt;20,(1+Max(0,((($A12-20)*(($A12-20)+1))/2)/100)*(2+Max(0,($A12-35)*0.2))*2),1),0)*IF(EnemyBuffed=TRUE,2.5,1),0)</f>
        <v>15</v>
      </c>
      <c r="P12" s="379">
        <f>Rounddown(Round(Round((P$9+P$10*($A12-1))*(1+(EnemyHPSlider-1)+(EnemyHPDanger-1)+(EnemyJackHP-1)),0)*IF($A12&gt;20,(1+Max(0,((($A12-20)*(($A12-20)+1))/2)/100)*(2+Max(0,($A12-35)*0.2))*2),1),0)*IF(EnemyBuffed=TRUE,2.5,1),0)</f>
        <v>14</v>
      </c>
      <c r="Q12" s="379">
        <f>Rounddown(Round(Round((Q$9+Q$10*($A12-1))*(1+(EnemyHPSlider-1)+(EnemyHPDanger-1)+(EnemyJackHP-1)),0)*IF($A12&gt;20,(1+Max(0,((($A12-20)*(($A12-20)+1))/2)/100)*(2+Max(0,($A12-35)*0.2))*2),1),0)*IF(EnemyBuffed=TRUE,2.5,1),0)</f>
        <v>73</v>
      </c>
      <c r="R12" s="379">
        <f>Rounddown(Round(Round((R$9+R$10*($A12-1))*(1+(EnemyHPSlider-1)+(EnemyHPDanger-1)+(EnemyJackHP-1)),0)*IF($A12&gt;20,(1+Max(0,((($A12-20)*(($A12-20)+1))/2)/100)*(2+Max(0,($A12-35)*0.2))*2),1),0)*IF(EnemyBuffed=TRUE,2.5,1),0)</f>
        <v>24</v>
      </c>
      <c r="S12" s="379">
        <f>Rounddown(Round(Round((S$9+S$10*($A12-1))*(1+(EnemyHPSlider-1)+(EnemyHPDanger-1)+(EnemyJackHP-1)),0)*IF($A12&gt;20,(1+Max(0,((($A12-20)*(($A12-20)+1))/2)/100)*(2+Max(0,($A12-35)*0.2))*2),1),0)*IF(EnemyBuffed=TRUE,2.5,1),0)</f>
        <v>11</v>
      </c>
      <c r="T12" s="379">
        <f>Rounddown(Round(Round((T$9+T$10*($A12-1))*(1+(EnemyHPSlider-1)+(EnemyHPDanger-1)+(EnemyJackHP-1)),0)*IF($A12&gt;20,(1+Max(0,((($A12-20)*(($A12-20)+1))/2)/100)*(2+Max(0,($A12-35)*0.2))*2),1),0)*IF(EnemyBuffed=TRUE,2.5,1),0)</f>
        <v>105</v>
      </c>
      <c r="U12" s="379">
        <f>Rounddown(Round(Round((U$9+U$10*($A12-1))*(1+(EnemyHPSlider-1)+(EnemyHPDanger-1)+(EnemyJackHP-1)),0)*IF($A12&gt;20,(1+Max(0,((($A12-20)*(($A12-20)+1))/2)/100)*(2+Max(0,($A12-35)*0.2))*2),1),0)*IF(EnemyBuffed=TRUE,2.5,1),0)</f>
        <v>168</v>
      </c>
      <c r="V12" s="379">
        <f>Rounddown(Round(Round((V$9+V$10*($A12-1))*(1+(EnemyHPSlider-1)+(EnemyHPDanger-1)+(EnemyJackHP-1)),0)*IF($A12&gt;20,(1+Max(0,((($A12-20)*(($A12-20)+1))/2)/100)*(2+Max(0,($A12-35)*0.2))*2),1),0)*IF(EnemyBuffed=TRUE,2.5,1),0)</f>
        <v>1051</v>
      </c>
      <c r="W12" s="379">
        <f>Rounddown(Round(Round((W$9+W$10*($A12-1))*(1+(EnemyHPSlider-1)+(EnemyHPDanger-1)+(EnemyJackHP-1)),0)*IF($A12&gt;20,(1+Max(0,((($A12-20)*(($A12-20)+1))/2)/100)*(2+Max(0,($A12-35)*0.2))*2),1),0)*IF(EnemyBuffed=TRUE,2.5,1),0)</f>
        <v>1051</v>
      </c>
      <c r="X12" s="379">
        <f>Rounddown(Round(Round((X$9+X$10*($A12-1))*(1+(EnemyHPSlider-1)+(EnemyHPDanger-1)+(EnemyJackHP-1)),0)*IF($A12&gt;20,(1+Max(0,((($A12-20)*(($A12-20)+1))/2)/100)*(2+Max(0,($A12-35)*0.2))*2),1),0)*IF(EnemyBuffed=TRUE,2.5,1),0)</f>
        <v>981</v>
      </c>
      <c r="Y12" s="379">
        <f>Rounddown(Round(Round((Y$9+Y$10*($A12-1))*(1+(EnemyHPSlider-1)+(EnemyHPDanger-1)+(EnemyJackHP-1)),0)*IF($A12&gt;20,(1+Max(0,((($A12-20)*(($A12-20)+1))/2)/100)*(2+Max(0,($A12-35)*0.2))*2),1),0)*IF(EnemyBuffed=TRUE,2.5,1)*IF(AND($B$2=5,$A12&lt;=20),0.75,1),0)</f>
        <v>16537</v>
      </c>
      <c r="Z12" s="379">
        <f>Rounddown(Round(Round((Z$9+Z$10*($A12-1))*(1+(EnemyHPSlider-1)+(EnemyHPDanger-1)+(EnemyJackHP-1)),0)*IF($A12&gt;20,(1+Max(0,((($A12-20)*(($A12-20)+1))/2)/100)*(2+Max(0,($A12-35)*0.2))*2),1),0)*IF(EnemyBuffed=TRUE,2.5,1)*IF(AND($B$2=5,$A12&lt;=20),0.75,1),0)</f>
        <v>16537</v>
      </c>
      <c r="AA12" s="379">
        <f>Rounddown(Round(Round((AA$9+AA$10*($A12-1))*(1+(EnemyHPSlider-1)+(EnemyHPDanger-1)+(EnemyJackHP-1)),0)*IF($A12&gt;20,(1+Max(0,((($A12-20)*(($A12-20)+1))/2)/100)*(2+Max(0,($A12-35)*0.2))*2),1),0)*IF(EnemyBuffed=TRUE,2.5,1),0)</f>
        <v>63</v>
      </c>
    </row>
    <row r="13">
      <c r="A13" s="362">
        <v>3.0</v>
      </c>
      <c r="B13" s="381">
        <f>Rounddown(Round(Round((B$9+B$10*($A13-1))*(1+(EnemyHPSlider-1)+(EnemyHPDanger-1)+(EnemyJackHP-1)),0)*IF($A13&gt;20,(1+Max(0,((($A13-20)*(($A13-20)+1))/2)/100)*(2+Max(0,($A13-35)*0.2))*2),1),0)*IF(EnemyBuffed=TRUE,2.5,1),0)</f>
        <v>28</v>
      </c>
      <c r="C13" s="381">
        <f>Rounddown(Round(Round((C$9+C$10*($A13-1))*(1+(EnemyHPSlider-1)+(EnemyHPDanger-1)+(EnemyJackHP-1)),0)*IF($A13&gt;20,(1+Max(0,((($A13-20)*(($A13-20)+1))/2)/100)*(2+Max(0,($A13-35)*0.2))*2),1),0)*IF(EnemyBuffed=TRUE,2.5,1),0)</f>
        <v>10</v>
      </c>
      <c r="D13" s="381">
        <f>Rounddown(Round(Round((D$9+D$10*($A13-1))*(1+(EnemyHPSlider-1)+(EnemyHPDanger-1)+(EnemyJackHP-1)),0)*IF($A13&gt;20,(1+Max(0,((($A13-20)*(($A13-20)+1))/2)/100)*(2+Max(0,($A13-35)*0.2))*2),1),0)*IF(EnemyBuffed=TRUE,2.5,1),0)</f>
        <v>4</v>
      </c>
      <c r="E13" s="381">
        <f>Rounddown(Round(Round((E$9+E$10*($A13-1))*(1+(EnemyHPSlider-1)+(EnemyHPDanger-1)+(EnemyJackHP-1)),0)*IF($A13&gt;20,(1+Max(0,((($A13-20)*(($A13-20)+1))/2)/100)*(2+Max(0,($A13-35)*0.2))*2),1),0)*IF(EnemyBuffed=TRUE,2.5,1),0)</f>
        <v>14</v>
      </c>
      <c r="F13" s="381">
        <f>Rounddown(Round(Round((F$9+F$10*($A13-1))*(1+(EnemyHPSlider-1)+(EnemyHPDanger-1)+(EnemyJackHP-1)),0)*IF($A13&gt;20,(1+Max(0,((($A13-20)*(($A13-20)+1))/2)/100)*(2+Max(0,($A13-35)*0.2))*2),1),0)*IF(EnemyBuffed=TRUE,2.5,1),0)</f>
        <v>13</v>
      </c>
      <c r="G13" s="381">
        <f>Rounddown(Round(Round((G$9+G$10*($A13-1))*(1+(EnemyHPSlider-1)+(EnemyHPDanger-1)+(EnemyJackHP-1)),0)*IF($A13&gt;20,(1+Max(0,((($A13-20)*(($A13-20)+1))/2)/100)*(2+Max(0,($A13-35)*0.2))*2),1),0)*IF(EnemyBuffed=TRUE,2.5,1),0)</f>
        <v>81</v>
      </c>
      <c r="H13" s="381">
        <f>Rounddown(Round(Round((H$9+H$10*($A13-1))*(1+(EnemyHPSlider-1)+(EnemyHPDanger-1)+(EnemyJackHP-1)),0)*IF($A13&gt;20,(1+Max(0,((($A13-20)*(($A13-20)+1))/2)/100)*(2+Max(0,($A13-35)*0.2))*2),1),0)*IF(EnemyBuffed=TRUE,2.5,1),0)</f>
        <v>59</v>
      </c>
      <c r="I13" s="381">
        <f>Rounddown(Round(Round((I$9+I$10*($A13-1))*(1+(EnemyHPSlider-1)+(EnemyHPDanger-1)+(EnemyJackHP-1)),0)*IF($A13&gt;20,(1+Max(0,((($A13-20)*(($A13-20)+1))/2)/100)*(2+Max(0,($A13-35)*0.2))*2),1),0)*IF(EnemyBuffed=TRUE,2.5,1),0)</f>
        <v>36</v>
      </c>
      <c r="J13" s="381">
        <f>Rounddown(Round(Round((J$9+J$10*($A13-1))*(1+(EnemyHPSlider-1)+(EnemyHPDanger-1)+(EnemyJackHP-1)),0)*IF($A13&gt;20,(1+Max(0,((($A13-20)*(($A13-20)+1))/2)/100)*(2+Max(0,($A13-35)*0.2))*2),1),0)*IF(EnemyBuffed=TRUE,2.5,1),0)</f>
        <v>32</v>
      </c>
      <c r="K13" s="381">
        <f>Rounddown(Round(Round((K$9+K$10*($A13-1))*(1+(EnemyHPSlider-1)+(EnemyHPDanger-1)+(EnemyJackHP-1)),0)*IF($A13&gt;20,(1+Max(0,((($A13-20)*(($A13-20)+1))/2)/100)*(2+Max(0,($A13-35)*0.2))*2),1),0)*IF(EnemyBuffed=TRUE,2.5,1),0)</f>
        <v>36</v>
      </c>
      <c r="L13" s="381">
        <f>Rounddown(Round(Round((L$9+L$10*($A13-1))*(1+(EnemyHPSlider-1)+(EnemyHPDanger-1)+(EnemyJackHP-1)),0)*IF($A13&gt;20,(1+Max(0,((($A13-20)*(($A13-20)+1))/2)/100)*(2+Max(0,($A13-35)*0.2))*2),1),0)*IF(EnemyBuffed=TRUE,2.5,1),0)</f>
        <v>140</v>
      </c>
      <c r="M13" s="381">
        <f>Rounddown(Round(Round((M$9+M$10*($A13-1))*(1+(EnemyHPSlider-1)+(EnemyHPDanger-1)+(EnemyJackHP-1)),0)*IF($A13&gt;20,(1+Max(0,((($A13-20)*(($A13-20)+1))/2)/100)*(2+Max(0,($A13-35)*0.2))*2),1),0)*IF(EnemyBuffed=TRUE,2.5,1),0)</f>
        <v>20</v>
      </c>
      <c r="N13" s="381">
        <f>Rounddown(Round(Round((N$9+N$10*($A13-1))*(1+(EnemyHPSlider-1)+(EnemyHPDanger-1)+(EnemyJackHP-1)),0)*IF($A13&gt;20,(1+Max(0,((($A13-20)*(($A13-20)+1))/2)/100)*(2+Max(0,($A13-35)*0.2))*2),1),0)*IF(EnemyBuffed=TRUE,2.5,1),0)</f>
        <v>22</v>
      </c>
      <c r="O13" s="381">
        <f>Rounddown(Round(Round((O$9+O$10*($A13-1))*(1+(EnemyHPSlider-1)+(EnemyHPDanger-1)+(EnemyJackHP-1)),0)*IF($A13&gt;20,(1+Max(0,((($A13-20)*(($A13-20)+1))/2)/100)*(2+Max(0,($A13-35)*0.2))*2),1),0)*IF(EnemyBuffed=TRUE,2.5,1),0)</f>
        <v>17</v>
      </c>
      <c r="P13" s="381">
        <f>Rounddown(Round(Round((P$9+P$10*($A13-1))*(1+(EnemyHPSlider-1)+(EnemyHPDanger-1)+(EnemyJackHP-1)),0)*IF($A13&gt;20,(1+Max(0,((($A13-20)*(($A13-20)+1))/2)/100)*(2+Max(0,($A13-35)*0.2))*2),1),0)*IF(EnemyBuffed=TRUE,2.5,1),0)</f>
        <v>21</v>
      </c>
      <c r="Q13" s="381">
        <f>Rounddown(Round(Round((Q$9+Q$10*($A13-1))*(1+(EnemyHPSlider-1)+(EnemyHPDanger-1)+(EnemyJackHP-1)),0)*IF($A13&gt;20,(1+Max(0,((($A13-20)*(($A13-20)+1))/2)/100)*(2+Max(0,($A13-35)*0.2))*2),1),0)*IF(EnemyBuffed=TRUE,2.5,1),0)</f>
        <v>104</v>
      </c>
      <c r="R13" s="381">
        <f>Rounddown(Round(Round((R$9+R$10*($A13-1))*(1+(EnemyHPSlider-1)+(EnemyHPDanger-1)+(EnemyJackHP-1)),0)*IF($A13&gt;20,(1+Max(0,((($A13-20)*(($A13-20)+1))/2)/100)*(2+Max(0,($A13-35)*0.2))*2),1),0)*IF(EnemyBuffed=TRUE,2.5,1),0)</f>
        <v>31</v>
      </c>
      <c r="S13" s="381">
        <f>Rounddown(Round(Round((S$9+S$10*($A13-1))*(1+(EnemyHPSlider-1)+(EnemyHPDanger-1)+(EnemyJackHP-1)),0)*IF($A13&gt;20,(1+Max(0,((($A13-20)*(($A13-20)+1))/2)/100)*(2+Max(0,($A13-35)*0.2))*2),1),0)*IF(EnemyBuffed=TRUE,2.5,1),0)</f>
        <v>15</v>
      </c>
      <c r="T13" s="381">
        <f>Rounddown(Round(Round((T$9+T$10*($A13-1))*(1+(EnemyHPSlider-1)+(EnemyHPDanger-1)+(EnemyJackHP-1)),0)*IF($A13&gt;20,(1+Max(0,((($A13-20)*(($A13-20)+1))/2)/100)*(2+Max(0,($A13-35)*0.2))*2),1),0)*IF(EnemyBuffed=TRUE,2.5,1),0)</f>
        <v>140</v>
      </c>
      <c r="U13" s="381">
        <f>Rounddown(Round(Round((U$9+U$10*($A13-1))*(1+(EnemyHPSlider-1)+(EnemyHPDanger-1)+(EnemyJackHP-1)),0)*IF($A13&gt;20,(1+Max(0,((($A13-20)*(($A13-20)+1))/2)/100)*(2+Max(0,($A13-35)*0.2))*2),1),0)*IF(EnemyBuffed=TRUE,2.5,1),0)</f>
        <v>196</v>
      </c>
      <c r="V13" s="381">
        <f>Rounddown(Round(Round((V$9+V$10*($A13-1))*(1+(EnemyHPSlider-1)+(EnemyHPDanger-1)+(EnemyJackHP-1)),0)*IF($A13&gt;20,(1+Max(0,((($A13-20)*(($A13-20)+1))/2)/100)*(2+Max(0,($A13-35)*0.2))*2),1),0)*IF(EnemyBuffed=TRUE,2.5,1),0)</f>
        <v>2101</v>
      </c>
      <c r="W13" s="381">
        <f>Rounddown(Round(Round((W$9+W$10*($A13-1))*(1+(EnemyHPSlider-1)+(EnemyHPDanger-1)+(EnemyJackHP-1)),0)*IF($A13&gt;20,(1+Max(0,((($A13-20)*(($A13-20)+1))/2)/100)*(2+Max(0,($A13-35)*0.2))*2),1),0)*IF(EnemyBuffed=TRUE,2.5,1),0)</f>
        <v>2101</v>
      </c>
      <c r="X13" s="381">
        <f>Rounddown(Round(Round((X$9+X$10*($A13-1))*(1+(EnemyHPSlider-1)+(EnemyHPDanger-1)+(EnemyJackHP-1)),0)*IF($A13&gt;20,(1+Max(0,((($A13-20)*(($A13-20)+1))/2)/100)*(2+Max(0,($A13-35)*0.2))*2),1),0)*IF(EnemyBuffed=TRUE,2.5,1),0)</f>
        <v>1961</v>
      </c>
      <c r="Y13" s="381">
        <f>Rounddown(Round(Round((Y$9+Y$10*($A13-1))*(1+(EnemyHPSlider-1)+(EnemyHPDanger-1)+(EnemyJackHP-1)),0)*IF($A13&gt;20,(1+Max(0,((($A13-20)*(($A13-20)+1))/2)/100)*(2+Max(0,($A13-35)*0.2))*2),1),0)*IF(EnemyBuffed=TRUE,2.5,1)*IF(AND($B$2=5,$A13&lt;=20),0.75,1),0)</f>
        <v>17325</v>
      </c>
      <c r="Z13" s="381">
        <f>Rounddown(Round(Round((Z$9+Z$10*($A13-1))*(1+(EnemyHPSlider-1)+(EnemyHPDanger-1)+(EnemyJackHP-1)),0)*IF($A13&gt;20,(1+Max(0,((($A13-20)*(($A13-20)+1))/2)/100)*(2+Max(0,($A13-35)*0.2))*2),1),0)*IF(EnemyBuffed=TRUE,2.5,1)*IF(AND($B$2=5,$A13&lt;=20),0.75,1),0)</f>
        <v>17325</v>
      </c>
      <c r="AA13" s="381">
        <f>Rounddown(Round(Round((AA$9+AA$10*($A13-1))*(1+(EnemyHPSlider-1)+(EnemyHPDanger-1)+(EnemyJackHP-1)),0)*IF($A13&gt;20,(1+Max(0,((($A13-20)*(($A13-20)+1))/2)/100)*(2+Max(0,($A13-35)*0.2))*2),1),0)*IF(EnemyBuffed=TRUE,2.5,1),0)</f>
        <v>84</v>
      </c>
    </row>
    <row r="14">
      <c r="A14" s="362">
        <v>4.0</v>
      </c>
      <c r="B14" s="379">
        <f>Rounddown(Round(Round((B$9+B$10*($A14-1))*(1+(EnemyHPSlider-1)+(EnemyHPDanger-1)+(EnemyJackHP-1)),0)*IF($A14&gt;20,(1+Max(0,((($A14-20)*(($A14-20)+1))/2)/100)*(2+Max(0,($A14-35)*0.2))*2),1),0)*IF(EnemyBuffed=TRUE,2.5,1),0)</f>
        <v>35</v>
      </c>
      <c r="C14" s="379">
        <f>Rounddown(Round(Round((C$9+C$10*($A14-1))*(1+(EnemyHPSlider-1)+(EnemyHPDanger-1)+(EnemyJackHP-1)),0)*IF($A14&gt;20,(1+Max(0,((($A14-20)*(($A14-20)+1))/2)/100)*(2+Max(0,($A14-35)*0.2))*2),1),0)*IF(EnemyBuffed=TRUE,2.5,1),0)</f>
        <v>13</v>
      </c>
      <c r="D14" s="379">
        <f>Rounddown(Round(Round((D$9+D$10*($A14-1))*(1+(EnemyHPSlider-1)+(EnemyHPDanger-1)+(EnemyJackHP-1)),0)*IF($A14&gt;20,(1+Max(0,((($A14-20)*(($A14-20)+1))/2)/100)*(2+Max(0,($A14-35)*0.2))*2),1),0)*IF(EnemyBuffed=TRUE,2.5,1),0)</f>
        <v>6</v>
      </c>
      <c r="E14" s="379">
        <f>Rounddown(Round(Round((E$9+E$10*($A14-1))*(1+(EnemyHPSlider-1)+(EnemyHPDanger-1)+(EnemyJackHP-1)),0)*IF($A14&gt;20,(1+Max(0,((($A14-20)*(($A14-20)+1))/2)/100)*(2+Max(0,($A14-35)*0.2))*2),1),0)*IF(EnemyBuffed=TRUE,2.5,1),0)</f>
        <v>15</v>
      </c>
      <c r="F14" s="379">
        <f>Rounddown(Round(Round((F$9+F$10*($A14-1))*(1+(EnemyHPSlider-1)+(EnemyHPDanger-1)+(EnemyJackHP-1)),0)*IF($A14&gt;20,(1+Max(0,((($A14-20)*(($A14-20)+1))/2)/100)*(2+Max(0,($A14-35)*0.2))*2),1),0)*IF(EnemyBuffed=TRUE,2.5,1),0)</f>
        <v>16</v>
      </c>
      <c r="G14" s="379">
        <f>Rounddown(Round(Round((G$9+G$10*($A14-1))*(1+(EnemyHPSlider-1)+(EnemyHPDanger-1)+(EnemyJackHP-1)),0)*IF($A14&gt;20,(1+Max(0,((($A14-20)*(($A14-20)+1))/2)/100)*(2+Max(0,($A14-35)*0.2))*2),1),0)*IF(EnemyBuffed=TRUE,2.5,1),0)</f>
        <v>115</v>
      </c>
      <c r="H14" s="379">
        <f>Rounddown(Round(Round((H$9+H$10*($A14-1))*(1+(EnemyHPSlider-1)+(EnemyHPDanger-1)+(EnemyJackHP-1)),0)*IF($A14&gt;20,(1+Max(0,((($A14-20)*(($A14-20)+1))/2)/100)*(2+Max(0,($A14-35)*0.2))*2),1),0)*IF(EnemyBuffed=TRUE,2.5,1),0)</f>
        <v>74</v>
      </c>
      <c r="I14" s="379">
        <f>Rounddown(Round(Round((I$9+I$10*($A14-1))*(1+(EnemyHPSlider-1)+(EnemyHPDanger-1)+(EnemyJackHP-1)),0)*IF($A14&gt;20,(1+Max(0,((($A14-20)*(($A14-20)+1))/2)/100)*(2+Max(0,($A14-35)*0.2))*2),1),0)*IF(EnemyBuffed=TRUE,2.5,1),0)</f>
        <v>41</v>
      </c>
      <c r="J14" s="379">
        <f>Rounddown(Round(Round((J$9+J$10*($A14-1))*(1+(EnemyHPSlider-1)+(EnemyHPDanger-1)+(EnemyJackHP-1)),0)*IF($A14&gt;20,(1+Max(0,((($A14-20)*(($A14-20)+1))/2)/100)*(2+Max(0,($A14-35)*0.2))*2),1),0)*IF(EnemyBuffed=TRUE,2.5,1),0)</f>
        <v>38</v>
      </c>
      <c r="K14" s="379">
        <f>Rounddown(Round(Round((K$9+K$10*($A14-1))*(1+(EnemyHPSlider-1)+(EnemyHPDanger-1)+(EnemyJackHP-1)),0)*IF($A14&gt;20,(1+Max(0,((($A14-20)*(($A14-20)+1))/2)/100)*(2+Max(0,($A14-35)*0.2))*2),1),0)*IF(EnemyBuffed=TRUE,2.5,1),0)</f>
        <v>48</v>
      </c>
      <c r="L14" s="379">
        <f>Rounddown(Round(Round((L$9+L$10*($A14-1))*(1+(EnemyHPSlider-1)+(EnemyHPDanger-1)+(EnemyJackHP-1)),0)*IF($A14&gt;20,(1+Max(0,((($A14-20)*(($A14-20)+1))/2)/100)*(2+Max(0,($A14-35)*0.2))*2),1),0)*IF(EnemyBuffed=TRUE,2.5,1),0)</f>
        <v>175</v>
      </c>
      <c r="M14" s="379">
        <f>Rounddown(Round(Round((M$9+M$10*($A14-1))*(1+(EnemyHPSlider-1)+(EnemyHPDanger-1)+(EnemyJackHP-1)),0)*IF($A14&gt;20,(1+Max(0,((($A14-20)*(($A14-20)+1))/2)/100)*(2+Max(0,($A14-35)*0.2))*2),1),0)*IF(EnemyBuffed=TRUE,2.5,1),0)</f>
        <v>24</v>
      </c>
      <c r="N14" s="379">
        <f>Rounddown(Round(Round((N$9+N$10*($A14-1))*(1+(EnemyHPSlider-1)+(EnemyHPDanger-1)+(EnemyJackHP-1)),0)*IF($A14&gt;20,(1+Max(0,((($A14-20)*(($A14-20)+1))/2)/100)*(2+Max(0,($A14-35)*0.2))*2),1),0)*IF(EnemyBuffed=TRUE,2.5,1),0)</f>
        <v>25</v>
      </c>
      <c r="O14" s="379">
        <f>Rounddown(Round(Round((O$9+O$10*($A14-1))*(1+(EnemyHPSlider-1)+(EnemyHPDanger-1)+(EnemyJackHP-1)),0)*IF($A14&gt;20,(1+Max(0,((($A14-20)*(($A14-20)+1))/2)/100)*(2+Max(0,($A14-35)*0.2))*2),1),0)*IF(EnemyBuffed=TRUE,2.5,1),0)</f>
        <v>18</v>
      </c>
      <c r="P14" s="379">
        <f>Rounddown(Round(Round((P$9+P$10*($A14-1))*(1+(EnemyHPSlider-1)+(EnemyHPDanger-1)+(EnemyJackHP-1)),0)*IF($A14&gt;20,(1+Max(0,((($A14-20)*(($A14-20)+1))/2)/100)*(2+Max(0,($A14-35)*0.2))*2),1),0)*IF(EnemyBuffed=TRUE,2.5,1),0)</f>
        <v>28</v>
      </c>
      <c r="Q14" s="379">
        <f>Rounddown(Round(Round((Q$9+Q$10*($A14-1))*(1+(EnemyHPSlider-1)+(EnemyHPDanger-1)+(EnemyJackHP-1)),0)*IF($A14&gt;20,(1+Max(0,((($A14-20)*(($A14-20)+1))/2)/100)*(2+Max(0,($A14-35)*0.2))*2),1),0)*IF(EnemyBuffed=TRUE,2.5,1),0)</f>
        <v>134</v>
      </c>
      <c r="R14" s="379">
        <f>Rounddown(Round(Round((R$9+R$10*($A14-1))*(1+(EnemyHPSlider-1)+(EnemyHPDanger-1)+(EnemyJackHP-1)),0)*IF($A14&gt;20,(1+Max(0,((($A14-20)*(($A14-20)+1))/2)/100)*(2+Max(0,($A14-35)*0.2))*2),1),0)*IF(EnemyBuffed=TRUE,2.5,1),0)</f>
        <v>38</v>
      </c>
      <c r="S14" s="379">
        <f>Rounddown(Round(Round((S$9+S$10*($A14-1))*(1+(EnemyHPSlider-1)+(EnemyHPDanger-1)+(EnemyJackHP-1)),0)*IF($A14&gt;20,(1+Max(0,((($A14-20)*(($A14-20)+1))/2)/100)*(2+Max(0,($A14-35)*0.2))*2),1),0)*IF(EnemyBuffed=TRUE,2.5,1),0)</f>
        <v>20</v>
      </c>
      <c r="T14" s="379">
        <f>Rounddown(Round(Round((T$9+T$10*($A14-1))*(1+(EnemyHPSlider-1)+(EnemyHPDanger-1)+(EnemyJackHP-1)),0)*IF($A14&gt;20,(1+Max(0,((($A14-20)*(($A14-20)+1))/2)/100)*(2+Max(0,($A14-35)*0.2))*2),1),0)*IF(EnemyBuffed=TRUE,2.5,1),0)</f>
        <v>175</v>
      </c>
      <c r="U14" s="379">
        <f>Rounddown(Round(Round((U$9+U$10*($A14-1))*(1+(EnemyHPSlider-1)+(EnemyHPDanger-1)+(EnemyJackHP-1)),0)*IF($A14&gt;20,(1+Max(0,((($A14-20)*(($A14-20)+1))/2)/100)*(2+Max(0,($A14-35)*0.2))*2),1),0)*IF(EnemyBuffed=TRUE,2.5,1),0)</f>
        <v>224</v>
      </c>
      <c r="V14" s="379">
        <f>Rounddown(Round(Round((V$9+V$10*($A14-1))*(1+(EnemyHPSlider-1)+(EnemyHPDanger-1)+(EnemyJackHP-1)),0)*IF($A14&gt;20,(1+Max(0,((($A14-20)*(($A14-20)+1))/2)/100)*(2+Max(0,($A14-35)*0.2))*2),1),0)*IF(EnemyBuffed=TRUE,2.5,1),0)</f>
        <v>3151</v>
      </c>
      <c r="W14" s="379">
        <f>Rounddown(Round(Round((W$9+W$10*($A14-1))*(1+(EnemyHPSlider-1)+(EnemyHPDanger-1)+(EnemyJackHP-1)),0)*IF($A14&gt;20,(1+Max(0,((($A14-20)*(($A14-20)+1))/2)/100)*(2+Max(0,($A14-35)*0.2))*2),1),0)*IF(EnemyBuffed=TRUE,2.5,1),0)</f>
        <v>3151</v>
      </c>
      <c r="X14" s="379">
        <f>Rounddown(Round(Round((X$9+X$10*($A14-1))*(1+(EnemyHPSlider-1)+(EnemyHPDanger-1)+(EnemyJackHP-1)),0)*IF($A14&gt;20,(1+Max(0,((($A14-20)*(($A14-20)+1))/2)/100)*(2+Max(0,($A14-35)*0.2))*2),1),0)*IF(EnemyBuffed=TRUE,2.5,1),0)</f>
        <v>2941</v>
      </c>
      <c r="Y14" s="379">
        <f>Rounddown(Round(Round((Y$9+Y$10*($A14-1))*(1+(EnemyHPSlider-1)+(EnemyHPDanger-1)+(EnemyJackHP-1)),0)*IF($A14&gt;20,(1+Max(0,((($A14-20)*(($A14-20)+1))/2)/100)*(2+Max(0,($A14-35)*0.2))*2),1),0)*IF(EnemyBuffed=TRUE,2.5,1)*IF(AND($B$2=5,$A14&lt;=20),0.75,1),0)</f>
        <v>18112</v>
      </c>
      <c r="Z14" s="379">
        <f>Rounddown(Round(Round((Z$9+Z$10*($A14-1))*(1+(EnemyHPSlider-1)+(EnemyHPDanger-1)+(EnemyJackHP-1)),0)*IF($A14&gt;20,(1+Max(0,((($A14-20)*(($A14-20)+1))/2)/100)*(2+Max(0,($A14-35)*0.2))*2),1),0)*IF(EnemyBuffed=TRUE,2.5,1)*IF(AND($B$2=5,$A14&lt;=20),0.75,1),0)</f>
        <v>18112</v>
      </c>
      <c r="AA14" s="379">
        <f>Rounddown(Round(Round((AA$9+AA$10*($A14-1))*(1+(EnemyHPSlider-1)+(EnemyHPDanger-1)+(EnemyJackHP-1)),0)*IF($A14&gt;20,(1+Max(0,((($A14-20)*(($A14-20)+1))/2)/100)*(2+Max(0,($A14-35)*0.2))*2),1),0)*IF(EnemyBuffed=TRUE,2.5,1),0)</f>
        <v>105</v>
      </c>
    </row>
    <row r="15">
      <c r="A15" s="362">
        <v>5.0</v>
      </c>
      <c r="B15" s="381">
        <f>Rounddown(Round(Round((B$9+B$10*($A15-1))*(1+(EnemyHPSlider-1)+(EnemyHPDanger-1)+(EnemyJackHP-1)),0)*IF($A15&gt;20,(1+Max(0,((($A15-20)*(($A15-20)+1))/2)/100)*(2+Max(0,($A15-35)*0.2))*2),1),0)*IF(EnemyBuffed=TRUE,2.5,1),0)</f>
        <v>42</v>
      </c>
      <c r="C15" s="381">
        <f>Rounddown(Round(Round((C$9+C$10*($A15-1))*(1+(EnemyHPSlider-1)+(EnemyHPDanger-1)+(EnemyJackHP-1)),0)*IF($A15&gt;20,(1+Max(0,((($A15-20)*(($A15-20)+1))/2)/100)*(2+Max(0,($A15-35)*0.2))*2),1),0)*IF(EnemyBuffed=TRUE,2.5,1),0)</f>
        <v>15</v>
      </c>
      <c r="D15" s="381">
        <f>Rounddown(Round(Round((D$9+D$10*($A15-1))*(1+(EnemyHPSlider-1)+(EnemyHPDanger-1)+(EnemyJackHP-1)),0)*IF($A15&gt;20,(1+Max(0,((($A15-20)*(($A15-20)+1))/2)/100)*(2+Max(0,($A15-35)*0.2))*2),1),0)*IF(EnemyBuffed=TRUE,2.5,1),0)</f>
        <v>7</v>
      </c>
      <c r="E15" s="381">
        <f>Rounddown(Round(Round((E$9+E$10*($A15-1))*(1+(EnemyHPSlider-1)+(EnemyHPDanger-1)+(EnemyJackHP-1)),0)*IF($A15&gt;20,(1+Max(0,((($A15-20)*(($A15-20)+1))/2)/100)*(2+Max(0,($A15-35)*0.2))*2),1),0)*IF(EnemyBuffed=TRUE,2.5,1),0)</f>
        <v>17</v>
      </c>
      <c r="F15" s="381">
        <f>Rounddown(Round(Round((F$9+F$10*($A15-1))*(1+(EnemyHPSlider-1)+(EnemyHPDanger-1)+(EnemyJackHP-1)),0)*IF($A15&gt;20,(1+Max(0,((($A15-20)*(($A15-20)+1))/2)/100)*(2+Max(0,($A15-35)*0.2))*2),1),0)*IF(EnemyBuffed=TRUE,2.5,1),0)</f>
        <v>20</v>
      </c>
      <c r="G15" s="381">
        <f>Rounddown(Round(Round((G$9+G$10*($A15-1))*(1+(EnemyHPSlider-1)+(EnemyHPDanger-1)+(EnemyJackHP-1)),0)*IF($A15&gt;20,(1+Max(0,((($A15-20)*(($A15-20)+1))/2)/100)*(2+Max(0,($A15-35)*0.2))*2),1),0)*IF(EnemyBuffed=TRUE,2.5,1),0)</f>
        <v>148</v>
      </c>
      <c r="H15" s="381">
        <f>Rounddown(Round(Round((H$9+H$10*($A15-1))*(1+(EnemyHPSlider-1)+(EnemyHPDanger-1)+(EnemyJackHP-1)),0)*IF($A15&gt;20,(1+Max(0,((($A15-20)*(($A15-20)+1))/2)/100)*(2+Max(0,($A15-35)*0.2))*2),1),0)*IF(EnemyBuffed=TRUE,2.5,1),0)</f>
        <v>90</v>
      </c>
      <c r="I15" s="381">
        <f>Rounddown(Round(Round((I$9+I$10*($A15-1))*(1+(EnemyHPSlider-1)+(EnemyHPDanger-1)+(EnemyJackHP-1)),0)*IF($A15&gt;20,(1+Max(0,((($A15-20)*(($A15-20)+1))/2)/100)*(2+Max(0,($A15-35)*0.2))*2),1),0)*IF(EnemyBuffed=TRUE,2.5,1),0)</f>
        <v>45</v>
      </c>
      <c r="J15" s="381">
        <f>Rounddown(Round(Round((J$9+J$10*($A15-1))*(1+(EnemyHPSlider-1)+(EnemyHPDanger-1)+(EnemyJackHP-1)),0)*IF($A15&gt;20,(1+Max(0,((($A15-20)*(($A15-20)+1))/2)/100)*(2+Max(0,($A15-35)*0.2))*2),1),0)*IF(EnemyBuffed=TRUE,2.5,1),0)</f>
        <v>43</v>
      </c>
      <c r="K15" s="381">
        <f>Rounddown(Round(Round((K$9+K$10*($A15-1))*(1+(EnemyHPSlider-1)+(EnemyHPDanger-1)+(EnemyJackHP-1)),0)*IF($A15&gt;20,(1+Max(0,((($A15-20)*(($A15-20)+1))/2)/100)*(2+Max(0,($A15-35)*0.2))*2),1),0)*IF(EnemyBuffed=TRUE,2.5,1),0)</f>
        <v>59</v>
      </c>
      <c r="L15" s="381">
        <f>Rounddown(Round(Round((L$9+L$10*($A15-1))*(1+(EnemyHPSlider-1)+(EnemyHPDanger-1)+(EnemyJackHP-1)),0)*IF($A15&gt;20,(1+Max(0,((($A15-20)*(($A15-20)+1))/2)/100)*(2+Max(0,($A15-35)*0.2))*2),1),0)*IF(EnemyBuffed=TRUE,2.5,1),0)</f>
        <v>210</v>
      </c>
      <c r="M15" s="381">
        <f>Rounddown(Round(Round((M$9+M$10*($A15-1))*(1+(EnemyHPSlider-1)+(EnemyHPDanger-1)+(EnemyJackHP-1)),0)*IF($A15&gt;20,(1+Max(0,((($A15-20)*(($A15-20)+1))/2)/100)*(2+Max(0,($A15-35)*0.2))*2),1),0)*IF(EnemyBuffed=TRUE,2.5,1),0)</f>
        <v>28</v>
      </c>
      <c r="N15" s="381">
        <f>Rounddown(Round(Round((N$9+N$10*($A15-1))*(1+(EnemyHPSlider-1)+(EnemyHPDanger-1)+(EnemyJackHP-1)),0)*IF($A15&gt;20,(1+Max(0,((($A15-20)*(($A15-20)+1))/2)/100)*(2+Max(0,($A15-35)*0.2))*2),1),0)*IF(EnemyBuffed=TRUE,2.5,1),0)</f>
        <v>28</v>
      </c>
      <c r="O15" s="381">
        <f>Rounddown(Round(Round((O$9+O$10*($A15-1))*(1+(EnemyHPSlider-1)+(EnemyHPDanger-1)+(EnemyJackHP-1)),0)*IF($A15&gt;20,(1+Max(0,((($A15-20)*(($A15-20)+1))/2)/100)*(2+Max(0,($A15-35)*0.2))*2),1),0)*IF(EnemyBuffed=TRUE,2.5,1),0)</f>
        <v>20</v>
      </c>
      <c r="P15" s="381">
        <f>Rounddown(Round(Round((P$9+P$10*($A15-1))*(1+(EnemyHPSlider-1)+(EnemyHPDanger-1)+(EnemyJackHP-1)),0)*IF($A15&gt;20,(1+Max(0,((($A15-20)*(($A15-20)+1))/2)/100)*(2+Max(0,($A15-35)*0.2))*2),1),0)*IF(EnemyBuffed=TRUE,2.5,1),0)</f>
        <v>35</v>
      </c>
      <c r="Q15" s="381">
        <f>Rounddown(Round(Round((Q$9+Q$10*($A15-1))*(1+(EnemyHPSlider-1)+(EnemyHPDanger-1)+(EnemyJackHP-1)),0)*IF($A15&gt;20,(1+Max(0,((($A15-20)*(($A15-20)+1))/2)/100)*(2+Max(0,($A15-35)*0.2))*2),1),0)*IF(EnemyBuffed=TRUE,2.5,1),0)</f>
        <v>165</v>
      </c>
      <c r="R15" s="381">
        <f>Rounddown(Round(Round((R$9+R$10*($A15-1))*(1+(EnemyHPSlider-1)+(EnemyHPDanger-1)+(EnemyJackHP-1)),0)*IF($A15&gt;20,(1+Max(0,((($A15-20)*(($A15-20)+1))/2)/100)*(2+Max(0,($A15-35)*0.2))*2),1),0)*IF(EnemyBuffed=TRUE,2.5,1),0)</f>
        <v>45</v>
      </c>
      <c r="S15" s="381">
        <f>Rounddown(Round(Round((S$9+S$10*($A15-1))*(1+(EnemyHPSlider-1)+(EnemyHPDanger-1)+(EnemyJackHP-1)),0)*IF($A15&gt;20,(1+Max(0,((($A15-20)*(($A15-20)+1))/2)/100)*(2+Max(0,($A15-35)*0.2))*2),1),0)*IF(EnemyBuffed=TRUE,2.5,1),0)</f>
        <v>24</v>
      </c>
      <c r="T15" s="381">
        <f>Rounddown(Round(Round((T$9+T$10*($A15-1))*(1+(EnemyHPSlider-1)+(EnemyHPDanger-1)+(EnemyJackHP-1)),0)*IF($A15&gt;20,(1+Max(0,((($A15-20)*(($A15-20)+1))/2)/100)*(2+Max(0,($A15-35)*0.2))*2),1),0)*IF(EnemyBuffed=TRUE,2.5,1),0)</f>
        <v>210</v>
      </c>
      <c r="U15" s="381">
        <f>Rounddown(Round(Round((U$9+U$10*($A15-1))*(1+(EnemyHPSlider-1)+(EnemyHPDanger-1)+(EnemyJackHP-1)),0)*IF($A15&gt;20,(1+Max(0,((($A15-20)*(($A15-20)+1))/2)/100)*(2+Max(0,($A15-35)*0.2))*2),1),0)*IF(EnemyBuffed=TRUE,2.5,1),0)</f>
        <v>252</v>
      </c>
      <c r="V15" s="381">
        <f>Rounddown(Round(Round((V$9+V$10*($A15-1))*(1+(EnemyHPSlider-1)+(EnemyHPDanger-1)+(EnemyJackHP-1)),0)*IF($A15&gt;20,(1+Max(0,((($A15-20)*(($A15-20)+1))/2)/100)*(2+Max(0,($A15-35)*0.2))*2),1),0)*IF(EnemyBuffed=TRUE,2.5,1),0)</f>
        <v>4201</v>
      </c>
      <c r="W15" s="381">
        <f>Rounddown(Round(Round((W$9+W$10*($A15-1))*(1+(EnemyHPSlider-1)+(EnemyHPDanger-1)+(EnemyJackHP-1)),0)*IF($A15&gt;20,(1+Max(0,((($A15-20)*(($A15-20)+1))/2)/100)*(2+Max(0,($A15-35)*0.2))*2),1),0)*IF(EnemyBuffed=TRUE,2.5,1),0)</f>
        <v>4201</v>
      </c>
      <c r="X15" s="381">
        <f>Rounddown(Round(Round((X$9+X$10*($A15-1))*(1+(EnemyHPSlider-1)+(EnemyHPDanger-1)+(EnemyJackHP-1)),0)*IF($A15&gt;20,(1+Max(0,((($A15-20)*(($A15-20)+1))/2)/100)*(2+Max(0,($A15-35)*0.2))*2),1),0)*IF(EnemyBuffed=TRUE,2.5,1),0)</f>
        <v>3921</v>
      </c>
      <c r="Y15" s="381">
        <f>Rounddown(Round(Round((Y$9+Y$10*($A15-1))*(1+(EnemyHPSlider-1)+(EnemyHPDanger-1)+(EnemyJackHP-1)),0)*IF($A15&gt;20,(1+Max(0,((($A15-20)*(($A15-20)+1))/2)/100)*(2+Max(0,($A15-35)*0.2))*2),1),0)*IF(EnemyBuffed=TRUE,2.5,1)*IF(AND($B$2=5,$A15&lt;=20),0.75,1),0)</f>
        <v>18900</v>
      </c>
      <c r="Z15" s="381">
        <f>Rounddown(Round(Round((Z$9+Z$10*($A15-1))*(1+(EnemyHPSlider-1)+(EnemyHPDanger-1)+(EnemyJackHP-1)),0)*IF($A15&gt;20,(1+Max(0,((($A15-20)*(($A15-20)+1))/2)/100)*(2+Max(0,($A15-35)*0.2))*2),1),0)*IF(EnemyBuffed=TRUE,2.5,1)*IF(AND($B$2=5,$A15&lt;=20),0.75,1),0)</f>
        <v>18900</v>
      </c>
      <c r="AA15" s="381">
        <f>Rounddown(Round(Round((AA$9+AA$10*($A15-1))*(1+(EnemyHPSlider-1)+(EnemyHPDanger-1)+(EnemyJackHP-1)),0)*IF($A15&gt;20,(1+Max(0,((($A15-20)*(($A15-20)+1))/2)/100)*(2+Max(0,($A15-35)*0.2))*2),1),0)*IF(EnemyBuffed=TRUE,2.5,1),0)</f>
        <v>126</v>
      </c>
    </row>
    <row r="16">
      <c r="A16" s="362">
        <v>6.0</v>
      </c>
      <c r="B16" s="379">
        <f>Rounddown(Round(Round((B$9+B$10*($A16-1))*(1+(EnemyHPSlider-1)+(EnemyHPDanger-1)+(EnemyJackHP-1)),0)*IF($A16&gt;20,(1+Max(0,((($A16-20)*(($A16-20)+1))/2)/100)*(2+Max(0,($A16-35)*0.2))*2),1),0)*IF(EnemyBuffed=TRUE,2.5,1),0)</f>
        <v>49</v>
      </c>
      <c r="C16" s="379">
        <f>Rounddown(Round(Round((C$9+C$10*($A16-1))*(1+(EnemyHPSlider-1)+(EnemyHPDanger-1)+(EnemyJackHP-1)),0)*IF($A16&gt;20,(1+Max(0,((($A16-20)*(($A16-20)+1))/2)/100)*(2+Max(0,($A16-35)*0.2))*2),1),0)*IF(EnemyBuffed=TRUE,2.5,1),0)</f>
        <v>18</v>
      </c>
      <c r="D16" s="379">
        <f>Rounddown(Round(Round((D$9+D$10*($A16-1))*(1+(EnemyHPSlider-1)+(EnemyHPDanger-1)+(EnemyJackHP-1)),0)*IF($A16&gt;20,(1+Max(0,((($A16-20)*(($A16-20)+1))/2)/100)*(2+Max(0,($A16-35)*0.2))*2),1),0)*IF(EnemyBuffed=TRUE,2.5,1),0)</f>
        <v>8</v>
      </c>
      <c r="E16" s="379">
        <f>Rounddown(Round(Round((E$9+E$10*($A16-1))*(1+(EnemyHPSlider-1)+(EnemyHPDanger-1)+(EnemyJackHP-1)),0)*IF($A16&gt;20,(1+Max(0,((($A16-20)*(($A16-20)+1))/2)/100)*(2+Max(0,($A16-35)*0.2))*2),1),0)*IF(EnemyBuffed=TRUE,2.5,1),0)</f>
        <v>18</v>
      </c>
      <c r="F16" s="379">
        <f>Rounddown(Round(Round((F$9+F$10*($A16-1))*(1+(EnemyHPSlider-1)+(EnemyHPDanger-1)+(EnemyJackHP-1)),0)*IF($A16&gt;20,(1+Max(0,((($A16-20)*(($A16-20)+1))/2)/100)*(2+Max(0,($A16-35)*0.2))*2),1),0)*IF(EnemyBuffed=TRUE,2.5,1),0)</f>
        <v>23</v>
      </c>
      <c r="G16" s="379">
        <f>Rounddown(Round(Round((G$9+G$10*($A16-1))*(1+(EnemyHPSlider-1)+(EnemyHPDanger-1)+(EnemyJackHP-1)),0)*IF($A16&gt;20,(1+Max(0,((($A16-20)*(($A16-20)+1))/2)/100)*(2+Max(0,($A16-35)*0.2))*2),1),0)*IF(EnemyBuffed=TRUE,2.5,1),0)</f>
        <v>182</v>
      </c>
      <c r="H16" s="379">
        <f>Rounddown(Round(Round((H$9+H$10*($A16-1))*(1+(EnemyHPSlider-1)+(EnemyHPDanger-1)+(EnemyJackHP-1)),0)*IF($A16&gt;20,(1+Max(0,((($A16-20)*(($A16-20)+1))/2)/100)*(2+Max(0,($A16-35)*0.2))*2),1),0)*IF(EnemyBuffed=TRUE,2.5,1),0)</f>
        <v>105</v>
      </c>
      <c r="I16" s="379">
        <f>Rounddown(Round(Round((I$9+I$10*($A16-1))*(1+(EnemyHPSlider-1)+(EnemyHPDanger-1)+(EnemyJackHP-1)),0)*IF($A16&gt;20,(1+Max(0,((($A16-20)*(($A16-20)+1))/2)/100)*(2+Max(0,($A16-35)*0.2))*2),1),0)*IF(EnemyBuffed=TRUE,2.5,1),0)</f>
        <v>49</v>
      </c>
      <c r="J16" s="379">
        <f>Rounddown(Round(Round((J$9+J$10*($A16-1))*(1+(EnemyHPSlider-1)+(EnemyHPDanger-1)+(EnemyJackHP-1)),0)*IF($A16&gt;20,(1+Max(0,((($A16-20)*(($A16-20)+1))/2)/100)*(2+Max(0,($A16-35)*0.2))*2),1),0)*IF(EnemyBuffed=TRUE,2.5,1),0)</f>
        <v>49</v>
      </c>
      <c r="K16" s="379">
        <f>Rounddown(Round(Round((K$9+K$10*($A16-1))*(1+(EnemyHPSlider-1)+(EnemyHPDanger-1)+(EnemyJackHP-1)),0)*IF($A16&gt;20,(1+Max(0,((($A16-20)*(($A16-20)+1))/2)/100)*(2+Max(0,($A16-35)*0.2))*2),1),0)*IF(EnemyBuffed=TRUE,2.5,1),0)</f>
        <v>70</v>
      </c>
      <c r="L16" s="379">
        <f>Rounddown(Round(Round((L$9+L$10*($A16-1))*(1+(EnemyHPSlider-1)+(EnemyHPDanger-1)+(EnemyJackHP-1)),0)*IF($A16&gt;20,(1+Max(0,((($A16-20)*(($A16-20)+1))/2)/100)*(2+Max(0,($A16-35)*0.2))*2),1),0)*IF(EnemyBuffed=TRUE,2.5,1),0)</f>
        <v>245</v>
      </c>
      <c r="M16" s="379">
        <f>Rounddown(Round(Round((M$9+M$10*($A16-1))*(1+(EnemyHPSlider-1)+(EnemyHPDanger-1)+(EnemyJackHP-1)),0)*IF($A16&gt;20,(1+Max(0,((($A16-20)*(($A16-20)+1))/2)/100)*(2+Max(0,($A16-35)*0.2))*2),1),0)*IF(EnemyBuffed=TRUE,2.5,1),0)</f>
        <v>32</v>
      </c>
      <c r="N16" s="379">
        <f>Rounddown(Round(Round((N$9+N$10*($A16-1))*(1+(EnemyHPSlider-1)+(EnemyHPDanger-1)+(EnemyJackHP-1)),0)*IF($A16&gt;20,(1+Max(0,((($A16-20)*(($A16-20)+1))/2)/100)*(2+Max(0,($A16-35)*0.2))*2),1),0)*IF(EnemyBuffed=TRUE,2.5,1),0)</f>
        <v>31</v>
      </c>
      <c r="O16" s="379">
        <f>Rounddown(Round(Round((O$9+O$10*($A16-1))*(1+(EnemyHPSlider-1)+(EnemyHPDanger-1)+(EnemyJackHP-1)),0)*IF($A16&gt;20,(1+Max(0,((($A16-20)*(($A16-20)+1))/2)/100)*(2+Max(0,($A16-35)*0.2))*2),1),0)*IF(EnemyBuffed=TRUE,2.5,1),0)</f>
        <v>21</v>
      </c>
      <c r="P16" s="379">
        <f>Rounddown(Round(Round((P$9+P$10*($A16-1))*(1+(EnemyHPSlider-1)+(EnemyHPDanger-1)+(EnemyJackHP-1)),0)*IF($A16&gt;20,(1+Max(0,((($A16-20)*(($A16-20)+1))/2)/100)*(2+Max(0,($A16-35)*0.2))*2),1),0)*IF(EnemyBuffed=TRUE,2.5,1),0)</f>
        <v>42</v>
      </c>
      <c r="Q16" s="379">
        <f>Rounddown(Round(Round((Q$9+Q$10*($A16-1))*(1+(EnemyHPSlider-1)+(EnemyHPDanger-1)+(EnemyJackHP-1)),0)*IF($A16&gt;20,(1+Max(0,((($A16-20)*(($A16-20)+1))/2)/100)*(2+Max(0,($A16-35)*0.2))*2),1),0)*IF(EnemyBuffed=TRUE,2.5,1),0)</f>
        <v>196</v>
      </c>
      <c r="R16" s="379">
        <f>Rounddown(Round(Round((R$9+R$10*($A16-1))*(1+(EnemyHPSlider-1)+(EnemyHPDanger-1)+(EnemyJackHP-1)),0)*IF($A16&gt;20,(1+Max(0,((($A16-20)*(($A16-20)+1))/2)/100)*(2+Max(0,($A16-35)*0.2))*2),1),0)*IF(EnemyBuffed=TRUE,2.5,1),0)</f>
        <v>52</v>
      </c>
      <c r="S16" s="379">
        <f>Rounddown(Round(Round((S$9+S$10*($A16-1))*(1+(EnemyHPSlider-1)+(EnemyHPDanger-1)+(EnemyJackHP-1)),0)*IF($A16&gt;20,(1+Max(0,((($A16-20)*(($A16-20)+1))/2)/100)*(2+Max(0,($A16-35)*0.2))*2),1),0)*IF(EnemyBuffed=TRUE,2.5,1),0)</f>
        <v>28</v>
      </c>
      <c r="T16" s="379">
        <f>Rounddown(Round(Round((T$9+T$10*($A16-1))*(1+(EnemyHPSlider-1)+(EnemyHPDanger-1)+(EnemyJackHP-1)),0)*IF($A16&gt;20,(1+Max(0,((($A16-20)*(($A16-20)+1))/2)/100)*(2+Max(0,($A16-35)*0.2))*2),1),0)*IF(EnemyBuffed=TRUE,2.5,1),0)</f>
        <v>245</v>
      </c>
      <c r="U16" s="379">
        <f>Rounddown(Round(Round((U$9+U$10*($A16-1))*(1+(EnemyHPSlider-1)+(EnemyHPDanger-1)+(EnemyJackHP-1)),0)*IF($A16&gt;20,(1+Max(0,((($A16-20)*(($A16-20)+1))/2)/100)*(2+Max(0,($A16-35)*0.2))*2),1),0)*IF(EnemyBuffed=TRUE,2.5,1),0)</f>
        <v>280</v>
      </c>
      <c r="V16" s="379">
        <f>Rounddown(Round(Round((V$9+V$10*($A16-1))*(1+(EnemyHPSlider-1)+(EnemyHPDanger-1)+(EnemyJackHP-1)),0)*IF($A16&gt;20,(1+Max(0,((($A16-20)*(($A16-20)+1))/2)/100)*(2+Max(0,($A16-35)*0.2))*2),1),0)*IF(EnemyBuffed=TRUE,2.5,1),0)</f>
        <v>5251</v>
      </c>
      <c r="W16" s="379">
        <f>Rounddown(Round(Round((W$9+W$10*($A16-1))*(1+(EnemyHPSlider-1)+(EnemyHPDanger-1)+(EnemyJackHP-1)),0)*IF($A16&gt;20,(1+Max(0,((($A16-20)*(($A16-20)+1))/2)/100)*(2+Max(0,($A16-35)*0.2))*2),1),0)*IF(EnemyBuffed=TRUE,2.5,1),0)</f>
        <v>5251</v>
      </c>
      <c r="X16" s="379">
        <f>Rounddown(Round(Round((X$9+X$10*($A16-1))*(1+(EnemyHPSlider-1)+(EnemyHPDanger-1)+(EnemyJackHP-1)),0)*IF($A16&gt;20,(1+Max(0,((($A16-20)*(($A16-20)+1))/2)/100)*(2+Max(0,($A16-35)*0.2))*2),1),0)*IF(EnemyBuffed=TRUE,2.5,1),0)</f>
        <v>4901</v>
      </c>
      <c r="Y16" s="379">
        <f>Rounddown(Round(Round((Y$9+Y$10*($A16-1))*(1+(EnemyHPSlider-1)+(EnemyHPDanger-1)+(EnemyJackHP-1)),0)*IF($A16&gt;20,(1+Max(0,((($A16-20)*(($A16-20)+1))/2)/100)*(2+Max(0,($A16-35)*0.2))*2),1),0)*IF(EnemyBuffed=TRUE,2.5,1)*IF(AND($B$2=5,$A16&lt;=20),0.75,1),0)</f>
        <v>19687</v>
      </c>
      <c r="Z16" s="379">
        <f>Rounddown(Round(Round((Z$9+Z$10*($A16-1))*(1+(EnemyHPSlider-1)+(EnemyHPDanger-1)+(EnemyJackHP-1)),0)*IF($A16&gt;20,(1+Max(0,((($A16-20)*(($A16-20)+1))/2)/100)*(2+Max(0,($A16-35)*0.2))*2),1),0)*IF(EnemyBuffed=TRUE,2.5,1)*IF(AND($B$2=5,$A16&lt;=20),0.75,1),0)</f>
        <v>19687</v>
      </c>
      <c r="AA16" s="379">
        <f>Rounddown(Round(Round((AA$9+AA$10*($A16-1))*(1+(EnemyHPSlider-1)+(EnemyHPDanger-1)+(EnemyJackHP-1)),0)*IF($A16&gt;20,(1+Max(0,((($A16-20)*(($A16-20)+1))/2)/100)*(2+Max(0,($A16-35)*0.2))*2),1),0)*IF(EnemyBuffed=TRUE,2.5,1),0)</f>
        <v>147</v>
      </c>
    </row>
    <row r="17">
      <c r="A17" s="362">
        <v>7.0</v>
      </c>
      <c r="B17" s="381">
        <f>Rounddown(Round(Round((B$9+B$10*($A17-1))*(1+(EnemyHPSlider-1)+(EnemyHPDanger-1)+(EnemyJackHP-1)),0)*IF($A17&gt;20,(1+Max(0,((($A17-20)*(($A17-20)+1))/2)/100)*(2+Max(0,($A17-35)*0.2))*2),1),0)*IF(EnemyBuffed=TRUE,2.5,1),0)</f>
        <v>56</v>
      </c>
      <c r="C17" s="381">
        <f>Rounddown(Round(Round((C$9+C$10*($A17-1))*(1+(EnemyHPSlider-1)+(EnemyHPDanger-1)+(EnemyJackHP-1)),0)*IF($A17&gt;20,(1+Max(0,((($A17-20)*(($A17-20)+1))/2)/100)*(2+Max(0,($A17-35)*0.2))*2),1),0)*IF(EnemyBuffed=TRUE,2.5,1),0)</f>
        <v>21</v>
      </c>
      <c r="D17" s="381">
        <f>Rounddown(Round(Round((D$9+D$10*($A17-1))*(1+(EnemyHPSlider-1)+(EnemyHPDanger-1)+(EnemyJackHP-1)),0)*IF($A17&gt;20,(1+Max(0,((($A17-20)*(($A17-20)+1))/2)/100)*(2+Max(0,($A17-35)*0.2))*2),1),0)*IF(EnemyBuffed=TRUE,2.5,1),0)</f>
        <v>10</v>
      </c>
      <c r="E17" s="381">
        <f>Rounddown(Round(Round((E$9+E$10*($A17-1))*(1+(EnemyHPSlider-1)+(EnemyHPDanger-1)+(EnemyJackHP-1)),0)*IF($A17&gt;20,(1+Max(0,((($A17-20)*(($A17-20)+1))/2)/100)*(2+Max(0,($A17-35)*0.2))*2),1),0)*IF(EnemyBuffed=TRUE,2.5,1),0)</f>
        <v>20</v>
      </c>
      <c r="F17" s="381">
        <f>Rounddown(Round(Round((F$9+F$10*($A17-1))*(1+(EnemyHPSlider-1)+(EnemyHPDanger-1)+(EnemyJackHP-1)),0)*IF($A17&gt;20,(1+Max(0,((($A17-20)*(($A17-20)+1))/2)/100)*(2+Max(0,($A17-35)*0.2))*2),1),0)*IF(EnemyBuffed=TRUE,2.5,1),0)</f>
        <v>27</v>
      </c>
      <c r="G17" s="381">
        <f>Rounddown(Round(Round((G$9+G$10*($A17-1))*(1+(EnemyHPSlider-1)+(EnemyHPDanger-1)+(EnemyJackHP-1)),0)*IF($A17&gt;20,(1+Max(0,((($A17-20)*(($A17-20)+1))/2)/100)*(2+Max(0,($A17-35)*0.2))*2),1),0)*IF(EnemyBuffed=TRUE,2.5,1),0)</f>
        <v>216</v>
      </c>
      <c r="H17" s="381">
        <f>Rounddown(Round(Round((H$9+H$10*($A17-1))*(1+(EnemyHPSlider-1)+(EnemyHPDanger-1)+(EnemyJackHP-1)),0)*IF($A17&gt;20,(1+Max(0,((($A17-20)*(($A17-20)+1))/2)/100)*(2+Max(0,($A17-35)*0.2))*2),1),0)*IF(EnemyBuffed=TRUE,2.5,1),0)</f>
        <v>120</v>
      </c>
      <c r="I17" s="381">
        <f>Rounddown(Round(Round((I$9+I$10*($A17-1))*(1+(EnemyHPSlider-1)+(EnemyHPDanger-1)+(EnemyJackHP-1)),0)*IF($A17&gt;20,(1+Max(0,((($A17-20)*(($A17-20)+1))/2)/100)*(2+Max(0,($A17-35)*0.2))*2),1),0)*IF(EnemyBuffed=TRUE,2.5,1),0)</f>
        <v>53</v>
      </c>
      <c r="J17" s="381">
        <f>Rounddown(Round(Round((J$9+J$10*($A17-1))*(1+(EnemyHPSlider-1)+(EnemyHPDanger-1)+(EnemyJackHP-1)),0)*IF($A17&gt;20,(1+Max(0,((($A17-20)*(($A17-20)+1))/2)/100)*(2+Max(0,($A17-35)*0.2))*2),1),0)*IF(EnemyBuffed=TRUE,2.5,1),0)</f>
        <v>55</v>
      </c>
      <c r="K17" s="381">
        <f>Rounddown(Round(Round((K$9+K$10*($A17-1))*(1+(EnemyHPSlider-1)+(EnemyHPDanger-1)+(EnemyJackHP-1)),0)*IF($A17&gt;20,(1+Max(0,((($A17-20)*(($A17-20)+1))/2)/100)*(2+Max(0,($A17-35)*0.2))*2),1),0)*IF(EnemyBuffed=TRUE,2.5,1),0)</f>
        <v>81</v>
      </c>
      <c r="L17" s="381">
        <f>Rounddown(Round(Round((L$9+L$10*($A17-1))*(1+(EnemyHPSlider-1)+(EnemyHPDanger-1)+(EnemyJackHP-1)),0)*IF($A17&gt;20,(1+Max(0,((($A17-20)*(($A17-20)+1))/2)/100)*(2+Max(0,($A17-35)*0.2))*2),1),0)*IF(EnemyBuffed=TRUE,2.5,1),0)</f>
        <v>280</v>
      </c>
      <c r="M17" s="381">
        <f>Rounddown(Round(Round((M$9+M$10*($A17-1))*(1+(EnemyHPSlider-1)+(EnemyHPDanger-1)+(EnemyJackHP-1)),0)*IF($A17&gt;20,(1+Max(0,((($A17-20)*(($A17-20)+1))/2)/100)*(2+Max(0,($A17-35)*0.2))*2),1),0)*IF(EnemyBuffed=TRUE,2.5,1),0)</f>
        <v>36</v>
      </c>
      <c r="N17" s="381">
        <f>Rounddown(Round(Round((N$9+N$10*($A17-1))*(1+(EnemyHPSlider-1)+(EnemyHPDanger-1)+(EnemyJackHP-1)),0)*IF($A17&gt;20,(1+Max(0,((($A17-20)*(($A17-20)+1))/2)/100)*(2+Max(0,($A17-35)*0.2))*2),1),0)*IF(EnemyBuffed=TRUE,2.5,1),0)</f>
        <v>34</v>
      </c>
      <c r="O17" s="381">
        <f>Rounddown(Round(Round((O$9+O$10*($A17-1))*(1+(EnemyHPSlider-1)+(EnemyHPDanger-1)+(EnemyJackHP-1)),0)*IF($A17&gt;20,(1+Max(0,((($A17-20)*(($A17-20)+1))/2)/100)*(2+Max(0,($A17-35)*0.2))*2),1),0)*IF(EnemyBuffed=TRUE,2.5,1),0)</f>
        <v>22</v>
      </c>
      <c r="P17" s="381">
        <f>Rounddown(Round(Round((P$9+P$10*($A17-1))*(1+(EnemyHPSlider-1)+(EnemyHPDanger-1)+(EnemyJackHP-1)),0)*IF($A17&gt;20,(1+Max(0,((($A17-20)*(($A17-20)+1))/2)/100)*(2+Max(0,($A17-35)*0.2))*2),1),0)*IF(EnemyBuffed=TRUE,2.5,1),0)</f>
        <v>49</v>
      </c>
      <c r="Q17" s="381">
        <f>Rounddown(Round(Round((Q$9+Q$10*($A17-1))*(1+(EnemyHPSlider-1)+(EnemyHPDanger-1)+(EnemyJackHP-1)),0)*IF($A17&gt;20,(1+Max(0,((($A17-20)*(($A17-20)+1))/2)/100)*(2+Max(0,($A17-35)*0.2))*2),1),0)*IF(EnemyBuffed=TRUE,2.5,1),0)</f>
        <v>227</v>
      </c>
      <c r="R17" s="381">
        <f>Rounddown(Round(Round((R$9+R$10*($A17-1))*(1+(EnemyHPSlider-1)+(EnemyHPDanger-1)+(EnemyJackHP-1)),0)*IF($A17&gt;20,(1+Max(0,((($A17-20)*(($A17-20)+1))/2)/100)*(2+Max(0,($A17-35)*0.2))*2),1),0)*IF(EnemyBuffed=TRUE,2.5,1),0)</f>
        <v>59</v>
      </c>
      <c r="S17" s="381">
        <f>Rounddown(Round(Round((S$9+S$10*($A17-1))*(1+(EnemyHPSlider-1)+(EnemyHPDanger-1)+(EnemyJackHP-1)),0)*IF($A17&gt;20,(1+Max(0,((($A17-20)*(($A17-20)+1))/2)/100)*(2+Max(0,($A17-35)*0.2))*2),1),0)*IF(EnemyBuffed=TRUE,2.5,1),0)</f>
        <v>32</v>
      </c>
      <c r="T17" s="381">
        <f>Rounddown(Round(Round((T$9+T$10*($A17-1))*(1+(EnemyHPSlider-1)+(EnemyHPDanger-1)+(EnemyJackHP-1)),0)*IF($A17&gt;20,(1+Max(0,((($A17-20)*(($A17-20)+1))/2)/100)*(2+Max(0,($A17-35)*0.2))*2),1),0)*IF(EnemyBuffed=TRUE,2.5,1),0)</f>
        <v>280</v>
      </c>
      <c r="U17" s="381">
        <f>Rounddown(Round(Round((U$9+U$10*($A17-1))*(1+(EnemyHPSlider-1)+(EnemyHPDanger-1)+(EnemyJackHP-1)),0)*IF($A17&gt;20,(1+Max(0,((($A17-20)*(($A17-20)+1))/2)/100)*(2+Max(0,($A17-35)*0.2))*2),1),0)*IF(EnemyBuffed=TRUE,2.5,1),0)</f>
        <v>308</v>
      </c>
      <c r="V17" s="381">
        <f>Rounddown(Round(Round((V$9+V$10*($A17-1))*(1+(EnemyHPSlider-1)+(EnemyHPDanger-1)+(EnemyJackHP-1)),0)*IF($A17&gt;20,(1+Max(0,((($A17-20)*(($A17-20)+1))/2)/100)*(2+Max(0,($A17-35)*0.2))*2),1),0)*IF(EnemyBuffed=TRUE,2.5,1),0)</f>
        <v>6301</v>
      </c>
      <c r="W17" s="381">
        <f>Rounddown(Round(Round((W$9+W$10*($A17-1))*(1+(EnemyHPSlider-1)+(EnemyHPDanger-1)+(EnemyJackHP-1)),0)*IF($A17&gt;20,(1+Max(0,((($A17-20)*(($A17-20)+1))/2)/100)*(2+Max(0,($A17-35)*0.2))*2),1),0)*IF(EnemyBuffed=TRUE,2.5,1),0)</f>
        <v>6301</v>
      </c>
      <c r="X17" s="381">
        <f>Rounddown(Round(Round((X$9+X$10*($A17-1))*(1+(EnemyHPSlider-1)+(EnemyHPDanger-1)+(EnemyJackHP-1)),0)*IF($A17&gt;20,(1+Max(0,((($A17-20)*(($A17-20)+1))/2)/100)*(2+Max(0,($A17-35)*0.2))*2),1),0)*IF(EnemyBuffed=TRUE,2.5,1),0)</f>
        <v>5881</v>
      </c>
      <c r="Y17" s="381">
        <f>Rounddown(Round(Round((Y$9+Y$10*($A17-1))*(1+(EnemyHPSlider-1)+(EnemyHPDanger-1)+(EnemyJackHP-1)),0)*IF($A17&gt;20,(1+Max(0,((($A17-20)*(($A17-20)+1))/2)/100)*(2+Max(0,($A17-35)*0.2))*2),1),0)*IF(EnemyBuffed=TRUE,2.5,1)*IF(AND($B$2=5,$A17&lt;=20),0.75,1),0)</f>
        <v>20475</v>
      </c>
      <c r="Z17" s="381">
        <f>Rounddown(Round(Round((Z$9+Z$10*($A17-1))*(1+(EnemyHPSlider-1)+(EnemyHPDanger-1)+(EnemyJackHP-1)),0)*IF($A17&gt;20,(1+Max(0,((($A17-20)*(($A17-20)+1))/2)/100)*(2+Max(0,($A17-35)*0.2))*2),1),0)*IF(EnemyBuffed=TRUE,2.5,1)*IF(AND($B$2=5,$A17&lt;=20),0.75,1),0)</f>
        <v>20475</v>
      </c>
      <c r="AA17" s="381">
        <f>Rounddown(Round(Round((AA$9+AA$10*($A17-1))*(1+(EnemyHPSlider-1)+(EnemyHPDanger-1)+(EnemyJackHP-1)),0)*IF($A17&gt;20,(1+Max(0,((($A17-20)*(($A17-20)+1))/2)/100)*(2+Max(0,($A17-35)*0.2))*2),1),0)*IF(EnemyBuffed=TRUE,2.5,1),0)</f>
        <v>168</v>
      </c>
    </row>
    <row r="18">
      <c r="A18" s="362">
        <v>8.0</v>
      </c>
      <c r="B18" s="379">
        <f>Rounddown(Round(Round((B$9+B$10*($A18-1))*(1+(EnemyHPSlider-1)+(EnemyHPDanger-1)+(EnemyJackHP-1)),0)*IF($A18&gt;20,(1+Max(0,((($A18-20)*(($A18-20)+1))/2)/100)*(2+Max(0,($A18-35)*0.2))*2),1),0)*IF(EnemyBuffed=TRUE,2.5,1),0)</f>
        <v>63</v>
      </c>
      <c r="C18" s="379">
        <f>Rounddown(Round(Round((C$9+C$10*($A18-1))*(1+(EnemyHPSlider-1)+(EnemyHPDanger-1)+(EnemyJackHP-1)),0)*IF($A18&gt;20,(1+Max(0,((($A18-20)*(($A18-20)+1))/2)/100)*(2+Max(0,($A18-35)*0.2))*2),1),0)*IF(EnemyBuffed=TRUE,2.5,1),0)</f>
        <v>24</v>
      </c>
      <c r="D18" s="379">
        <f>Rounddown(Round(Round((D$9+D$10*($A18-1))*(1+(EnemyHPSlider-1)+(EnemyHPDanger-1)+(EnemyJackHP-1)),0)*IF($A18&gt;20,(1+Max(0,((($A18-20)*(($A18-20)+1))/2)/100)*(2+Max(0,($A18-35)*0.2))*2),1),0)*IF(EnemyBuffed=TRUE,2.5,1),0)</f>
        <v>11</v>
      </c>
      <c r="E18" s="379">
        <f>Rounddown(Round(Round((E$9+E$10*($A18-1))*(1+(EnemyHPSlider-1)+(EnemyHPDanger-1)+(EnemyJackHP-1)),0)*IF($A18&gt;20,(1+Max(0,((($A18-20)*(($A18-20)+1))/2)/100)*(2+Max(0,($A18-35)*0.2))*2),1),0)*IF(EnemyBuffed=TRUE,2.5,1),0)</f>
        <v>21</v>
      </c>
      <c r="F18" s="379">
        <f>Rounddown(Round(Round((F$9+F$10*($A18-1))*(1+(EnemyHPSlider-1)+(EnemyHPDanger-1)+(EnemyJackHP-1)),0)*IF($A18&gt;20,(1+Max(0,((($A18-20)*(($A18-20)+1))/2)/100)*(2+Max(0,($A18-35)*0.2))*2),1),0)*IF(EnemyBuffed=TRUE,2.5,1),0)</f>
        <v>30</v>
      </c>
      <c r="G18" s="379">
        <f>Rounddown(Round(Round((G$9+G$10*($A18-1))*(1+(EnemyHPSlider-1)+(EnemyHPDanger-1)+(EnemyJackHP-1)),0)*IF($A18&gt;20,(1+Max(0,((($A18-20)*(($A18-20)+1))/2)/100)*(2+Max(0,($A18-35)*0.2))*2),1),0)*IF(EnemyBuffed=TRUE,2.5,1),0)</f>
        <v>249</v>
      </c>
      <c r="H18" s="379">
        <f>Rounddown(Round(Round((H$9+H$10*($A18-1))*(1+(EnemyHPSlider-1)+(EnemyHPDanger-1)+(EnemyJackHP-1)),0)*IF($A18&gt;20,(1+Max(0,((($A18-20)*(($A18-20)+1))/2)/100)*(2+Max(0,($A18-35)*0.2))*2),1),0)*IF(EnemyBuffed=TRUE,2.5,1),0)</f>
        <v>136</v>
      </c>
      <c r="I18" s="379">
        <f>Rounddown(Round(Round((I$9+I$10*($A18-1))*(1+(EnemyHPSlider-1)+(EnemyHPDanger-1)+(EnemyJackHP-1)),0)*IF($A18&gt;20,(1+Max(0,((($A18-20)*(($A18-20)+1))/2)/100)*(2+Max(0,($A18-35)*0.2))*2),1),0)*IF(EnemyBuffed=TRUE,2.5,1),0)</f>
        <v>57</v>
      </c>
      <c r="J18" s="379">
        <f>Rounddown(Round(Round((J$9+J$10*($A18-1))*(1+(EnemyHPSlider-1)+(EnemyHPDanger-1)+(EnemyJackHP-1)),0)*IF($A18&gt;20,(1+Max(0,((($A18-20)*(($A18-20)+1))/2)/100)*(2+Max(0,($A18-35)*0.2))*2),1),0)*IF(EnemyBuffed=TRUE,2.5,1),0)</f>
        <v>60</v>
      </c>
      <c r="K18" s="379">
        <f>Rounddown(Round(Round((K$9+K$10*($A18-1))*(1+(EnemyHPSlider-1)+(EnemyHPDanger-1)+(EnemyJackHP-1)),0)*IF($A18&gt;20,(1+Max(0,((($A18-20)*(($A18-20)+1))/2)/100)*(2+Max(0,($A18-35)*0.2))*2),1),0)*IF(EnemyBuffed=TRUE,2.5,1),0)</f>
        <v>92</v>
      </c>
      <c r="L18" s="379">
        <f>Rounddown(Round(Round((L$9+L$10*($A18-1))*(1+(EnemyHPSlider-1)+(EnemyHPDanger-1)+(EnemyJackHP-1)),0)*IF($A18&gt;20,(1+Max(0,((($A18-20)*(($A18-20)+1))/2)/100)*(2+Max(0,($A18-35)*0.2))*2),1),0)*IF(EnemyBuffed=TRUE,2.5,1),0)</f>
        <v>315</v>
      </c>
      <c r="M18" s="379">
        <f>Rounddown(Round(Round((M$9+M$10*($A18-1))*(1+(EnemyHPSlider-1)+(EnemyHPDanger-1)+(EnemyJackHP-1)),0)*IF($A18&gt;20,(1+Max(0,((($A18-20)*(($A18-20)+1))/2)/100)*(2+Max(0,($A18-35)*0.2))*2),1),0)*IF(EnemyBuffed=TRUE,2.5,1),0)</f>
        <v>41</v>
      </c>
      <c r="N18" s="379">
        <f>Rounddown(Round(Round((N$9+N$10*($A18-1))*(1+(EnemyHPSlider-1)+(EnemyHPDanger-1)+(EnemyJackHP-1)),0)*IF($A18&gt;20,(1+Max(0,((($A18-20)*(($A18-20)+1))/2)/100)*(2+Max(0,($A18-35)*0.2))*2),1),0)*IF(EnemyBuffed=TRUE,2.5,1),0)</f>
        <v>36</v>
      </c>
      <c r="O18" s="379">
        <f>Rounddown(Round(Round((O$9+O$10*($A18-1))*(1+(EnemyHPSlider-1)+(EnemyHPDanger-1)+(EnemyJackHP-1)),0)*IF($A18&gt;20,(1+Max(0,((($A18-20)*(($A18-20)+1))/2)/100)*(2+Max(0,($A18-35)*0.2))*2),1),0)*IF(EnemyBuffed=TRUE,2.5,1),0)</f>
        <v>24</v>
      </c>
      <c r="P18" s="379">
        <f>Rounddown(Round(Round((P$9+P$10*($A18-1))*(1+(EnemyHPSlider-1)+(EnemyHPDanger-1)+(EnemyJackHP-1)),0)*IF($A18&gt;20,(1+Max(0,((($A18-20)*(($A18-20)+1))/2)/100)*(2+Max(0,($A18-35)*0.2))*2),1),0)*IF(EnemyBuffed=TRUE,2.5,1),0)</f>
        <v>56</v>
      </c>
      <c r="Q18" s="379">
        <f>Rounddown(Round(Round((Q$9+Q$10*($A18-1))*(1+(EnemyHPSlider-1)+(EnemyHPDanger-1)+(EnemyJackHP-1)),0)*IF($A18&gt;20,(1+Max(0,((($A18-20)*(($A18-20)+1))/2)/100)*(2+Max(0,($A18-35)*0.2))*2),1),0)*IF(EnemyBuffed=TRUE,2.5,1),0)</f>
        <v>258</v>
      </c>
      <c r="R18" s="379">
        <f>Rounddown(Round(Round((R$9+R$10*($A18-1))*(1+(EnemyHPSlider-1)+(EnemyHPDanger-1)+(EnemyJackHP-1)),0)*IF($A18&gt;20,(1+Max(0,((($A18-20)*(($A18-20)+1))/2)/100)*(2+Max(0,($A18-35)*0.2))*2),1),0)*IF(EnemyBuffed=TRUE,2.5,1),0)</f>
        <v>66</v>
      </c>
      <c r="S18" s="379">
        <f>Rounddown(Round(Round((S$9+S$10*($A18-1))*(1+(EnemyHPSlider-1)+(EnemyHPDanger-1)+(EnemyJackHP-1)),0)*IF($A18&gt;20,(1+Max(0,((($A18-20)*(($A18-20)+1))/2)/100)*(2+Max(0,($A18-35)*0.2))*2),1),0)*IF(EnemyBuffed=TRUE,2.5,1),0)</f>
        <v>36</v>
      </c>
      <c r="T18" s="379">
        <f>Rounddown(Round(Round((T$9+T$10*($A18-1))*(1+(EnemyHPSlider-1)+(EnemyHPDanger-1)+(EnemyJackHP-1)),0)*IF($A18&gt;20,(1+Max(0,((($A18-20)*(($A18-20)+1))/2)/100)*(2+Max(0,($A18-35)*0.2))*2),1),0)*IF(EnemyBuffed=TRUE,2.5,1),0)</f>
        <v>315</v>
      </c>
      <c r="U18" s="379">
        <f>Rounddown(Round(Round((U$9+U$10*($A18-1))*(1+(EnemyHPSlider-1)+(EnemyHPDanger-1)+(EnemyJackHP-1)),0)*IF($A18&gt;20,(1+Max(0,((($A18-20)*(($A18-20)+1))/2)/100)*(2+Max(0,($A18-35)*0.2))*2),1),0)*IF(EnemyBuffed=TRUE,2.5,1),0)</f>
        <v>336</v>
      </c>
      <c r="V18" s="379">
        <f>Rounddown(Round(Round((V$9+V$10*($A18-1))*(1+(EnemyHPSlider-1)+(EnemyHPDanger-1)+(EnemyJackHP-1)),0)*IF($A18&gt;20,(1+Max(0,((($A18-20)*(($A18-20)+1))/2)/100)*(2+Max(0,($A18-35)*0.2))*2),1),0)*IF(EnemyBuffed=TRUE,2.5,1),0)</f>
        <v>7351</v>
      </c>
      <c r="W18" s="379">
        <f>Rounddown(Round(Round((W$9+W$10*($A18-1))*(1+(EnemyHPSlider-1)+(EnemyHPDanger-1)+(EnemyJackHP-1)),0)*IF($A18&gt;20,(1+Max(0,((($A18-20)*(($A18-20)+1))/2)/100)*(2+Max(0,($A18-35)*0.2))*2),1),0)*IF(EnemyBuffed=TRUE,2.5,1),0)</f>
        <v>7351</v>
      </c>
      <c r="X18" s="379">
        <f>Rounddown(Round(Round((X$9+X$10*($A18-1))*(1+(EnemyHPSlider-1)+(EnemyHPDanger-1)+(EnemyJackHP-1)),0)*IF($A18&gt;20,(1+Max(0,((($A18-20)*(($A18-20)+1))/2)/100)*(2+Max(0,($A18-35)*0.2))*2),1),0)*IF(EnemyBuffed=TRUE,2.5,1),0)</f>
        <v>6861</v>
      </c>
      <c r="Y18" s="379">
        <f>Rounddown(Round(Round((Y$9+Y$10*($A18-1))*(1+(EnemyHPSlider-1)+(EnemyHPDanger-1)+(EnemyJackHP-1)),0)*IF($A18&gt;20,(1+Max(0,((($A18-20)*(($A18-20)+1))/2)/100)*(2+Max(0,($A18-35)*0.2))*2),1),0)*IF(EnemyBuffed=TRUE,2.5,1)*IF(AND($B$2=5,$A18&lt;=20),0.75,1),0)</f>
        <v>21262</v>
      </c>
      <c r="Z18" s="379">
        <f>Rounddown(Round(Round((Z$9+Z$10*($A18-1))*(1+(EnemyHPSlider-1)+(EnemyHPDanger-1)+(EnemyJackHP-1)),0)*IF($A18&gt;20,(1+Max(0,((($A18-20)*(($A18-20)+1))/2)/100)*(2+Max(0,($A18-35)*0.2))*2),1),0)*IF(EnemyBuffed=TRUE,2.5,1)*IF(AND($B$2=5,$A18&lt;=20),0.75,1),0)</f>
        <v>21262</v>
      </c>
      <c r="AA18" s="379">
        <f>Rounddown(Round(Round((AA$9+AA$10*($A18-1))*(1+(EnemyHPSlider-1)+(EnemyHPDanger-1)+(EnemyJackHP-1)),0)*IF($A18&gt;20,(1+Max(0,((($A18-20)*(($A18-20)+1))/2)/100)*(2+Max(0,($A18-35)*0.2))*2),1),0)*IF(EnemyBuffed=TRUE,2.5,1),0)</f>
        <v>189</v>
      </c>
    </row>
    <row r="19">
      <c r="A19" s="362">
        <v>9.0</v>
      </c>
      <c r="B19" s="381">
        <f>Rounddown(Round(Round((B$9+B$10*($A19-1))*(1+(EnemyHPSlider-1)+(EnemyHPDanger-1)+(EnemyJackHP-1)),0)*IF($A19&gt;20,(1+Max(0,((($A19-20)*(($A19-20)+1))/2)/100)*(2+Max(0,($A19-35)*0.2))*2),1),0)*IF(EnemyBuffed=TRUE,2.5,1),0)</f>
        <v>70</v>
      </c>
      <c r="C19" s="381">
        <f>Rounddown(Round(Round((C$9+C$10*($A19-1))*(1+(EnemyHPSlider-1)+(EnemyHPDanger-1)+(EnemyJackHP-1)),0)*IF($A19&gt;20,(1+Max(0,((($A19-20)*(($A19-20)+1))/2)/100)*(2+Max(0,($A19-35)*0.2))*2),1),0)*IF(EnemyBuffed=TRUE,2.5,1),0)</f>
        <v>27</v>
      </c>
      <c r="D19" s="381">
        <f>Rounddown(Round(Round((D$9+D$10*($A19-1))*(1+(EnemyHPSlider-1)+(EnemyHPDanger-1)+(EnemyJackHP-1)),0)*IF($A19&gt;20,(1+Max(0,((($A19-20)*(($A19-20)+1))/2)/100)*(2+Max(0,($A19-35)*0.2))*2),1),0)*IF(EnemyBuffed=TRUE,2.5,1),0)</f>
        <v>13</v>
      </c>
      <c r="E19" s="381">
        <f>Rounddown(Round(Round((E$9+E$10*($A19-1))*(1+(EnemyHPSlider-1)+(EnemyHPDanger-1)+(EnemyJackHP-1)),0)*IF($A19&gt;20,(1+Max(0,((($A19-20)*(($A19-20)+1))/2)/100)*(2+Max(0,($A19-35)*0.2))*2),1),0)*IF(EnemyBuffed=TRUE,2.5,1),0)</f>
        <v>22</v>
      </c>
      <c r="F19" s="381">
        <f>Rounddown(Round(Round((F$9+F$10*($A19-1))*(1+(EnemyHPSlider-1)+(EnemyHPDanger-1)+(EnemyJackHP-1)),0)*IF($A19&gt;20,(1+Max(0,((($A19-20)*(($A19-20)+1))/2)/100)*(2+Max(0,($A19-35)*0.2))*2),1),0)*IF(EnemyBuffed=TRUE,2.5,1),0)</f>
        <v>34</v>
      </c>
      <c r="G19" s="381">
        <f>Rounddown(Round(Round((G$9+G$10*($A19-1))*(1+(EnemyHPSlider-1)+(EnemyHPDanger-1)+(EnemyJackHP-1)),0)*IF($A19&gt;20,(1+Max(0,((($A19-20)*(($A19-20)+1))/2)/100)*(2+Max(0,($A19-35)*0.2))*2),1),0)*IF(EnemyBuffed=TRUE,2.5,1),0)</f>
        <v>283</v>
      </c>
      <c r="H19" s="381">
        <f>Rounddown(Round(Round((H$9+H$10*($A19-1))*(1+(EnemyHPSlider-1)+(EnemyHPDanger-1)+(EnemyJackHP-1)),0)*IF($A19&gt;20,(1+Max(0,((($A19-20)*(($A19-20)+1))/2)/100)*(2+Max(0,($A19-35)*0.2))*2),1),0)*IF(EnemyBuffed=TRUE,2.5,1),0)</f>
        <v>151</v>
      </c>
      <c r="I19" s="381">
        <f>Rounddown(Round(Round((I$9+I$10*($A19-1))*(1+(EnemyHPSlider-1)+(EnemyHPDanger-1)+(EnemyJackHP-1)),0)*IF($A19&gt;20,(1+Max(0,((($A19-20)*(($A19-20)+1))/2)/100)*(2+Max(0,($A19-35)*0.2))*2),1),0)*IF(EnemyBuffed=TRUE,2.5,1),0)</f>
        <v>62</v>
      </c>
      <c r="J19" s="381">
        <f>Rounddown(Round(Round((J$9+J$10*($A19-1))*(1+(EnemyHPSlider-1)+(EnemyHPDanger-1)+(EnemyJackHP-1)),0)*IF($A19&gt;20,(1+Max(0,((($A19-20)*(($A19-20)+1))/2)/100)*(2+Max(0,($A19-35)*0.2))*2),1),0)*IF(EnemyBuffed=TRUE,2.5,1),0)</f>
        <v>66</v>
      </c>
      <c r="K19" s="381">
        <f>Rounddown(Round(Round((K$9+K$10*($A19-1))*(1+(EnemyHPSlider-1)+(EnemyHPDanger-1)+(EnemyJackHP-1)),0)*IF($A19&gt;20,(1+Max(0,((($A19-20)*(($A19-20)+1))/2)/100)*(2+Max(0,($A19-35)*0.2))*2),1),0)*IF(EnemyBuffed=TRUE,2.5,1),0)</f>
        <v>104</v>
      </c>
      <c r="L19" s="381">
        <f>Rounddown(Round(Round((L$9+L$10*($A19-1))*(1+(EnemyHPSlider-1)+(EnemyHPDanger-1)+(EnemyJackHP-1)),0)*IF($A19&gt;20,(1+Max(0,((($A19-20)*(($A19-20)+1))/2)/100)*(2+Max(0,($A19-35)*0.2))*2),1),0)*IF(EnemyBuffed=TRUE,2.5,1),0)</f>
        <v>350</v>
      </c>
      <c r="M19" s="381">
        <f>Rounddown(Round(Round((M$9+M$10*($A19-1))*(1+(EnemyHPSlider-1)+(EnemyHPDanger-1)+(EnemyJackHP-1)),0)*IF($A19&gt;20,(1+Max(0,((($A19-20)*(($A19-20)+1))/2)/100)*(2+Max(0,($A19-35)*0.2))*2),1),0)*IF(EnemyBuffed=TRUE,2.5,1),0)</f>
        <v>45</v>
      </c>
      <c r="N19" s="381">
        <f>Rounddown(Round(Round((N$9+N$10*($A19-1))*(1+(EnemyHPSlider-1)+(EnemyHPDanger-1)+(EnemyJackHP-1)),0)*IF($A19&gt;20,(1+Max(0,((($A19-20)*(($A19-20)+1))/2)/100)*(2+Max(0,($A19-35)*0.2))*2),1),0)*IF(EnemyBuffed=TRUE,2.5,1),0)</f>
        <v>39</v>
      </c>
      <c r="O19" s="381">
        <f>Rounddown(Round(Round((O$9+O$10*($A19-1))*(1+(EnemyHPSlider-1)+(EnemyHPDanger-1)+(EnemyJackHP-1)),0)*IF($A19&gt;20,(1+Max(0,((($A19-20)*(($A19-20)+1))/2)/100)*(2+Max(0,($A19-35)*0.2))*2),1),0)*IF(EnemyBuffed=TRUE,2.5,1),0)</f>
        <v>25</v>
      </c>
      <c r="P19" s="381">
        <f>Rounddown(Round(Round((P$9+P$10*($A19-1))*(1+(EnemyHPSlider-1)+(EnemyHPDanger-1)+(EnemyJackHP-1)),0)*IF($A19&gt;20,(1+Max(0,((($A19-20)*(($A19-20)+1))/2)/100)*(2+Max(0,($A19-35)*0.2))*2),1),0)*IF(EnemyBuffed=TRUE,2.5,1),0)</f>
        <v>63</v>
      </c>
      <c r="Q19" s="381">
        <f>Rounddown(Round(Round((Q$9+Q$10*($A19-1))*(1+(EnemyHPSlider-1)+(EnemyHPDanger-1)+(EnemyJackHP-1)),0)*IF($A19&gt;20,(1+Max(0,((($A19-20)*(($A19-20)+1))/2)/100)*(2+Max(0,($A19-35)*0.2))*2),1),0)*IF(EnemyBuffed=TRUE,2.5,1),0)</f>
        <v>288</v>
      </c>
      <c r="R19" s="381">
        <f>Rounddown(Round(Round((R$9+R$10*($A19-1))*(1+(EnemyHPSlider-1)+(EnemyHPDanger-1)+(EnemyJackHP-1)),0)*IF($A19&gt;20,(1+Max(0,((($A19-20)*(($A19-20)+1))/2)/100)*(2+Max(0,($A19-35)*0.2))*2),1),0)*IF(EnemyBuffed=TRUE,2.5,1),0)</f>
        <v>73</v>
      </c>
      <c r="S19" s="381">
        <f>Rounddown(Round(Round((S$9+S$10*($A19-1))*(1+(EnemyHPSlider-1)+(EnemyHPDanger-1)+(EnemyJackHP-1)),0)*IF($A19&gt;20,(1+Max(0,((($A19-20)*(($A19-20)+1))/2)/100)*(2+Max(0,($A19-35)*0.2))*2),1),0)*IF(EnemyBuffed=TRUE,2.5,1),0)</f>
        <v>41</v>
      </c>
      <c r="T19" s="381">
        <f>Rounddown(Round(Round((T$9+T$10*($A19-1))*(1+(EnemyHPSlider-1)+(EnemyHPDanger-1)+(EnemyJackHP-1)),0)*IF($A19&gt;20,(1+Max(0,((($A19-20)*(($A19-20)+1))/2)/100)*(2+Max(0,($A19-35)*0.2))*2),1),0)*IF(EnemyBuffed=TRUE,2.5,1),0)</f>
        <v>350</v>
      </c>
      <c r="U19" s="381">
        <f>Rounddown(Round(Round((U$9+U$10*($A19-1))*(1+(EnemyHPSlider-1)+(EnemyHPDanger-1)+(EnemyJackHP-1)),0)*IF($A19&gt;20,(1+Max(0,((($A19-20)*(($A19-20)+1))/2)/100)*(2+Max(0,($A19-35)*0.2))*2),1),0)*IF(EnemyBuffed=TRUE,2.5,1),0)</f>
        <v>364</v>
      </c>
      <c r="V19" s="381">
        <f>Rounddown(Round(Round((V$9+V$10*($A19-1))*(1+(EnemyHPSlider-1)+(EnemyHPDanger-1)+(EnemyJackHP-1)),0)*IF($A19&gt;20,(1+Max(0,((($A19-20)*(($A19-20)+1))/2)/100)*(2+Max(0,($A19-35)*0.2))*2),1),0)*IF(EnemyBuffed=TRUE,2.5,1),0)</f>
        <v>8401</v>
      </c>
      <c r="W19" s="381">
        <f>Rounddown(Round(Round((W$9+W$10*($A19-1))*(1+(EnemyHPSlider-1)+(EnemyHPDanger-1)+(EnemyJackHP-1)),0)*IF($A19&gt;20,(1+Max(0,((($A19-20)*(($A19-20)+1))/2)/100)*(2+Max(0,($A19-35)*0.2))*2),1),0)*IF(EnemyBuffed=TRUE,2.5,1),0)</f>
        <v>8401</v>
      </c>
      <c r="X19" s="381">
        <f>Rounddown(Round(Round((X$9+X$10*($A19-1))*(1+(EnemyHPSlider-1)+(EnemyHPDanger-1)+(EnemyJackHP-1)),0)*IF($A19&gt;20,(1+Max(0,((($A19-20)*(($A19-20)+1))/2)/100)*(2+Max(0,($A19-35)*0.2))*2),1),0)*IF(EnemyBuffed=TRUE,2.5,1),0)</f>
        <v>7841</v>
      </c>
      <c r="Y19" s="381">
        <f>Rounddown(Round(Round((Y$9+Y$10*($A19-1))*(1+(EnemyHPSlider-1)+(EnemyHPDanger-1)+(EnemyJackHP-1)),0)*IF($A19&gt;20,(1+Max(0,((($A19-20)*(($A19-20)+1))/2)/100)*(2+Max(0,($A19-35)*0.2))*2),1),0)*IF(EnemyBuffed=TRUE,2.5,1)*IF(AND($B$2=5,$A19&lt;=20),0.75,1),0)</f>
        <v>22050</v>
      </c>
      <c r="Z19" s="381">
        <f>Rounddown(Round(Round((Z$9+Z$10*($A19-1))*(1+(EnemyHPSlider-1)+(EnemyHPDanger-1)+(EnemyJackHP-1)),0)*IF($A19&gt;20,(1+Max(0,((($A19-20)*(($A19-20)+1))/2)/100)*(2+Max(0,($A19-35)*0.2))*2),1),0)*IF(EnemyBuffed=TRUE,2.5,1)*IF(AND($B$2=5,$A19&lt;=20),0.75,1),0)</f>
        <v>22050</v>
      </c>
      <c r="AA19" s="381">
        <f>Rounddown(Round(Round((AA$9+AA$10*($A19-1))*(1+(EnemyHPSlider-1)+(EnemyHPDanger-1)+(EnemyJackHP-1)),0)*IF($A19&gt;20,(1+Max(0,((($A19-20)*(($A19-20)+1))/2)/100)*(2+Max(0,($A19-35)*0.2))*2),1),0)*IF(EnemyBuffed=TRUE,2.5,1),0)</f>
        <v>210</v>
      </c>
    </row>
    <row r="20">
      <c r="A20" s="362">
        <v>10.0</v>
      </c>
      <c r="B20" s="379">
        <f>Rounddown(Round(Round((B$9+B$10*($A20-1))*(1+(EnemyHPSlider-1)+(EnemyHPDanger-1)+(EnemyJackHP-1)),0)*IF($A20&gt;20,(1+Max(0,((($A20-20)*(($A20-20)+1))/2)/100)*(2+Max(0,($A20-35)*0.2))*2),1),0)*IF(EnemyBuffed=TRUE,2.5,1),0)</f>
        <v>77</v>
      </c>
      <c r="C20" s="379">
        <f>Rounddown(Round(Round((C$9+C$10*($A20-1))*(1+(EnemyHPSlider-1)+(EnemyHPDanger-1)+(EnemyJackHP-1)),0)*IF($A20&gt;20,(1+Max(0,((($A20-20)*(($A20-20)+1))/2)/100)*(2+Max(0,($A20-35)*0.2))*2),1),0)*IF(EnemyBuffed=TRUE,2.5,1),0)</f>
        <v>29</v>
      </c>
      <c r="D20" s="379">
        <f>Rounddown(Round(Round((D$9+D$10*($A20-1))*(1+(EnemyHPSlider-1)+(EnemyHPDanger-1)+(EnemyJackHP-1)),0)*IF($A20&gt;20,(1+Max(0,((($A20-20)*(($A20-20)+1))/2)/100)*(2+Max(0,($A20-35)*0.2))*2),1),0)*IF(EnemyBuffed=TRUE,2.5,1),0)</f>
        <v>14</v>
      </c>
      <c r="E20" s="379">
        <f>Rounddown(Round(Round((E$9+E$10*($A20-1))*(1+(EnemyHPSlider-1)+(EnemyHPDanger-1)+(EnemyJackHP-1)),0)*IF($A20&gt;20,(1+Max(0,((($A20-20)*(($A20-20)+1))/2)/100)*(2+Max(0,($A20-35)*0.2))*2),1),0)*IF(EnemyBuffed=TRUE,2.5,1),0)</f>
        <v>24</v>
      </c>
      <c r="F20" s="379">
        <f>Rounddown(Round(Round((F$9+F$10*($A20-1))*(1+(EnemyHPSlider-1)+(EnemyHPDanger-1)+(EnemyJackHP-1)),0)*IF($A20&gt;20,(1+Max(0,((($A20-20)*(($A20-20)+1))/2)/100)*(2+Max(0,($A20-35)*0.2))*2),1),0)*IF(EnemyBuffed=TRUE,2.5,1),0)</f>
        <v>37</v>
      </c>
      <c r="G20" s="379">
        <f>Rounddown(Round(Round((G$9+G$10*($A20-1))*(1+(EnemyHPSlider-1)+(EnemyHPDanger-1)+(EnemyJackHP-1)),0)*IF($A20&gt;20,(1+Max(0,((($A20-20)*(($A20-20)+1))/2)/100)*(2+Max(0,($A20-35)*0.2))*2),1),0)*IF(EnemyBuffed=TRUE,2.5,1),0)</f>
        <v>316</v>
      </c>
      <c r="H20" s="379">
        <f>Rounddown(Round(Round((H$9+H$10*($A20-1))*(1+(EnemyHPSlider-1)+(EnemyHPDanger-1)+(EnemyJackHP-1)),0)*IF($A20&gt;20,(1+Max(0,((($A20-20)*(($A20-20)+1))/2)/100)*(2+Max(0,($A20-35)*0.2))*2),1),0)*IF(EnemyBuffed=TRUE,2.5,1),0)</f>
        <v>167</v>
      </c>
      <c r="I20" s="379">
        <f>Rounddown(Round(Round((I$9+I$10*($A20-1))*(1+(EnemyHPSlider-1)+(EnemyHPDanger-1)+(EnemyJackHP-1)),0)*IF($A20&gt;20,(1+Max(0,((($A20-20)*(($A20-20)+1))/2)/100)*(2+Max(0,($A20-35)*0.2))*2),1),0)*IF(EnemyBuffed=TRUE,2.5,1),0)</f>
        <v>66</v>
      </c>
      <c r="J20" s="379">
        <f>Rounddown(Round(Round((J$9+J$10*($A20-1))*(1+(EnemyHPSlider-1)+(EnemyHPDanger-1)+(EnemyJackHP-1)),0)*IF($A20&gt;20,(1+Max(0,((($A20-20)*(($A20-20)+1))/2)/100)*(2+Max(0,($A20-35)*0.2))*2),1),0)*IF(EnemyBuffed=TRUE,2.5,1),0)</f>
        <v>71</v>
      </c>
      <c r="K20" s="379">
        <f>Rounddown(Round(Round((K$9+K$10*($A20-1))*(1+(EnemyHPSlider-1)+(EnemyHPDanger-1)+(EnemyJackHP-1)),0)*IF($A20&gt;20,(1+Max(0,((($A20-20)*(($A20-20)+1))/2)/100)*(2+Max(0,($A20-35)*0.2))*2),1),0)*IF(EnemyBuffed=TRUE,2.5,1),0)</f>
        <v>115</v>
      </c>
      <c r="L20" s="379">
        <f>Rounddown(Round(Round((L$9+L$10*($A20-1))*(1+(EnemyHPSlider-1)+(EnemyHPDanger-1)+(EnemyJackHP-1)),0)*IF($A20&gt;20,(1+Max(0,((($A20-20)*(($A20-20)+1))/2)/100)*(2+Max(0,($A20-35)*0.2))*2),1),0)*IF(EnemyBuffed=TRUE,2.5,1),0)</f>
        <v>385</v>
      </c>
      <c r="M20" s="379">
        <f>Rounddown(Round(Round((M$9+M$10*($A20-1))*(1+(EnemyHPSlider-1)+(EnemyHPDanger-1)+(EnemyJackHP-1)),0)*IF($A20&gt;20,(1+Max(0,((($A20-20)*(($A20-20)+1))/2)/100)*(2+Max(0,($A20-35)*0.2))*2),1),0)*IF(EnemyBuffed=TRUE,2.5,1),0)</f>
        <v>49</v>
      </c>
      <c r="N20" s="379">
        <f>Rounddown(Round(Round((N$9+N$10*($A20-1))*(1+(EnemyHPSlider-1)+(EnemyHPDanger-1)+(EnemyJackHP-1)),0)*IF($A20&gt;20,(1+Max(0,((($A20-20)*(($A20-20)+1))/2)/100)*(2+Max(0,($A20-35)*0.2))*2),1),0)*IF(EnemyBuffed=TRUE,2.5,1),0)</f>
        <v>42</v>
      </c>
      <c r="O20" s="379">
        <f>Rounddown(Round(Round((O$9+O$10*($A20-1))*(1+(EnemyHPSlider-1)+(EnemyHPDanger-1)+(EnemyJackHP-1)),0)*IF($A20&gt;20,(1+Max(0,((($A20-20)*(($A20-20)+1))/2)/100)*(2+Max(0,($A20-35)*0.2))*2),1),0)*IF(EnemyBuffed=TRUE,2.5,1),0)</f>
        <v>27</v>
      </c>
      <c r="P20" s="379">
        <f>Rounddown(Round(Round((P$9+P$10*($A20-1))*(1+(EnemyHPSlider-1)+(EnemyHPDanger-1)+(EnemyJackHP-1)),0)*IF($A20&gt;20,(1+Max(0,((($A20-20)*(($A20-20)+1))/2)/100)*(2+Max(0,($A20-35)*0.2))*2),1),0)*IF(EnemyBuffed=TRUE,2.5,1),0)</f>
        <v>70</v>
      </c>
      <c r="Q20" s="379">
        <f>Rounddown(Round(Round((Q$9+Q$10*($A20-1))*(1+(EnemyHPSlider-1)+(EnemyHPDanger-1)+(EnemyJackHP-1)),0)*IF($A20&gt;20,(1+Max(0,((($A20-20)*(($A20-20)+1))/2)/100)*(2+Max(0,($A20-35)*0.2))*2),1),0)*IF(EnemyBuffed=TRUE,2.5,1),0)</f>
        <v>319</v>
      </c>
      <c r="R20" s="379">
        <f>Rounddown(Round(Round((R$9+R$10*($A20-1))*(1+(EnemyHPSlider-1)+(EnemyHPDanger-1)+(EnemyJackHP-1)),0)*IF($A20&gt;20,(1+Max(0,((($A20-20)*(($A20-20)+1))/2)/100)*(2+Max(0,($A20-35)*0.2))*2),1),0)*IF(EnemyBuffed=TRUE,2.5,1),0)</f>
        <v>80</v>
      </c>
      <c r="S20" s="379">
        <f>Rounddown(Round(Round((S$9+S$10*($A20-1))*(1+(EnemyHPSlider-1)+(EnemyHPDanger-1)+(EnemyJackHP-1)),0)*IF($A20&gt;20,(1+Max(0,((($A20-20)*(($A20-20)+1))/2)/100)*(2+Max(0,($A20-35)*0.2))*2),1),0)*IF(EnemyBuffed=TRUE,2.5,1),0)</f>
        <v>45</v>
      </c>
      <c r="T20" s="379">
        <f>Rounddown(Round(Round((T$9+T$10*($A20-1))*(1+(EnemyHPSlider-1)+(EnemyHPDanger-1)+(EnemyJackHP-1)),0)*IF($A20&gt;20,(1+Max(0,((($A20-20)*(($A20-20)+1))/2)/100)*(2+Max(0,($A20-35)*0.2))*2),1),0)*IF(EnemyBuffed=TRUE,2.5,1),0)</f>
        <v>385</v>
      </c>
      <c r="U20" s="379">
        <f>Rounddown(Round(Round((U$9+U$10*($A20-1))*(1+(EnemyHPSlider-1)+(EnemyHPDanger-1)+(EnemyJackHP-1)),0)*IF($A20&gt;20,(1+Max(0,((($A20-20)*(($A20-20)+1))/2)/100)*(2+Max(0,($A20-35)*0.2))*2),1),0)*IF(EnemyBuffed=TRUE,2.5,1),0)</f>
        <v>392</v>
      </c>
      <c r="V20" s="379">
        <f>Rounddown(Round(Round((V$9+V$10*($A20-1))*(1+(EnemyHPSlider-1)+(EnemyHPDanger-1)+(EnemyJackHP-1)),0)*IF($A20&gt;20,(1+Max(0,((($A20-20)*(($A20-20)+1))/2)/100)*(2+Max(0,($A20-35)*0.2))*2),1),0)*IF(EnemyBuffed=TRUE,2.5,1),0)</f>
        <v>9451</v>
      </c>
      <c r="W20" s="379">
        <f>Rounddown(Round(Round((W$9+W$10*($A20-1))*(1+(EnemyHPSlider-1)+(EnemyHPDanger-1)+(EnemyJackHP-1)),0)*IF($A20&gt;20,(1+Max(0,((($A20-20)*(($A20-20)+1))/2)/100)*(2+Max(0,($A20-35)*0.2))*2),1),0)*IF(EnemyBuffed=TRUE,2.5,1),0)</f>
        <v>9451</v>
      </c>
      <c r="X20" s="379">
        <f>Rounddown(Round(Round((X$9+X$10*($A20-1))*(1+(EnemyHPSlider-1)+(EnemyHPDanger-1)+(EnemyJackHP-1)),0)*IF($A20&gt;20,(1+Max(0,((($A20-20)*(($A20-20)+1))/2)/100)*(2+Max(0,($A20-35)*0.2))*2),1),0)*IF(EnemyBuffed=TRUE,2.5,1),0)</f>
        <v>8821</v>
      </c>
      <c r="Y20" s="379">
        <f>Rounddown(Round(Round((Y$9+Y$10*($A20-1))*(1+(EnemyHPSlider-1)+(EnemyHPDanger-1)+(EnemyJackHP-1)),0)*IF($A20&gt;20,(1+Max(0,((($A20-20)*(($A20-20)+1))/2)/100)*(2+Max(0,($A20-35)*0.2))*2),1),0)*IF(EnemyBuffed=TRUE,2.5,1)*IF(AND($B$2=5,$A20&lt;=20),0.75,1),0)</f>
        <v>22837</v>
      </c>
      <c r="Z20" s="379">
        <f>Rounddown(Round(Round((Z$9+Z$10*($A20-1))*(1+(EnemyHPSlider-1)+(EnemyHPDanger-1)+(EnemyJackHP-1)),0)*IF($A20&gt;20,(1+Max(0,((($A20-20)*(($A20-20)+1))/2)/100)*(2+Max(0,($A20-35)*0.2))*2),1),0)*IF(EnemyBuffed=TRUE,2.5,1)*IF(AND($B$2=5,$A20&lt;=20),0.75,1),0)</f>
        <v>22837</v>
      </c>
      <c r="AA20" s="379">
        <f>Rounddown(Round(Round((AA$9+AA$10*($A20-1))*(1+(EnemyHPSlider-1)+(EnemyHPDanger-1)+(EnemyJackHP-1)),0)*IF($A20&gt;20,(1+Max(0,((($A20-20)*(($A20-20)+1))/2)/100)*(2+Max(0,($A20-35)*0.2))*2),1),0)*IF(EnemyBuffed=TRUE,2.5,1),0)</f>
        <v>231</v>
      </c>
    </row>
    <row r="21">
      <c r="A21" s="362">
        <v>11.0</v>
      </c>
      <c r="B21" s="381">
        <f>Rounddown(Round(Round((B$9+B$10*($A21-1))*(1+(EnemyHPSlider-1)+(EnemyHPDanger-1)+(EnemyJackHP-1)),0)*IF($A21&gt;20,(1+Max(0,((($A21-20)*(($A21-20)+1))/2)/100)*(2+Max(0,($A21-35)*0.2))*2),1),0)*IF(EnemyBuffed=TRUE,2.5,1),0)</f>
        <v>84</v>
      </c>
      <c r="C21" s="381">
        <f>Rounddown(Round(Round((C$9+C$10*($A21-1))*(1+(EnemyHPSlider-1)+(EnemyHPDanger-1)+(EnemyJackHP-1)),0)*IF($A21&gt;20,(1+Max(0,((($A21-20)*(($A21-20)+1))/2)/100)*(2+Max(0,($A21-35)*0.2))*2),1),0)*IF(EnemyBuffed=TRUE,2.5,1),0)</f>
        <v>32</v>
      </c>
      <c r="D21" s="381">
        <f>Rounddown(Round(Round((D$9+D$10*($A21-1))*(1+(EnemyHPSlider-1)+(EnemyHPDanger-1)+(EnemyJackHP-1)),0)*IF($A21&gt;20,(1+Max(0,((($A21-20)*(($A21-20)+1))/2)/100)*(2+Max(0,($A21-35)*0.2))*2),1),0)*IF(EnemyBuffed=TRUE,2.5,1),0)</f>
        <v>15</v>
      </c>
      <c r="E21" s="381">
        <f>Rounddown(Round(Round((E$9+E$10*($A21-1))*(1+(EnemyHPSlider-1)+(EnemyHPDanger-1)+(EnemyJackHP-1)),0)*IF($A21&gt;20,(1+Max(0,((($A21-20)*(($A21-20)+1))/2)/100)*(2+Max(0,($A21-35)*0.2))*2),1),0)*IF(EnemyBuffed=TRUE,2.5,1),0)</f>
        <v>25</v>
      </c>
      <c r="F21" s="381">
        <f>Rounddown(Round(Round((F$9+F$10*($A21-1))*(1+(EnemyHPSlider-1)+(EnemyHPDanger-1)+(EnemyJackHP-1)),0)*IF($A21&gt;20,(1+Max(0,((($A21-20)*(($A21-20)+1))/2)/100)*(2+Max(0,($A21-35)*0.2))*2),1),0)*IF(EnemyBuffed=TRUE,2.5,1),0)</f>
        <v>41</v>
      </c>
      <c r="G21" s="381">
        <f>Rounddown(Round(Round((G$9+G$10*($A21-1))*(1+(EnemyHPSlider-1)+(EnemyHPDanger-1)+(EnemyJackHP-1)),0)*IF($A21&gt;20,(1+Max(0,((($A21-20)*(($A21-20)+1))/2)/100)*(2+Max(0,($A21-35)*0.2))*2),1),0)*IF(EnemyBuffed=TRUE,2.5,1),0)</f>
        <v>350</v>
      </c>
      <c r="H21" s="381">
        <f>Rounddown(Round(Round((H$9+H$10*($A21-1))*(1+(EnemyHPSlider-1)+(EnemyHPDanger-1)+(EnemyJackHP-1)),0)*IF($A21&gt;20,(1+Max(0,((($A21-20)*(($A21-20)+1))/2)/100)*(2+Max(0,($A21-35)*0.2))*2),1),0)*IF(EnemyBuffed=TRUE,2.5,1),0)</f>
        <v>182</v>
      </c>
      <c r="I21" s="381">
        <f>Rounddown(Round(Round((I$9+I$10*($A21-1))*(1+(EnemyHPSlider-1)+(EnemyHPDanger-1)+(EnemyJackHP-1)),0)*IF($A21&gt;20,(1+Max(0,((($A21-20)*(($A21-20)+1))/2)/100)*(2+Max(0,($A21-35)*0.2))*2),1),0)*IF(EnemyBuffed=TRUE,2.5,1),0)</f>
        <v>70</v>
      </c>
      <c r="J21" s="381">
        <f>Rounddown(Round(Round((J$9+J$10*($A21-1))*(1+(EnemyHPSlider-1)+(EnemyHPDanger-1)+(EnemyJackHP-1)),0)*IF($A21&gt;20,(1+Max(0,((($A21-20)*(($A21-20)+1))/2)/100)*(2+Max(0,($A21-35)*0.2))*2),1),0)*IF(EnemyBuffed=TRUE,2.5,1),0)</f>
        <v>77</v>
      </c>
      <c r="K21" s="381">
        <f>Rounddown(Round(Round((K$9+K$10*($A21-1))*(1+(EnemyHPSlider-1)+(EnemyHPDanger-1)+(EnemyJackHP-1)),0)*IF($A21&gt;20,(1+Max(0,((($A21-20)*(($A21-20)+1))/2)/100)*(2+Max(0,($A21-35)*0.2))*2),1),0)*IF(EnemyBuffed=TRUE,2.5,1),0)</f>
        <v>126</v>
      </c>
      <c r="L21" s="381">
        <f>Rounddown(Round(Round((L$9+L$10*($A21-1))*(1+(EnemyHPSlider-1)+(EnemyHPDanger-1)+(EnemyJackHP-1)),0)*IF($A21&gt;20,(1+Max(0,((($A21-20)*(($A21-20)+1))/2)/100)*(2+Max(0,($A21-35)*0.2))*2),1),0)*IF(EnemyBuffed=TRUE,2.5,1),0)</f>
        <v>420</v>
      </c>
      <c r="M21" s="381">
        <f>Rounddown(Round(Round((M$9+M$10*($A21-1))*(1+(EnemyHPSlider-1)+(EnemyHPDanger-1)+(EnemyJackHP-1)),0)*IF($A21&gt;20,(1+Max(0,((($A21-20)*(($A21-20)+1))/2)/100)*(2+Max(0,($A21-35)*0.2))*2),1),0)*IF(EnemyBuffed=TRUE,2.5,1),0)</f>
        <v>53</v>
      </c>
      <c r="N21" s="381">
        <f>Rounddown(Round(Round((N$9+N$10*($A21-1))*(1+(EnemyHPSlider-1)+(EnemyHPDanger-1)+(EnemyJackHP-1)),0)*IF($A21&gt;20,(1+Max(0,((($A21-20)*(($A21-20)+1))/2)/100)*(2+Max(0,($A21-35)*0.2))*2),1),0)*IF(EnemyBuffed=TRUE,2.5,1),0)</f>
        <v>45</v>
      </c>
      <c r="O21" s="381">
        <f>Rounddown(Round(Round((O$9+O$10*($A21-1))*(1+(EnemyHPSlider-1)+(EnemyHPDanger-1)+(EnemyJackHP-1)),0)*IF($A21&gt;20,(1+Max(0,((($A21-20)*(($A21-20)+1))/2)/100)*(2+Max(0,($A21-35)*0.2))*2),1),0)*IF(EnemyBuffed=TRUE,2.5,1),0)</f>
        <v>28</v>
      </c>
      <c r="P21" s="381">
        <f>Rounddown(Round(Round((P$9+P$10*($A21-1))*(1+(EnemyHPSlider-1)+(EnemyHPDanger-1)+(EnemyJackHP-1)),0)*IF($A21&gt;20,(1+Max(0,((($A21-20)*(($A21-20)+1))/2)/100)*(2+Max(0,($A21-35)*0.2))*2),1),0)*IF(EnemyBuffed=TRUE,2.5,1),0)</f>
        <v>77</v>
      </c>
      <c r="Q21" s="381">
        <f>Rounddown(Round(Round((Q$9+Q$10*($A21-1))*(1+(EnemyHPSlider-1)+(EnemyHPDanger-1)+(EnemyJackHP-1)),0)*IF($A21&gt;20,(1+Max(0,((($A21-20)*(($A21-20)+1))/2)/100)*(2+Max(0,($A21-35)*0.2))*2),1),0)*IF(EnemyBuffed=TRUE,2.5,1),0)</f>
        <v>350</v>
      </c>
      <c r="R21" s="381">
        <f>Rounddown(Round(Round((R$9+R$10*($A21-1))*(1+(EnemyHPSlider-1)+(EnemyHPDanger-1)+(EnemyJackHP-1)),0)*IF($A21&gt;20,(1+Max(0,((($A21-20)*(($A21-20)+1))/2)/100)*(2+Max(0,($A21-35)*0.2))*2),1),0)*IF(EnemyBuffed=TRUE,2.5,1),0)</f>
        <v>87</v>
      </c>
      <c r="S21" s="381">
        <f>Rounddown(Round(Round((S$9+S$10*($A21-1))*(1+(EnemyHPSlider-1)+(EnemyHPDanger-1)+(EnemyJackHP-1)),0)*IF($A21&gt;20,(1+Max(0,((($A21-20)*(($A21-20)+1))/2)/100)*(2+Max(0,($A21-35)*0.2))*2),1),0)*IF(EnemyBuffed=TRUE,2.5,1),0)</f>
        <v>49</v>
      </c>
      <c r="T21" s="381">
        <f>Rounddown(Round(Round((T$9+T$10*($A21-1))*(1+(EnemyHPSlider-1)+(EnemyHPDanger-1)+(EnemyJackHP-1)),0)*IF($A21&gt;20,(1+Max(0,((($A21-20)*(($A21-20)+1))/2)/100)*(2+Max(0,($A21-35)*0.2))*2),1),0)*IF(EnemyBuffed=TRUE,2.5,1),0)</f>
        <v>420</v>
      </c>
      <c r="U21" s="381">
        <f>Rounddown(Round(Round((U$9+U$10*($A21-1))*(1+(EnemyHPSlider-1)+(EnemyHPDanger-1)+(EnemyJackHP-1)),0)*IF($A21&gt;20,(1+Max(0,((($A21-20)*(($A21-20)+1))/2)/100)*(2+Max(0,($A21-35)*0.2))*2),1),0)*IF(EnemyBuffed=TRUE,2.5,1),0)</f>
        <v>420</v>
      </c>
      <c r="V21" s="381">
        <f>Rounddown(Round(Round((V$9+V$10*($A21-1))*(1+(EnemyHPSlider-1)+(EnemyHPDanger-1)+(EnemyJackHP-1)),0)*IF($A21&gt;20,(1+Max(0,((($A21-20)*(($A21-20)+1))/2)/100)*(2+Max(0,($A21-35)*0.2))*2),1),0)*IF(EnemyBuffed=TRUE,2.5,1),0)</f>
        <v>10501</v>
      </c>
      <c r="W21" s="381">
        <f>Rounddown(Round(Round((W$9+W$10*($A21-1))*(1+(EnemyHPSlider-1)+(EnemyHPDanger-1)+(EnemyJackHP-1)),0)*IF($A21&gt;20,(1+Max(0,((($A21-20)*(($A21-20)+1))/2)/100)*(2+Max(0,($A21-35)*0.2))*2),1),0)*IF(EnemyBuffed=TRUE,2.5,1),0)</f>
        <v>10501</v>
      </c>
      <c r="X21" s="381">
        <f>Rounddown(Round(Round((X$9+X$10*($A21-1))*(1+(EnemyHPSlider-1)+(EnemyHPDanger-1)+(EnemyJackHP-1)),0)*IF($A21&gt;20,(1+Max(0,((($A21-20)*(($A21-20)+1))/2)/100)*(2+Max(0,($A21-35)*0.2))*2),1),0)*IF(EnemyBuffed=TRUE,2.5,1),0)</f>
        <v>9801</v>
      </c>
      <c r="Y21" s="381">
        <f>Rounddown(Round(Round((Y$9+Y$10*($A21-1))*(1+(EnemyHPSlider-1)+(EnemyHPDanger-1)+(EnemyJackHP-1)),0)*IF($A21&gt;20,(1+Max(0,((($A21-20)*(($A21-20)+1))/2)/100)*(2+Max(0,($A21-35)*0.2))*2),1),0)*IF(EnemyBuffed=TRUE,2.5,1)*IF(AND($B$2=5,$A21&lt;=20),0.75,1),0)</f>
        <v>23625</v>
      </c>
      <c r="Z21" s="381">
        <f>Rounddown(Round(Round((Z$9+Z$10*($A21-1))*(1+(EnemyHPSlider-1)+(EnemyHPDanger-1)+(EnemyJackHP-1)),0)*IF($A21&gt;20,(1+Max(0,((($A21-20)*(($A21-20)+1))/2)/100)*(2+Max(0,($A21-35)*0.2))*2),1),0)*IF(EnemyBuffed=TRUE,2.5,1)*IF(AND($B$2=5,$A21&lt;=20),0.75,1),0)</f>
        <v>23625</v>
      </c>
      <c r="AA21" s="381">
        <f>Rounddown(Round(Round((AA$9+AA$10*($A21-1))*(1+(EnemyHPSlider-1)+(EnemyHPDanger-1)+(EnemyJackHP-1)),0)*IF($A21&gt;20,(1+Max(0,((($A21-20)*(($A21-20)+1))/2)/100)*(2+Max(0,($A21-35)*0.2))*2),1),0)*IF(EnemyBuffed=TRUE,2.5,1),0)</f>
        <v>252</v>
      </c>
    </row>
    <row r="22">
      <c r="A22" s="362">
        <v>12.0</v>
      </c>
      <c r="B22" s="379">
        <f>Rounddown(Round(Round((B$9+B$10*($A22-1))*(1+(EnemyHPSlider-1)+(EnemyHPDanger-1)+(EnemyJackHP-1)),0)*IF($A22&gt;20,(1+Max(0,((($A22-20)*(($A22-20)+1))/2)/100)*(2+Max(0,($A22-35)*0.2))*2),1),0)*IF(EnemyBuffed=TRUE,2.5,1),0)</f>
        <v>91</v>
      </c>
      <c r="C22" s="379">
        <f>Rounddown(Round(Round((C$9+C$10*($A22-1))*(1+(EnemyHPSlider-1)+(EnemyHPDanger-1)+(EnemyJackHP-1)),0)*IF($A22&gt;20,(1+Max(0,((($A22-20)*(($A22-20)+1))/2)/100)*(2+Max(0,($A22-35)*0.2))*2),1),0)*IF(EnemyBuffed=TRUE,2.5,1),0)</f>
        <v>35</v>
      </c>
      <c r="D22" s="379">
        <f>Rounddown(Round(Round((D$9+D$10*($A22-1))*(1+(EnemyHPSlider-1)+(EnemyHPDanger-1)+(EnemyJackHP-1)),0)*IF($A22&gt;20,(1+Max(0,((($A22-20)*(($A22-20)+1))/2)/100)*(2+Max(0,($A22-35)*0.2))*2),1),0)*IF(EnemyBuffed=TRUE,2.5,1),0)</f>
        <v>17</v>
      </c>
      <c r="E22" s="379">
        <f>Rounddown(Round(Round((E$9+E$10*($A22-1))*(1+(EnemyHPSlider-1)+(EnemyHPDanger-1)+(EnemyJackHP-1)),0)*IF($A22&gt;20,(1+Max(0,((($A22-20)*(($A22-20)+1))/2)/100)*(2+Max(0,($A22-35)*0.2))*2),1),0)*IF(EnemyBuffed=TRUE,2.5,1),0)</f>
        <v>27</v>
      </c>
      <c r="F22" s="379">
        <f>Rounddown(Round(Round((F$9+F$10*($A22-1))*(1+(EnemyHPSlider-1)+(EnemyHPDanger-1)+(EnemyJackHP-1)),0)*IF($A22&gt;20,(1+Max(0,((($A22-20)*(($A22-20)+1))/2)/100)*(2+Max(0,($A22-35)*0.2))*2),1),0)*IF(EnemyBuffed=TRUE,2.5,1),0)</f>
        <v>44</v>
      </c>
      <c r="G22" s="379">
        <f>Rounddown(Round(Round((G$9+G$10*($A22-1))*(1+(EnemyHPSlider-1)+(EnemyHPDanger-1)+(EnemyJackHP-1)),0)*IF($A22&gt;20,(1+Max(0,((($A22-20)*(($A22-20)+1))/2)/100)*(2+Max(0,($A22-35)*0.2))*2),1),0)*IF(EnemyBuffed=TRUE,2.5,1),0)</f>
        <v>384</v>
      </c>
      <c r="H22" s="379">
        <f>Rounddown(Round(Round((H$9+H$10*($A22-1))*(1+(EnemyHPSlider-1)+(EnemyHPDanger-1)+(EnemyJackHP-1)),0)*IF($A22&gt;20,(1+Max(0,((($A22-20)*(($A22-20)+1))/2)/100)*(2+Max(0,($A22-35)*0.2))*2),1),0)*IF(EnemyBuffed=TRUE,2.5,1),0)</f>
        <v>197</v>
      </c>
      <c r="I22" s="379">
        <f>Rounddown(Round(Round((I$9+I$10*($A22-1))*(1+(EnemyHPSlider-1)+(EnemyHPDanger-1)+(EnemyJackHP-1)),0)*IF($A22&gt;20,(1+Max(0,((($A22-20)*(($A22-20)+1))/2)/100)*(2+Max(0,($A22-35)*0.2))*2),1),0)*IF(EnemyBuffed=TRUE,2.5,1),0)</f>
        <v>74</v>
      </c>
      <c r="J22" s="379">
        <f>Rounddown(Round(Round((J$9+J$10*($A22-1))*(1+(EnemyHPSlider-1)+(EnemyHPDanger-1)+(EnemyJackHP-1)),0)*IF($A22&gt;20,(1+Max(0,((($A22-20)*(($A22-20)+1))/2)/100)*(2+Max(0,($A22-35)*0.2))*2),1),0)*IF(EnemyBuffed=TRUE,2.5,1),0)</f>
        <v>83</v>
      </c>
      <c r="K22" s="379">
        <f>Rounddown(Round(Round((K$9+K$10*($A22-1))*(1+(EnemyHPSlider-1)+(EnemyHPDanger-1)+(EnemyJackHP-1)),0)*IF($A22&gt;20,(1+Max(0,((($A22-20)*(($A22-20)+1))/2)/100)*(2+Max(0,($A22-35)*0.2))*2),1),0)*IF(EnemyBuffed=TRUE,2.5,1),0)</f>
        <v>137</v>
      </c>
      <c r="L22" s="379">
        <f>Rounddown(Round(Round((L$9+L$10*($A22-1))*(1+(EnemyHPSlider-1)+(EnemyHPDanger-1)+(EnemyJackHP-1)),0)*IF($A22&gt;20,(1+Max(0,((($A22-20)*(($A22-20)+1))/2)/100)*(2+Max(0,($A22-35)*0.2))*2),1),0)*IF(EnemyBuffed=TRUE,2.5,1),0)</f>
        <v>455</v>
      </c>
      <c r="M22" s="379">
        <f>Rounddown(Round(Round((M$9+M$10*($A22-1))*(1+(EnemyHPSlider-1)+(EnemyHPDanger-1)+(EnemyJackHP-1)),0)*IF($A22&gt;20,(1+Max(0,((($A22-20)*(($A22-20)+1))/2)/100)*(2+Max(0,($A22-35)*0.2))*2),1),0)*IF(EnemyBuffed=TRUE,2.5,1),0)</f>
        <v>57</v>
      </c>
      <c r="N22" s="379">
        <f>Rounddown(Round(Round((N$9+N$10*($A22-1))*(1+(EnemyHPSlider-1)+(EnemyHPDanger-1)+(EnemyJackHP-1)),0)*IF($A22&gt;20,(1+Max(0,((($A22-20)*(($A22-20)+1))/2)/100)*(2+Max(0,($A22-35)*0.2))*2),1),0)*IF(EnemyBuffed=TRUE,2.5,1),0)</f>
        <v>48</v>
      </c>
      <c r="O22" s="379">
        <f>Rounddown(Round(Round((O$9+O$10*($A22-1))*(1+(EnemyHPSlider-1)+(EnemyHPDanger-1)+(EnemyJackHP-1)),0)*IF($A22&gt;20,(1+Max(0,((($A22-20)*(($A22-20)+1))/2)/100)*(2+Max(0,($A22-35)*0.2))*2),1),0)*IF(EnemyBuffed=TRUE,2.5,1),0)</f>
        <v>29</v>
      </c>
      <c r="P22" s="379">
        <f>Rounddown(Round(Round((P$9+P$10*($A22-1))*(1+(EnemyHPSlider-1)+(EnemyHPDanger-1)+(EnemyJackHP-1)),0)*IF($A22&gt;20,(1+Max(0,((($A22-20)*(($A22-20)+1))/2)/100)*(2+Max(0,($A22-35)*0.2))*2),1),0)*IF(EnemyBuffed=TRUE,2.5,1),0)</f>
        <v>84</v>
      </c>
      <c r="Q22" s="379">
        <f>Rounddown(Round(Round((Q$9+Q$10*($A22-1))*(1+(EnemyHPSlider-1)+(EnemyHPDanger-1)+(EnemyJackHP-1)),0)*IF($A22&gt;20,(1+Max(0,((($A22-20)*(($A22-20)+1))/2)/100)*(2+Max(0,($A22-35)*0.2))*2),1),0)*IF(EnemyBuffed=TRUE,2.5,1),0)</f>
        <v>381</v>
      </c>
      <c r="R22" s="379">
        <f>Rounddown(Round(Round((R$9+R$10*($A22-1))*(1+(EnemyHPSlider-1)+(EnemyHPDanger-1)+(EnemyJackHP-1)),0)*IF($A22&gt;20,(1+Max(0,((($A22-20)*(($A22-20)+1))/2)/100)*(2+Max(0,($A22-35)*0.2))*2),1),0)*IF(EnemyBuffed=TRUE,2.5,1),0)</f>
        <v>94</v>
      </c>
      <c r="S22" s="379">
        <f>Rounddown(Round(Round((S$9+S$10*($A22-1))*(1+(EnemyHPSlider-1)+(EnemyHPDanger-1)+(EnemyJackHP-1)),0)*IF($A22&gt;20,(1+Max(0,((($A22-20)*(($A22-20)+1))/2)/100)*(2+Max(0,($A22-35)*0.2))*2),1),0)*IF(EnemyBuffed=TRUE,2.5,1),0)</f>
        <v>53</v>
      </c>
      <c r="T22" s="379">
        <f>Rounddown(Round(Round((T$9+T$10*($A22-1))*(1+(EnemyHPSlider-1)+(EnemyHPDanger-1)+(EnemyJackHP-1)),0)*IF($A22&gt;20,(1+Max(0,((($A22-20)*(($A22-20)+1))/2)/100)*(2+Max(0,($A22-35)*0.2))*2),1),0)*IF(EnemyBuffed=TRUE,2.5,1),0)</f>
        <v>455</v>
      </c>
      <c r="U22" s="379">
        <f>Rounddown(Round(Round((U$9+U$10*($A22-1))*(1+(EnemyHPSlider-1)+(EnemyHPDanger-1)+(EnemyJackHP-1)),0)*IF($A22&gt;20,(1+Max(0,((($A22-20)*(($A22-20)+1))/2)/100)*(2+Max(0,($A22-35)*0.2))*2),1),0)*IF(EnemyBuffed=TRUE,2.5,1),0)</f>
        <v>448</v>
      </c>
      <c r="V22" s="379">
        <f>Rounddown(Round(Round((V$9+V$10*($A22-1))*(1+(EnemyHPSlider-1)+(EnemyHPDanger-1)+(EnemyJackHP-1)),0)*IF($A22&gt;20,(1+Max(0,((($A22-20)*(($A22-20)+1))/2)/100)*(2+Max(0,($A22-35)*0.2))*2),1),0)*IF(EnemyBuffed=TRUE,2.5,1),0)</f>
        <v>11551</v>
      </c>
      <c r="W22" s="379">
        <f>Rounddown(Round(Round((W$9+W$10*($A22-1))*(1+(EnemyHPSlider-1)+(EnemyHPDanger-1)+(EnemyJackHP-1)),0)*IF($A22&gt;20,(1+Max(0,((($A22-20)*(($A22-20)+1))/2)/100)*(2+Max(0,($A22-35)*0.2))*2),1),0)*IF(EnemyBuffed=TRUE,2.5,1),0)</f>
        <v>11551</v>
      </c>
      <c r="X22" s="379">
        <f>Rounddown(Round(Round((X$9+X$10*($A22-1))*(1+(EnemyHPSlider-1)+(EnemyHPDanger-1)+(EnemyJackHP-1)),0)*IF($A22&gt;20,(1+Max(0,((($A22-20)*(($A22-20)+1))/2)/100)*(2+Max(0,($A22-35)*0.2))*2),1),0)*IF(EnemyBuffed=TRUE,2.5,1),0)</f>
        <v>10781</v>
      </c>
      <c r="Y22" s="379">
        <f>Rounddown(Round(Round((Y$9+Y$10*($A22-1))*(1+(EnemyHPSlider-1)+(EnemyHPDanger-1)+(EnemyJackHP-1)),0)*IF($A22&gt;20,(1+Max(0,((($A22-20)*(($A22-20)+1))/2)/100)*(2+Max(0,($A22-35)*0.2))*2),1),0)*IF(EnemyBuffed=TRUE,2.5,1)*IF(AND($B$2=5,$A22&lt;=20),0.75,1),0)</f>
        <v>24412</v>
      </c>
      <c r="Z22" s="379">
        <f>Rounddown(Round(Round((Z$9+Z$10*($A22-1))*(1+(EnemyHPSlider-1)+(EnemyHPDanger-1)+(EnemyJackHP-1)),0)*IF($A22&gt;20,(1+Max(0,((($A22-20)*(($A22-20)+1))/2)/100)*(2+Max(0,($A22-35)*0.2))*2),1),0)*IF(EnemyBuffed=TRUE,2.5,1)*IF(AND($B$2=5,$A22&lt;=20),0.75,1),0)</f>
        <v>24412</v>
      </c>
      <c r="AA22" s="379">
        <f>Rounddown(Round(Round((AA$9+AA$10*($A22-1))*(1+(EnemyHPSlider-1)+(EnemyHPDanger-1)+(EnemyJackHP-1)),0)*IF($A22&gt;20,(1+Max(0,((($A22-20)*(($A22-20)+1))/2)/100)*(2+Max(0,($A22-35)*0.2))*2),1),0)*IF(EnemyBuffed=TRUE,2.5,1),0)</f>
        <v>273</v>
      </c>
    </row>
    <row r="23">
      <c r="A23" s="362">
        <v>13.0</v>
      </c>
      <c r="B23" s="381">
        <f>Rounddown(Round(Round((B$9+B$10*($A23-1))*(1+(EnemyHPSlider-1)+(EnemyHPDanger-1)+(EnemyJackHP-1)),0)*IF($A23&gt;20,(1+Max(0,((($A23-20)*(($A23-20)+1))/2)/100)*(2+Max(0,($A23-35)*0.2))*2),1),0)*IF(EnemyBuffed=TRUE,2.5,1),0)</f>
        <v>98</v>
      </c>
      <c r="C23" s="381">
        <f>Rounddown(Round(Round((C$9+C$10*($A23-1))*(1+(EnemyHPSlider-1)+(EnemyHPDanger-1)+(EnemyJackHP-1)),0)*IF($A23&gt;20,(1+Max(0,((($A23-20)*(($A23-20)+1))/2)/100)*(2+Max(0,($A23-35)*0.2))*2),1),0)*IF(EnemyBuffed=TRUE,2.5,1),0)</f>
        <v>38</v>
      </c>
      <c r="D23" s="381">
        <f>Rounddown(Round(Round((D$9+D$10*($A23-1))*(1+(EnemyHPSlider-1)+(EnemyHPDanger-1)+(EnemyJackHP-1)),0)*IF($A23&gt;20,(1+Max(0,((($A23-20)*(($A23-20)+1))/2)/100)*(2+Max(0,($A23-35)*0.2))*2),1),0)*IF(EnemyBuffed=TRUE,2.5,1),0)</f>
        <v>18</v>
      </c>
      <c r="E23" s="381">
        <f>Rounddown(Round(Round((E$9+E$10*($A23-1))*(1+(EnemyHPSlider-1)+(EnemyHPDanger-1)+(EnemyJackHP-1)),0)*IF($A23&gt;20,(1+Max(0,((($A23-20)*(($A23-20)+1))/2)/100)*(2+Max(0,($A23-35)*0.2))*2),1),0)*IF(EnemyBuffed=TRUE,2.5,1),0)</f>
        <v>28</v>
      </c>
      <c r="F23" s="381">
        <f>Rounddown(Round(Round((F$9+F$10*($A23-1))*(1+(EnemyHPSlider-1)+(EnemyHPDanger-1)+(EnemyJackHP-1)),0)*IF($A23&gt;20,(1+Max(0,((($A23-20)*(($A23-20)+1))/2)/100)*(2+Max(0,($A23-35)*0.2))*2),1),0)*IF(EnemyBuffed=TRUE,2.5,1),0)</f>
        <v>48</v>
      </c>
      <c r="G23" s="381">
        <f>Rounddown(Round(Round((G$9+G$10*($A23-1))*(1+(EnemyHPSlider-1)+(EnemyHPDanger-1)+(EnemyJackHP-1)),0)*IF($A23&gt;20,(1+Max(0,((($A23-20)*(($A23-20)+1))/2)/100)*(2+Max(0,($A23-35)*0.2))*2),1),0)*IF(EnemyBuffed=TRUE,2.5,1),0)</f>
        <v>417</v>
      </c>
      <c r="H23" s="381">
        <f>Rounddown(Round(Round((H$9+H$10*($A23-1))*(1+(EnemyHPSlider-1)+(EnemyHPDanger-1)+(EnemyJackHP-1)),0)*IF($A23&gt;20,(1+Max(0,((($A23-20)*(($A23-20)+1))/2)/100)*(2+Max(0,($A23-35)*0.2))*2),1),0)*IF(EnemyBuffed=TRUE,2.5,1),0)</f>
        <v>213</v>
      </c>
      <c r="I23" s="381">
        <f>Rounddown(Round(Round((I$9+I$10*($A23-1))*(1+(EnemyHPSlider-1)+(EnemyHPDanger-1)+(EnemyJackHP-1)),0)*IF($A23&gt;20,(1+Max(0,((($A23-20)*(($A23-20)+1))/2)/100)*(2+Max(0,($A23-35)*0.2))*2),1),0)*IF(EnemyBuffed=TRUE,2.5,1),0)</f>
        <v>78</v>
      </c>
      <c r="J23" s="381">
        <f>Rounddown(Round(Round((J$9+J$10*($A23-1))*(1+(EnemyHPSlider-1)+(EnemyHPDanger-1)+(EnemyJackHP-1)),0)*IF($A23&gt;20,(1+Max(0,((($A23-20)*(($A23-20)+1))/2)/100)*(2+Max(0,($A23-35)*0.2))*2),1),0)*IF(EnemyBuffed=TRUE,2.5,1),0)</f>
        <v>88</v>
      </c>
      <c r="K23" s="381">
        <f>Rounddown(Round(Round((K$9+K$10*($A23-1))*(1+(EnemyHPSlider-1)+(EnemyHPDanger-1)+(EnemyJackHP-1)),0)*IF($A23&gt;20,(1+Max(0,((($A23-20)*(($A23-20)+1))/2)/100)*(2+Max(0,($A23-35)*0.2))*2),1),0)*IF(EnemyBuffed=TRUE,2.5,1),0)</f>
        <v>148</v>
      </c>
      <c r="L23" s="381">
        <f>Rounddown(Round(Round((L$9+L$10*($A23-1))*(1+(EnemyHPSlider-1)+(EnemyHPDanger-1)+(EnemyJackHP-1)),0)*IF($A23&gt;20,(1+Max(0,((($A23-20)*(($A23-20)+1))/2)/100)*(2+Max(0,($A23-35)*0.2))*2),1),0)*IF(EnemyBuffed=TRUE,2.5,1),0)</f>
        <v>490</v>
      </c>
      <c r="M23" s="381">
        <f>Rounddown(Round(Round((M$9+M$10*($A23-1))*(1+(EnemyHPSlider-1)+(EnemyHPDanger-1)+(EnemyJackHP-1)),0)*IF($A23&gt;20,(1+Max(0,((($A23-20)*(($A23-20)+1))/2)/100)*(2+Max(0,($A23-35)*0.2))*2),1),0)*IF(EnemyBuffed=TRUE,2.5,1),0)</f>
        <v>62</v>
      </c>
      <c r="N23" s="381">
        <f>Rounddown(Round(Round((N$9+N$10*($A23-1))*(1+(EnemyHPSlider-1)+(EnemyHPDanger-1)+(EnemyJackHP-1)),0)*IF($A23&gt;20,(1+Max(0,((($A23-20)*(($A23-20)+1))/2)/100)*(2+Max(0,($A23-35)*0.2))*2),1),0)*IF(EnemyBuffed=TRUE,2.5,1),0)</f>
        <v>50</v>
      </c>
      <c r="O23" s="381">
        <f>Rounddown(Round(Round((O$9+O$10*($A23-1))*(1+(EnemyHPSlider-1)+(EnemyHPDanger-1)+(EnemyJackHP-1)),0)*IF($A23&gt;20,(1+Max(0,((($A23-20)*(($A23-20)+1))/2)/100)*(2+Max(0,($A23-35)*0.2))*2),1),0)*IF(EnemyBuffed=TRUE,2.5,1),0)</f>
        <v>31</v>
      </c>
      <c r="P23" s="381">
        <f>Rounddown(Round(Round((P$9+P$10*($A23-1))*(1+(EnemyHPSlider-1)+(EnemyHPDanger-1)+(EnemyJackHP-1)),0)*IF($A23&gt;20,(1+Max(0,((($A23-20)*(($A23-20)+1))/2)/100)*(2+Max(0,($A23-35)*0.2))*2),1),0)*IF(EnemyBuffed=TRUE,2.5,1),0)</f>
        <v>91</v>
      </c>
      <c r="Q23" s="381">
        <f>Rounddown(Round(Round((Q$9+Q$10*($A23-1))*(1+(EnemyHPSlider-1)+(EnemyHPDanger-1)+(EnemyJackHP-1)),0)*IF($A23&gt;20,(1+Max(0,((($A23-20)*(($A23-20)+1))/2)/100)*(2+Max(0,($A23-35)*0.2))*2),1),0)*IF(EnemyBuffed=TRUE,2.5,1),0)</f>
        <v>412</v>
      </c>
      <c r="R23" s="381">
        <f>Rounddown(Round(Round((R$9+R$10*($A23-1))*(1+(EnemyHPSlider-1)+(EnemyHPDanger-1)+(EnemyJackHP-1)),0)*IF($A23&gt;20,(1+Max(0,((($A23-20)*(($A23-20)+1))/2)/100)*(2+Max(0,($A23-35)*0.2))*2),1),0)*IF(EnemyBuffed=TRUE,2.5,1),0)</f>
        <v>101</v>
      </c>
      <c r="S23" s="381">
        <f>Rounddown(Round(Round((S$9+S$10*($A23-1))*(1+(EnemyHPSlider-1)+(EnemyHPDanger-1)+(EnemyJackHP-1)),0)*IF($A23&gt;20,(1+Max(0,((($A23-20)*(($A23-20)+1))/2)/100)*(2+Max(0,($A23-35)*0.2))*2),1),0)*IF(EnemyBuffed=TRUE,2.5,1),0)</f>
        <v>57</v>
      </c>
      <c r="T23" s="381">
        <f>Rounddown(Round(Round((T$9+T$10*($A23-1))*(1+(EnemyHPSlider-1)+(EnemyHPDanger-1)+(EnemyJackHP-1)),0)*IF($A23&gt;20,(1+Max(0,((($A23-20)*(($A23-20)+1))/2)/100)*(2+Max(0,($A23-35)*0.2))*2),1),0)*IF(EnemyBuffed=TRUE,2.5,1),0)</f>
        <v>490</v>
      </c>
      <c r="U23" s="381">
        <f>Rounddown(Round(Round((U$9+U$10*($A23-1))*(1+(EnemyHPSlider-1)+(EnemyHPDanger-1)+(EnemyJackHP-1)),0)*IF($A23&gt;20,(1+Max(0,((($A23-20)*(($A23-20)+1))/2)/100)*(2+Max(0,($A23-35)*0.2))*2),1),0)*IF(EnemyBuffed=TRUE,2.5,1),0)</f>
        <v>476</v>
      </c>
      <c r="V23" s="381">
        <f>Rounddown(Round(Round((V$9+V$10*($A23-1))*(1+(EnemyHPSlider-1)+(EnemyHPDanger-1)+(EnemyJackHP-1)),0)*IF($A23&gt;20,(1+Max(0,((($A23-20)*(($A23-20)+1))/2)/100)*(2+Max(0,($A23-35)*0.2))*2),1),0)*IF(EnemyBuffed=TRUE,2.5,1),0)</f>
        <v>12601</v>
      </c>
      <c r="W23" s="381">
        <f>Rounddown(Round(Round((W$9+W$10*($A23-1))*(1+(EnemyHPSlider-1)+(EnemyHPDanger-1)+(EnemyJackHP-1)),0)*IF($A23&gt;20,(1+Max(0,((($A23-20)*(($A23-20)+1))/2)/100)*(2+Max(0,($A23-35)*0.2))*2),1),0)*IF(EnemyBuffed=TRUE,2.5,1),0)</f>
        <v>12601</v>
      </c>
      <c r="X23" s="381">
        <f>Rounddown(Round(Round((X$9+X$10*($A23-1))*(1+(EnemyHPSlider-1)+(EnemyHPDanger-1)+(EnemyJackHP-1)),0)*IF($A23&gt;20,(1+Max(0,((($A23-20)*(($A23-20)+1))/2)/100)*(2+Max(0,($A23-35)*0.2))*2),1),0)*IF(EnemyBuffed=TRUE,2.5,1),0)</f>
        <v>11761</v>
      </c>
      <c r="Y23" s="381">
        <f>Rounddown(Round(Round((Y$9+Y$10*($A23-1))*(1+(EnemyHPSlider-1)+(EnemyHPDanger-1)+(EnemyJackHP-1)),0)*IF($A23&gt;20,(1+Max(0,((($A23-20)*(($A23-20)+1))/2)/100)*(2+Max(0,($A23-35)*0.2))*2),1),0)*IF(EnemyBuffed=TRUE,2.5,1)*IF(AND($B$2=5,$A23&lt;=20),0.75,1),0)</f>
        <v>25200</v>
      </c>
      <c r="Z23" s="381">
        <f>Rounddown(Round(Round((Z$9+Z$10*($A23-1))*(1+(EnemyHPSlider-1)+(EnemyHPDanger-1)+(EnemyJackHP-1)),0)*IF($A23&gt;20,(1+Max(0,((($A23-20)*(($A23-20)+1))/2)/100)*(2+Max(0,($A23-35)*0.2))*2),1),0)*IF(EnemyBuffed=TRUE,2.5,1)*IF(AND($B$2=5,$A23&lt;=20),0.75,1),0)</f>
        <v>25200</v>
      </c>
      <c r="AA23" s="381">
        <f>Rounddown(Round(Round((AA$9+AA$10*($A23-1))*(1+(EnemyHPSlider-1)+(EnemyHPDanger-1)+(EnemyJackHP-1)),0)*IF($A23&gt;20,(1+Max(0,((($A23-20)*(($A23-20)+1))/2)/100)*(2+Max(0,($A23-35)*0.2))*2),1),0)*IF(EnemyBuffed=TRUE,2.5,1),0)</f>
        <v>294</v>
      </c>
    </row>
    <row r="24">
      <c r="A24" s="362">
        <v>14.0</v>
      </c>
      <c r="B24" s="379">
        <f>Rounddown(Round(Round((B$9+B$10*($A24-1))*(1+(EnemyHPSlider-1)+(EnemyHPDanger-1)+(EnemyJackHP-1)),0)*IF($A24&gt;20,(1+Max(0,((($A24-20)*(($A24-20)+1))/2)/100)*(2+Max(0,($A24-35)*0.2))*2),1),0)*IF(EnemyBuffed=TRUE,2.5,1),0)</f>
        <v>105</v>
      </c>
      <c r="C24" s="379">
        <f>Rounddown(Round(Round((C$9+C$10*($A24-1))*(1+(EnemyHPSlider-1)+(EnemyHPDanger-1)+(EnemyJackHP-1)),0)*IF($A24&gt;20,(1+Max(0,((($A24-20)*(($A24-20)+1))/2)/100)*(2+Max(0,($A24-35)*0.2))*2),1),0)*IF(EnemyBuffed=TRUE,2.5,1),0)</f>
        <v>41</v>
      </c>
      <c r="D24" s="379">
        <f>Rounddown(Round(Round((D$9+D$10*($A24-1))*(1+(EnemyHPSlider-1)+(EnemyHPDanger-1)+(EnemyJackHP-1)),0)*IF($A24&gt;20,(1+Max(0,((($A24-20)*(($A24-20)+1))/2)/100)*(2+Max(0,($A24-35)*0.2))*2),1),0)*IF(EnemyBuffed=TRUE,2.5,1),0)</f>
        <v>20</v>
      </c>
      <c r="E24" s="379">
        <f>Rounddown(Round(Round((E$9+E$10*($A24-1))*(1+(EnemyHPSlider-1)+(EnemyHPDanger-1)+(EnemyJackHP-1)),0)*IF($A24&gt;20,(1+Max(0,((($A24-20)*(($A24-20)+1))/2)/100)*(2+Max(0,($A24-35)*0.2))*2),1),0)*IF(EnemyBuffed=TRUE,2.5,1),0)</f>
        <v>29</v>
      </c>
      <c r="F24" s="379">
        <f>Rounddown(Round(Round((F$9+F$10*($A24-1))*(1+(EnemyHPSlider-1)+(EnemyHPDanger-1)+(EnemyJackHP-1)),0)*IF($A24&gt;20,(1+Max(0,((($A24-20)*(($A24-20)+1))/2)/100)*(2+Max(0,($A24-35)*0.2))*2),1),0)*IF(EnemyBuffed=TRUE,2.5,1),0)</f>
        <v>51</v>
      </c>
      <c r="G24" s="379">
        <f>Rounddown(Round(Round((G$9+G$10*($A24-1))*(1+(EnemyHPSlider-1)+(EnemyHPDanger-1)+(EnemyJackHP-1)),0)*IF($A24&gt;20,(1+Max(0,((($A24-20)*(($A24-20)+1))/2)/100)*(2+Max(0,($A24-35)*0.2))*2),1),0)*IF(EnemyBuffed=TRUE,2.5,1),0)</f>
        <v>451</v>
      </c>
      <c r="H24" s="379">
        <f>Rounddown(Round(Round((H$9+H$10*($A24-1))*(1+(EnemyHPSlider-1)+(EnemyHPDanger-1)+(EnemyJackHP-1)),0)*IF($A24&gt;20,(1+Max(0,((($A24-20)*(($A24-20)+1))/2)/100)*(2+Max(0,($A24-35)*0.2))*2),1),0)*IF(EnemyBuffed=TRUE,2.5,1),0)</f>
        <v>228</v>
      </c>
      <c r="I24" s="379">
        <f>Rounddown(Round(Round((I$9+I$10*($A24-1))*(1+(EnemyHPSlider-1)+(EnemyHPDanger-1)+(EnemyJackHP-1)),0)*IF($A24&gt;20,(1+Max(0,((($A24-20)*(($A24-20)+1))/2)/100)*(2+Max(0,($A24-35)*0.2))*2),1),0)*IF(EnemyBuffed=TRUE,2.5,1),0)</f>
        <v>83</v>
      </c>
      <c r="J24" s="379">
        <f>Rounddown(Round(Round((J$9+J$10*($A24-1))*(1+(EnemyHPSlider-1)+(EnemyHPDanger-1)+(EnemyJackHP-1)),0)*IF($A24&gt;20,(1+Max(0,((($A24-20)*(($A24-20)+1))/2)/100)*(2+Max(0,($A24-35)*0.2))*2),1),0)*IF(EnemyBuffed=TRUE,2.5,1),0)</f>
        <v>94</v>
      </c>
      <c r="K24" s="379">
        <f>Rounddown(Round(Round((K$9+K$10*($A24-1))*(1+(EnemyHPSlider-1)+(EnemyHPDanger-1)+(EnemyJackHP-1)),0)*IF($A24&gt;20,(1+Max(0,((($A24-20)*(($A24-20)+1))/2)/100)*(2+Max(0,($A24-35)*0.2))*2),1),0)*IF(EnemyBuffed=TRUE,2.5,1),0)</f>
        <v>160</v>
      </c>
      <c r="L24" s="379">
        <f>Rounddown(Round(Round((L$9+L$10*($A24-1))*(1+(EnemyHPSlider-1)+(EnemyHPDanger-1)+(EnemyJackHP-1)),0)*IF($A24&gt;20,(1+Max(0,((($A24-20)*(($A24-20)+1))/2)/100)*(2+Max(0,($A24-35)*0.2))*2),1),0)*IF(EnemyBuffed=TRUE,2.5,1),0)</f>
        <v>525</v>
      </c>
      <c r="M24" s="379">
        <f>Rounddown(Round(Round((M$9+M$10*($A24-1))*(1+(EnemyHPSlider-1)+(EnemyHPDanger-1)+(EnemyJackHP-1)),0)*IF($A24&gt;20,(1+Max(0,((($A24-20)*(($A24-20)+1))/2)/100)*(2+Max(0,($A24-35)*0.2))*2),1),0)*IF(EnemyBuffed=TRUE,2.5,1),0)</f>
        <v>66</v>
      </c>
      <c r="N24" s="379">
        <f>Rounddown(Round(Round((N$9+N$10*($A24-1))*(1+(EnemyHPSlider-1)+(EnemyHPDanger-1)+(EnemyJackHP-1)),0)*IF($A24&gt;20,(1+Max(0,((($A24-20)*(($A24-20)+1))/2)/100)*(2+Max(0,($A24-35)*0.2))*2),1),0)*IF(EnemyBuffed=TRUE,2.5,1),0)</f>
        <v>53</v>
      </c>
      <c r="O24" s="379">
        <f>Rounddown(Round(Round((O$9+O$10*($A24-1))*(1+(EnemyHPSlider-1)+(EnemyHPDanger-1)+(EnemyJackHP-1)),0)*IF($A24&gt;20,(1+Max(0,((($A24-20)*(($A24-20)+1))/2)/100)*(2+Max(0,($A24-35)*0.2))*2),1),0)*IF(EnemyBuffed=TRUE,2.5,1),0)</f>
        <v>32</v>
      </c>
      <c r="P24" s="379">
        <f>Rounddown(Round(Round((P$9+P$10*($A24-1))*(1+(EnemyHPSlider-1)+(EnemyHPDanger-1)+(EnemyJackHP-1)),0)*IF($A24&gt;20,(1+Max(0,((($A24-20)*(($A24-20)+1))/2)/100)*(2+Max(0,($A24-35)*0.2))*2),1),0)*IF(EnemyBuffed=TRUE,2.5,1),0)</f>
        <v>98</v>
      </c>
      <c r="Q24" s="379">
        <f>Rounddown(Round(Round((Q$9+Q$10*($A24-1))*(1+(EnemyHPSlider-1)+(EnemyHPDanger-1)+(EnemyJackHP-1)),0)*IF($A24&gt;20,(1+Max(0,((($A24-20)*(($A24-20)+1))/2)/100)*(2+Max(0,($A24-35)*0.2))*2),1),0)*IF(EnemyBuffed=TRUE,2.5,1),0)</f>
        <v>442</v>
      </c>
      <c r="R24" s="379">
        <f>Rounddown(Round(Round((R$9+R$10*($A24-1))*(1+(EnemyHPSlider-1)+(EnemyHPDanger-1)+(EnemyJackHP-1)),0)*IF($A24&gt;20,(1+Max(0,((($A24-20)*(($A24-20)+1))/2)/100)*(2+Max(0,($A24-35)*0.2))*2),1),0)*IF(EnemyBuffed=TRUE,2.5,1),0)</f>
        <v>108</v>
      </c>
      <c r="S24" s="379">
        <f>Rounddown(Round(Round((S$9+S$10*($A24-1))*(1+(EnemyHPSlider-1)+(EnemyHPDanger-1)+(EnemyJackHP-1)),0)*IF($A24&gt;20,(1+Max(0,((($A24-20)*(($A24-20)+1))/2)/100)*(2+Max(0,($A24-35)*0.2))*2),1),0)*IF(EnemyBuffed=TRUE,2.5,1),0)</f>
        <v>62</v>
      </c>
      <c r="T24" s="379">
        <f>Rounddown(Round(Round((T$9+T$10*($A24-1))*(1+(EnemyHPSlider-1)+(EnemyHPDanger-1)+(EnemyJackHP-1)),0)*IF($A24&gt;20,(1+Max(0,((($A24-20)*(($A24-20)+1))/2)/100)*(2+Max(0,($A24-35)*0.2))*2),1),0)*IF(EnemyBuffed=TRUE,2.5,1),0)</f>
        <v>525</v>
      </c>
      <c r="U24" s="379">
        <f>Rounddown(Round(Round((U$9+U$10*($A24-1))*(1+(EnemyHPSlider-1)+(EnemyHPDanger-1)+(EnemyJackHP-1)),0)*IF($A24&gt;20,(1+Max(0,((($A24-20)*(($A24-20)+1))/2)/100)*(2+Max(0,($A24-35)*0.2))*2),1),0)*IF(EnemyBuffed=TRUE,2.5,1),0)</f>
        <v>504</v>
      </c>
      <c r="V24" s="379">
        <f>Rounddown(Round(Round((V$9+V$10*($A24-1))*(1+(EnemyHPSlider-1)+(EnemyHPDanger-1)+(EnemyJackHP-1)),0)*IF($A24&gt;20,(1+Max(0,((($A24-20)*(($A24-20)+1))/2)/100)*(2+Max(0,($A24-35)*0.2))*2),1),0)*IF(EnemyBuffed=TRUE,2.5,1),0)</f>
        <v>13651</v>
      </c>
      <c r="W24" s="379">
        <f>Rounddown(Round(Round((W$9+W$10*($A24-1))*(1+(EnemyHPSlider-1)+(EnemyHPDanger-1)+(EnemyJackHP-1)),0)*IF($A24&gt;20,(1+Max(0,((($A24-20)*(($A24-20)+1))/2)/100)*(2+Max(0,($A24-35)*0.2))*2),1),0)*IF(EnemyBuffed=TRUE,2.5,1),0)</f>
        <v>13651</v>
      </c>
      <c r="X24" s="379">
        <f>Rounddown(Round(Round((X$9+X$10*($A24-1))*(1+(EnemyHPSlider-1)+(EnemyHPDanger-1)+(EnemyJackHP-1)),0)*IF($A24&gt;20,(1+Max(0,((($A24-20)*(($A24-20)+1))/2)/100)*(2+Max(0,($A24-35)*0.2))*2),1),0)*IF(EnemyBuffed=TRUE,2.5,1),0)</f>
        <v>12741</v>
      </c>
      <c r="Y24" s="379">
        <f>Rounddown(Round(Round((Y$9+Y$10*($A24-1))*(1+(EnemyHPSlider-1)+(EnemyHPDanger-1)+(EnemyJackHP-1)),0)*IF($A24&gt;20,(1+Max(0,((($A24-20)*(($A24-20)+1))/2)/100)*(2+Max(0,($A24-35)*0.2))*2),1),0)*IF(EnemyBuffed=TRUE,2.5,1)*IF(AND($B$2=5,$A24&lt;=20),0.75,1),0)</f>
        <v>25987</v>
      </c>
      <c r="Z24" s="379">
        <f>Rounddown(Round(Round((Z$9+Z$10*($A24-1))*(1+(EnemyHPSlider-1)+(EnemyHPDanger-1)+(EnemyJackHP-1)),0)*IF($A24&gt;20,(1+Max(0,((($A24-20)*(($A24-20)+1))/2)/100)*(2+Max(0,($A24-35)*0.2))*2),1),0)*IF(EnemyBuffed=TRUE,2.5,1)*IF(AND($B$2=5,$A24&lt;=20),0.75,1),0)</f>
        <v>25987</v>
      </c>
      <c r="AA24" s="379">
        <f>Rounddown(Round(Round((AA$9+AA$10*($A24-1))*(1+(EnemyHPSlider-1)+(EnemyHPDanger-1)+(EnemyJackHP-1)),0)*IF($A24&gt;20,(1+Max(0,((($A24-20)*(($A24-20)+1))/2)/100)*(2+Max(0,($A24-35)*0.2))*2),1),0)*IF(EnemyBuffed=TRUE,2.5,1),0)</f>
        <v>315</v>
      </c>
    </row>
    <row r="25">
      <c r="A25" s="362">
        <v>15.0</v>
      </c>
      <c r="B25" s="381">
        <f>Rounddown(Round(Round((B$9+B$10*($A25-1))*(1+(EnemyHPSlider-1)+(EnemyHPDanger-1)+(EnemyJackHP-1)),0)*IF($A25&gt;20,(1+Max(0,((($A25-20)*(($A25-20)+1))/2)/100)*(2+Max(0,($A25-35)*0.2))*2),1),0)*IF(EnemyBuffed=TRUE,2.5,1),0)</f>
        <v>112</v>
      </c>
      <c r="C25" s="381">
        <f>Rounddown(Round(Round((C$9+C$10*($A25-1))*(1+(EnemyHPSlider-1)+(EnemyHPDanger-1)+(EnemyJackHP-1)),0)*IF($A25&gt;20,(1+Max(0,((($A25-20)*(($A25-20)+1))/2)/100)*(2+Max(0,($A25-35)*0.2))*2),1),0)*IF(EnemyBuffed=TRUE,2.5,1),0)</f>
        <v>43</v>
      </c>
      <c r="D25" s="381">
        <f>Rounddown(Round(Round((D$9+D$10*($A25-1))*(1+(EnemyHPSlider-1)+(EnemyHPDanger-1)+(EnemyJackHP-1)),0)*IF($A25&gt;20,(1+Max(0,((($A25-20)*(($A25-20)+1))/2)/100)*(2+Max(0,($A25-35)*0.2))*2),1),0)*IF(EnemyBuffed=TRUE,2.5,1),0)</f>
        <v>21</v>
      </c>
      <c r="E25" s="381">
        <f>Rounddown(Round(Round((E$9+E$10*($A25-1))*(1+(EnemyHPSlider-1)+(EnemyHPDanger-1)+(EnemyJackHP-1)),0)*IF($A25&gt;20,(1+Max(0,((($A25-20)*(($A25-20)+1))/2)/100)*(2+Max(0,($A25-35)*0.2))*2),1),0)*IF(EnemyBuffed=TRUE,2.5,1),0)</f>
        <v>31</v>
      </c>
      <c r="F25" s="381">
        <f>Rounddown(Round(Round((F$9+F$10*($A25-1))*(1+(EnemyHPSlider-1)+(EnemyHPDanger-1)+(EnemyJackHP-1)),0)*IF($A25&gt;20,(1+Max(0,((($A25-20)*(($A25-20)+1))/2)/100)*(2+Max(0,($A25-35)*0.2))*2),1),0)*IF(EnemyBuffed=TRUE,2.5,1),0)</f>
        <v>55</v>
      </c>
      <c r="G25" s="381">
        <f>Rounddown(Round(Round((G$9+G$10*($A25-1))*(1+(EnemyHPSlider-1)+(EnemyHPDanger-1)+(EnemyJackHP-1)),0)*IF($A25&gt;20,(1+Max(0,((($A25-20)*(($A25-20)+1))/2)/100)*(2+Max(0,($A25-35)*0.2))*2),1),0)*IF(EnemyBuffed=TRUE,2.5,1),0)</f>
        <v>484</v>
      </c>
      <c r="H25" s="381">
        <f>Rounddown(Round(Round((H$9+H$10*($A25-1))*(1+(EnemyHPSlider-1)+(EnemyHPDanger-1)+(EnemyJackHP-1)),0)*IF($A25&gt;20,(1+Max(0,((($A25-20)*(($A25-20)+1))/2)/100)*(2+Max(0,($A25-35)*0.2))*2),1),0)*IF(EnemyBuffed=TRUE,2.5,1),0)</f>
        <v>244</v>
      </c>
      <c r="I25" s="381">
        <f>Rounddown(Round(Round((I$9+I$10*($A25-1))*(1+(EnemyHPSlider-1)+(EnemyHPDanger-1)+(EnemyJackHP-1)),0)*IF($A25&gt;20,(1+Max(0,((($A25-20)*(($A25-20)+1))/2)/100)*(2+Max(0,($A25-35)*0.2))*2),1),0)*IF(EnemyBuffed=TRUE,2.5,1),0)</f>
        <v>87</v>
      </c>
      <c r="J25" s="381">
        <f>Rounddown(Round(Round((J$9+J$10*($A25-1))*(1+(EnemyHPSlider-1)+(EnemyHPDanger-1)+(EnemyJackHP-1)),0)*IF($A25&gt;20,(1+Max(0,((($A25-20)*(($A25-20)+1))/2)/100)*(2+Max(0,($A25-35)*0.2))*2),1),0)*IF(EnemyBuffed=TRUE,2.5,1),0)</f>
        <v>99</v>
      </c>
      <c r="K25" s="381">
        <f>Rounddown(Round(Round((K$9+K$10*($A25-1))*(1+(EnemyHPSlider-1)+(EnemyHPDanger-1)+(EnemyJackHP-1)),0)*IF($A25&gt;20,(1+Max(0,((($A25-20)*(($A25-20)+1))/2)/100)*(2+Max(0,($A25-35)*0.2))*2),1),0)*IF(EnemyBuffed=TRUE,2.5,1),0)</f>
        <v>171</v>
      </c>
      <c r="L25" s="381">
        <f>Rounddown(Round(Round((L$9+L$10*($A25-1))*(1+(EnemyHPSlider-1)+(EnemyHPDanger-1)+(EnemyJackHP-1)),0)*IF($A25&gt;20,(1+Max(0,((($A25-20)*(($A25-20)+1))/2)/100)*(2+Max(0,($A25-35)*0.2))*2),1),0)*IF(EnemyBuffed=TRUE,2.5,1),0)</f>
        <v>560</v>
      </c>
      <c r="M25" s="381">
        <f>Rounddown(Round(Round((M$9+M$10*($A25-1))*(1+(EnemyHPSlider-1)+(EnemyHPDanger-1)+(EnemyJackHP-1)),0)*IF($A25&gt;20,(1+Max(0,((($A25-20)*(($A25-20)+1))/2)/100)*(2+Max(0,($A25-35)*0.2))*2),1),0)*IF(EnemyBuffed=TRUE,2.5,1),0)</f>
        <v>70</v>
      </c>
      <c r="N25" s="381">
        <f>Rounddown(Round(Round((N$9+N$10*($A25-1))*(1+(EnemyHPSlider-1)+(EnemyHPDanger-1)+(EnemyJackHP-1)),0)*IF($A25&gt;20,(1+Max(0,((($A25-20)*(($A25-20)+1))/2)/100)*(2+Max(0,($A25-35)*0.2))*2),1),0)*IF(EnemyBuffed=TRUE,2.5,1),0)</f>
        <v>56</v>
      </c>
      <c r="O25" s="381">
        <f>Rounddown(Round(Round((O$9+O$10*($A25-1))*(1+(EnemyHPSlider-1)+(EnemyHPDanger-1)+(EnemyJackHP-1)),0)*IF($A25&gt;20,(1+Max(0,((($A25-20)*(($A25-20)+1))/2)/100)*(2+Max(0,($A25-35)*0.2))*2),1),0)*IF(EnemyBuffed=TRUE,2.5,1),0)</f>
        <v>34</v>
      </c>
      <c r="P25" s="381">
        <f>Rounddown(Round(Round((P$9+P$10*($A25-1))*(1+(EnemyHPSlider-1)+(EnemyHPDanger-1)+(EnemyJackHP-1)),0)*IF($A25&gt;20,(1+Max(0,((($A25-20)*(($A25-20)+1))/2)/100)*(2+Max(0,($A25-35)*0.2))*2),1),0)*IF(EnemyBuffed=TRUE,2.5,1),0)</f>
        <v>105</v>
      </c>
      <c r="Q25" s="381">
        <f>Rounddown(Round(Round((Q$9+Q$10*($A25-1))*(1+(EnemyHPSlider-1)+(EnemyHPDanger-1)+(EnemyJackHP-1)),0)*IF($A25&gt;20,(1+Max(0,((($A25-20)*(($A25-20)+1))/2)/100)*(2+Max(0,($A25-35)*0.2))*2),1),0)*IF(EnemyBuffed=TRUE,2.5,1),0)</f>
        <v>473</v>
      </c>
      <c r="R25" s="381">
        <f>Rounddown(Round(Round((R$9+R$10*($A25-1))*(1+(EnemyHPSlider-1)+(EnemyHPDanger-1)+(EnemyJackHP-1)),0)*IF($A25&gt;20,(1+Max(0,((($A25-20)*(($A25-20)+1))/2)/100)*(2+Max(0,($A25-35)*0.2))*2),1),0)*IF(EnemyBuffed=TRUE,2.5,1),0)</f>
        <v>115</v>
      </c>
      <c r="S25" s="381">
        <f>Rounddown(Round(Round((S$9+S$10*($A25-1))*(1+(EnemyHPSlider-1)+(EnemyHPDanger-1)+(EnemyJackHP-1)),0)*IF($A25&gt;20,(1+Max(0,((($A25-20)*(($A25-20)+1))/2)/100)*(2+Max(0,($A25-35)*0.2))*2),1),0)*IF(EnemyBuffed=TRUE,2.5,1),0)</f>
        <v>66</v>
      </c>
      <c r="T25" s="381">
        <f>Rounddown(Round(Round((T$9+T$10*($A25-1))*(1+(EnemyHPSlider-1)+(EnemyHPDanger-1)+(EnemyJackHP-1)),0)*IF($A25&gt;20,(1+Max(0,((($A25-20)*(($A25-20)+1))/2)/100)*(2+Max(0,($A25-35)*0.2))*2),1),0)*IF(EnemyBuffed=TRUE,2.5,1),0)</f>
        <v>560</v>
      </c>
      <c r="U25" s="381">
        <f>Rounddown(Round(Round((U$9+U$10*($A25-1))*(1+(EnemyHPSlider-1)+(EnemyHPDanger-1)+(EnemyJackHP-1)),0)*IF($A25&gt;20,(1+Max(0,((($A25-20)*(($A25-20)+1))/2)/100)*(2+Max(0,($A25-35)*0.2))*2),1),0)*IF(EnemyBuffed=TRUE,2.5,1),0)</f>
        <v>532</v>
      </c>
      <c r="V25" s="381">
        <f>Rounddown(Round(Round((V$9+V$10*($A25-1))*(1+(EnemyHPSlider-1)+(EnemyHPDanger-1)+(EnemyJackHP-1)),0)*IF($A25&gt;20,(1+Max(0,((($A25-20)*(($A25-20)+1))/2)/100)*(2+Max(0,($A25-35)*0.2))*2),1),0)*IF(EnemyBuffed=TRUE,2.5,1),0)</f>
        <v>14701</v>
      </c>
      <c r="W25" s="381">
        <f>Rounddown(Round(Round((W$9+W$10*($A25-1))*(1+(EnemyHPSlider-1)+(EnemyHPDanger-1)+(EnemyJackHP-1)),0)*IF($A25&gt;20,(1+Max(0,((($A25-20)*(($A25-20)+1))/2)/100)*(2+Max(0,($A25-35)*0.2))*2),1),0)*IF(EnemyBuffed=TRUE,2.5,1),0)</f>
        <v>14701</v>
      </c>
      <c r="X25" s="381">
        <f>Rounddown(Round(Round((X$9+X$10*($A25-1))*(1+(EnemyHPSlider-1)+(EnemyHPDanger-1)+(EnemyJackHP-1)),0)*IF($A25&gt;20,(1+Max(0,((($A25-20)*(($A25-20)+1))/2)/100)*(2+Max(0,($A25-35)*0.2))*2),1),0)*IF(EnemyBuffed=TRUE,2.5,1),0)</f>
        <v>13721</v>
      </c>
      <c r="Y25" s="381">
        <f>Rounddown(Round(Round((Y$9+Y$10*($A25-1))*(1+(EnemyHPSlider-1)+(EnemyHPDanger-1)+(EnemyJackHP-1)),0)*IF($A25&gt;20,(1+Max(0,((($A25-20)*(($A25-20)+1))/2)/100)*(2+Max(0,($A25-35)*0.2))*2),1),0)*IF(EnemyBuffed=TRUE,2.5,1)*IF(AND($B$2=5,$A25&lt;=20),0.75,1),0)</f>
        <v>26775</v>
      </c>
      <c r="Z25" s="381">
        <f>Rounddown(Round(Round((Z$9+Z$10*($A25-1))*(1+(EnemyHPSlider-1)+(EnemyHPDanger-1)+(EnemyJackHP-1)),0)*IF($A25&gt;20,(1+Max(0,((($A25-20)*(($A25-20)+1))/2)/100)*(2+Max(0,($A25-35)*0.2))*2),1),0)*IF(EnemyBuffed=TRUE,2.5,1)*IF(AND($B$2=5,$A25&lt;=20),0.75,1),0)</f>
        <v>26775</v>
      </c>
      <c r="AA25" s="381">
        <f>Rounddown(Round(Round((AA$9+AA$10*($A25-1))*(1+(EnemyHPSlider-1)+(EnemyHPDanger-1)+(EnemyJackHP-1)),0)*IF($A25&gt;20,(1+Max(0,((($A25-20)*(($A25-20)+1))/2)/100)*(2+Max(0,($A25-35)*0.2))*2),1),0)*IF(EnemyBuffed=TRUE,2.5,1),0)</f>
        <v>336</v>
      </c>
    </row>
    <row r="26">
      <c r="A26" s="362">
        <v>16.0</v>
      </c>
      <c r="B26" s="379">
        <f>Rounddown(Round(Round((B$9+B$10*($A26-1))*(1+(EnemyHPSlider-1)+(EnemyHPDanger-1)+(EnemyJackHP-1)),0)*IF($A26&gt;20,(1+Max(0,((($A26-20)*(($A26-20)+1))/2)/100)*(2+Max(0,($A26-35)*0.2))*2),1),0)*IF(EnemyBuffed=TRUE,2.5,1),0)</f>
        <v>119</v>
      </c>
      <c r="C26" s="379">
        <f>Rounddown(Round(Round((C$9+C$10*($A26-1))*(1+(EnemyHPSlider-1)+(EnemyHPDanger-1)+(EnemyJackHP-1)),0)*IF($A26&gt;20,(1+Max(0,((($A26-20)*(($A26-20)+1))/2)/100)*(2+Max(0,($A26-35)*0.2))*2),1),0)*IF(EnemyBuffed=TRUE,2.5,1),0)</f>
        <v>46</v>
      </c>
      <c r="D26" s="379">
        <f>Rounddown(Round(Round((D$9+D$10*($A26-1))*(1+(EnemyHPSlider-1)+(EnemyHPDanger-1)+(EnemyJackHP-1)),0)*IF($A26&gt;20,(1+Max(0,((($A26-20)*(($A26-20)+1))/2)/100)*(2+Max(0,($A26-35)*0.2))*2),1),0)*IF(EnemyBuffed=TRUE,2.5,1),0)</f>
        <v>22</v>
      </c>
      <c r="E26" s="379">
        <f>Rounddown(Round(Round((E$9+E$10*($A26-1))*(1+(EnemyHPSlider-1)+(EnemyHPDanger-1)+(EnemyJackHP-1)),0)*IF($A26&gt;20,(1+Max(0,((($A26-20)*(($A26-20)+1))/2)/100)*(2+Max(0,($A26-35)*0.2))*2),1),0)*IF(EnemyBuffed=TRUE,2.5,1),0)</f>
        <v>32</v>
      </c>
      <c r="F26" s="379">
        <f>Rounddown(Round(Round((F$9+F$10*($A26-1))*(1+(EnemyHPSlider-1)+(EnemyHPDanger-1)+(EnemyJackHP-1)),0)*IF($A26&gt;20,(1+Max(0,((($A26-20)*(($A26-20)+1))/2)/100)*(2+Max(0,($A26-35)*0.2))*2),1),0)*IF(EnemyBuffed=TRUE,2.5,1),0)</f>
        <v>58</v>
      </c>
      <c r="G26" s="379">
        <f>Rounddown(Round(Round((G$9+G$10*($A26-1))*(1+(EnemyHPSlider-1)+(EnemyHPDanger-1)+(EnemyJackHP-1)),0)*IF($A26&gt;20,(1+Max(0,((($A26-20)*(($A26-20)+1))/2)/100)*(2+Max(0,($A26-35)*0.2))*2),1),0)*IF(EnemyBuffed=TRUE,2.5,1),0)</f>
        <v>518</v>
      </c>
      <c r="H26" s="379">
        <f>Rounddown(Round(Round((H$9+H$10*($A26-1))*(1+(EnemyHPSlider-1)+(EnemyHPDanger-1)+(EnemyJackHP-1)),0)*IF($A26&gt;20,(1+Max(0,((($A26-20)*(($A26-20)+1))/2)/100)*(2+Max(0,($A26-35)*0.2))*2),1),0)*IF(EnemyBuffed=TRUE,2.5,1),0)</f>
        <v>259</v>
      </c>
      <c r="I26" s="379">
        <f>Rounddown(Round(Round((I$9+I$10*($A26-1))*(1+(EnemyHPSlider-1)+(EnemyHPDanger-1)+(EnemyJackHP-1)),0)*IF($A26&gt;20,(1+Max(0,((($A26-20)*(($A26-20)+1))/2)/100)*(2+Max(0,($A26-35)*0.2))*2),1),0)*IF(EnemyBuffed=TRUE,2.5,1),0)</f>
        <v>91</v>
      </c>
      <c r="J26" s="379">
        <f>Rounddown(Round(Round((J$9+J$10*($A26-1))*(1+(EnemyHPSlider-1)+(EnemyHPDanger-1)+(EnemyJackHP-1)),0)*IF($A26&gt;20,(1+Max(0,((($A26-20)*(($A26-20)+1))/2)/100)*(2+Max(0,($A26-35)*0.2))*2),1),0)*IF(EnemyBuffed=TRUE,2.5,1),0)</f>
        <v>105</v>
      </c>
      <c r="K26" s="379">
        <f>Rounddown(Round(Round((K$9+K$10*($A26-1))*(1+(EnemyHPSlider-1)+(EnemyHPDanger-1)+(EnemyJackHP-1)),0)*IF($A26&gt;20,(1+Max(0,((($A26-20)*(($A26-20)+1))/2)/100)*(2+Max(0,($A26-35)*0.2))*2),1),0)*IF(EnemyBuffed=TRUE,2.5,1),0)</f>
        <v>182</v>
      </c>
      <c r="L26" s="379">
        <f>Rounddown(Round(Round((L$9+L$10*($A26-1))*(1+(EnemyHPSlider-1)+(EnemyHPDanger-1)+(EnemyJackHP-1)),0)*IF($A26&gt;20,(1+Max(0,((($A26-20)*(($A26-20)+1))/2)/100)*(2+Max(0,($A26-35)*0.2))*2),1),0)*IF(EnemyBuffed=TRUE,2.5,1),0)</f>
        <v>595</v>
      </c>
      <c r="M26" s="379">
        <f>Rounddown(Round(Round((M$9+M$10*($A26-1))*(1+(EnemyHPSlider-1)+(EnemyHPDanger-1)+(EnemyJackHP-1)),0)*IF($A26&gt;20,(1+Max(0,((($A26-20)*(($A26-20)+1))/2)/100)*(2+Max(0,($A26-35)*0.2))*2),1),0)*IF(EnemyBuffed=TRUE,2.5,1),0)</f>
        <v>74</v>
      </c>
      <c r="N26" s="379">
        <f>Rounddown(Round(Round((N$9+N$10*($A26-1))*(1+(EnemyHPSlider-1)+(EnemyHPDanger-1)+(EnemyJackHP-1)),0)*IF($A26&gt;20,(1+Max(0,((($A26-20)*(($A26-20)+1))/2)/100)*(2+Max(0,($A26-35)*0.2))*2),1),0)*IF(EnemyBuffed=TRUE,2.5,1),0)</f>
        <v>59</v>
      </c>
      <c r="O26" s="379">
        <f>Rounddown(Round(Round((O$9+O$10*($A26-1))*(1+(EnemyHPSlider-1)+(EnemyHPDanger-1)+(EnemyJackHP-1)),0)*IF($A26&gt;20,(1+Max(0,((($A26-20)*(($A26-20)+1))/2)/100)*(2+Max(0,($A26-35)*0.2))*2),1),0)*IF(EnemyBuffed=TRUE,2.5,1),0)</f>
        <v>35</v>
      </c>
      <c r="P26" s="379">
        <f>Rounddown(Round(Round((P$9+P$10*($A26-1))*(1+(EnemyHPSlider-1)+(EnemyHPDanger-1)+(EnemyJackHP-1)),0)*IF($A26&gt;20,(1+Max(0,((($A26-20)*(($A26-20)+1))/2)/100)*(2+Max(0,($A26-35)*0.2))*2),1),0)*IF(EnemyBuffed=TRUE,2.5,1),0)</f>
        <v>112</v>
      </c>
      <c r="Q26" s="379">
        <f>Rounddown(Round(Round((Q$9+Q$10*($A26-1))*(1+(EnemyHPSlider-1)+(EnemyHPDanger-1)+(EnemyJackHP-1)),0)*IF($A26&gt;20,(1+Max(0,((($A26-20)*(($A26-20)+1))/2)/100)*(2+Max(0,($A26-35)*0.2))*2),1),0)*IF(EnemyBuffed=TRUE,2.5,1),0)</f>
        <v>504</v>
      </c>
      <c r="R26" s="379">
        <f>Rounddown(Round(Round((R$9+R$10*($A26-1))*(1+(EnemyHPSlider-1)+(EnemyHPDanger-1)+(EnemyJackHP-1)),0)*IF($A26&gt;20,(1+Max(0,((($A26-20)*(($A26-20)+1))/2)/100)*(2+Max(0,($A26-35)*0.2))*2),1),0)*IF(EnemyBuffed=TRUE,2.5,1),0)</f>
        <v>122</v>
      </c>
      <c r="S26" s="379">
        <f>Rounddown(Round(Round((S$9+S$10*($A26-1))*(1+(EnemyHPSlider-1)+(EnemyHPDanger-1)+(EnemyJackHP-1)),0)*IF($A26&gt;20,(1+Max(0,((($A26-20)*(($A26-20)+1))/2)/100)*(2+Max(0,($A26-35)*0.2))*2),1),0)*IF(EnemyBuffed=TRUE,2.5,1),0)</f>
        <v>70</v>
      </c>
      <c r="T26" s="379">
        <f>Rounddown(Round(Round((T$9+T$10*($A26-1))*(1+(EnemyHPSlider-1)+(EnemyHPDanger-1)+(EnemyJackHP-1)),0)*IF($A26&gt;20,(1+Max(0,((($A26-20)*(($A26-20)+1))/2)/100)*(2+Max(0,($A26-35)*0.2))*2),1),0)*IF(EnemyBuffed=TRUE,2.5,1),0)</f>
        <v>595</v>
      </c>
      <c r="U26" s="379">
        <f>Rounddown(Round(Round((U$9+U$10*($A26-1))*(1+(EnemyHPSlider-1)+(EnemyHPDanger-1)+(EnemyJackHP-1)),0)*IF($A26&gt;20,(1+Max(0,((($A26-20)*(($A26-20)+1))/2)/100)*(2+Max(0,($A26-35)*0.2))*2),1),0)*IF(EnemyBuffed=TRUE,2.5,1),0)</f>
        <v>560</v>
      </c>
      <c r="V26" s="379">
        <f>Rounddown(Round(Round((V$9+V$10*($A26-1))*(1+(EnemyHPSlider-1)+(EnemyHPDanger-1)+(EnemyJackHP-1)),0)*IF($A26&gt;20,(1+Max(0,((($A26-20)*(($A26-20)+1))/2)/100)*(2+Max(0,($A26-35)*0.2))*2),1),0)*IF(EnemyBuffed=TRUE,2.5,1),0)</f>
        <v>15751</v>
      </c>
      <c r="W26" s="379">
        <f>Rounddown(Round(Round((W$9+W$10*($A26-1))*(1+(EnemyHPSlider-1)+(EnemyHPDanger-1)+(EnemyJackHP-1)),0)*IF($A26&gt;20,(1+Max(0,((($A26-20)*(($A26-20)+1))/2)/100)*(2+Max(0,($A26-35)*0.2))*2),1),0)*IF(EnemyBuffed=TRUE,2.5,1),0)</f>
        <v>15751</v>
      </c>
      <c r="X26" s="379">
        <f>Rounddown(Round(Round((X$9+X$10*($A26-1))*(1+(EnemyHPSlider-1)+(EnemyHPDanger-1)+(EnemyJackHP-1)),0)*IF($A26&gt;20,(1+Max(0,((($A26-20)*(($A26-20)+1))/2)/100)*(2+Max(0,($A26-35)*0.2))*2),1),0)*IF(EnemyBuffed=TRUE,2.5,1),0)</f>
        <v>14701</v>
      </c>
      <c r="Y26" s="379">
        <f>Rounddown(Round(Round((Y$9+Y$10*($A26-1))*(1+(EnemyHPSlider-1)+(EnemyHPDanger-1)+(EnemyJackHP-1)),0)*IF($A26&gt;20,(1+Max(0,((($A26-20)*(($A26-20)+1))/2)/100)*(2+Max(0,($A26-35)*0.2))*2),1),0)*IF(EnemyBuffed=TRUE,2.5,1)*IF(AND($B$2=5,$A26&lt;=20),0.75,1),0)</f>
        <v>27562</v>
      </c>
      <c r="Z26" s="379">
        <f>Rounddown(Round(Round((Z$9+Z$10*($A26-1))*(1+(EnemyHPSlider-1)+(EnemyHPDanger-1)+(EnemyJackHP-1)),0)*IF($A26&gt;20,(1+Max(0,((($A26-20)*(($A26-20)+1))/2)/100)*(2+Max(0,($A26-35)*0.2))*2),1),0)*IF(EnemyBuffed=TRUE,2.5,1)*IF(AND($B$2=5,$A26&lt;=20),0.75,1),0)</f>
        <v>27562</v>
      </c>
      <c r="AA26" s="379">
        <f>Rounddown(Round(Round((AA$9+AA$10*($A26-1))*(1+(EnemyHPSlider-1)+(EnemyHPDanger-1)+(EnemyJackHP-1)),0)*IF($A26&gt;20,(1+Max(0,((($A26-20)*(($A26-20)+1))/2)/100)*(2+Max(0,($A26-35)*0.2))*2),1),0)*IF(EnemyBuffed=TRUE,2.5,1),0)</f>
        <v>357</v>
      </c>
    </row>
    <row r="27">
      <c r="A27" s="362">
        <v>17.0</v>
      </c>
      <c r="B27" s="381">
        <f>Rounddown(Round(Round((B$9+B$10*($A27-1))*(1+(EnemyHPSlider-1)+(EnemyHPDanger-1)+(EnemyJackHP-1)),0)*IF($A27&gt;20,(1+Max(0,((($A27-20)*(($A27-20)+1))/2)/100)*(2+Max(0,($A27-35)*0.2))*2),1),0)*IF(EnemyBuffed=TRUE,2.5,1),0)</f>
        <v>126</v>
      </c>
      <c r="C27" s="381">
        <f>Rounddown(Round(Round((C$9+C$10*($A27-1))*(1+(EnemyHPSlider-1)+(EnemyHPDanger-1)+(EnemyJackHP-1)),0)*IF($A27&gt;20,(1+Max(0,((($A27-20)*(($A27-20)+1))/2)/100)*(2+Max(0,($A27-35)*0.2))*2),1),0)*IF(EnemyBuffed=TRUE,2.5,1),0)</f>
        <v>49</v>
      </c>
      <c r="D27" s="381">
        <f>Rounddown(Round(Round((D$9+D$10*($A27-1))*(1+(EnemyHPSlider-1)+(EnemyHPDanger-1)+(EnemyJackHP-1)),0)*IF($A27&gt;20,(1+Max(0,((($A27-20)*(($A27-20)+1))/2)/100)*(2+Max(0,($A27-35)*0.2))*2),1),0)*IF(EnemyBuffed=TRUE,2.5,1),0)</f>
        <v>24</v>
      </c>
      <c r="E27" s="381">
        <f>Rounddown(Round(Round((E$9+E$10*($A27-1))*(1+(EnemyHPSlider-1)+(EnemyHPDanger-1)+(EnemyJackHP-1)),0)*IF($A27&gt;20,(1+Max(0,((($A27-20)*(($A27-20)+1))/2)/100)*(2+Max(0,($A27-35)*0.2))*2),1),0)*IF(EnemyBuffed=TRUE,2.5,1),0)</f>
        <v>34</v>
      </c>
      <c r="F27" s="381">
        <f>Rounddown(Round(Round((F$9+F$10*($A27-1))*(1+(EnemyHPSlider-1)+(EnemyHPDanger-1)+(EnemyJackHP-1)),0)*IF($A27&gt;20,(1+Max(0,((($A27-20)*(($A27-20)+1))/2)/100)*(2+Max(0,($A27-35)*0.2))*2),1),0)*IF(EnemyBuffed=TRUE,2.5,1),0)</f>
        <v>62</v>
      </c>
      <c r="G27" s="381">
        <f>Rounddown(Round(Round((G$9+G$10*($A27-1))*(1+(EnemyHPSlider-1)+(EnemyHPDanger-1)+(EnemyJackHP-1)),0)*IF($A27&gt;20,(1+Max(0,((($A27-20)*(($A27-20)+1))/2)/100)*(2+Max(0,($A27-35)*0.2))*2),1),0)*IF(EnemyBuffed=TRUE,2.5,1),0)</f>
        <v>552</v>
      </c>
      <c r="H27" s="381">
        <f>Rounddown(Round(Round((H$9+H$10*($A27-1))*(1+(EnemyHPSlider-1)+(EnemyHPDanger-1)+(EnemyJackHP-1)),0)*IF($A27&gt;20,(1+Max(0,((($A27-20)*(($A27-20)+1))/2)/100)*(2+Max(0,($A27-35)*0.2))*2),1),0)*IF(EnemyBuffed=TRUE,2.5,1),0)</f>
        <v>274</v>
      </c>
      <c r="I27" s="381">
        <f>Rounddown(Round(Round((I$9+I$10*($A27-1))*(1+(EnemyHPSlider-1)+(EnemyHPDanger-1)+(EnemyJackHP-1)),0)*IF($A27&gt;20,(1+Max(0,((($A27-20)*(($A27-20)+1))/2)/100)*(2+Max(0,($A27-35)*0.2))*2),1),0)*IF(EnemyBuffed=TRUE,2.5,1),0)</f>
        <v>95</v>
      </c>
      <c r="J27" s="381">
        <f>Rounddown(Round(Round((J$9+J$10*($A27-1))*(1+(EnemyHPSlider-1)+(EnemyHPDanger-1)+(EnemyJackHP-1)),0)*IF($A27&gt;20,(1+Max(0,((($A27-20)*(($A27-20)+1))/2)/100)*(2+Max(0,($A27-35)*0.2))*2),1),0)*IF(EnemyBuffed=TRUE,2.5,1),0)</f>
        <v>111</v>
      </c>
      <c r="K27" s="381">
        <f>Rounddown(Round(Round((K$9+K$10*($A27-1))*(1+(EnemyHPSlider-1)+(EnemyHPDanger-1)+(EnemyJackHP-1)),0)*IF($A27&gt;20,(1+Max(0,((($A27-20)*(($A27-20)+1))/2)/100)*(2+Max(0,($A27-35)*0.2))*2),1),0)*IF(EnemyBuffed=TRUE,2.5,1),0)</f>
        <v>193</v>
      </c>
      <c r="L27" s="381">
        <f>Rounddown(Round(Round((L$9+L$10*($A27-1))*(1+(EnemyHPSlider-1)+(EnemyHPDanger-1)+(EnemyJackHP-1)),0)*IF($A27&gt;20,(1+Max(0,((($A27-20)*(($A27-20)+1))/2)/100)*(2+Max(0,($A27-35)*0.2))*2),1),0)*IF(EnemyBuffed=TRUE,2.5,1),0)</f>
        <v>630</v>
      </c>
      <c r="M27" s="381">
        <f>Rounddown(Round(Round((M$9+M$10*($A27-1))*(1+(EnemyHPSlider-1)+(EnemyHPDanger-1)+(EnemyJackHP-1)),0)*IF($A27&gt;20,(1+Max(0,((($A27-20)*(($A27-20)+1))/2)/100)*(2+Max(0,($A27-35)*0.2))*2),1),0)*IF(EnemyBuffed=TRUE,2.5,1),0)</f>
        <v>78</v>
      </c>
      <c r="N27" s="381">
        <f>Rounddown(Round(Round((N$9+N$10*($A27-1))*(1+(EnemyHPSlider-1)+(EnemyHPDanger-1)+(EnemyJackHP-1)),0)*IF($A27&gt;20,(1+Max(0,((($A27-20)*(($A27-20)+1))/2)/100)*(2+Max(0,($A27-35)*0.2))*2),1),0)*IF(EnemyBuffed=TRUE,2.5,1),0)</f>
        <v>62</v>
      </c>
      <c r="O27" s="381">
        <f>Rounddown(Round(Round((O$9+O$10*($A27-1))*(1+(EnemyHPSlider-1)+(EnemyHPDanger-1)+(EnemyJackHP-1)),0)*IF($A27&gt;20,(1+Max(0,((($A27-20)*(($A27-20)+1))/2)/100)*(2+Max(0,($A27-35)*0.2))*2),1),0)*IF(EnemyBuffed=TRUE,2.5,1),0)</f>
        <v>36</v>
      </c>
      <c r="P27" s="381">
        <f>Rounddown(Round(Round((P$9+P$10*($A27-1))*(1+(EnemyHPSlider-1)+(EnemyHPDanger-1)+(EnemyJackHP-1)),0)*IF($A27&gt;20,(1+Max(0,((($A27-20)*(($A27-20)+1))/2)/100)*(2+Max(0,($A27-35)*0.2))*2),1),0)*IF(EnemyBuffed=TRUE,2.5,1),0)</f>
        <v>119</v>
      </c>
      <c r="Q27" s="381">
        <f>Rounddown(Round(Round((Q$9+Q$10*($A27-1))*(1+(EnemyHPSlider-1)+(EnemyHPDanger-1)+(EnemyJackHP-1)),0)*IF($A27&gt;20,(1+Max(0,((($A27-20)*(($A27-20)+1))/2)/100)*(2+Max(0,($A27-35)*0.2))*2),1),0)*IF(EnemyBuffed=TRUE,2.5,1),0)</f>
        <v>535</v>
      </c>
      <c r="R27" s="381">
        <f>Rounddown(Round(Round((R$9+R$10*($A27-1))*(1+(EnemyHPSlider-1)+(EnemyHPDanger-1)+(EnemyJackHP-1)),0)*IF($A27&gt;20,(1+Max(0,((($A27-20)*(($A27-20)+1))/2)/100)*(2+Max(0,($A27-35)*0.2))*2),1),0)*IF(EnemyBuffed=TRUE,2.5,1),0)</f>
        <v>129</v>
      </c>
      <c r="S27" s="381">
        <f>Rounddown(Round(Round((S$9+S$10*($A27-1))*(1+(EnemyHPSlider-1)+(EnemyHPDanger-1)+(EnemyJackHP-1)),0)*IF($A27&gt;20,(1+Max(0,((($A27-20)*(($A27-20)+1))/2)/100)*(2+Max(0,($A27-35)*0.2))*2),1),0)*IF(EnemyBuffed=TRUE,2.5,1),0)</f>
        <v>74</v>
      </c>
      <c r="T27" s="381">
        <f>Rounddown(Round(Round((T$9+T$10*($A27-1))*(1+(EnemyHPSlider-1)+(EnemyHPDanger-1)+(EnemyJackHP-1)),0)*IF($A27&gt;20,(1+Max(0,((($A27-20)*(($A27-20)+1))/2)/100)*(2+Max(0,($A27-35)*0.2))*2),1),0)*IF(EnemyBuffed=TRUE,2.5,1),0)</f>
        <v>630</v>
      </c>
      <c r="U27" s="381">
        <f>Rounddown(Round(Round((U$9+U$10*($A27-1))*(1+(EnemyHPSlider-1)+(EnemyHPDanger-1)+(EnemyJackHP-1)),0)*IF($A27&gt;20,(1+Max(0,((($A27-20)*(($A27-20)+1))/2)/100)*(2+Max(0,($A27-35)*0.2))*2),1),0)*IF(EnemyBuffed=TRUE,2.5,1),0)</f>
        <v>588</v>
      </c>
      <c r="V27" s="381">
        <f>Rounddown(Round(Round((V$9+V$10*($A27-1))*(1+(EnemyHPSlider-1)+(EnemyHPDanger-1)+(EnemyJackHP-1)),0)*IF($A27&gt;20,(1+Max(0,((($A27-20)*(($A27-20)+1))/2)/100)*(2+Max(0,($A27-35)*0.2))*2),1),0)*IF(EnemyBuffed=TRUE,2.5,1),0)</f>
        <v>16801</v>
      </c>
      <c r="W27" s="381">
        <f>Rounddown(Round(Round((W$9+W$10*($A27-1))*(1+(EnemyHPSlider-1)+(EnemyHPDanger-1)+(EnemyJackHP-1)),0)*IF($A27&gt;20,(1+Max(0,((($A27-20)*(($A27-20)+1))/2)/100)*(2+Max(0,($A27-35)*0.2))*2),1),0)*IF(EnemyBuffed=TRUE,2.5,1),0)</f>
        <v>16801</v>
      </c>
      <c r="X27" s="381">
        <f>Rounddown(Round(Round((X$9+X$10*($A27-1))*(1+(EnemyHPSlider-1)+(EnemyHPDanger-1)+(EnemyJackHP-1)),0)*IF($A27&gt;20,(1+Max(0,((($A27-20)*(($A27-20)+1))/2)/100)*(2+Max(0,($A27-35)*0.2))*2),1),0)*IF(EnemyBuffed=TRUE,2.5,1),0)</f>
        <v>15681</v>
      </c>
      <c r="Y27" s="381">
        <f>Rounddown(Round(Round((Y$9+Y$10*($A27-1))*(1+(EnemyHPSlider-1)+(EnemyHPDanger-1)+(EnemyJackHP-1)),0)*IF($A27&gt;20,(1+Max(0,((($A27-20)*(($A27-20)+1))/2)/100)*(2+Max(0,($A27-35)*0.2))*2),1),0)*IF(EnemyBuffed=TRUE,2.5,1)*IF(AND($B$2=5,$A27&lt;=20),0.75,1),0)</f>
        <v>28350</v>
      </c>
      <c r="Z27" s="381">
        <f>Rounddown(Round(Round((Z$9+Z$10*($A27-1))*(1+(EnemyHPSlider-1)+(EnemyHPDanger-1)+(EnemyJackHP-1)),0)*IF($A27&gt;20,(1+Max(0,((($A27-20)*(($A27-20)+1))/2)/100)*(2+Max(0,($A27-35)*0.2))*2),1),0)*IF(EnemyBuffed=TRUE,2.5,1)*IF(AND($B$2=5,$A27&lt;=20),0.75,1),0)</f>
        <v>28350</v>
      </c>
      <c r="AA27" s="381">
        <f>Rounddown(Round(Round((AA$9+AA$10*($A27-1))*(1+(EnemyHPSlider-1)+(EnemyHPDanger-1)+(EnemyJackHP-1)),0)*IF($A27&gt;20,(1+Max(0,((($A27-20)*(($A27-20)+1))/2)/100)*(2+Max(0,($A27-35)*0.2))*2),1),0)*IF(EnemyBuffed=TRUE,2.5,1),0)</f>
        <v>378</v>
      </c>
    </row>
    <row r="28">
      <c r="A28" s="362">
        <v>18.0</v>
      </c>
      <c r="B28" s="379">
        <f>Rounddown(Round(Round((B$9+B$10*($A28-1))*(1+(EnemyHPSlider-1)+(EnemyHPDanger-1)+(EnemyJackHP-1)),0)*IF($A28&gt;20,(1+Max(0,((($A28-20)*(($A28-20)+1))/2)/100)*(2+Max(0,($A28-35)*0.2))*2),1),0)*IF(EnemyBuffed=TRUE,2.5,1),0)</f>
        <v>133</v>
      </c>
      <c r="C28" s="379">
        <f>Rounddown(Round(Round((C$9+C$10*($A28-1))*(1+(EnemyHPSlider-1)+(EnemyHPDanger-1)+(EnemyJackHP-1)),0)*IF($A28&gt;20,(1+Max(0,((($A28-20)*(($A28-20)+1))/2)/100)*(2+Max(0,($A28-35)*0.2))*2),1),0)*IF(EnemyBuffed=TRUE,2.5,1),0)</f>
        <v>52</v>
      </c>
      <c r="D28" s="379">
        <f>Rounddown(Round(Round((D$9+D$10*($A28-1))*(1+(EnemyHPSlider-1)+(EnemyHPDanger-1)+(EnemyJackHP-1)),0)*IF($A28&gt;20,(1+Max(0,((($A28-20)*(($A28-20)+1))/2)/100)*(2+Max(0,($A28-35)*0.2))*2),1),0)*IF(EnemyBuffed=TRUE,2.5,1),0)</f>
        <v>25</v>
      </c>
      <c r="E28" s="379">
        <f>Rounddown(Round(Round((E$9+E$10*($A28-1))*(1+(EnemyHPSlider-1)+(EnemyHPDanger-1)+(EnemyJackHP-1)),0)*IF($A28&gt;20,(1+Max(0,((($A28-20)*(($A28-20)+1))/2)/100)*(2+Max(0,($A28-35)*0.2))*2),1),0)*IF(EnemyBuffed=TRUE,2.5,1),0)</f>
        <v>35</v>
      </c>
      <c r="F28" s="379">
        <f>Rounddown(Round(Round((F$9+F$10*($A28-1))*(1+(EnemyHPSlider-1)+(EnemyHPDanger-1)+(EnemyJackHP-1)),0)*IF($A28&gt;20,(1+Max(0,((($A28-20)*(($A28-20)+1))/2)/100)*(2+Max(0,($A28-35)*0.2))*2),1),0)*IF(EnemyBuffed=TRUE,2.5,1),0)</f>
        <v>65</v>
      </c>
      <c r="G28" s="379">
        <f>Rounddown(Round(Round((G$9+G$10*($A28-1))*(1+(EnemyHPSlider-1)+(EnemyHPDanger-1)+(EnemyJackHP-1)),0)*IF($A28&gt;20,(1+Max(0,((($A28-20)*(($A28-20)+1))/2)/100)*(2+Max(0,($A28-35)*0.2))*2),1),0)*IF(EnemyBuffed=TRUE,2.5,1),0)</f>
        <v>585</v>
      </c>
      <c r="H28" s="379">
        <f>Rounddown(Round(Round((H$9+H$10*($A28-1))*(1+(EnemyHPSlider-1)+(EnemyHPDanger-1)+(EnemyJackHP-1)),0)*IF($A28&gt;20,(1+Max(0,((($A28-20)*(($A28-20)+1))/2)/100)*(2+Max(0,($A28-35)*0.2))*2),1),0)*IF(EnemyBuffed=TRUE,2.5,1),0)</f>
        <v>290</v>
      </c>
      <c r="I28" s="379">
        <f>Rounddown(Round(Round((I$9+I$10*($A28-1))*(1+(EnemyHPSlider-1)+(EnemyHPDanger-1)+(EnemyJackHP-1)),0)*IF($A28&gt;20,(1+Max(0,((($A28-20)*(($A28-20)+1))/2)/100)*(2+Max(0,($A28-35)*0.2))*2),1),0)*IF(EnemyBuffed=TRUE,2.5,1),0)</f>
        <v>99</v>
      </c>
      <c r="J28" s="379">
        <f>Rounddown(Round(Round((J$9+J$10*($A28-1))*(1+(EnemyHPSlider-1)+(EnemyHPDanger-1)+(EnemyJackHP-1)),0)*IF($A28&gt;20,(1+Max(0,((($A28-20)*(($A28-20)+1))/2)/100)*(2+Max(0,($A28-35)*0.2))*2),1),0)*IF(EnemyBuffed=TRUE,2.5,1),0)</f>
        <v>116</v>
      </c>
      <c r="K28" s="379">
        <f>Rounddown(Round(Round((K$9+K$10*($A28-1))*(1+(EnemyHPSlider-1)+(EnemyHPDanger-1)+(EnemyJackHP-1)),0)*IF($A28&gt;20,(1+Max(0,((($A28-20)*(($A28-20)+1))/2)/100)*(2+Max(0,($A28-35)*0.2))*2),1),0)*IF(EnemyBuffed=TRUE,2.5,1),0)</f>
        <v>204</v>
      </c>
      <c r="L28" s="379">
        <f>Rounddown(Round(Round((L$9+L$10*($A28-1))*(1+(EnemyHPSlider-1)+(EnemyHPDanger-1)+(EnemyJackHP-1)),0)*IF($A28&gt;20,(1+Max(0,((($A28-20)*(($A28-20)+1))/2)/100)*(2+Max(0,($A28-35)*0.2))*2),1),0)*IF(EnemyBuffed=TRUE,2.5,1),0)</f>
        <v>665</v>
      </c>
      <c r="M28" s="379">
        <f>Rounddown(Round(Round((M$9+M$10*($A28-1))*(1+(EnemyHPSlider-1)+(EnemyHPDanger-1)+(EnemyJackHP-1)),0)*IF($A28&gt;20,(1+Max(0,((($A28-20)*(($A28-20)+1))/2)/100)*(2+Max(0,($A28-35)*0.2))*2),1),0)*IF(EnemyBuffed=TRUE,2.5,1),0)</f>
        <v>83</v>
      </c>
      <c r="N28" s="379">
        <f>Rounddown(Round(Round((N$9+N$10*($A28-1))*(1+(EnemyHPSlider-1)+(EnemyHPDanger-1)+(EnemyJackHP-1)),0)*IF($A28&gt;20,(1+Max(0,((($A28-20)*(($A28-20)+1))/2)/100)*(2+Max(0,($A28-35)*0.2))*2),1),0)*IF(EnemyBuffed=TRUE,2.5,1),0)</f>
        <v>64</v>
      </c>
      <c r="O28" s="379">
        <f>Rounddown(Round(Round((O$9+O$10*($A28-1))*(1+(EnemyHPSlider-1)+(EnemyHPDanger-1)+(EnemyJackHP-1)),0)*IF($A28&gt;20,(1+Max(0,((($A28-20)*(($A28-20)+1))/2)/100)*(2+Max(0,($A28-35)*0.2))*2),1),0)*IF(EnemyBuffed=TRUE,2.5,1),0)</f>
        <v>38</v>
      </c>
      <c r="P28" s="379">
        <f>Rounddown(Round(Round((P$9+P$10*($A28-1))*(1+(EnemyHPSlider-1)+(EnemyHPDanger-1)+(EnemyJackHP-1)),0)*IF($A28&gt;20,(1+Max(0,((($A28-20)*(($A28-20)+1))/2)/100)*(2+Max(0,($A28-35)*0.2))*2),1),0)*IF(EnemyBuffed=TRUE,2.5,1),0)</f>
        <v>126</v>
      </c>
      <c r="Q28" s="379">
        <f>Rounddown(Round(Round((Q$9+Q$10*($A28-1))*(1+(EnemyHPSlider-1)+(EnemyHPDanger-1)+(EnemyJackHP-1)),0)*IF($A28&gt;20,(1+Max(0,((($A28-20)*(($A28-20)+1))/2)/100)*(2+Max(0,($A28-35)*0.2))*2),1),0)*IF(EnemyBuffed=TRUE,2.5,1),0)</f>
        <v>566</v>
      </c>
      <c r="R28" s="379">
        <f>Rounddown(Round(Round((R$9+R$10*($A28-1))*(1+(EnemyHPSlider-1)+(EnemyHPDanger-1)+(EnemyJackHP-1)),0)*IF($A28&gt;20,(1+Max(0,((($A28-20)*(($A28-20)+1))/2)/100)*(2+Max(0,($A28-35)*0.2))*2),1),0)*IF(EnemyBuffed=TRUE,2.5,1),0)</f>
        <v>136</v>
      </c>
      <c r="S28" s="379">
        <f>Rounddown(Round(Round((S$9+S$10*($A28-1))*(1+(EnemyHPSlider-1)+(EnemyHPDanger-1)+(EnemyJackHP-1)),0)*IF($A28&gt;20,(1+Max(0,((($A28-20)*(($A28-20)+1))/2)/100)*(2+Max(0,($A28-35)*0.2))*2),1),0)*IF(EnemyBuffed=TRUE,2.5,1),0)</f>
        <v>78</v>
      </c>
      <c r="T28" s="379">
        <f>Rounddown(Round(Round((T$9+T$10*($A28-1))*(1+(EnemyHPSlider-1)+(EnemyHPDanger-1)+(EnemyJackHP-1)),0)*IF($A28&gt;20,(1+Max(0,((($A28-20)*(($A28-20)+1))/2)/100)*(2+Max(0,($A28-35)*0.2))*2),1),0)*IF(EnemyBuffed=TRUE,2.5,1),0)</f>
        <v>665</v>
      </c>
      <c r="U28" s="379">
        <f>Rounddown(Round(Round((U$9+U$10*($A28-1))*(1+(EnemyHPSlider-1)+(EnemyHPDanger-1)+(EnemyJackHP-1)),0)*IF($A28&gt;20,(1+Max(0,((($A28-20)*(($A28-20)+1))/2)/100)*(2+Max(0,($A28-35)*0.2))*2),1),0)*IF(EnemyBuffed=TRUE,2.5,1),0)</f>
        <v>616</v>
      </c>
      <c r="V28" s="379">
        <f>Rounddown(Round(Round((V$9+V$10*($A28-1))*(1+(EnemyHPSlider-1)+(EnemyHPDanger-1)+(EnemyJackHP-1)),0)*IF($A28&gt;20,(1+Max(0,((($A28-20)*(($A28-20)+1))/2)/100)*(2+Max(0,($A28-35)*0.2))*2),1),0)*IF(EnemyBuffed=TRUE,2.5,1),0)</f>
        <v>17851</v>
      </c>
      <c r="W28" s="379">
        <f>Rounddown(Round(Round((W$9+W$10*($A28-1))*(1+(EnemyHPSlider-1)+(EnemyHPDanger-1)+(EnemyJackHP-1)),0)*IF($A28&gt;20,(1+Max(0,((($A28-20)*(($A28-20)+1))/2)/100)*(2+Max(0,($A28-35)*0.2))*2),1),0)*IF(EnemyBuffed=TRUE,2.5,1),0)</f>
        <v>17851</v>
      </c>
      <c r="X28" s="379">
        <f>Rounddown(Round(Round((X$9+X$10*($A28-1))*(1+(EnemyHPSlider-1)+(EnemyHPDanger-1)+(EnemyJackHP-1)),0)*IF($A28&gt;20,(1+Max(0,((($A28-20)*(($A28-20)+1))/2)/100)*(2+Max(0,($A28-35)*0.2))*2),1),0)*IF(EnemyBuffed=TRUE,2.5,1),0)</f>
        <v>16661</v>
      </c>
      <c r="Y28" s="379">
        <f>Rounddown(Round(Round((Y$9+Y$10*($A28-1))*(1+(EnemyHPSlider-1)+(EnemyHPDanger-1)+(EnemyJackHP-1)),0)*IF($A28&gt;20,(1+Max(0,((($A28-20)*(($A28-20)+1))/2)/100)*(2+Max(0,($A28-35)*0.2))*2),1),0)*IF(EnemyBuffed=TRUE,2.5,1)*IF(AND($B$2=5,$A28&lt;=20),0.75,1),0)</f>
        <v>29137</v>
      </c>
      <c r="Z28" s="379">
        <f>Rounddown(Round(Round((Z$9+Z$10*($A28-1))*(1+(EnemyHPSlider-1)+(EnemyHPDanger-1)+(EnemyJackHP-1)),0)*IF($A28&gt;20,(1+Max(0,((($A28-20)*(($A28-20)+1))/2)/100)*(2+Max(0,($A28-35)*0.2))*2),1),0)*IF(EnemyBuffed=TRUE,2.5,1)*IF(AND($B$2=5,$A28&lt;=20),0.75,1),0)</f>
        <v>29137</v>
      </c>
      <c r="AA28" s="379">
        <f>Rounddown(Round(Round((AA$9+AA$10*($A28-1))*(1+(EnemyHPSlider-1)+(EnemyHPDanger-1)+(EnemyJackHP-1)),0)*IF($A28&gt;20,(1+Max(0,((($A28-20)*(($A28-20)+1))/2)/100)*(2+Max(0,($A28-35)*0.2))*2),1),0)*IF(EnemyBuffed=TRUE,2.5,1),0)</f>
        <v>399</v>
      </c>
    </row>
    <row r="29">
      <c r="A29" s="362">
        <v>19.0</v>
      </c>
      <c r="B29" s="381">
        <f>Rounddown(Round(Round((B$9+B$10*($A29-1))*(1+(EnemyHPSlider-1)+(EnemyHPDanger-1)+(EnemyJackHP-1)),0)*IF($A29&gt;20,(1+Max(0,((($A29-20)*(($A29-20)+1))/2)/100)*(2+Max(0,($A29-35)*0.2))*2),1),0)*IF(EnemyBuffed=TRUE,2.5,1),0)</f>
        <v>140</v>
      </c>
      <c r="C29" s="381">
        <f>Rounddown(Round(Round((C$9+C$10*($A29-1))*(1+(EnemyHPSlider-1)+(EnemyHPDanger-1)+(EnemyJackHP-1)),0)*IF($A29&gt;20,(1+Max(0,((($A29-20)*(($A29-20)+1))/2)/100)*(2+Max(0,($A29-35)*0.2))*2),1),0)*IF(EnemyBuffed=TRUE,2.5,1),0)</f>
        <v>55</v>
      </c>
      <c r="D29" s="381">
        <f>Rounddown(Round(Round((D$9+D$10*($A29-1))*(1+(EnemyHPSlider-1)+(EnemyHPDanger-1)+(EnemyJackHP-1)),0)*IF($A29&gt;20,(1+Max(0,((($A29-20)*(($A29-20)+1))/2)/100)*(2+Max(0,($A29-35)*0.2))*2),1),0)*IF(EnemyBuffed=TRUE,2.5,1),0)</f>
        <v>27</v>
      </c>
      <c r="E29" s="381">
        <f>Rounddown(Round(Round((E$9+E$10*($A29-1))*(1+(EnemyHPSlider-1)+(EnemyHPDanger-1)+(EnemyJackHP-1)),0)*IF($A29&gt;20,(1+Max(0,((($A29-20)*(($A29-20)+1))/2)/100)*(2+Max(0,($A29-35)*0.2))*2),1),0)*IF(EnemyBuffed=TRUE,2.5,1),0)</f>
        <v>36</v>
      </c>
      <c r="F29" s="381">
        <f>Rounddown(Round(Round((F$9+F$10*($A29-1))*(1+(EnemyHPSlider-1)+(EnemyHPDanger-1)+(EnemyJackHP-1)),0)*IF($A29&gt;20,(1+Max(0,((($A29-20)*(($A29-20)+1))/2)/100)*(2+Max(0,($A29-35)*0.2))*2),1),0)*IF(EnemyBuffed=TRUE,2.5,1),0)</f>
        <v>69</v>
      </c>
      <c r="G29" s="381">
        <f>Rounddown(Round(Round((G$9+G$10*($A29-1))*(1+(EnemyHPSlider-1)+(EnemyHPDanger-1)+(EnemyJackHP-1)),0)*IF($A29&gt;20,(1+Max(0,((($A29-20)*(($A29-20)+1))/2)/100)*(2+Max(0,($A29-35)*0.2))*2),1),0)*IF(EnemyBuffed=TRUE,2.5,1),0)</f>
        <v>619</v>
      </c>
      <c r="H29" s="381">
        <f>Rounddown(Round(Round((H$9+H$10*($A29-1))*(1+(EnemyHPSlider-1)+(EnemyHPDanger-1)+(EnemyJackHP-1)),0)*IF($A29&gt;20,(1+Max(0,((($A29-20)*(($A29-20)+1))/2)/100)*(2+Max(0,($A29-35)*0.2))*2),1),0)*IF(EnemyBuffed=TRUE,2.5,1),0)</f>
        <v>305</v>
      </c>
      <c r="I29" s="381">
        <f>Rounddown(Round(Round((I$9+I$10*($A29-1))*(1+(EnemyHPSlider-1)+(EnemyHPDanger-1)+(EnemyJackHP-1)),0)*IF($A29&gt;20,(1+Max(0,((($A29-20)*(($A29-20)+1))/2)/100)*(2+Max(0,($A29-35)*0.2))*2),1),0)*IF(EnemyBuffed=TRUE,2.5,1),0)</f>
        <v>104</v>
      </c>
      <c r="J29" s="381">
        <f>Rounddown(Round(Round((J$9+J$10*($A29-1))*(1+(EnemyHPSlider-1)+(EnemyHPDanger-1)+(EnemyJackHP-1)),0)*IF($A29&gt;20,(1+Max(0,((($A29-20)*(($A29-20)+1))/2)/100)*(2+Max(0,($A29-35)*0.2))*2),1),0)*IF(EnemyBuffed=TRUE,2.5,1),0)</f>
        <v>122</v>
      </c>
      <c r="K29" s="381">
        <f>Rounddown(Round(Round((K$9+K$10*($A29-1))*(1+(EnemyHPSlider-1)+(EnemyHPDanger-1)+(EnemyJackHP-1)),0)*IF($A29&gt;20,(1+Max(0,((($A29-20)*(($A29-20)+1))/2)/100)*(2+Max(0,($A29-35)*0.2))*2),1),0)*IF(EnemyBuffed=TRUE,2.5,1),0)</f>
        <v>216</v>
      </c>
      <c r="L29" s="381">
        <f>Rounddown(Round(Round((L$9+L$10*($A29-1))*(1+(EnemyHPSlider-1)+(EnemyHPDanger-1)+(EnemyJackHP-1)),0)*IF($A29&gt;20,(1+Max(0,((($A29-20)*(($A29-20)+1))/2)/100)*(2+Max(0,($A29-35)*0.2))*2),1),0)*IF(EnemyBuffed=TRUE,2.5,1),0)</f>
        <v>700</v>
      </c>
      <c r="M29" s="381">
        <f>Rounddown(Round(Round((M$9+M$10*($A29-1))*(1+(EnemyHPSlider-1)+(EnemyHPDanger-1)+(EnemyJackHP-1)),0)*IF($A29&gt;20,(1+Max(0,((($A29-20)*(($A29-20)+1))/2)/100)*(2+Max(0,($A29-35)*0.2))*2),1),0)*IF(EnemyBuffed=TRUE,2.5,1),0)</f>
        <v>87</v>
      </c>
      <c r="N29" s="381">
        <f>Rounddown(Round(Round((N$9+N$10*($A29-1))*(1+(EnemyHPSlider-1)+(EnemyHPDanger-1)+(EnemyJackHP-1)),0)*IF($A29&gt;20,(1+Max(0,((($A29-20)*(($A29-20)+1))/2)/100)*(2+Max(0,($A29-35)*0.2))*2),1),0)*IF(EnemyBuffed=TRUE,2.5,1),0)</f>
        <v>67</v>
      </c>
      <c r="O29" s="381">
        <f>Rounddown(Round(Round((O$9+O$10*($A29-1))*(1+(EnemyHPSlider-1)+(EnemyHPDanger-1)+(EnemyJackHP-1)),0)*IF($A29&gt;20,(1+Max(0,((($A29-20)*(($A29-20)+1))/2)/100)*(2+Max(0,($A29-35)*0.2))*2),1),0)*IF(EnemyBuffed=TRUE,2.5,1),0)</f>
        <v>39</v>
      </c>
      <c r="P29" s="381">
        <f>Rounddown(Round(Round((P$9+P$10*($A29-1))*(1+(EnemyHPSlider-1)+(EnemyHPDanger-1)+(EnemyJackHP-1)),0)*IF($A29&gt;20,(1+Max(0,((($A29-20)*(($A29-20)+1))/2)/100)*(2+Max(0,($A29-35)*0.2))*2),1),0)*IF(EnemyBuffed=TRUE,2.5,1),0)</f>
        <v>133</v>
      </c>
      <c r="Q29" s="381">
        <f>Rounddown(Round(Round((Q$9+Q$10*($A29-1))*(1+(EnemyHPSlider-1)+(EnemyHPDanger-1)+(EnemyJackHP-1)),0)*IF($A29&gt;20,(1+Max(0,((($A29-20)*(($A29-20)+1))/2)/100)*(2+Max(0,($A29-35)*0.2))*2),1),0)*IF(EnemyBuffed=TRUE,2.5,1),0)</f>
        <v>596</v>
      </c>
      <c r="R29" s="381">
        <f>Rounddown(Round(Round((R$9+R$10*($A29-1))*(1+(EnemyHPSlider-1)+(EnemyHPDanger-1)+(EnemyJackHP-1)),0)*IF($A29&gt;20,(1+Max(0,((($A29-20)*(($A29-20)+1))/2)/100)*(2+Max(0,($A29-35)*0.2))*2),1),0)*IF(EnemyBuffed=TRUE,2.5,1),0)</f>
        <v>143</v>
      </c>
      <c r="S29" s="381">
        <f>Rounddown(Round(Round((S$9+S$10*($A29-1))*(1+(EnemyHPSlider-1)+(EnemyHPDanger-1)+(EnemyJackHP-1)),0)*IF($A29&gt;20,(1+Max(0,((($A29-20)*(($A29-20)+1))/2)/100)*(2+Max(0,($A29-35)*0.2))*2),1),0)*IF(EnemyBuffed=TRUE,2.5,1),0)</f>
        <v>83</v>
      </c>
      <c r="T29" s="381">
        <f>Rounddown(Round(Round((T$9+T$10*($A29-1))*(1+(EnemyHPSlider-1)+(EnemyHPDanger-1)+(EnemyJackHP-1)),0)*IF($A29&gt;20,(1+Max(0,((($A29-20)*(($A29-20)+1))/2)/100)*(2+Max(0,($A29-35)*0.2))*2),1),0)*IF(EnemyBuffed=TRUE,2.5,1),0)</f>
        <v>700</v>
      </c>
      <c r="U29" s="381">
        <f>Rounddown(Round(Round((U$9+U$10*($A29-1))*(1+(EnemyHPSlider-1)+(EnemyHPDanger-1)+(EnemyJackHP-1)),0)*IF($A29&gt;20,(1+Max(0,((($A29-20)*(($A29-20)+1))/2)/100)*(2+Max(0,($A29-35)*0.2))*2),1),0)*IF(EnemyBuffed=TRUE,2.5,1),0)</f>
        <v>644</v>
      </c>
      <c r="V29" s="381">
        <f>Rounddown(Round(Round((V$9+V$10*($A29-1))*(1+(EnemyHPSlider-1)+(EnemyHPDanger-1)+(EnemyJackHP-1)),0)*IF($A29&gt;20,(1+Max(0,((($A29-20)*(($A29-20)+1))/2)/100)*(2+Max(0,($A29-35)*0.2))*2),1),0)*IF(EnemyBuffed=TRUE,2.5,1),0)</f>
        <v>18901</v>
      </c>
      <c r="W29" s="381">
        <f>Rounddown(Round(Round((W$9+W$10*($A29-1))*(1+(EnemyHPSlider-1)+(EnemyHPDanger-1)+(EnemyJackHP-1)),0)*IF($A29&gt;20,(1+Max(0,((($A29-20)*(($A29-20)+1))/2)/100)*(2+Max(0,($A29-35)*0.2))*2),1),0)*IF(EnemyBuffed=TRUE,2.5,1),0)</f>
        <v>18901</v>
      </c>
      <c r="X29" s="381">
        <f>Rounddown(Round(Round((X$9+X$10*($A29-1))*(1+(EnemyHPSlider-1)+(EnemyHPDanger-1)+(EnemyJackHP-1)),0)*IF($A29&gt;20,(1+Max(0,((($A29-20)*(($A29-20)+1))/2)/100)*(2+Max(0,($A29-35)*0.2))*2),1),0)*IF(EnemyBuffed=TRUE,2.5,1),0)</f>
        <v>17641</v>
      </c>
      <c r="Y29" s="381">
        <f>Rounddown(Round(Round((Y$9+Y$10*($A29-1))*(1+(EnemyHPSlider-1)+(EnemyHPDanger-1)+(EnemyJackHP-1)),0)*IF($A29&gt;20,(1+Max(0,((($A29-20)*(($A29-20)+1))/2)/100)*(2+Max(0,($A29-35)*0.2))*2),1),0)*IF(EnemyBuffed=TRUE,2.5,1)*IF(AND($B$2=5,$A29&lt;=20),0.75,1),0)</f>
        <v>29925</v>
      </c>
      <c r="Z29" s="381">
        <f>Rounddown(Round(Round((Z$9+Z$10*($A29-1))*(1+(EnemyHPSlider-1)+(EnemyHPDanger-1)+(EnemyJackHP-1)),0)*IF($A29&gt;20,(1+Max(0,((($A29-20)*(($A29-20)+1))/2)/100)*(2+Max(0,($A29-35)*0.2))*2),1),0)*IF(EnemyBuffed=TRUE,2.5,1)*IF(AND($B$2=5,$A29&lt;=20),0.75,1),0)</f>
        <v>29925</v>
      </c>
      <c r="AA29" s="381">
        <f>Rounddown(Round(Round((AA$9+AA$10*($A29-1))*(1+(EnemyHPSlider-1)+(EnemyHPDanger-1)+(EnemyJackHP-1)),0)*IF($A29&gt;20,(1+Max(0,((($A29-20)*(($A29-20)+1))/2)/100)*(2+Max(0,($A29-35)*0.2))*2),1),0)*IF(EnemyBuffed=TRUE,2.5,1),0)</f>
        <v>420</v>
      </c>
    </row>
    <row r="30">
      <c r="A30" s="362">
        <v>20.0</v>
      </c>
      <c r="B30" s="379">
        <f>Rounddown(Round(Round((B$9+B$10*($A30-1))*(1+(EnemyHPSlider-1)+(EnemyHPDanger-1)+(EnemyJackHP-1)),0)*IF($A30&gt;20,(1+Max(0,((($A30-20)*(($A30-20)+1))/2)/100)*(2+Max(0,($A30-35)*0.2))*2),1),0)*IF(EnemyBuffed=TRUE,2.5,1),0)</f>
        <v>147</v>
      </c>
      <c r="C30" s="379">
        <f>Rounddown(Round(Round((C$9+C$10*($A30-1))*(1+(EnemyHPSlider-1)+(EnemyHPDanger-1)+(EnemyJackHP-1)),0)*IF($A30&gt;20,(1+Max(0,((($A30-20)*(($A30-20)+1))/2)/100)*(2+Max(0,($A30-35)*0.2))*2),1),0)*IF(EnemyBuffed=TRUE,2.5,1),0)</f>
        <v>57</v>
      </c>
      <c r="D30" s="379">
        <f>Rounddown(Round(Round((D$9+D$10*($A30-1))*(1+(EnemyHPSlider-1)+(EnemyHPDanger-1)+(EnemyJackHP-1)),0)*IF($A30&gt;20,(1+Max(0,((($A30-20)*(($A30-20)+1))/2)/100)*(2+Max(0,($A30-35)*0.2))*2),1),0)*IF(EnemyBuffed=TRUE,2.5,1),0)</f>
        <v>28</v>
      </c>
      <c r="E30" s="379">
        <f>Rounddown(Round(Round((E$9+E$10*($A30-1))*(1+(EnemyHPSlider-1)+(EnemyHPDanger-1)+(EnemyJackHP-1)),0)*IF($A30&gt;20,(1+Max(0,((($A30-20)*(($A30-20)+1))/2)/100)*(2+Max(0,($A30-35)*0.2))*2),1),0)*IF(EnemyBuffed=TRUE,2.5,1),0)</f>
        <v>38</v>
      </c>
      <c r="F30" s="379">
        <f>Rounddown(Round(Round((F$9+F$10*($A30-1))*(1+(EnemyHPSlider-1)+(EnemyHPDanger-1)+(EnemyJackHP-1)),0)*IF($A30&gt;20,(1+Max(0,((($A30-20)*(($A30-20)+1))/2)/100)*(2+Max(0,($A30-35)*0.2))*2),1),0)*IF(EnemyBuffed=TRUE,2.5,1),0)</f>
        <v>72</v>
      </c>
      <c r="G30" s="379">
        <f>Rounddown(Round(Round((G$9+G$10*($A30-1))*(1+(EnemyHPSlider-1)+(EnemyHPDanger-1)+(EnemyJackHP-1)),0)*IF($A30&gt;20,(1+Max(0,((($A30-20)*(($A30-20)+1))/2)/100)*(2+Max(0,($A30-35)*0.2))*2),1),0)*IF(EnemyBuffed=TRUE,2.5,1),0)</f>
        <v>652</v>
      </c>
      <c r="H30" s="379">
        <f>Rounddown(Round(Round((H$9+H$10*($A30-1))*(1+(EnemyHPSlider-1)+(EnemyHPDanger-1)+(EnemyJackHP-1)),0)*IF($A30&gt;20,(1+Max(0,((($A30-20)*(($A30-20)+1))/2)/100)*(2+Max(0,($A30-35)*0.2))*2),1),0)*IF(EnemyBuffed=TRUE,2.5,1),0)</f>
        <v>321</v>
      </c>
      <c r="I30" s="379">
        <f>Rounddown(Round(Round((I$9+I$10*($A30-1))*(1+(EnemyHPSlider-1)+(EnemyHPDanger-1)+(EnemyJackHP-1)),0)*IF($A30&gt;20,(1+Max(0,((($A30-20)*(($A30-20)+1))/2)/100)*(2+Max(0,($A30-35)*0.2))*2),1),0)*IF(EnemyBuffed=TRUE,2.5,1),0)</f>
        <v>108</v>
      </c>
      <c r="J30" s="379">
        <f>Rounddown(Round(Round((J$9+J$10*($A30-1))*(1+(EnemyHPSlider-1)+(EnemyHPDanger-1)+(EnemyJackHP-1)),0)*IF($A30&gt;20,(1+Max(0,((($A30-20)*(($A30-20)+1))/2)/100)*(2+Max(0,($A30-35)*0.2))*2),1),0)*IF(EnemyBuffed=TRUE,2.5,1),0)</f>
        <v>127</v>
      </c>
      <c r="K30" s="379">
        <f>Rounddown(Round(Round((K$9+K$10*($A30-1))*(1+(EnemyHPSlider-1)+(EnemyHPDanger-1)+(EnemyJackHP-1)),0)*IF($A30&gt;20,(1+Max(0,((($A30-20)*(($A30-20)+1))/2)/100)*(2+Max(0,($A30-35)*0.2))*2),1),0)*IF(EnemyBuffed=TRUE,2.5,1),0)</f>
        <v>227</v>
      </c>
      <c r="L30" s="379">
        <f>Rounddown(Round(Round((L$9+L$10*($A30-1))*(1+(EnemyHPSlider-1)+(EnemyHPDanger-1)+(EnemyJackHP-1)),0)*IF($A30&gt;20,(1+Max(0,((($A30-20)*(($A30-20)+1))/2)/100)*(2+Max(0,($A30-35)*0.2))*2),1),0)*IF(EnemyBuffed=TRUE,2.5,1),0)</f>
        <v>735</v>
      </c>
      <c r="M30" s="379">
        <f>Rounddown(Round(Round((M$9+M$10*($A30-1))*(1+(EnemyHPSlider-1)+(EnemyHPDanger-1)+(EnemyJackHP-1)),0)*IF($A30&gt;20,(1+Max(0,((($A30-20)*(($A30-20)+1))/2)/100)*(2+Max(0,($A30-35)*0.2))*2),1),0)*IF(EnemyBuffed=TRUE,2.5,1),0)</f>
        <v>91</v>
      </c>
      <c r="N30" s="379">
        <f>Rounddown(Round(Round((N$9+N$10*($A30-1))*(1+(EnemyHPSlider-1)+(EnemyHPDanger-1)+(EnemyJackHP-1)),0)*IF($A30&gt;20,(1+Max(0,((($A30-20)*(($A30-20)+1))/2)/100)*(2+Max(0,($A30-35)*0.2))*2),1),0)*IF(EnemyBuffed=TRUE,2.5,1),0)</f>
        <v>70</v>
      </c>
      <c r="O30" s="379">
        <f>Rounddown(Round(Round((O$9+O$10*($A30-1))*(1+(EnemyHPSlider-1)+(EnemyHPDanger-1)+(EnemyJackHP-1)),0)*IF($A30&gt;20,(1+Max(0,((($A30-20)*(($A30-20)+1))/2)/100)*(2+Max(0,($A30-35)*0.2))*2),1),0)*IF(EnemyBuffed=TRUE,2.5,1),0)</f>
        <v>41</v>
      </c>
      <c r="P30" s="379">
        <f>Rounddown(Round(Round((P$9+P$10*($A30-1))*(1+(EnemyHPSlider-1)+(EnemyHPDanger-1)+(EnemyJackHP-1)),0)*IF($A30&gt;20,(1+Max(0,((($A30-20)*(($A30-20)+1))/2)/100)*(2+Max(0,($A30-35)*0.2))*2),1),0)*IF(EnemyBuffed=TRUE,2.5,1),0)</f>
        <v>140</v>
      </c>
      <c r="Q30" s="379">
        <f>Rounddown(Round(Round((Q$9+Q$10*($A30-1))*(1+(EnemyHPSlider-1)+(EnemyHPDanger-1)+(EnemyJackHP-1)),0)*IF($A30&gt;20,(1+Max(0,((($A30-20)*(($A30-20)+1))/2)/100)*(2+Max(0,($A30-35)*0.2))*2),1),0)*IF(EnemyBuffed=TRUE,2.5,1),0)</f>
        <v>627</v>
      </c>
      <c r="R30" s="379">
        <f>Rounddown(Round(Round((R$9+R$10*($A30-1))*(1+(EnemyHPSlider-1)+(EnemyHPDanger-1)+(EnemyJackHP-1)),0)*IF($A30&gt;20,(1+Max(0,((($A30-20)*(($A30-20)+1))/2)/100)*(2+Max(0,($A30-35)*0.2))*2),1),0)*IF(EnemyBuffed=TRUE,2.5,1),0)</f>
        <v>150</v>
      </c>
      <c r="S30" s="379">
        <f>Rounddown(Round(Round((S$9+S$10*($A30-1))*(1+(EnemyHPSlider-1)+(EnemyHPDanger-1)+(EnemyJackHP-1)),0)*IF($A30&gt;20,(1+Max(0,((($A30-20)*(($A30-20)+1))/2)/100)*(2+Max(0,($A30-35)*0.2))*2),1),0)*IF(EnemyBuffed=TRUE,2.5,1),0)</f>
        <v>87</v>
      </c>
      <c r="T30" s="379">
        <f>Rounddown(Round(Round((T$9+T$10*($A30-1))*(1+(EnemyHPSlider-1)+(EnemyHPDanger-1)+(EnemyJackHP-1)),0)*IF($A30&gt;20,(1+Max(0,((($A30-20)*(($A30-20)+1))/2)/100)*(2+Max(0,($A30-35)*0.2))*2),1),0)*IF(EnemyBuffed=TRUE,2.5,1),0)</f>
        <v>735</v>
      </c>
      <c r="U30" s="379">
        <f>Rounddown(Round(Round((U$9+U$10*($A30-1))*(1+(EnemyHPSlider-1)+(EnemyHPDanger-1)+(EnemyJackHP-1)),0)*IF($A30&gt;20,(1+Max(0,((($A30-20)*(($A30-20)+1))/2)/100)*(2+Max(0,($A30-35)*0.2))*2),1),0)*IF(EnemyBuffed=TRUE,2.5,1),0)</f>
        <v>672</v>
      </c>
      <c r="V30" s="379">
        <f>Rounddown(Round(Round((V$9+V$10*($A30-1))*(1+(EnemyHPSlider-1)+(EnemyHPDanger-1)+(EnemyJackHP-1)),0)*IF($A30&gt;20,(1+Max(0,((($A30-20)*(($A30-20)+1))/2)/100)*(2+Max(0,($A30-35)*0.2))*2),1),0)*IF(EnemyBuffed=TRUE,2.5,1),0)</f>
        <v>19951</v>
      </c>
      <c r="W30" s="379">
        <f>Rounddown(Round(Round((W$9+W$10*($A30-1))*(1+(EnemyHPSlider-1)+(EnemyHPDanger-1)+(EnemyJackHP-1)),0)*IF($A30&gt;20,(1+Max(0,((($A30-20)*(($A30-20)+1))/2)/100)*(2+Max(0,($A30-35)*0.2))*2),1),0)*IF(EnemyBuffed=TRUE,2.5,1),0)</f>
        <v>19951</v>
      </c>
      <c r="X30" s="379">
        <f>Rounddown(Round(Round((X$9+X$10*($A30-1))*(1+(EnemyHPSlider-1)+(EnemyHPDanger-1)+(EnemyJackHP-1)),0)*IF($A30&gt;20,(1+Max(0,((($A30-20)*(($A30-20)+1))/2)/100)*(2+Max(0,($A30-35)*0.2))*2),1),0)*IF(EnemyBuffed=TRUE,2.5,1),0)</f>
        <v>18621</v>
      </c>
      <c r="Y30" s="379">
        <f>Rounddown(Round(Round((Y$9+Y$10*($A30-1))*(1+(EnemyHPSlider-1)+(EnemyHPDanger-1)+(EnemyJackHP-1)),0)*IF($A30&gt;20,(1+Max(0,((($A30-20)*(($A30-20)+1))/2)/100)*(2+Max(0,($A30-35)*0.2))*2),1),0)*IF(EnemyBuffed=TRUE,2.5,1)*IF(AND($B$2=5,$A30&lt;=20),0.75,1),0)</f>
        <v>30712</v>
      </c>
      <c r="Z30" s="379">
        <f>Rounddown(Round(Round((Z$9+Z$10*($A30-1))*(1+(EnemyHPSlider-1)+(EnemyHPDanger-1)+(EnemyJackHP-1)),0)*IF($A30&gt;20,(1+Max(0,((($A30-20)*(($A30-20)+1))/2)/100)*(2+Max(0,($A30-35)*0.2))*2),1),0)*IF(EnemyBuffed=TRUE,2.5,1)*IF(AND($B$2=5,$A30&lt;=20),0.75,1),0)</f>
        <v>30712</v>
      </c>
      <c r="AA30" s="379">
        <f>Rounddown(Round(Round((AA$9+AA$10*($A30-1))*(1+(EnemyHPSlider-1)+(EnemyHPDanger-1)+(EnemyJackHP-1)),0)*IF($A30&gt;20,(1+Max(0,((($A30-20)*(($A30-20)+1))/2)/100)*(2+Max(0,($A30-35)*0.2))*2),1),0)*IF(EnemyBuffed=TRUE,2.5,1),0)</f>
        <v>441</v>
      </c>
    </row>
    <row r="31">
      <c r="A31" s="362">
        <f>$G$2</f>
        <v>400</v>
      </c>
      <c r="B31" s="381">
        <f>Rounddown(Round(Round((B$9+B$10*($A31-1))*(1+(EnemyHPSlider-1)+(EnemyHPDanger-1)+(EnemyJackHP-1)),0)*IF($A31&gt;20,(1+Max(0,((($A31-20)*(($A31-20)+1))/2)/100)*(2+Max(0,($A31-35)*0.2))*2.25),1),0)*IF(EnemyBuffed=TRUE,2.5,1),0)</f>
        <v>342900664</v>
      </c>
      <c r="C31" s="381">
        <f>Rounddown(Round(Round((C$9+C$10*($A31-1))*(1+(EnemyHPSlider-1)+(EnemyHPDanger-1)+(EnemyJackHP-1)),0)*IF($A31&gt;20,(1+Max(0,((($A31-20)*(($A31-20)+1))/2)/100)*(2+Max(0,($A31-35)*0.2))*2.25),1),0)*IF(EnemyBuffed=TRUE,2.5,1),0)</f>
        <v>136940379</v>
      </c>
      <c r="D31" s="381">
        <f>Rounddown(Round(Round((D$9+D$10*($A31-1))*(1+(EnemyHPSlider-1)+(EnemyHPDanger-1)+(EnemyJackHP-1)),0)*IF($A31&gt;20,(1+Max(0,((($A31-20)*(($A31-20)+1))/2)/100)*(2+Max(0,($A31-35)*0.2))*2.25),1),0)*IF(EnemyBuffed=TRUE,2.5,1),0)</f>
        <v>68409110</v>
      </c>
      <c r="E31" s="381">
        <f>Rounddown(Round(Round((E$9+E$10*($A31-1))*(1+(EnemyHPSlider-1)+(EnemyHPDanger-1)+(EnemyJackHP-1)),0)*IF($A31&gt;20,(1+Max(0,((($A31-20)*(($A31-20)+1))/2)/100)*(2+Max(0,($A31-35)*0.2))*2.25),1),0)*IF(EnemyBuffed=TRUE,2.5,1),0)</f>
        <v>69630701</v>
      </c>
      <c r="F31" s="381">
        <f>Rounddown(Round(Round((F$9+F$10*($A31-1))*(1+(EnemyHPSlider-1)+(EnemyHPDanger-1)+(EnemyJackHP-1)),0)*IF($A31&gt;20,(1+Max(0,((($A31-20)*(($A31-20)+1))/2)/100)*(2+Max(0,($A31-35)*0.2))*2.25),1),0)*IF(EnemyBuffed=TRUE,2.5,1),0)</f>
        <v>171267093</v>
      </c>
      <c r="G31" s="381">
        <f>Rounddown(Round(Round((G$9+G$10*($A31-1))*(1+(EnemyHPSlider-1)+(EnemyHPDanger-1)+(EnemyJackHP-1)),0)*IF($A31&gt;20,(1+Max(0,((($A31-20)*(($A31-20)+1))/2)/100)*(2+Max(0,($A31-35)*0.2))*2.25),1),0)*IF(EnemyBuffed=TRUE,2.5,1),0)</f>
        <v>1639375458</v>
      </c>
      <c r="H31" s="381">
        <f>Rounddown(Round(Round((H$9+H$10*($A31-1))*(1+(EnemyHPSlider-1)+(EnemyHPDanger-1)+(EnemyJackHP-1)),0)*IF($A31&gt;20,(1+Max(0,((($A31-20)*(($A31-20)+1))/2)/100)*(2+Max(0,($A31-35)*0.2))*2.25),1),0)*IF(EnemyBuffed=TRUE,2.5,1),0)</f>
        <v>754088279</v>
      </c>
      <c r="I31" s="381">
        <f>Rounddown(Round(Round((I$9+I$10*($A31-1))*(1+(EnemyHPSlider-1)+(EnemyHPDanger-1)+(EnemyJackHP-1)),0)*IF($A31&gt;20,(1+Max(0,((($A31-20)*(($A31-20)+1))/2)/100)*(2+Max(0,($A31-35)*0.2))*2.25),1),0)*IF(EnemyBuffed=TRUE,2.5,1),0)</f>
        <v>208159149</v>
      </c>
      <c r="J31" s="381">
        <f>Rounddown(Round(Round((J$9+J$10*($A31-1))*(1+(EnemyHPSlider-1)+(EnemyHPDanger-1)+(EnemyJackHP-1)),0)*IF($A31&gt;20,(1+Max(0,((($A31-20)*(($A31-20)+1))/2)/100)*(2+Max(0,($A31-35)*0.2))*2.25),1),0)*IF(EnemyBuffed=TRUE,2.5,1),0)</f>
        <v>275468827</v>
      </c>
      <c r="K31" s="381">
        <f>Rounddown(Round(Round((K$9+K$10*($A31-1))*(1+(EnemyHPSlider-1)+(EnemyHPDanger-1)+(EnemyJackHP-1)),0)*IF($A31&gt;20,(1+Max(0,((($A31-20)*(($A31-20)+1))/2)/100)*(2+Max(0,($A31-35)*0.2))*2.25),1),0)*IF(EnemyBuffed=TRUE,2.5,1),0)</f>
        <v>547639357</v>
      </c>
      <c r="L31" s="381">
        <f>Rounddown(Round(Round((L$9+L$10*($A31-1))*(1+(EnemyHPSlider-1)+(EnemyHPDanger-1)+(EnemyJackHP-1)),0)*IF($A31&gt;20,(1+Max(0,((($A31-20)*(($A31-20)+1))/2)/100)*(2+Max(0,($A31-35)*0.2))*2.25),1),0)*IF(EnemyBuffed=TRUE,2.5,1),0)</f>
        <v>1714503319</v>
      </c>
      <c r="M31" s="381">
        <f>Rounddown(Round(Round((M$9+M$10*($A31-1))*(1+(EnemyHPSlider-1)+(EnemyHPDanger-1)+(EnemyJackHP-1)),0)*IF($A31&gt;20,(1+Max(0,((($A31-20)*(($A31-20)+1))/2)/100)*(2+Max(0,($A31-35)*0.2))*2.25),1),0)*IF(EnemyBuffed=TRUE,2.5,1),0)</f>
        <v>206082444</v>
      </c>
      <c r="N31" s="381">
        <f>Rounddown(Round(Round((N$9+N$10*($A31-1))*(1+(EnemyHPSlider-1)+(EnemyHPDanger-1)+(EnemyJackHP-1)),0)*IF($A31&gt;20,(1+Max(0,((($A31-20)*(($A31-20)+1))/2)/100)*(2+Max(0,($A31-35)*0.2))*2.25),1),0)*IF(EnemyBuffed=TRUE,2.5,1),0)</f>
        <v>138528448</v>
      </c>
      <c r="O31" s="381">
        <f>Rounddown(Round(Round((O$9+O$10*($A31-1))*(1+(EnemyHPSlider-1)+(EnemyHPDanger-1)+(EnemyJackHP-1)),0)*IF($A31&gt;20,(1+Max(0,((($A31-20)*(($A31-20)+1))/2)/100)*(2+Max(0,($A31-35)*0.2))*2.25),1),0)*IF(EnemyBuffed=TRUE,2.5,1),0)</f>
        <v>69997179</v>
      </c>
      <c r="P31" s="381">
        <f>Rounddown(Round(Round((P$9+P$10*($A31-1))*(1+(EnemyHPSlider-1)+(EnemyHPDanger-1)+(EnemyJackHP-1)),0)*IF($A31&gt;20,(1+Max(0,((($A31-20)*(($A31-20)+1))/2)/100)*(2+Max(0,($A31-35)*0.2))*2.25),1),0)*IF(EnemyBuffed=TRUE,2.5,1),0)</f>
        <v>342045550</v>
      </c>
      <c r="Q31" s="381">
        <f>Rounddown(Round(Round((Q$9+Q$10*($A31-1))*(1+(EnemyHPSlider-1)+(EnemyHPDanger-1)+(EnemyJackHP-1)),0)*IF($A31&gt;20,(1+Max(0,((($A31-20)*(($A31-20)+1))/2)/100)*(2+Max(0,($A31-35)*0.2))*2.25),1),0)*IF(EnemyBuffed=TRUE,2.5,1),0)</f>
        <v>1506344170</v>
      </c>
      <c r="R31" s="381">
        <f>Rounddown(Round(Round((R$9+R$10*($A31-1))*(1+(EnemyHPSlider-1)+(EnemyHPDanger-1)+(EnemyJackHP-1)),0)*IF($A31&gt;20,(1+Max(0,((($A31-20)*(($A31-20)+1))/2)/100)*(2+Max(0,($A31-35)*0.2))*2.25),1),0)*IF(EnemyBuffed=TRUE,2.5,1),0)</f>
        <v>343267141</v>
      </c>
      <c r="S31" s="381">
        <f>Rounddown(Round(Round((S$9+S$10*($A31-1))*(1+(EnemyHPSlider-1)+(EnemyHPDanger-1)+(EnemyJackHP-1)),0)*IF($A31&gt;20,(1+Max(0,((($A31-20)*(($A31-20)+1))/2)/100)*(2+Max(0,($A31-35)*0.2))*2.25),1),0)*IF(EnemyBuffed=TRUE,2.5,1),0)</f>
        <v>205593807</v>
      </c>
      <c r="T31" s="381">
        <f>Rounddown(Round(Round((T$9+T$10*($A31-1))*(1+(EnemyHPSlider-1)+(EnemyHPDanger-1)+(EnemyJackHP-1)),0)*IF($A31&gt;20,(1+Max(0,((($A31-20)*(($A31-20)+1))/2)/100)*(2+Max(0,($A31-35)*0.2))*2.25),1),0)*IF(EnemyBuffed=TRUE,2.5,1),0)</f>
        <v>1714503319</v>
      </c>
      <c r="U31" s="381">
        <f>Rounddown(Round(Round((U$9+U$10*($A31-1))*(1+(EnemyHPSlider-1)+(EnemyHPDanger-1)+(EnemyJackHP-1)),0)*IF($A31&gt;20,(1+Max(0,((($A31-20)*(($A31-20)+1))/2)/100)*(2+Max(0,($A31-35)*0.2))*2.25),1),0)*IF(EnemyBuffed=TRUE,2.5,1),0)</f>
        <v>1381864022</v>
      </c>
      <c r="V31" s="381">
        <f>Rounddown(Round(Round((V$9+V$10*($A31-1))*(1+(EnemyHPSlider-1)+(EnemyHPDanger-1)+(EnemyJackHP-1)),0)*IF($A31&gt;20,(1+Max(0,((($A31-20)*(($A31-20)+1))/2)/100)*(2+Max(0,($A31-35)*0.2))*2.25),1),0)*IF(EnemyBuffed=TRUE,2.5,1),0)</f>
        <v>51178687578</v>
      </c>
      <c r="W31" s="381">
        <f>Rounddown(Round(Round((W$9+W$10*($A31-1))*(1+(EnemyHPSlider-1)+(EnemyHPDanger-1)+(EnemyJackHP-1)),0)*IF($A31&gt;20,(1+Max(0,((($A31-20)*(($A31-20)+1))/2)/100)*(2+Max(0,($A31-35)*0.2))*2.25),1),0)*IF(EnemyBuffed=TRUE,2.5,1),0)</f>
        <v>51178687578</v>
      </c>
      <c r="X31" s="381">
        <f>Rounddown(Round(Round((X$9+X$10*($A31-1))*(1+(EnemyHPSlider-1)+(EnemyHPDanger-1)+(EnemyJackHP-1)),0)*IF($A31&gt;20,(1+Max(0,((($A31-20)*(($A31-20)+1))/2)/100)*(2+Max(0,($A31-35)*0.2))*2.25),1),0)*IF(EnemyBuffed=TRUE,2.5,1),0)</f>
        <v>47766783217</v>
      </c>
      <c r="Y31" s="381">
        <f>Rounddown(Round(Round((Y$9+Y$10*($A31-1))*(1+(EnemyHPSlider-1)+(EnemyHPDanger-1)+(EnemyJackHP-1)),0)*IF($A31&gt;20,(1+Max(0,((($A31-20)*(($A31-20)+1))/2)/100)*(2+Max(0,($A31-35)*0.2))*2),1),0)*IF(EnemyBuffed=TRUE,2.5,1)*IF(AND($B$2=5,$A31&lt;=20),0.75,1),0)</f>
        <v>47772410700</v>
      </c>
      <c r="Z31" s="381">
        <f>Rounddown(Round(Round((Z$9+Z$10*($A31-1))*(1+(EnemyHPSlider-1)+(EnemyHPDanger-1)+(EnemyJackHP-1)),0)*IF($A31&gt;20,(1+Max(0,((($A31-20)*(($A31-20)+1))/2)/100)*(2+Max(0,($A31-35)*0.2))*2),1),0)*IF(EnemyBuffed=TRUE,2.5,1)*IF(AND($B$2=5,$A31&lt;=20),0.75,1),0)</f>
        <v>47772410700</v>
      </c>
      <c r="AA31" s="381">
        <f>Rounddown(Round(Round((AA$9+AA$10*($A31-1))*(1+(EnemyHPSlider-1)+(EnemyHPDanger-1)+(EnemyJackHP-1)),0)*IF($A31&gt;20,(1+Max(0,((($A31-20)*(($A31-20)+1))/2)/100)*(2+Max(0,($A31-35)*0.2))*2.25),1),0)*IF(EnemyBuffed=TRUE,2.5,1),0)</f>
        <v>1028701992</v>
      </c>
    </row>
    <row r="32">
      <c r="A32" s="429" t="s">
        <v>1280</v>
      </c>
      <c r="B32" s="429" t="s">
        <v>1372</v>
      </c>
    </row>
    <row r="33">
      <c r="A33" s="150" t="s">
        <v>107</v>
      </c>
      <c r="B33" s="313" t="s">
        <v>476</v>
      </c>
      <c r="C33" s="313" t="s">
        <v>478</v>
      </c>
      <c r="D33" s="313" t="s">
        <v>479</v>
      </c>
      <c r="E33" s="313" t="s">
        <v>480</v>
      </c>
      <c r="F33" s="313" t="s">
        <v>481</v>
      </c>
      <c r="G33" s="313" t="s">
        <v>482</v>
      </c>
      <c r="H33" s="313" t="s">
        <v>483</v>
      </c>
      <c r="I33" s="313" t="s">
        <v>484</v>
      </c>
      <c r="J33" s="313" t="s">
        <v>485</v>
      </c>
      <c r="K33" s="313" t="s">
        <v>486</v>
      </c>
      <c r="L33" s="313" t="s">
        <v>488</v>
      </c>
      <c r="M33" s="313" t="s">
        <v>489</v>
      </c>
      <c r="N33" s="313" t="s">
        <v>490</v>
      </c>
      <c r="O33" s="313" t="s">
        <v>491</v>
      </c>
      <c r="P33" s="313" t="s">
        <v>492</v>
      </c>
      <c r="Q33" s="313" t="s">
        <v>1292</v>
      </c>
      <c r="R33" s="313" t="s">
        <v>494</v>
      </c>
      <c r="S33" s="313" t="s">
        <v>495</v>
      </c>
      <c r="T33" s="313" t="s">
        <v>496</v>
      </c>
      <c r="U33" s="313" t="s">
        <v>497</v>
      </c>
      <c r="V33" s="313" t="s">
        <v>498</v>
      </c>
      <c r="W33" s="313" t="s">
        <v>499</v>
      </c>
      <c r="X33" s="313" t="s">
        <v>500</v>
      </c>
      <c r="Y33" s="313" t="s">
        <v>501</v>
      </c>
      <c r="Z33" s="313" t="s">
        <v>502</v>
      </c>
      <c r="AA33" s="316" t="s">
        <v>503</v>
      </c>
    </row>
    <row r="34">
      <c r="A34" s="430" t="s">
        <v>1373</v>
      </c>
      <c r="B34" s="317">
        <v>0.0</v>
      </c>
      <c r="C34" s="317">
        <v>1.0</v>
      </c>
      <c r="D34" s="317">
        <v>1.0</v>
      </c>
      <c r="E34" s="317">
        <v>1.0</v>
      </c>
      <c r="F34" s="317">
        <v>1.0</v>
      </c>
      <c r="G34" s="317">
        <v>1.0</v>
      </c>
      <c r="H34" s="317">
        <v>2.0</v>
      </c>
      <c r="I34" s="317">
        <v>1.0</v>
      </c>
      <c r="J34" s="317">
        <v>1.0</v>
      </c>
      <c r="K34" s="317">
        <v>1.0</v>
      </c>
      <c r="L34" s="317">
        <v>1.0</v>
      </c>
      <c r="M34" s="317">
        <v>1.0</v>
      </c>
      <c r="N34" s="317">
        <v>1.0</v>
      </c>
      <c r="O34" s="317">
        <v>1.0</v>
      </c>
      <c r="P34" s="317">
        <v>1.0</v>
      </c>
      <c r="Q34" s="317">
        <v>1.0</v>
      </c>
      <c r="R34" s="317">
        <v>1.0</v>
      </c>
      <c r="S34" s="317">
        <v>1.0</v>
      </c>
      <c r="T34" s="317">
        <v>1.0</v>
      </c>
      <c r="U34" s="317">
        <v>1.0</v>
      </c>
      <c r="V34" s="317">
        <v>1.0</v>
      </c>
      <c r="W34" s="317">
        <v>1.0</v>
      </c>
      <c r="X34" s="317">
        <v>1.0</v>
      </c>
      <c r="Y34" s="317">
        <v>1.0</v>
      </c>
      <c r="Z34" s="317">
        <v>1.0</v>
      </c>
      <c r="AA34" s="317">
        <v>1.0</v>
      </c>
    </row>
    <row r="35">
      <c r="A35" s="430" t="s">
        <v>1374</v>
      </c>
      <c r="B35" s="317">
        <v>0.0</v>
      </c>
      <c r="C35" s="317">
        <v>0.6</v>
      </c>
      <c r="D35" s="317">
        <v>0.6</v>
      </c>
      <c r="E35" s="317">
        <v>0.6</v>
      </c>
      <c r="F35" s="317">
        <v>0.85</v>
      </c>
      <c r="G35" s="317">
        <v>1.2</v>
      </c>
      <c r="H35" s="317">
        <v>0.85</v>
      </c>
      <c r="I35" s="317">
        <v>0.6</v>
      </c>
      <c r="J35" s="317">
        <v>0.85</v>
      </c>
      <c r="K35" s="317">
        <v>0.85</v>
      </c>
      <c r="L35" s="317">
        <v>0.85</v>
      </c>
      <c r="M35" s="317">
        <v>1.0</v>
      </c>
      <c r="N35" s="317">
        <v>1.0</v>
      </c>
      <c r="O35" s="317">
        <v>0.85</v>
      </c>
      <c r="P35" s="317">
        <v>1.0</v>
      </c>
      <c r="Q35" s="317">
        <v>1.15</v>
      </c>
      <c r="R35" s="317">
        <v>1.1</v>
      </c>
      <c r="S35" s="317">
        <v>0.6</v>
      </c>
      <c r="T35" s="317">
        <v>1.15</v>
      </c>
      <c r="U35" s="317">
        <v>1.0</v>
      </c>
      <c r="V35" s="317">
        <v>1.5</v>
      </c>
      <c r="W35" s="317">
        <v>1.5</v>
      </c>
      <c r="X35" s="317">
        <v>1.5</v>
      </c>
      <c r="Y35" s="317">
        <v>1.5</v>
      </c>
      <c r="Z35" s="317">
        <v>1.5</v>
      </c>
      <c r="AA35" s="317">
        <v>0.75</v>
      </c>
    </row>
    <row r="36">
      <c r="A36" s="150">
        <v>1.0</v>
      </c>
      <c r="B36" s="415">
        <v>0.0</v>
      </c>
      <c r="C36" s="414" t="str">
        <f>Rounddown(Round(Round((C$34+C$35*($A36-1))*(1+(EnemyDamageSlider-1)+(EnemyDMGDanger-1)+(EnemyJackDMG-1)),0)*IF($A36&gt;20,(1+Max(0,((($A36-20)*(($A36-20)+1))/2)/100)*(2+Max(0,($A36-35)*0.2))),1),0)*IF(EnemyBuffed=TRUE,1.25,1),0) &amp; "  (" &amp; MAX(ROUND(Rounddown(Round(Round((C$34+C$35*($A36-1))*(1+(EnemyDamageSlider-1)+(EnemyDMGDanger-1)+(EnemyJackDMG-1)),0)*IF($A36&gt;20,(1+Max(0,((($A36-20)*(($A36-20)+1))/2)/100)*(2+Max(0,($A36-35)*0.2))),1),0)*IF(EnemyBuffed=TRUE,1.25,1),0)*EnemyDMGTaken,0),1) &amp; ")"</f>
        <v>1  (1)</v>
      </c>
      <c r="D36" s="414" t="str">
        <f>Rounddown(Round(Round((D$34+D$35*($A36-1))*(1+(EnemyDamageSlider-1)+(EnemyDMGDanger-1)+(EnemyJackDMG-1)),0)*IF($A36&gt;20,(1+Max(0,((($A36-20)*(($A36-20)+1))/2)/100)*(2+Max(0,($A36-35)*0.2))),1),0)*IF(EnemyBuffed=TRUE,1.25,1),0) &amp; "  (" &amp; MAX(ROUND(Rounddown(Round(Round((D$34+D$35*($A36-1))*(1+(EnemyDamageSlider-1)+(EnemyDMGDanger-1)+(EnemyJackDMG-1)),0)*IF($A36&gt;20,(1+Max(0,((($A36-20)*(($A36-20)+1))/2)/100)*(2+Max(0,($A36-35)*0.2))),1),0)*IF(EnemyBuffed=TRUE,1.25,1),0)*EnemyDMGTaken,0),1) &amp; ")"</f>
        <v>1  (1)</v>
      </c>
      <c r="E36" s="414" t="str">
        <f>Rounddown(Round(Round((E$34+E$35*($A36-1))*(1+(EnemyDamageSlider-1)+(EnemyDMGDanger-1)+(EnemyJackDMG-1)),0)*IF($A36&gt;20,(1+Max(0,((($A36-20)*(($A36-20)+1))/2)/100)*(2+Max(0,($A36-35)*0.2))),1),0)*IF(EnemyBuffed=TRUE,1.25,1),0) &amp; "  (" &amp; MAX(ROUND(Rounddown(Round(Round((E$34+E$35*($A36-1))*(1+(EnemyDamageSlider-1)+(EnemyDMGDanger-1)+(EnemyJackDMG-1)),0)*IF($A36&gt;20,(1+Max(0,((($A36-20)*(($A36-20)+1))/2)/100)*(2+Max(0,($A36-35)*0.2))),1),0)*IF(EnemyBuffed=TRUE,1.25,1),0)*EnemyDMGTaken,0),1) &amp; ")"</f>
        <v>1  (1)</v>
      </c>
      <c r="F36" s="414" t="str">
        <f>Rounddown(Round(Round((F$34+F$35*($A36-1))*(1+(EnemyDamageSlider-1)+(EnemyDMGDanger-1)+(EnemyJackDMG-1)),0)*IF($A36&gt;20,(1+Max(0,((($A36-20)*(($A36-20)+1))/2)/100)*(2+Max(0,($A36-35)*0.2))),1),0)*IF(EnemyBuffed=TRUE,1.25,1),0) &amp; "  (" &amp; MAX(ROUND(Rounddown(Round(Round((F$34+F$35*($A36-1))*(1+(EnemyDamageSlider-1)+(EnemyDMGDanger-1)+(EnemyJackDMG-1)),0)*IF($A36&gt;20,(1+Max(0,((($A36-20)*(($A36-20)+1))/2)/100)*(2+Max(0,($A36-35)*0.2))),1),0)*IF(EnemyBuffed=TRUE,1.25,1),0)*EnemyDMGTaken,0),1) &amp; ")"</f>
        <v>1  (1)</v>
      </c>
      <c r="G36" s="414" t="str">
        <f>Rounddown(Round(Round((G$34+G$35*($A36-1))*(1+(EnemyDamageSlider-1)+(EnemyDMGDanger-1)+(EnemyJackDMG-1)),0)*IF($A36&gt;20,(1+Max(0,((($A36-20)*(($A36-20)+1))/2)/100)*(2+Max(0,($A36-35)*0.2))),1),0)*IF(EnemyBuffed=TRUE,1.25,1),0) &amp; "  (" &amp; MAX(ROUND(Rounddown(Round(Round((G$34+G$35*($A36-1))*(1+(EnemyDamageSlider-1)+(EnemyDMGDanger-1)+(EnemyJackDMG-1)),0)*IF($A36&gt;20,(1+Max(0,((($A36-20)*(($A36-20)+1))/2)/100)*(2+Max(0,($A36-35)*0.2))),1),0)*IF(EnemyBuffed=TRUE,1.25,1),0)*EnemyDMGTaken,0),1) &amp; ")"</f>
        <v>1  (1)</v>
      </c>
      <c r="H36" s="414" t="str">
        <f>Rounddown(Round(Round((H$34+H$35*($A36-1))*(1+(EnemyDamageSlider-1)+(EnemyDMGDanger-1)+(EnemyJackDMG-1)),0)*IF($A36&gt;20,(1+Max(0,((($A36-20)*(($A36-20)+1))/2)/100)*(2+Max(0,($A36-35)*0.2))),1),0)*IF(EnemyBuffed=TRUE,1.25,1),0) &amp; "  (" &amp; MAX(ROUND(Rounddown(Round(Round((H$34+H$35*($A36-1))*(1+(EnemyDamageSlider-1)+(EnemyDMGDanger-1)+(EnemyJackDMG-1)),0)*IF($A36&gt;20,(1+Max(0,((($A36-20)*(($A36-20)+1))/2)/100)*(2+Max(0,($A36-35)*0.2))),1),0)*IF(EnemyBuffed=TRUE,1.25,1),0)*EnemyDMGTaken,0),1) &amp; ")"</f>
        <v>3  (3)</v>
      </c>
      <c r="I36" s="414" t="str">
        <f>Rounddown(Round(Round((I$34+I$35*($A36-1))*(1+(EnemyDamageSlider-1)+(EnemyDMGDanger-1)+(EnemyJackDMG-1)),0)*IF($A36&gt;20,(1+Max(0,((($A36-20)*(($A36-20)+1))/2)/100)*(2+Max(0,($A36-35)*0.2))),1),0)*IF(EnemyBuffed=TRUE,1.25,1),0) &amp; "  (" &amp; MAX(ROUND(Rounddown(Round(Round((I$34+I$35*($A36-1))*(1+(EnemyDamageSlider-1)+(EnemyDMGDanger-1)+(EnemyJackDMG-1)),0)*IF($A36&gt;20,(1+Max(0,((($A36-20)*(($A36-20)+1))/2)/100)*(2+Max(0,($A36-35)*0.2))),1),0)*IF(EnemyBuffed=TRUE,1.25,1),0)*EnemyDMGTaken,0),1) &amp; ")"</f>
        <v>1  (1)</v>
      </c>
      <c r="J36" s="414" t="str">
        <f>Rounddown(Round(Round((J$34+J$35*($A36-1))*(1+(EnemyDamageSlider-1)+(EnemyDMGDanger-1)+(EnemyJackDMG-1)),0)*IF($A36&gt;20,(1+Max(0,((($A36-20)*(($A36-20)+1))/2)/100)*(2+Max(0,($A36-35)*0.2))),1),0)*IF(EnemyBuffed=TRUE,1.25,1),0) &amp; "  (" &amp; MAX(ROUND(Rounddown(Round(Round((J$34+J$35*($A36-1))*(1+(EnemyDamageSlider-1)+(EnemyDMGDanger-1)+(EnemyJackDMG-1)),0)*IF($A36&gt;20,(1+Max(0,((($A36-20)*(($A36-20)+1))/2)/100)*(2+Max(0,($A36-35)*0.2))),1),0)*IF(EnemyBuffed=TRUE,1.25,1),0)*EnemyDMGTaken,0),1) &amp; ")"</f>
        <v>1  (1)</v>
      </c>
      <c r="K36" s="414" t="str">
        <f>Rounddown(Round(Round((K$34+K$35*($A36-1))*(1+(EnemyDamageSlider-1)+(EnemyDMGDanger-1)+(EnemyJackDMG-1)),0)*IF($A36&gt;20,(1+Max(0,((($A36-20)*(($A36-20)+1))/2)/100)*(2+Max(0,($A36-35)*0.2))),1),0)*IF(EnemyBuffed=TRUE,1.25,1),0) &amp; "  (" &amp; MAX(ROUND(Rounddown(Round(Round((K$34+K$35*($A36-1))*(1+(EnemyDamageSlider-1)+(EnemyDMGDanger-1)+(EnemyJackDMG-1)),0)*IF($A36&gt;20,(1+Max(0,((($A36-20)*(($A36-20)+1))/2)/100)*(2+Max(0,($A36-35)*0.2))),1),0)*IF(EnemyBuffed=TRUE,1.25,1),0)*EnemyDMGTaken,0),1) &amp; ")"</f>
        <v>1  (1)</v>
      </c>
      <c r="L36" s="414" t="str">
        <f>Rounddown(Round(Round((L$34+L$35*($A36-1))*(1+(EnemyDamageSlider-1)+(EnemyDMGDanger-1)+(EnemyJackDMG-1)),0)*IF($A36&gt;20,(1+Max(0,((($A36-20)*(($A36-20)+1))/2)/100)*(2+Max(0,($A36-35)*0.2))),1),0)*IF(EnemyBuffed=TRUE,1.25,1),0) &amp; "  (" &amp; MAX(ROUND(Rounddown(Round(Round((L$34+L$35*($A36-1))*(1+(EnemyDamageSlider-1)+(EnemyDMGDanger-1)+(EnemyJackDMG-1)),0)*IF($A36&gt;20,(1+Max(0,((($A36-20)*(($A36-20)+1))/2)/100)*(2+Max(0,($A36-35)*0.2))),1),0)*IF(EnemyBuffed=TRUE,1.25,1),0)*EnemyDMGTaken,0),1) &amp; ")"</f>
        <v>1  (1)</v>
      </c>
      <c r="M36" s="414" t="str">
        <f>Rounddown(Round(Round((M$34+M$35*($A36-1))*(1+(EnemyDamageSlider-1)+(EnemyDMGDanger-1)+(EnemyJackDMG-1)),0)*IF($A36&gt;20,(1+Max(0,((($A36-20)*(($A36-20)+1))/2)/100)*(2+Max(0,($A36-35)*0.2))),1),0)*IF(EnemyBuffed=TRUE,1.25,1),0) &amp; "  (" &amp; MAX(ROUND(Rounddown(Round(Round((M$34+M$35*($A36-1))*(1+(EnemyDamageSlider-1)+(EnemyDMGDanger-1)+(EnemyJackDMG-1)),0)*IF($A36&gt;20,(1+Max(0,((($A36-20)*(($A36-20)+1))/2)/100)*(2+Max(0,($A36-35)*0.2))),1),0)*IF(EnemyBuffed=TRUE,1.25,1),0)*EnemyDMGTaken,0),1) &amp; ")"</f>
        <v>1  (1)</v>
      </c>
      <c r="N36" s="414" t="str">
        <f>Rounddown(Round(Round((N$34+N$35*($A36-1))*(1+(EnemyDamageSlider-1)+(EnemyDMGDanger-1)+(EnemyJackDMG-1)),0)*IF($A36&gt;20,(1+Max(0,((($A36-20)*(($A36-20)+1))/2)/100)*(2+Max(0,($A36-35)*0.2))),1),0)*IF(EnemyBuffed=TRUE,1.25,1),0) &amp; "  (" &amp; MAX(ROUND(Rounddown(Round(Round((N$34+N$35*($A36-1))*(1+(EnemyDamageSlider-1)+(EnemyDMGDanger-1)+(EnemyJackDMG-1)),0)*IF($A36&gt;20,(1+Max(0,((($A36-20)*(($A36-20)+1))/2)/100)*(2+Max(0,($A36-35)*0.2))),1),0)*IF(EnemyBuffed=TRUE,1.25,1),0)*EnemyDMGTaken,0),1) &amp; ")"</f>
        <v>1  (1)</v>
      </c>
      <c r="O36" s="414" t="str">
        <f>Rounddown(Round(Round((O$34+O$35*($A36-1))*(1+(EnemyDamageSlider-1)+(EnemyDMGDanger-1)+(EnemyJackDMG-1)),0)*IF($A36&gt;20,(1+Max(0,((($A36-20)*(($A36-20)+1))/2)/100)*(2+Max(0,($A36-35)*0.2))),1),0)*IF(EnemyBuffed=TRUE,1.25,1),0) &amp; "  (" &amp; MAX(ROUND(Rounddown(Round(Round((O$34+O$35*($A36-1))*(1+(EnemyDamageSlider-1)+(EnemyDMGDanger-1)+(EnemyJackDMG-1)),0)*IF($A36&gt;20,(1+Max(0,((($A36-20)*(($A36-20)+1))/2)/100)*(2+Max(0,($A36-35)*0.2))),1),0)*IF(EnemyBuffed=TRUE,1.25,1),0)*EnemyDMGTaken,0),1) &amp; ")"</f>
        <v>1  (1)</v>
      </c>
      <c r="P36" s="414" t="str">
        <f>Rounddown(Round(Round((P$34+P$35*($A36-1))*(1+(EnemyDamageSlider-1)+(EnemyDMGDanger-1)+(EnemyJackDMG-1)),0)*IF($A36&gt;20,(1+Max(0,((($A36-20)*(($A36-20)+1))/2)/100)*(2+Max(0,($A36-35)*0.2))),1),0)*IF(EnemyBuffed=TRUE,1.25,1),0) &amp; "  (" &amp; MAX(ROUND(Rounddown(Round(Round((P$34+P$35*($A36-1))*(1+(EnemyDamageSlider-1)+(EnemyDMGDanger-1)+(EnemyJackDMG-1)),0)*IF($A36&gt;20,(1+Max(0,((($A36-20)*(($A36-20)+1))/2)/100)*(2+Max(0,($A36-35)*0.2))),1),0)*IF(EnemyBuffed=TRUE,1.25,1),0)*EnemyDMGTaken,0),1) &amp; ")"</f>
        <v>1  (1)</v>
      </c>
      <c r="Q36" s="414" t="str">
        <f>Rounddown(Round(Round((Q$34+Q$35*($A36-1))*(1+(EnemyDamageSlider-1)+(EnemyDMGDanger-1)+(EnemyJackDMG-1)),0)*IF($A36&gt;20,(1+Max(0,((($A36-20)*(($A36-20)+1))/2)/100)*(2+Max(0,($A36-35)*0.2))),1),0)*IF(EnemyBuffed=TRUE,1.25,1),0) &amp; "  (" &amp; MAX(ROUND(Rounddown(Round(Round((Q$34+Q$35*($A36-1))*(1+(EnemyDamageSlider-1)+(EnemyDMGDanger-1)+(EnemyJackDMG-1)),0)*IF($A36&gt;20,(1+Max(0,((($A36-20)*(($A36-20)+1))/2)/100)*(2+Max(0,($A36-35)*0.2))),1),0)*IF(EnemyBuffed=TRUE,1.25,1),0)*EnemyDMGTaken,0),1) &amp; ")"</f>
        <v>1  (1)</v>
      </c>
      <c r="R36" s="414" t="str">
        <f>Rounddown(Round(Round((R$34+R$35*($A36-1))*(1+(EnemyDamageSlider-1)+(EnemyDMGDanger-1)+(EnemyJackDMG-1)),0)*IF($A36&gt;20,(1+Max(0,((($A36-20)*(($A36-20)+1))/2)/100)*(2+Max(0,($A36-35)*0.2))),1),0)*IF(EnemyBuffed=TRUE,1.25,1),0) &amp; "  (" &amp; MAX(ROUND(Rounddown(Round(Round((R$34+R$35*($A36-1))*(1+(EnemyDamageSlider-1)+(EnemyDMGDanger-1)+(EnemyJackDMG-1)),0)*IF($A36&gt;20,(1+Max(0,((($A36-20)*(($A36-20)+1))/2)/100)*(2+Max(0,($A36-35)*0.2))),1),0)*IF(EnemyBuffed=TRUE,1.25,1),0)*EnemyDMGTaken,0),1) &amp; ")"</f>
        <v>1  (1)</v>
      </c>
      <c r="S36" s="414" t="str">
        <f>Rounddown(Round(Round((S$34+S$35*($A36-1))*(1+(EnemyDamageSlider-1)+(EnemyDMGDanger-1)+(EnemyJackDMG-1)),0)*IF($A36&gt;20,(1+Max(0,((($A36-20)*(($A36-20)+1))/2)/100)*(2+Max(0,($A36-35)*0.2))),1),0)*IF(EnemyBuffed=TRUE,1.25,1),0) &amp; "  (" &amp; MAX(ROUND(Rounddown(Round(Round((S$34+S$35*($A36-1))*(1+(EnemyDamageSlider-1)+(EnemyDMGDanger-1)+(EnemyJackDMG-1)),0)*IF($A36&gt;20,(1+Max(0,((($A36-20)*(($A36-20)+1))/2)/100)*(2+Max(0,($A36-35)*0.2))),1),0)*IF(EnemyBuffed=TRUE,1.25,1),0)*EnemyDMGTaken,0),1) &amp; ")"</f>
        <v>1  (1)</v>
      </c>
      <c r="T36" s="414" t="str">
        <f>Rounddown(Round(Round((T$34+T$35*($A36-1))*(1+(EnemyDamageSlider-1)+(EnemyDMGDanger-1)+(EnemyJackDMG-1)),0)*IF($A36&gt;20,(1+Max(0,((($A36-20)*(($A36-20)+1))/2)/100)*(2+Max(0,($A36-35)*0.2))),1),0)*IF(EnemyBuffed=TRUE,1.25,1),0) &amp; "  (" &amp; MAX(ROUND(Rounddown(Round(Round((T$34+T$35*($A36-1))*(1+(EnemyDamageSlider-1)+(EnemyDMGDanger-1)+(EnemyJackDMG-1)),0)*IF($A36&gt;20,(1+Max(0,((($A36-20)*(($A36-20)+1))/2)/100)*(2+Max(0,($A36-35)*0.2))),1),0)*IF(EnemyBuffed=TRUE,1.25,1),0)*EnemyDMGTaken,0),1) &amp; ")"</f>
        <v>1  (1)</v>
      </c>
      <c r="U36" s="414" t="str">
        <f>Rounddown(Round(Round((U$34+U$35*($A36-1))*(1+(EnemyDamageSlider-1)+(EnemyDMGDanger-1)+(EnemyJackDMG-1)),0)*IF($A36&gt;20,(1+Max(0,((($A36-20)*(($A36-20)+1))/2)/100)*(2+Max(0,($A36-35)*0.2))),1),0)*IF(EnemyBuffed=TRUE,1.25,1),0) &amp; "  (" &amp; MAX(ROUND(Rounddown(Round(Round((U$34+U$35*($A36-1))*(1+(EnemyDamageSlider-1)+(EnemyDMGDanger-1)+(EnemyJackDMG-1)),0)*IF($A36&gt;20,(1+Max(0,((($A36-20)*(($A36-20)+1))/2)/100)*(2+Max(0,($A36-35)*0.2))),1),0)*IF(EnemyBuffed=TRUE,1.25,1),0)*EnemyDMGTaken,0),1) &amp; ")"</f>
        <v>1  (1)</v>
      </c>
      <c r="V36" s="414" t="str">
        <f>Rounddown(Round(Round((V$34+V$35*($A36-1))*(1+(EnemyDamageSlider-1)+(EnemyDMGDanger-1)+(EnemyJackDMG-1)),0)*IF($A36&gt;20,(1+Max(0,((($A36-20)*(($A36-20)+1))/2)/100)*(2+Max(0,($A36-35)*0.2))),1),0)*IF(EnemyBuffed=TRUE,1.25,1),0) &amp; "  (" &amp; MAX(ROUND(Rounddown(Round(Round((V$34+V$35*($A36-1))*(1+(EnemyDamageSlider-1)+(EnemyDMGDanger-1)+(EnemyJackDMG-1)),0)*IF($A36&gt;20,(1+Max(0,((($A36-20)*(($A36-20)+1))/2)/100)*(2+Max(0,($A36-35)*0.2))),1),0)*IF(EnemyBuffed=TRUE,1.25,1),0)*EnemyDMGTaken,0),1) &amp; ")"</f>
        <v>1  (1)</v>
      </c>
      <c r="W36" s="414" t="str">
        <f>Rounddown(Round(Round((W$34+W$35*($A36-1))*(1+(EnemyDamageSlider-1)+(EnemyDMGDanger-1)+(EnemyJackDMG-1)),0)*IF($A36&gt;20,(1+Max(0,((($A36-20)*(($A36-20)+1))/2)/100)*(2+Max(0,($A36-35)*0.2))),1),0)*IF(EnemyBuffed=TRUE,1.25,1),0) &amp; "  (" &amp; MAX(ROUND(Rounddown(Round(Round((W$34+W$35*($A36-1))*(1+(EnemyDamageSlider-1)+(EnemyDMGDanger-1)+(EnemyJackDMG-1)),0)*IF($A36&gt;20,(1+Max(0,((($A36-20)*(($A36-20)+1))/2)/100)*(2+Max(0,($A36-35)*0.2))),1),0)*IF(EnemyBuffed=TRUE,1.25,1),0)*EnemyDMGTaken,0),1) &amp; ")"</f>
        <v>1  (1)</v>
      </c>
      <c r="X36" s="414" t="str">
        <f>Rounddown(Round(Round((X$34+X$35*($A36-1))*(1+(EnemyDamageSlider-1)+(EnemyDMGDanger-1)+(EnemyJackDMG-1)),0)*IF($A36&gt;20,(1+Max(0,((($A36-20)*(($A36-20)+1))/2)/100)*(2+Max(0,($A36-35)*0.2))),1),0)*IF(EnemyBuffed=TRUE,1.25,1),0) &amp; "  (" &amp; MAX(ROUND(Rounddown(Round(Round((X$34+X$35*($A36-1))*(1+(EnemyDamageSlider-1)+(EnemyDMGDanger-1)+(EnemyJackDMG-1)),0)*IF($A36&gt;20,(1+Max(0,((($A36-20)*(($A36-20)+1))/2)/100)*(2+Max(0,($A36-35)*0.2))),1),0)*IF(EnemyBuffed=TRUE,1.25,1),0)*EnemyDMGTaken,0),1) &amp; ")"</f>
        <v>1  (1)</v>
      </c>
      <c r="Y36" s="414" t="str">
        <f>Rounddown(Round(Round((Y$34+Y$35*($A36-1))*(1+(EnemyDamageSlider-1)+(EnemyDMGDanger-1)+(EnemyJackDMG-1)),0)*IF($A36&gt;20,(1+Max(0,((($A36-20)*(($A36-20)+1))/2)/100)*(2+Max(0,($A36-35)*0.2))),1),0)*IF(EnemyBuffed=TRUE,1.25,1),0) &amp; "  (" &amp; MAX(ROUND(Rounddown(Round(Round((Y$34+Y$35*($A36-1))*(1+(EnemyDamageSlider-1)+(EnemyDMGDanger-1)+(EnemyJackDMG-1)),0)*IF($A36&gt;20,(1+Max(0,((($A36-20)*(($A36-20)+1))/2)/100)*(2+Max(0,($A36-35)*0.2))),1),0)*IF(EnemyBuffed=TRUE,1.25,1),0)*EnemyDMGTaken,0),1) &amp; ")"</f>
        <v>1  (1)</v>
      </c>
      <c r="Z36" s="414" t="str">
        <f>Rounddown(Round(Round((Z$34+Z$35*($A36-1))*(1+(EnemyDamageSlider-1)+(EnemyDMGDanger-1)+(EnemyJackDMG-1)),0)*IF($A36&gt;20,(1+Max(0,((($A36-20)*(($A36-20)+1))/2)/100)*(2+Max(0,($A36-35)*0.2))),1),0)*IF(EnemyBuffed=TRUE,1.25,1),0) &amp; "  (" &amp; MAX(ROUND(Rounddown(Round(Round((Z$34+Z$35*($A36-1))*(1+(EnemyDamageSlider-1)+(EnemyDMGDanger-1)+(EnemyJackDMG-1)),0)*IF($A36&gt;20,(1+Max(0,((($A36-20)*(($A36-20)+1))/2)/100)*(2+Max(0,($A36-35)*0.2))),1),0)*IF(EnemyBuffed=TRUE,1.25,1),0)*EnemyDMGTaken,0),1) &amp; ")"</f>
        <v>1  (1)</v>
      </c>
      <c r="AA36" s="414" t="str">
        <f>Rounddown(Round(Round((AA$34+AA$35*($A36-1))*(1+(EnemyDamageSlider-1)+(EnemyDMGDanger-1)+(EnemyJackDMG-1)),0)*IF($A36&gt;20,(1+Max(0,((($A36-20)*(($A36-20)+1))/2)/100)*(2+Max(0,($A36-35)*0.2))),1),0)*IF(EnemyBuffed=TRUE,1.25,1),0) &amp; "  (" &amp; MAX(ROUND(Rounddown(Round(Round((AA$34+AA$35*($A36-1))*(1+(EnemyDamageSlider-1)+(EnemyDMGDanger-1)+(EnemyJackDMG-1)),0)*IF($A36&gt;20,(1+Max(0,((($A36-20)*(($A36-20)+1))/2)/100)*(2+Max(0,($A36-35)*0.2))),1),0)*IF(EnemyBuffed=TRUE,1.25,1),0)*EnemyDMGTaken,0),1) &amp; ")"</f>
        <v>1  (1)</v>
      </c>
    </row>
    <row r="37">
      <c r="A37" s="150">
        <v>2.0</v>
      </c>
      <c r="B37" s="415">
        <v>0.0</v>
      </c>
      <c r="C37" s="414" t="str">
        <f>Rounddown(Round(Round((C$34+C$35*($A37-1))*(1+(EnemyDamageSlider-1)+(EnemyDMGDanger-1)+(EnemyJackDMG-1)),0)*IF($A37&gt;20,(1+Max(0,((($A37-20)*(($A37-20)+1))/2)/100)*(2+Max(0,($A37-35)*0.2))),1),0)*IF(EnemyBuffed=TRUE,1.25,1),0) &amp; "  (" &amp; MAX(ROUND(Rounddown(Round(Round((C$34+C$35*($A37-1))*(1+(EnemyDamageSlider-1)+(EnemyDMGDanger-1)+(EnemyJackDMG-1)),0)*IF($A37&gt;20,(1+Max(0,((($A37-20)*(($A37-20)+1))/2)/100)*(2+Max(0,($A37-35)*0.2))),1),0)*IF(EnemyBuffed=TRUE,1.25,1),0)*EnemyDMGTaken,0),1) &amp; ")"</f>
        <v>2  (2)</v>
      </c>
      <c r="D37" s="414" t="str">
        <f>Rounddown(Round(Round((D$34+D$35*($A37-1))*(1+(EnemyDamageSlider-1)+(EnemyDMGDanger-1)+(EnemyJackDMG-1)),0)*IF($A37&gt;20,(1+Max(0,((($A37-20)*(($A37-20)+1))/2)/100)*(2+Max(0,($A37-35)*0.2))),1),0)*IF(EnemyBuffed=TRUE,1.25,1),0) &amp; "  (" &amp; MAX(ROUND(Rounddown(Round(Round((D$34+D$35*($A37-1))*(1+(EnemyDamageSlider-1)+(EnemyDMGDanger-1)+(EnemyJackDMG-1)),0)*IF($A37&gt;20,(1+Max(0,((($A37-20)*(($A37-20)+1))/2)/100)*(2+Max(0,($A37-35)*0.2))),1),0)*IF(EnemyBuffed=TRUE,1.25,1),0)*EnemyDMGTaken,0),1) &amp; ")"</f>
        <v>2  (2)</v>
      </c>
      <c r="E37" s="414" t="str">
        <f>Rounddown(Round(Round((E$34+E$35*($A37-1))*(1+(EnemyDamageSlider-1)+(EnemyDMGDanger-1)+(EnemyJackDMG-1)),0)*IF($A37&gt;20,(1+Max(0,((($A37-20)*(($A37-20)+1))/2)/100)*(2+Max(0,($A37-35)*0.2))),1),0)*IF(EnemyBuffed=TRUE,1.25,1),0) &amp; "  (" &amp; MAX(ROUND(Rounddown(Round(Round((E$34+E$35*($A37-1))*(1+(EnemyDamageSlider-1)+(EnemyDMGDanger-1)+(EnemyJackDMG-1)),0)*IF($A37&gt;20,(1+Max(0,((($A37-20)*(($A37-20)+1))/2)/100)*(2+Max(0,($A37-35)*0.2))),1),0)*IF(EnemyBuffed=TRUE,1.25,1),0)*EnemyDMGTaken,0),1) &amp; ")"</f>
        <v>2  (2)</v>
      </c>
      <c r="F37" s="414" t="str">
        <f>Rounddown(Round(Round((F$34+F$35*($A37-1))*(1+(EnemyDamageSlider-1)+(EnemyDMGDanger-1)+(EnemyJackDMG-1)),0)*IF($A37&gt;20,(1+Max(0,((($A37-20)*(($A37-20)+1))/2)/100)*(2+Max(0,($A37-35)*0.2))),1),0)*IF(EnemyBuffed=TRUE,1.25,1),0) &amp; "  (" &amp; MAX(ROUND(Rounddown(Round(Round((F$34+F$35*($A37-1))*(1+(EnemyDamageSlider-1)+(EnemyDMGDanger-1)+(EnemyJackDMG-1)),0)*IF($A37&gt;20,(1+Max(0,((($A37-20)*(($A37-20)+1))/2)/100)*(2+Max(0,($A37-35)*0.2))),1),0)*IF(EnemyBuffed=TRUE,1.25,1),0)*EnemyDMGTaken,0),1) &amp; ")"</f>
        <v>3  (3)</v>
      </c>
      <c r="G37" s="414" t="str">
        <f>Rounddown(Round(Round((G$34+G$35*($A37-1))*(1+(EnemyDamageSlider-1)+(EnemyDMGDanger-1)+(EnemyJackDMG-1)),0)*IF($A37&gt;20,(1+Max(0,((($A37-20)*(($A37-20)+1))/2)/100)*(2+Max(0,($A37-35)*0.2))),1),0)*IF(EnemyBuffed=TRUE,1.25,1),0) &amp; "  (" &amp; MAX(ROUND(Rounddown(Round(Round((G$34+G$35*($A37-1))*(1+(EnemyDamageSlider-1)+(EnemyDMGDanger-1)+(EnemyJackDMG-1)),0)*IF($A37&gt;20,(1+Max(0,((($A37-20)*(($A37-20)+1))/2)/100)*(2+Max(0,($A37-35)*0.2))),1),0)*IF(EnemyBuffed=TRUE,1.25,1),0)*EnemyDMGTaken,0),1) &amp; ")"</f>
        <v>3  (3)</v>
      </c>
      <c r="H37" s="414" t="str">
        <f>Rounddown(Round(Round((H$34+H$35*($A37-1))*(1+(EnemyDamageSlider-1)+(EnemyDMGDanger-1)+(EnemyJackDMG-1)),0)*IF($A37&gt;20,(1+Max(0,((($A37-20)*(($A37-20)+1))/2)/100)*(2+Max(0,($A37-35)*0.2))),1),0)*IF(EnemyBuffed=TRUE,1.25,1),0) &amp; "  (" &amp; MAX(ROUND(Rounddown(Round(Round((H$34+H$35*($A37-1))*(1+(EnemyDamageSlider-1)+(EnemyDMGDanger-1)+(EnemyJackDMG-1)),0)*IF($A37&gt;20,(1+Max(0,((($A37-20)*(($A37-20)+1))/2)/100)*(2+Max(0,($A37-35)*0.2))),1),0)*IF(EnemyBuffed=TRUE,1.25,1),0)*EnemyDMGTaken,0),1) &amp; ")"</f>
        <v>4  (4)</v>
      </c>
      <c r="I37" s="414" t="str">
        <f>Rounddown(Round(Round((I$34+I$35*($A37-1))*(1+(EnemyDamageSlider-1)+(EnemyDMGDanger-1)+(EnemyJackDMG-1)),0)*IF($A37&gt;20,(1+Max(0,((($A37-20)*(($A37-20)+1))/2)/100)*(2+Max(0,($A37-35)*0.2))),1),0)*IF(EnemyBuffed=TRUE,1.25,1),0) &amp; "  (" &amp; MAX(ROUND(Rounddown(Round(Round((I$34+I$35*($A37-1))*(1+(EnemyDamageSlider-1)+(EnemyDMGDanger-1)+(EnemyJackDMG-1)),0)*IF($A37&gt;20,(1+Max(0,((($A37-20)*(($A37-20)+1))/2)/100)*(2+Max(0,($A37-35)*0.2))),1),0)*IF(EnemyBuffed=TRUE,1.25,1),0)*EnemyDMGTaken,0),1) &amp; ")"</f>
        <v>2  (2)</v>
      </c>
      <c r="J37" s="414" t="str">
        <f>Rounddown(Round(Round((J$34+J$35*($A37-1))*(1+(EnemyDamageSlider-1)+(EnemyDMGDanger-1)+(EnemyJackDMG-1)),0)*IF($A37&gt;20,(1+Max(0,((($A37-20)*(($A37-20)+1))/2)/100)*(2+Max(0,($A37-35)*0.2))),1),0)*IF(EnemyBuffed=TRUE,1.25,1),0) &amp; "  (" &amp; MAX(ROUND(Rounddown(Round(Round((J$34+J$35*($A37-1))*(1+(EnemyDamageSlider-1)+(EnemyDMGDanger-1)+(EnemyJackDMG-1)),0)*IF($A37&gt;20,(1+Max(0,((($A37-20)*(($A37-20)+1))/2)/100)*(2+Max(0,($A37-35)*0.2))),1),0)*IF(EnemyBuffed=TRUE,1.25,1),0)*EnemyDMGTaken,0),1) &amp; ")"</f>
        <v>3  (3)</v>
      </c>
      <c r="K37" s="414" t="str">
        <f>Rounddown(Round(Round((K$34+K$35*($A37-1))*(1+(EnemyDamageSlider-1)+(EnemyDMGDanger-1)+(EnemyJackDMG-1)),0)*IF($A37&gt;20,(1+Max(0,((($A37-20)*(($A37-20)+1))/2)/100)*(2+Max(0,($A37-35)*0.2))),1),0)*IF(EnemyBuffed=TRUE,1.25,1),0) &amp; "  (" &amp; MAX(ROUND(Rounddown(Round(Round((K$34+K$35*($A37-1))*(1+(EnemyDamageSlider-1)+(EnemyDMGDanger-1)+(EnemyJackDMG-1)),0)*IF($A37&gt;20,(1+Max(0,((($A37-20)*(($A37-20)+1))/2)/100)*(2+Max(0,($A37-35)*0.2))),1),0)*IF(EnemyBuffed=TRUE,1.25,1),0)*EnemyDMGTaken,0),1) &amp; ")"</f>
        <v>3  (3)</v>
      </c>
      <c r="L37" s="414" t="str">
        <f>Rounddown(Round(Round((L$34+L$35*($A37-1))*(1+(EnemyDamageSlider-1)+(EnemyDMGDanger-1)+(EnemyJackDMG-1)),0)*IF($A37&gt;20,(1+Max(0,((($A37-20)*(($A37-20)+1))/2)/100)*(2+Max(0,($A37-35)*0.2))),1),0)*IF(EnemyBuffed=TRUE,1.25,1),0) &amp; "  (" &amp; MAX(ROUND(Rounddown(Round(Round((L$34+L$35*($A37-1))*(1+(EnemyDamageSlider-1)+(EnemyDMGDanger-1)+(EnemyJackDMG-1)),0)*IF($A37&gt;20,(1+Max(0,((($A37-20)*(($A37-20)+1))/2)/100)*(2+Max(0,($A37-35)*0.2))),1),0)*IF(EnemyBuffed=TRUE,1.25,1),0)*EnemyDMGTaken,0),1) &amp; ")"</f>
        <v>3  (3)</v>
      </c>
      <c r="M37" s="414" t="str">
        <f>Rounddown(Round(Round((M$34+M$35*($A37-1))*(1+(EnemyDamageSlider-1)+(EnemyDMGDanger-1)+(EnemyJackDMG-1)),0)*IF($A37&gt;20,(1+Max(0,((($A37-20)*(($A37-20)+1))/2)/100)*(2+Max(0,($A37-35)*0.2))),1),0)*IF(EnemyBuffed=TRUE,1.25,1),0) &amp; "  (" &amp; MAX(ROUND(Rounddown(Round(Round((M$34+M$35*($A37-1))*(1+(EnemyDamageSlider-1)+(EnemyDMGDanger-1)+(EnemyJackDMG-1)),0)*IF($A37&gt;20,(1+Max(0,((($A37-20)*(($A37-20)+1))/2)/100)*(2+Max(0,($A37-35)*0.2))),1),0)*IF(EnemyBuffed=TRUE,1.25,1),0)*EnemyDMGTaken,0),1) &amp; ")"</f>
        <v>3  (3)</v>
      </c>
      <c r="N37" s="414" t="str">
        <f>Rounddown(Round(Round((N$34+N$35*($A37-1))*(1+(EnemyDamageSlider-1)+(EnemyDMGDanger-1)+(EnemyJackDMG-1)),0)*IF($A37&gt;20,(1+Max(0,((($A37-20)*(($A37-20)+1))/2)/100)*(2+Max(0,($A37-35)*0.2))),1),0)*IF(EnemyBuffed=TRUE,1.25,1),0) &amp; "  (" &amp; MAX(ROUND(Rounddown(Round(Round((N$34+N$35*($A37-1))*(1+(EnemyDamageSlider-1)+(EnemyDMGDanger-1)+(EnemyJackDMG-1)),0)*IF($A37&gt;20,(1+Max(0,((($A37-20)*(($A37-20)+1))/2)/100)*(2+Max(0,($A37-35)*0.2))),1),0)*IF(EnemyBuffed=TRUE,1.25,1),0)*EnemyDMGTaken,0),1) &amp; ")"</f>
        <v>3  (3)</v>
      </c>
      <c r="O37" s="414" t="str">
        <f>Rounddown(Round(Round((O$34+O$35*($A37-1))*(1+(EnemyDamageSlider-1)+(EnemyDMGDanger-1)+(EnemyJackDMG-1)),0)*IF($A37&gt;20,(1+Max(0,((($A37-20)*(($A37-20)+1))/2)/100)*(2+Max(0,($A37-35)*0.2))),1),0)*IF(EnemyBuffed=TRUE,1.25,1),0) &amp; "  (" &amp; MAX(ROUND(Rounddown(Round(Round((O$34+O$35*($A37-1))*(1+(EnemyDamageSlider-1)+(EnemyDMGDanger-1)+(EnemyJackDMG-1)),0)*IF($A37&gt;20,(1+Max(0,((($A37-20)*(($A37-20)+1))/2)/100)*(2+Max(0,($A37-35)*0.2))),1),0)*IF(EnemyBuffed=TRUE,1.25,1),0)*EnemyDMGTaken,0),1) &amp; ")"</f>
        <v>3  (3)</v>
      </c>
      <c r="P37" s="414" t="str">
        <f>Rounddown(Round(Round((P$34+P$35*($A37-1))*(1+(EnemyDamageSlider-1)+(EnemyDMGDanger-1)+(EnemyJackDMG-1)),0)*IF($A37&gt;20,(1+Max(0,((($A37-20)*(($A37-20)+1))/2)/100)*(2+Max(0,($A37-35)*0.2))),1),0)*IF(EnemyBuffed=TRUE,1.25,1),0) &amp; "  (" &amp; MAX(ROUND(Rounddown(Round(Round((P$34+P$35*($A37-1))*(1+(EnemyDamageSlider-1)+(EnemyDMGDanger-1)+(EnemyJackDMG-1)),0)*IF($A37&gt;20,(1+Max(0,((($A37-20)*(($A37-20)+1))/2)/100)*(2+Max(0,($A37-35)*0.2))),1),0)*IF(EnemyBuffed=TRUE,1.25,1),0)*EnemyDMGTaken,0),1) &amp; ")"</f>
        <v>3  (3)</v>
      </c>
      <c r="Q37" s="414" t="str">
        <f>Rounddown(Round(Round((Q$34+Q$35*($A37-1))*(1+(EnemyDamageSlider-1)+(EnemyDMGDanger-1)+(EnemyJackDMG-1)),0)*IF($A37&gt;20,(1+Max(0,((($A37-20)*(($A37-20)+1))/2)/100)*(2+Max(0,($A37-35)*0.2))),1),0)*IF(EnemyBuffed=TRUE,1.25,1),0) &amp; "  (" &amp; MAX(ROUND(Rounddown(Round(Round((Q$34+Q$35*($A37-1))*(1+(EnemyDamageSlider-1)+(EnemyDMGDanger-1)+(EnemyJackDMG-1)),0)*IF($A37&gt;20,(1+Max(0,((($A37-20)*(($A37-20)+1))/2)/100)*(2+Max(0,($A37-35)*0.2))),1),0)*IF(EnemyBuffed=TRUE,1.25,1),0)*EnemyDMGTaken,0),1) &amp; ")"</f>
        <v>3  (3)</v>
      </c>
      <c r="R37" s="414" t="str">
        <f>Rounddown(Round(Round((R$34+R$35*($A37-1))*(1+(EnemyDamageSlider-1)+(EnemyDMGDanger-1)+(EnemyJackDMG-1)),0)*IF($A37&gt;20,(1+Max(0,((($A37-20)*(($A37-20)+1))/2)/100)*(2+Max(0,($A37-35)*0.2))),1),0)*IF(EnemyBuffed=TRUE,1.25,1),0) &amp; "  (" &amp; MAX(ROUND(Rounddown(Round(Round((R$34+R$35*($A37-1))*(1+(EnemyDamageSlider-1)+(EnemyDMGDanger-1)+(EnemyJackDMG-1)),0)*IF($A37&gt;20,(1+Max(0,((($A37-20)*(($A37-20)+1))/2)/100)*(2+Max(0,($A37-35)*0.2))),1),0)*IF(EnemyBuffed=TRUE,1.25,1),0)*EnemyDMGTaken,0),1) &amp; ")"</f>
        <v>3  (3)</v>
      </c>
      <c r="S37" s="414" t="str">
        <f>Rounddown(Round(Round((S$34+S$35*($A37-1))*(1+(EnemyDamageSlider-1)+(EnemyDMGDanger-1)+(EnemyJackDMG-1)),0)*IF($A37&gt;20,(1+Max(0,((($A37-20)*(($A37-20)+1))/2)/100)*(2+Max(0,($A37-35)*0.2))),1),0)*IF(EnemyBuffed=TRUE,1.25,1),0) &amp; "  (" &amp; MAX(ROUND(Rounddown(Round(Round((S$34+S$35*($A37-1))*(1+(EnemyDamageSlider-1)+(EnemyDMGDanger-1)+(EnemyJackDMG-1)),0)*IF($A37&gt;20,(1+Max(0,((($A37-20)*(($A37-20)+1))/2)/100)*(2+Max(0,($A37-35)*0.2))),1),0)*IF(EnemyBuffed=TRUE,1.25,1),0)*EnemyDMGTaken,0),1) &amp; ")"</f>
        <v>2  (2)</v>
      </c>
      <c r="T37" s="414" t="str">
        <f>Rounddown(Round(Round((T$34+T$35*($A37-1))*(1+(EnemyDamageSlider-1)+(EnemyDMGDanger-1)+(EnemyJackDMG-1)),0)*IF($A37&gt;20,(1+Max(0,((($A37-20)*(($A37-20)+1))/2)/100)*(2+Max(0,($A37-35)*0.2))),1),0)*IF(EnemyBuffed=TRUE,1.25,1),0) &amp; "  (" &amp; MAX(ROUND(Rounddown(Round(Round((T$34+T$35*($A37-1))*(1+(EnemyDamageSlider-1)+(EnemyDMGDanger-1)+(EnemyJackDMG-1)),0)*IF($A37&gt;20,(1+Max(0,((($A37-20)*(($A37-20)+1))/2)/100)*(2+Max(0,($A37-35)*0.2))),1),0)*IF(EnemyBuffed=TRUE,1.25,1),0)*EnemyDMGTaken,0),1) &amp; ")"</f>
        <v>3  (3)</v>
      </c>
      <c r="U37" s="414" t="str">
        <f>Rounddown(Round(Round((U$34+U$35*($A37-1))*(1+(EnemyDamageSlider-1)+(EnemyDMGDanger-1)+(EnemyJackDMG-1)),0)*IF($A37&gt;20,(1+Max(0,((($A37-20)*(($A37-20)+1))/2)/100)*(2+Max(0,($A37-35)*0.2))),1),0)*IF(EnemyBuffed=TRUE,1.25,1),0) &amp; "  (" &amp; MAX(ROUND(Rounddown(Round(Round((U$34+U$35*($A37-1))*(1+(EnemyDamageSlider-1)+(EnemyDMGDanger-1)+(EnemyJackDMG-1)),0)*IF($A37&gt;20,(1+Max(0,((($A37-20)*(($A37-20)+1))/2)/100)*(2+Max(0,($A37-35)*0.2))),1),0)*IF(EnemyBuffed=TRUE,1.25,1),0)*EnemyDMGTaken,0),1) &amp; ")"</f>
        <v>3  (3)</v>
      </c>
      <c r="V37" s="414" t="str">
        <f>Rounddown(Round(Round((V$34+V$35*($A37-1))*(1+(EnemyDamageSlider-1)+(EnemyDMGDanger-1)+(EnemyJackDMG-1)),0)*IF($A37&gt;20,(1+Max(0,((($A37-20)*(($A37-20)+1))/2)/100)*(2+Max(0,($A37-35)*0.2))),1),0)*IF(EnemyBuffed=TRUE,1.25,1),0) &amp; "  (" &amp; MAX(ROUND(Rounddown(Round(Round((V$34+V$35*($A37-1))*(1+(EnemyDamageSlider-1)+(EnemyDMGDanger-1)+(EnemyJackDMG-1)),0)*IF($A37&gt;20,(1+Max(0,((($A37-20)*(($A37-20)+1))/2)/100)*(2+Max(0,($A37-35)*0.2))),1),0)*IF(EnemyBuffed=TRUE,1.25,1),0)*EnemyDMGTaken,0),1) &amp; ")"</f>
        <v>4  (4)</v>
      </c>
      <c r="W37" s="414" t="str">
        <f>Rounddown(Round(Round((W$34+W$35*($A37-1))*(1+(EnemyDamageSlider-1)+(EnemyDMGDanger-1)+(EnemyJackDMG-1)),0)*IF($A37&gt;20,(1+Max(0,((($A37-20)*(($A37-20)+1))/2)/100)*(2+Max(0,($A37-35)*0.2))),1),0)*IF(EnemyBuffed=TRUE,1.25,1),0) &amp; "  (" &amp; MAX(ROUND(Rounddown(Round(Round((W$34+W$35*($A37-1))*(1+(EnemyDamageSlider-1)+(EnemyDMGDanger-1)+(EnemyJackDMG-1)),0)*IF($A37&gt;20,(1+Max(0,((($A37-20)*(($A37-20)+1))/2)/100)*(2+Max(0,($A37-35)*0.2))),1),0)*IF(EnemyBuffed=TRUE,1.25,1),0)*EnemyDMGTaken,0),1) &amp; ")"</f>
        <v>4  (4)</v>
      </c>
      <c r="X37" s="414" t="str">
        <f>Rounddown(Round(Round((X$34+X$35*($A37-1))*(1+(EnemyDamageSlider-1)+(EnemyDMGDanger-1)+(EnemyJackDMG-1)),0)*IF($A37&gt;20,(1+Max(0,((($A37-20)*(($A37-20)+1))/2)/100)*(2+Max(0,($A37-35)*0.2))),1),0)*IF(EnemyBuffed=TRUE,1.25,1),0) &amp; "  (" &amp; MAX(ROUND(Rounddown(Round(Round((X$34+X$35*($A37-1))*(1+(EnemyDamageSlider-1)+(EnemyDMGDanger-1)+(EnemyJackDMG-1)),0)*IF($A37&gt;20,(1+Max(0,((($A37-20)*(($A37-20)+1))/2)/100)*(2+Max(0,($A37-35)*0.2))),1),0)*IF(EnemyBuffed=TRUE,1.25,1),0)*EnemyDMGTaken,0),1) &amp; ")"</f>
        <v>4  (4)</v>
      </c>
      <c r="Y37" s="414" t="str">
        <f>Rounddown(Round(Round((Y$34+Y$35*($A37-1))*(1+(EnemyDamageSlider-1)+(EnemyDMGDanger-1)+(EnemyJackDMG-1)),0)*IF($A37&gt;20,(1+Max(0,((($A37-20)*(($A37-20)+1))/2)/100)*(2+Max(0,($A37-35)*0.2))),1),0)*IF(EnemyBuffed=TRUE,1.25,1),0) &amp; "  (" &amp; MAX(ROUND(Rounddown(Round(Round((Y$34+Y$35*($A37-1))*(1+(EnemyDamageSlider-1)+(EnemyDMGDanger-1)+(EnemyJackDMG-1)),0)*IF($A37&gt;20,(1+Max(0,((($A37-20)*(($A37-20)+1))/2)/100)*(2+Max(0,($A37-35)*0.2))),1),0)*IF(EnemyBuffed=TRUE,1.25,1),0)*EnemyDMGTaken,0),1) &amp; ")"</f>
        <v>4  (4)</v>
      </c>
      <c r="Z37" s="414" t="str">
        <f>Rounddown(Round(Round((Z$34+Z$35*($A37-1))*(1+(EnemyDamageSlider-1)+(EnemyDMGDanger-1)+(EnemyJackDMG-1)),0)*IF($A37&gt;20,(1+Max(0,((($A37-20)*(($A37-20)+1))/2)/100)*(2+Max(0,($A37-35)*0.2))),1),0)*IF(EnemyBuffed=TRUE,1.25,1),0) &amp; "  (" &amp; MAX(ROUND(Rounddown(Round(Round((Z$34+Z$35*($A37-1))*(1+(EnemyDamageSlider-1)+(EnemyDMGDanger-1)+(EnemyJackDMG-1)),0)*IF($A37&gt;20,(1+Max(0,((($A37-20)*(($A37-20)+1))/2)/100)*(2+Max(0,($A37-35)*0.2))),1),0)*IF(EnemyBuffed=TRUE,1.25,1),0)*EnemyDMGTaken,0),1) &amp; ")"</f>
        <v>4  (4)</v>
      </c>
      <c r="AA37" s="414" t="str">
        <f>Rounddown(Round(Round((AA$34+AA$35*($A37-1))*(1+(EnemyDamageSlider-1)+(EnemyDMGDanger-1)+(EnemyJackDMG-1)),0)*IF($A37&gt;20,(1+Max(0,((($A37-20)*(($A37-20)+1))/2)/100)*(2+Max(0,($A37-35)*0.2))),1),0)*IF(EnemyBuffed=TRUE,1.25,1),0) &amp; "  (" &amp; MAX(ROUND(Rounddown(Round(Round((AA$34+AA$35*($A37-1))*(1+(EnemyDamageSlider-1)+(EnemyDMGDanger-1)+(EnemyJackDMG-1)),0)*IF($A37&gt;20,(1+Max(0,((($A37-20)*(($A37-20)+1))/2)/100)*(2+Max(0,($A37-35)*0.2))),1),0)*IF(EnemyBuffed=TRUE,1.25,1),0)*EnemyDMGTaken,0),1) &amp; ")"</f>
        <v>2  (2)</v>
      </c>
    </row>
    <row r="38">
      <c r="A38" s="150">
        <v>3.0</v>
      </c>
      <c r="B38" s="415">
        <v>0.0</v>
      </c>
      <c r="C38" s="414" t="str">
        <f>Rounddown(Round(Round((C$34+C$35*($A38-1))*(1+(EnemyDamageSlider-1)+(EnemyDMGDanger-1)+(EnemyJackDMG-1)),0)*IF($A38&gt;20,(1+Max(0,((($A38-20)*(($A38-20)+1))/2)/100)*(2+Max(0,($A38-35)*0.2))),1),0)*IF(EnemyBuffed=TRUE,1.25,1),0) &amp; "  (" &amp; MAX(ROUND(Rounddown(Round(Round((C$34+C$35*($A38-1))*(1+(EnemyDamageSlider-1)+(EnemyDMGDanger-1)+(EnemyJackDMG-1)),0)*IF($A38&gt;20,(1+Max(0,((($A38-20)*(($A38-20)+1))/2)/100)*(2+Max(0,($A38-35)*0.2))),1),0)*IF(EnemyBuffed=TRUE,1.25,1),0)*EnemyDMGTaken,0),1) &amp; ")"</f>
        <v>3  (3)</v>
      </c>
      <c r="D38" s="414" t="str">
        <f>Rounddown(Round(Round((D$34+D$35*($A38-1))*(1+(EnemyDamageSlider-1)+(EnemyDMGDanger-1)+(EnemyJackDMG-1)),0)*IF($A38&gt;20,(1+Max(0,((($A38-20)*(($A38-20)+1))/2)/100)*(2+Max(0,($A38-35)*0.2))),1),0)*IF(EnemyBuffed=TRUE,1.25,1),0) &amp; "  (" &amp; MAX(ROUND(Rounddown(Round(Round((D$34+D$35*($A38-1))*(1+(EnemyDamageSlider-1)+(EnemyDMGDanger-1)+(EnemyJackDMG-1)),0)*IF($A38&gt;20,(1+Max(0,((($A38-20)*(($A38-20)+1))/2)/100)*(2+Max(0,($A38-35)*0.2))),1),0)*IF(EnemyBuffed=TRUE,1.25,1),0)*EnemyDMGTaken,0),1) &amp; ")"</f>
        <v>3  (3)</v>
      </c>
      <c r="E38" s="414" t="str">
        <f>Rounddown(Round(Round((E$34+E$35*($A38-1))*(1+(EnemyDamageSlider-1)+(EnemyDMGDanger-1)+(EnemyJackDMG-1)),0)*IF($A38&gt;20,(1+Max(0,((($A38-20)*(($A38-20)+1))/2)/100)*(2+Max(0,($A38-35)*0.2))),1),0)*IF(EnemyBuffed=TRUE,1.25,1),0) &amp; "  (" &amp; MAX(ROUND(Rounddown(Round(Round((E$34+E$35*($A38-1))*(1+(EnemyDamageSlider-1)+(EnemyDMGDanger-1)+(EnemyJackDMG-1)),0)*IF($A38&gt;20,(1+Max(0,((($A38-20)*(($A38-20)+1))/2)/100)*(2+Max(0,($A38-35)*0.2))),1),0)*IF(EnemyBuffed=TRUE,1.25,1),0)*EnemyDMGTaken,0),1) &amp; ")"</f>
        <v>3  (3)</v>
      </c>
      <c r="F38" s="414" t="str">
        <f>Rounddown(Round(Round((F$34+F$35*($A38-1))*(1+(EnemyDamageSlider-1)+(EnemyDMGDanger-1)+(EnemyJackDMG-1)),0)*IF($A38&gt;20,(1+Max(0,((($A38-20)*(($A38-20)+1))/2)/100)*(2+Max(0,($A38-35)*0.2))),1),0)*IF(EnemyBuffed=TRUE,1.25,1),0) &amp; "  (" &amp; MAX(ROUND(Rounddown(Round(Round((F$34+F$35*($A38-1))*(1+(EnemyDamageSlider-1)+(EnemyDMGDanger-1)+(EnemyJackDMG-1)),0)*IF($A38&gt;20,(1+Max(0,((($A38-20)*(($A38-20)+1))/2)/100)*(2+Max(0,($A38-35)*0.2))),1),0)*IF(EnemyBuffed=TRUE,1.25,1),0)*EnemyDMGTaken,0),1) &amp; ")"</f>
        <v>4  (4)</v>
      </c>
      <c r="G38" s="414" t="str">
        <f>Rounddown(Round(Round((G$34+G$35*($A38-1))*(1+(EnemyDamageSlider-1)+(EnemyDMGDanger-1)+(EnemyJackDMG-1)),0)*IF($A38&gt;20,(1+Max(0,((($A38-20)*(($A38-20)+1))/2)/100)*(2+Max(0,($A38-35)*0.2))),1),0)*IF(EnemyBuffed=TRUE,1.25,1),0) &amp; "  (" &amp; MAX(ROUND(Rounddown(Round(Round((G$34+G$35*($A38-1))*(1+(EnemyDamageSlider-1)+(EnemyDMGDanger-1)+(EnemyJackDMG-1)),0)*IF($A38&gt;20,(1+Max(0,((($A38-20)*(($A38-20)+1))/2)/100)*(2+Max(0,($A38-35)*0.2))),1),0)*IF(EnemyBuffed=TRUE,1.25,1),0)*EnemyDMGTaken,0),1) &amp; ")"</f>
        <v>5  (5)</v>
      </c>
      <c r="H38" s="414" t="str">
        <f>Rounddown(Round(Round((H$34+H$35*($A38-1))*(1+(EnemyDamageSlider-1)+(EnemyDMGDanger-1)+(EnemyJackDMG-1)),0)*IF($A38&gt;20,(1+Max(0,((($A38-20)*(($A38-20)+1))/2)/100)*(2+Max(0,($A38-35)*0.2))),1),0)*IF(EnemyBuffed=TRUE,1.25,1),0) &amp; "  (" &amp; MAX(ROUND(Rounddown(Round(Round((H$34+H$35*($A38-1))*(1+(EnemyDamageSlider-1)+(EnemyDMGDanger-1)+(EnemyJackDMG-1)),0)*IF($A38&gt;20,(1+Max(0,((($A38-20)*(($A38-20)+1))/2)/100)*(2+Max(0,($A38-35)*0.2))),1),0)*IF(EnemyBuffed=TRUE,1.25,1),0)*EnemyDMGTaken,0),1) &amp; ")"</f>
        <v>5  (5)</v>
      </c>
      <c r="I38" s="414" t="str">
        <f>Rounddown(Round(Round((I$34+I$35*($A38-1))*(1+(EnemyDamageSlider-1)+(EnemyDMGDanger-1)+(EnemyJackDMG-1)),0)*IF($A38&gt;20,(1+Max(0,((($A38-20)*(($A38-20)+1))/2)/100)*(2+Max(0,($A38-35)*0.2))),1),0)*IF(EnemyBuffed=TRUE,1.25,1),0) &amp; "  (" &amp; MAX(ROUND(Rounddown(Round(Round((I$34+I$35*($A38-1))*(1+(EnemyDamageSlider-1)+(EnemyDMGDanger-1)+(EnemyJackDMG-1)),0)*IF($A38&gt;20,(1+Max(0,((($A38-20)*(($A38-20)+1))/2)/100)*(2+Max(0,($A38-35)*0.2))),1),0)*IF(EnemyBuffed=TRUE,1.25,1),0)*EnemyDMGTaken,0),1) &amp; ")"</f>
        <v>3  (3)</v>
      </c>
      <c r="J38" s="414" t="str">
        <f>Rounddown(Round(Round((J$34+J$35*($A38-1))*(1+(EnemyDamageSlider-1)+(EnemyDMGDanger-1)+(EnemyJackDMG-1)),0)*IF($A38&gt;20,(1+Max(0,((($A38-20)*(($A38-20)+1))/2)/100)*(2+Max(0,($A38-35)*0.2))),1),0)*IF(EnemyBuffed=TRUE,1.25,1),0) &amp; "  (" &amp; MAX(ROUND(Rounddown(Round(Round((J$34+J$35*($A38-1))*(1+(EnemyDamageSlider-1)+(EnemyDMGDanger-1)+(EnemyJackDMG-1)),0)*IF($A38&gt;20,(1+Max(0,((($A38-20)*(($A38-20)+1))/2)/100)*(2+Max(0,($A38-35)*0.2))),1),0)*IF(EnemyBuffed=TRUE,1.25,1),0)*EnemyDMGTaken,0),1) &amp; ")"</f>
        <v>4  (4)</v>
      </c>
      <c r="K38" s="414" t="str">
        <f>Rounddown(Round(Round((K$34+K$35*($A38-1))*(1+(EnemyDamageSlider-1)+(EnemyDMGDanger-1)+(EnemyJackDMG-1)),0)*IF($A38&gt;20,(1+Max(0,((($A38-20)*(($A38-20)+1))/2)/100)*(2+Max(0,($A38-35)*0.2))),1),0)*IF(EnemyBuffed=TRUE,1.25,1),0) &amp; "  (" &amp; MAX(ROUND(Rounddown(Round(Round((K$34+K$35*($A38-1))*(1+(EnemyDamageSlider-1)+(EnemyDMGDanger-1)+(EnemyJackDMG-1)),0)*IF($A38&gt;20,(1+Max(0,((($A38-20)*(($A38-20)+1))/2)/100)*(2+Max(0,($A38-35)*0.2))),1),0)*IF(EnemyBuffed=TRUE,1.25,1),0)*EnemyDMGTaken,0),1) &amp; ")"</f>
        <v>4  (4)</v>
      </c>
      <c r="L38" s="414" t="str">
        <f>Rounddown(Round(Round((L$34+L$35*($A38-1))*(1+(EnemyDamageSlider-1)+(EnemyDMGDanger-1)+(EnemyJackDMG-1)),0)*IF($A38&gt;20,(1+Max(0,((($A38-20)*(($A38-20)+1))/2)/100)*(2+Max(0,($A38-35)*0.2))),1),0)*IF(EnemyBuffed=TRUE,1.25,1),0) &amp; "  (" &amp; MAX(ROUND(Rounddown(Round(Round((L$34+L$35*($A38-1))*(1+(EnemyDamageSlider-1)+(EnemyDMGDanger-1)+(EnemyJackDMG-1)),0)*IF($A38&gt;20,(1+Max(0,((($A38-20)*(($A38-20)+1))/2)/100)*(2+Max(0,($A38-35)*0.2))),1),0)*IF(EnemyBuffed=TRUE,1.25,1),0)*EnemyDMGTaken,0),1) &amp; ")"</f>
        <v>4  (4)</v>
      </c>
      <c r="M38" s="414" t="str">
        <f>Rounddown(Round(Round((M$34+M$35*($A38-1))*(1+(EnemyDamageSlider-1)+(EnemyDMGDanger-1)+(EnemyJackDMG-1)),0)*IF($A38&gt;20,(1+Max(0,((($A38-20)*(($A38-20)+1))/2)/100)*(2+Max(0,($A38-35)*0.2))),1),0)*IF(EnemyBuffed=TRUE,1.25,1),0) &amp; "  (" &amp; MAX(ROUND(Rounddown(Round(Round((M$34+M$35*($A38-1))*(1+(EnemyDamageSlider-1)+(EnemyDMGDanger-1)+(EnemyJackDMG-1)),0)*IF($A38&gt;20,(1+Max(0,((($A38-20)*(($A38-20)+1))/2)/100)*(2+Max(0,($A38-35)*0.2))),1),0)*IF(EnemyBuffed=TRUE,1.25,1),0)*EnemyDMGTaken,0),1) &amp; ")"</f>
        <v>4  (4)</v>
      </c>
      <c r="N38" s="414" t="str">
        <f>Rounddown(Round(Round((N$34+N$35*($A38-1))*(1+(EnemyDamageSlider-1)+(EnemyDMGDanger-1)+(EnemyJackDMG-1)),0)*IF($A38&gt;20,(1+Max(0,((($A38-20)*(($A38-20)+1))/2)/100)*(2+Max(0,($A38-35)*0.2))),1),0)*IF(EnemyBuffed=TRUE,1.25,1),0) &amp; "  (" &amp; MAX(ROUND(Rounddown(Round(Round((N$34+N$35*($A38-1))*(1+(EnemyDamageSlider-1)+(EnemyDMGDanger-1)+(EnemyJackDMG-1)),0)*IF($A38&gt;20,(1+Max(0,((($A38-20)*(($A38-20)+1))/2)/100)*(2+Max(0,($A38-35)*0.2))),1),0)*IF(EnemyBuffed=TRUE,1.25,1),0)*EnemyDMGTaken,0),1) &amp; ")"</f>
        <v>4  (4)</v>
      </c>
      <c r="O38" s="414" t="str">
        <f>Rounddown(Round(Round((O$34+O$35*($A38-1))*(1+(EnemyDamageSlider-1)+(EnemyDMGDanger-1)+(EnemyJackDMG-1)),0)*IF($A38&gt;20,(1+Max(0,((($A38-20)*(($A38-20)+1))/2)/100)*(2+Max(0,($A38-35)*0.2))),1),0)*IF(EnemyBuffed=TRUE,1.25,1),0) &amp; "  (" &amp; MAX(ROUND(Rounddown(Round(Round((O$34+O$35*($A38-1))*(1+(EnemyDamageSlider-1)+(EnemyDMGDanger-1)+(EnemyJackDMG-1)),0)*IF($A38&gt;20,(1+Max(0,((($A38-20)*(($A38-20)+1))/2)/100)*(2+Max(0,($A38-35)*0.2))),1),0)*IF(EnemyBuffed=TRUE,1.25,1),0)*EnemyDMGTaken,0),1) &amp; ")"</f>
        <v>4  (4)</v>
      </c>
      <c r="P38" s="414" t="str">
        <f>Rounddown(Round(Round((P$34+P$35*($A38-1))*(1+(EnemyDamageSlider-1)+(EnemyDMGDanger-1)+(EnemyJackDMG-1)),0)*IF($A38&gt;20,(1+Max(0,((($A38-20)*(($A38-20)+1))/2)/100)*(2+Max(0,($A38-35)*0.2))),1),0)*IF(EnemyBuffed=TRUE,1.25,1),0) &amp; "  (" &amp; MAX(ROUND(Rounddown(Round(Round((P$34+P$35*($A38-1))*(1+(EnemyDamageSlider-1)+(EnemyDMGDanger-1)+(EnemyJackDMG-1)),0)*IF($A38&gt;20,(1+Max(0,((($A38-20)*(($A38-20)+1))/2)/100)*(2+Max(0,($A38-35)*0.2))),1),0)*IF(EnemyBuffed=TRUE,1.25,1),0)*EnemyDMGTaken,0),1) &amp; ")"</f>
        <v>4  (4)</v>
      </c>
      <c r="Q38" s="414" t="str">
        <f>Rounddown(Round(Round((Q$34+Q$35*($A38-1))*(1+(EnemyDamageSlider-1)+(EnemyDMGDanger-1)+(EnemyJackDMG-1)),0)*IF($A38&gt;20,(1+Max(0,((($A38-20)*(($A38-20)+1))/2)/100)*(2+Max(0,($A38-35)*0.2))),1),0)*IF(EnemyBuffed=TRUE,1.25,1),0) &amp; "  (" &amp; MAX(ROUND(Rounddown(Round(Round((Q$34+Q$35*($A38-1))*(1+(EnemyDamageSlider-1)+(EnemyDMGDanger-1)+(EnemyJackDMG-1)),0)*IF($A38&gt;20,(1+Max(0,((($A38-20)*(($A38-20)+1))/2)/100)*(2+Max(0,($A38-35)*0.2))),1),0)*IF(EnemyBuffed=TRUE,1.25,1),0)*EnemyDMGTaken,0),1) &amp; ")"</f>
        <v>5  (5)</v>
      </c>
      <c r="R38" s="414" t="str">
        <f>Rounddown(Round(Round((R$34+R$35*($A38-1))*(1+(EnemyDamageSlider-1)+(EnemyDMGDanger-1)+(EnemyJackDMG-1)),0)*IF($A38&gt;20,(1+Max(0,((($A38-20)*(($A38-20)+1))/2)/100)*(2+Max(0,($A38-35)*0.2))),1),0)*IF(EnemyBuffed=TRUE,1.25,1),0) &amp; "  (" &amp; MAX(ROUND(Rounddown(Round(Round((R$34+R$35*($A38-1))*(1+(EnemyDamageSlider-1)+(EnemyDMGDanger-1)+(EnemyJackDMG-1)),0)*IF($A38&gt;20,(1+Max(0,((($A38-20)*(($A38-20)+1))/2)/100)*(2+Max(0,($A38-35)*0.2))),1),0)*IF(EnemyBuffed=TRUE,1.25,1),0)*EnemyDMGTaken,0),1) &amp; ")"</f>
        <v>4  (4)</v>
      </c>
      <c r="S38" s="414" t="str">
        <f>Rounddown(Round(Round((S$34+S$35*($A38-1))*(1+(EnemyDamageSlider-1)+(EnemyDMGDanger-1)+(EnemyJackDMG-1)),0)*IF($A38&gt;20,(1+Max(0,((($A38-20)*(($A38-20)+1))/2)/100)*(2+Max(0,($A38-35)*0.2))),1),0)*IF(EnemyBuffed=TRUE,1.25,1),0) &amp; "  (" &amp; MAX(ROUND(Rounddown(Round(Round((S$34+S$35*($A38-1))*(1+(EnemyDamageSlider-1)+(EnemyDMGDanger-1)+(EnemyJackDMG-1)),0)*IF($A38&gt;20,(1+Max(0,((($A38-20)*(($A38-20)+1))/2)/100)*(2+Max(0,($A38-35)*0.2))),1),0)*IF(EnemyBuffed=TRUE,1.25,1),0)*EnemyDMGTaken,0),1) &amp; ")"</f>
        <v>3  (3)</v>
      </c>
      <c r="T38" s="414" t="str">
        <f>Rounddown(Round(Round((T$34+T$35*($A38-1))*(1+(EnemyDamageSlider-1)+(EnemyDMGDanger-1)+(EnemyJackDMG-1)),0)*IF($A38&gt;20,(1+Max(0,((($A38-20)*(($A38-20)+1))/2)/100)*(2+Max(0,($A38-35)*0.2))),1),0)*IF(EnemyBuffed=TRUE,1.25,1),0) &amp; "  (" &amp; MAX(ROUND(Rounddown(Round(Round((T$34+T$35*($A38-1))*(1+(EnemyDamageSlider-1)+(EnemyDMGDanger-1)+(EnemyJackDMG-1)),0)*IF($A38&gt;20,(1+Max(0,((($A38-20)*(($A38-20)+1))/2)/100)*(2+Max(0,($A38-35)*0.2))),1),0)*IF(EnemyBuffed=TRUE,1.25,1),0)*EnemyDMGTaken,0),1) &amp; ")"</f>
        <v>5  (5)</v>
      </c>
      <c r="U38" s="414" t="str">
        <f>Rounddown(Round(Round((U$34+U$35*($A38-1))*(1+(EnemyDamageSlider-1)+(EnemyDMGDanger-1)+(EnemyJackDMG-1)),0)*IF($A38&gt;20,(1+Max(0,((($A38-20)*(($A38-20)+1))/2)/100)*(2+Max(0,($A38-35)*0.2))),1),0)*IF(EnemyBuffed=TRUE,1.25,1),0) &amp; "  (" &amp; MAX(ROUND(Rounddown(Round(Round((U$34+U$35*($A38-1))*(1+(EnemyDamageSlider-1)+(EnemyDMGDanger-1)+(EnemyJackDMG-1)),0)*IF($A38&gt;20,(1+Max(0,((($A38-20)*(($A38-20)+1))/2)/100)*(2+Max(0,($A38-35)*0.2))),1),0)*IF(EnemyBuffed=TRUE,1.25,1),0)*EnemyDMGTaken,0),1) &amp; ")"</f>
        <v>4  (4)</v>
      </c>
      <c r="V38" s="414" t="str">
        <f>Rounddown(Round(Round((V$34+V$35*($A38-1))*(1+(EnemyDamageSlider-1)+(EnemyDMGDanger-1)+(EnemyJackDMG-1)),0)*IF($A38&gt;20,(1+Max(0,((($A38-20)*(($A38-20)+1))/2)/100)*(2+Max(0,($A38-35)*0.2))),1),0)*IF(EnemyBuffed=TRUE,1.25,1),0) &amp; "  (" &amp; MAX(ROUND(Rounddown(Round(Round((V$34+V$35*($A38-1))*(1+(EnemyDamageSlider-1)+(EnemyDMGDanger-1)+(EnemyJackDMG-1)),0)*IF($A38&gt;20,(1+Max(0,((($A38-20)*(($A38-20)+1))/2)/100)*(2+Max(0,($A38-35)*0.2))),1),0)*IF(EnemyBuffed=TRUE,1.25,1),0)*EnemyDMGTaken,0),1) &amp; ")"</f>
        <v>6  (6)</v>
      </c>
      <c r="W38" s="414" t="str">
        <f>Rounddown(Round(Round((W$34+W$35*($A38-1))*(1+(EnemyDamageSlider-1)+(EnemyDMGDanger-1)+(EnemyJackDMG-1)),0)*IF($A38&gt;20,(1+Max(0,((($A38-20)*(($A38-20)+1))/2)/100)*(2+Max(0,($A38-35)*0.2))),1),0)*IF(EnemyBuffed=TRUE,1.25,1),0) &amp; "  (" &amp; MAX(ROUND(Rounddown(Round(Round((W$34+W$35*($A38-1))*(1+(EnemyDamageSlider-1)+(EnemyDMGDanger-1)+(EnemyJackDMG-1)),0)*IF($A38&gt;20,(1+Max(0,((($A38-20)*(($A38-20)+1))/2)/100)*(2+Max(0,($A38-35)*0.2))),1),0)*IF(EnemyBuffed=TRUE,1.25,1),0)*EnemyDMGTaken,0),1) &amp; ")"</f>
        <v>6  (6)</v>
      </c>
      <c r="X38" s="414" t="str">
        <f>Rounddown(Round(Round((X$34+X$35*($A38-1))*(1+(EnemyDamageSlider-1)+(EnemyDMGDanger-1)+(EnemyJackDMG-1)),0)*IF($A38&gt;20,(1+Max(0,((($A38-20)*(($A38-20)+1))/2)/100)*(2+Max(0,($A38-35)*0.2))),1),0)*IF(EnemyBuffed=TRUE,1.25,1),0) &amp; "  (" &amp; MAX(ROUND(Rounddown(Round(Round((X$34+X$35*($A38-1))*(1+(EnemyDamageSlider-1)+(EnemyDMGDanger-1)+(EnemyJackDMG-1)),0)*IF($A38&gt;20,(1+Max(0,((($A38-20)*(($A38-20)+1))/2)/100)*(2+Max(0,($A38-35)*0.2))),1),0)*IF(EnemyBuffed=TRUE,1.25,1),0)*EnemyDMGTaken,0),1) &amp; ")"</f>
        <v>6  (6)</v>
      </c>
      <c r="Y38" s="414" t="str">
        <f>Rounddown(Round(Round((Y$34+Y$35*($A38-1))*(1+(EnemyDamageSlider-1)+(EnemyDMGDanger-1)+(EnemyJackDMG-1)),0)*IF($A38&gt;20,(1+Max(0,((($A38-20)*(($A38-20)+1))/2)/100)*(2+Max(0,($A38-35)*0.2))),1),0)*IF(EnemyBuffed=TRUE,1.25,1),0) &amp; "  (" &amp; MAX(ROUND(Rounddown(Round(Round((Y$34+Y$35*($A38-1))*(1+(EnemyDamageSlider-1)+(EnemyDMGDanger-1)+(EnemyJackDMG-1)),0)*IF($A38&gt;20,(1+Max(0,((($A38-20)*(($A38-20)+1))/2)/100)*(2+Max(0,($A38-35)*0.2))),1),0)*IF(EnemyBuffed=TRUE,1.25,1),0)*EnemyDMGTaken,0),1) &amp; ")"</f>
        <v>6  (6)</v>
      </c>
      <c r="Z38" s="414" t="str">
        <f>Rounddown(Round(Round((Z$34+Z$35*($A38-1))*(1+(EnemyDamageSlider-1)+(EnemyDMGDanger-1)+(EnemyJackDMG-1)),0)*IF($A38&gt;20,(1+Max(0,((($A38-20)*(($A38-20)+1))/2)/100)*(2+Max(0,($A38-35)*0.2))),1),0)*IF(EnemyBuffed=TRUE,1.25,1),0) &amp; "  (" &amp; MAX(ROUND(Rounddown(Round(Round((Z$34+Z$35*($A38-1))*(1+(EnemyDamageSlider-1)+(EnemyDMGDanger-1)+(EnemyJackDMG-1)),0)*IF($A38&gt;20,(1+Max(0,((($A38-20)*(($A38-20)+1))/2)/100)*(2+Max(0,($A38-35)*0.2))),1),0)*IF(EnemyBuffed=TRUE,1.25,1),0)*EnemyDMGTaken,0),1) &amp; ")"</f>
        <v>6  (6)</v>
      </c>
      <c r="AA38" s="414" t="str">
        <f>Rounddown(Round(Round((AA$34+AA$35*($A38-1))*(1+(EnemyDamageSlider-1)+(EnemyDMGDanger-1)+(EnemyJackDMG-1)),0)*IF($A38&gt;20,(1+Max(0,((($A38-20)*(($A38-20)+1))/2)/100)*(2+Max(0,($A38-35)*0.2))),1),0)*IF(EnemyBuffed=TRUE,1.25,1),0) &amp; "  (" &amp; MAX(ROUND(Rounddown(Round(Round((AA$34+AA$35*($A38-1))*(1+(EnemyDamageSlider-1)+(EnemyDMGDanger-1)+(EnemyJackDMG-1)),0)*IF($A38&gt;20,(1+Max(0,((($A38-20)*(($A38-20)+1))/2)/100)*(2+Max(0,($A38-35)*0.2))),1),0)*IF(EnemyBuffed=TRUE,1.25,1),0)*EnemyDMGTaken,0),1) &amp; ")"</f>
        <v>4  (4)</v>
      </c>
    </row>
    <row r="39">
      <c r="A39" s="150">
        <v>4.0</v>
      </c>
      <c r="B39" s="415">
        <v>0.0</v>
      </c>
      <c r="C39" s="414" t="str">
        <f>Rounddown(Round(Round((C$34+C$35*($A39-1))*(1+(EnemyDamageSlider-1)+(EnemyDMGDanger-1)+(EnemyJackDMG-1)),0)*IF($A39&gt;20,(1+Max(0,((($A39-20)*(($A39-20)+1))/2)/100)*(2+Max(0,($A39-35)*0.2))),1),0)*IF(EnemyBuffed=TRUE,1.25,1),0) &amp; "  (" &amp; MAX(ROUND(Rounddown(Round(Round((C$34+C$35*($A39-1))*(1+(EnemyDamageSlider-1)+(EnemyDMGDanger-1)+(EnemyJackDMG-1)),0)*IF($A39&gt;20,(1+Max(0,((($A39-20)*(($A39-20)+1))/2)/100)*(2+Max(0,($A39-35)*0.2))),1),0)*IF(EnemyBuffed=TRUE,1.25,1),0)*EnemyDMGTaken,0),1) &amp; ")"</f>
        <v>4  (4)</v>
      </c>
      <c r="D39" s="414" t="str">
        <f>Rounddown(Round(Round((D$34+D$35*($A39-1))*(1+(EnemyDamageSlider-1)+(EnemyDMGDanger-1)+(EnemyJackDMG-1)),0)*IF($A39&gt;20,(1+Max(0,((($A39-20)*(($A39-20)+1))/2)/100)*(2+Max(0,($A39-35)*0.2))),1),0)*IF(EnemyBuffed=TRUE,1.25,1),0) &amp; "  (" &amp; MAX(ROUND(Rounddown(Round(Round((D$34+D$35*($A39-1))*(1+(EnemyDamageSlider-1)+(EnemyDMGDanger-1)+(EnemyJackDMG-1)),0)*IF($A39&gt;20,(1+Max(0,((($A39-20)*(($A39-20)+1))/2)/100)*(2+Max(0,($A39-35)*0.2))),1),0)*IF(EnemyBuffed=TRUE,1.25,1),0)*EnemyDMGTaken,0),1) &amp; ")"</f>
        <v>4  (4)</v>
      </c>
      <c r="E39" s="414" t="str">
        <f>Rounddown(Round(Round((E$34+E$35*($A39-1))*(1+(EnemyDamageSlider-1)+(EnemyDMGDanger-1)+(EnemyJackDMG-1)),0)*IF($A39&gt;20,(1+Max(0,((($A39-20)*(($A39-20)+1))/2)/100)*(2+Max(0,($A39-35)*0.2))),1),0)*IF(EnemyBuffed=TRUE,1.25,1),0) &amp; "  (" &amp; MAX(ROUND(Rounddown(Round(Round((E$34+E$35*($A39-1))*(1+(EnemyDamageSlider-1)+(EnemyDMGDanger-1)+(EnemyJackDMG-1)),0)*IF($A39&gt;20,(1+Max(0,((($A39-20)*(($A39-20)+1))/2)/100)*(2+Max(0,($A39-35)*0.2))),1),0)*IF(EnemyBuffed=TRUE,1.25,1),0)*EnemyDMGTaken,0),1) &amp; ")"</f>
        <v>4  (4)</v>
      </c>
      <c r="F39" s="414" t="str">
        <f>Rounddown(Round(Round((F$34+F$35*($A39-1))*(1+(EnemyDamageSlider-1)+(EnemyDMGDanger-1)+(EnemyJackDMG-1)),0)*IF($A39&gt;20,(1+Max(0,((($A39-20)*(($A39-20)+1))/2)/100)*(2+Max(0,($A39-35)*0.2))),1),0)*IF(EnemyBuffed=TRUE,1.25,1),0) &amp; "  (" &amp; MAX(ROUND(Rounddown(Round(Round((F$34+F$35*($A39-1))*(1+(EnemyDamageSlider-1)+(EnemyDMGDanger-1)+(EnemyJackDMG-1)),0)*IF($A39&gt;20,(1+Max(0,((($A39-20)*(($A39-20)+1))/2)/100)*(2+Max(0,($A39-35)*0.2))),1),0)*IF(EnemyBuffed=TRUE,1.25,1),0)*EnemyDMGTaken,0),1) &amp; ")"</f>
        <v>5  (5)</v>
      </c>
      <c r="G39" s="414" t="str">
        <f>Rounddown(Round(Round((G$34+G$35*($A39-1))*(1+(EnemyDamageSlider-1)+(EnemyDMGDanger-1)+(EnemyJackDMG-1)),0)*IF($A39&gt;20,(1+Max(0,((($A39-20)*(($A39-20)+1))/2)/100)*(2+Max(0,($A39-35)*0.2))),1),0)*IF(EnemyBuffed=TRUE,1.25,1),0) &amp; "  (" &amp; MAX(ROUND(Rounddown(Round(Round((G$34+G$35*($A39-1))*(1+(EnemyDamageSlider-1)+(EnemyDMGDanger-1)+(EnemyJackDMG-1)),0)*IF($A39&gt;20,(1+Max(0,((($A39-20)*(($A39-20)+1))/2)/100)*(2+Max(0,($A39-35)*0.2))),1),0)*IF(EnemyBuffed=TRUE,1.25,1),0)*EnemyDMGTaken,0),1) &amp; ")"</f>
        <v>6  (6)</v>
      </c>
      <c r="H39" s="414" t="str">
        <f>Rounddown(Round(Round((H$34+H$35*($A39-1))*(1+(EnemyDamageSlider-1)+(EnemyDMGDanger-1)+(EnemyJackDMG-1)),0)*IF($A39&gt;20,(1+Max(0,((($A39-20)*(($A39-20)+1))/2)/100)*(2+Max(0,($A39-35)*0.2))),1),0)*IF(EnemyBuffed=TRUE,1.25,1),0) &amp; "  (" &amp; MAX(ROUND(Rounddown(Round(Round((H$34+H$35*($A39-1))*(1+(EnemyDamageSlider-1)+(EnemyDMGDanger-1)+(EnemyJackDMG-1)),0)*IF($A39&gt;20,(1+Max(0,((($A39-20)*(($A39-20)+1))/2)/100)*(2+Max(0,($A39-35)*0.2))),1),0)*IF(EnemyBuffed=TRUE,1.25,1),0)*EnemyDMGTaken,0),1) &amp; ")"</f>
        <v>6  (6)</v>
      </c>
      <c r="I39" s="414" t="str">
        <f>Rounddown(Round(Round((I$34+I$35*($A39-1))*(1+(EnemyDamageSlider-1)+(EnemyDMGDanger-1)+(EnemyJackDMG-1)),0)*IF($A39&gt;20,(1+Max(0,((($A39-20)*(($A39-20)+1))/2)/100)*(2+Max(0,($A39-35)*0.2))),1),0)*IF(EnemyBuffed=TRUE,1.25,1),0) &amp; "  (" &amp; MAX(ROUND(Rounddown(Round(Round((I$34+I$35*($A39-1))*(1+(EnemyDamageSlider-1)+(EnemyDMGDanger-1)+(EnemyJackDMG-1)),0)*IF($A39&gt;20,(1+Max(0,((($A39-20)*(($A39-20)+1))/2)/100)*(2+Max(0,($A39-35)*0.2))),1),0)*IF(EnemyBuffed=TRUE,1.25,1),0)*EnemyDMGTaken,0),1) &amp; ")"</f>
        <v>4  (4)</v>
      </c>
      <c r="J39" s="414" t="str">
        <f>Rounddown(Round(Round((J$34+J$35*($A39-1))*(1+(EnemyDamageSlider-1)+(EnemyDMGDanger-1)+(EnemyJackDMG-1)),0)*IF($A39&gt;20,(1+Max(0,((($A39-20)*(($A39-20)+1))/2)/100)*(2+Max(0,($A39-35)*0.2))),1),0)*IF(EnemyBuffed=TRUE,1.25,1),0) &amp; "  (" &amp; MAX(ROUND(Rounddown(Round(Round((J$34+J$35*($A39-1))*(1+(EnemyDamageSlider-1)+(EnemyDMGDanger-1)+(EnemyJackDMG-1)),0)*IF($A39&gt;20,(1+Max(0,((($A39-20)*(($A39-20)+1))/2)/100)*(2+Max(0,($A39-35)*0.2))),1),0)*IF(EnemyBuffed=TRUE,1.25,1),0)*EnemyDMGTaken,0),1) &amp; ")"</f>
        <v>5  (5)</v>
      </c>
      <c r="K39" s="414" t="str">
        <f>Rounddown(Round(Round((K$34+K$35*($A39-1))*(1+(EnemyDamageSlider-1)+(EnemyDMGDanger-1)+(EnemyJackDMG-1)),0)*IF($A39&gt;20,(1+Max(0,((($A39-20)*(($A39-20)+1))/2)/100)*(2+Max(0,($A39-35)*0.2))),1),0)*IF(EnemyBuffed=TRUE,1.25,1),0) &amp; "  (" &amp; MAX(ROUND(Rounddown(Round(Round((K$34+K$35*($A39-1))*(1+(EnemyDamageSlider-1)+(EnemyDMGDanger-1)+(EnemyJackDMG-1)),0)*IF($A39&gt;20,(1+Max(0,((($A39-20)*(($A39-20)+1))/2)/100)*(2+Max(0,($A39-35)*0.2))),1),0)*IF(EnemyBuffed=TRUE,1.25,1),0)*EnemyDMGTaken,0),1) &amp; ")"</f>
        <v>5  (5)</v>
      </c>
      <c r="L39" s="414" t="str">
        <f>Rounddown(Round(Round((L$34+L$35*($A39-1))*(1+(EnemyDamageSlider-1)+(EnemyDMGDanger-1)+(EnemyJackDMG-1)),0)*IF($A39&gt;20,(1+Max(0,((($A39-20)*(($A39-20)+1))/2)/100)*(2+Max(0,($A39-35)*0.2))),1),0)*IF(EnemyBuffed=TRUE,1.25,1),0) &amp; "  (" &amp; MAX(ROUND(Rounddown(Round(Round((L$34+L$35*($A39-1))*(1+(EnemyDamageSlider-1)+(EnemyDMGDanger-1)+(EnemyJackDMG-1)),0)*IF($A39&gt;20,(1+Max(0,((($A39-20)*(($A39-20)+1))/2)/100)*(2+Max(0,($A39-35)*0.2))),1),0)*IF(EnemyBuffed=TRUE,1.25,1),0)*EnemyDMGTaken,0),1) &amp; ")"</f>
        <v>5  (5)</v>
      </c>
      <c r="M39" s="414" t="str">
        <f>Rounddown(Round(Round((M$34+M$35*($A39-1))*(1+(EnemyDamageSlider-1)+(EnemyDMGDanger-1)+(EnemyJackDMG-1)),0)*IF($A39&gt;20,(1+Max(0,((($A39-20)*(($A39-20)+1))/2)/100)*(2+Max(0,($A39-35)*0.2))),1),0)*IF(EnemyBuffed=TRUE,1.25,1),0) &amp; "  (" &amp; MAX(ROUND(Rounddown(Round(Round((M$34+M$35*($A39-1))*(1+(EnemyDamageSlider-1)+(EnemyDMGDanger-1)+(EnemyJackDMG-1)),0)*IF($A39&gt;20,(1+Max(0,((($A39-20)*(($A39-20)+1))/2)/100)*(2+Max(0,($A39-35)*0.2))),1),0)*IF(EnemyBuffed=TRUE,1.25,1),0)*EnemyDMGTaken,0),1) &amp; ")"</f>
        <v>6  (6)</v>
      </c>
      <c r="N39" s="414" t="str">
        <f>Rounddown(Round(Round((N$34+N$35*($A39-1))*(1+(EnemyDamageSlider-1)+(EnemyDMGDanger-1)+(EnemyJackDMG-1)),0)*IF($A39&gt;20,(1+Max(0,((($A39-20)*(($A39-20)+1))/2)/100)*(2+Max(0,($A39-35)*0.2))),1),0)*IF(EnemyBuffed=TRUE,1.25,1),0) &amp; "  (" &amp; MAX(ROUND(Rounddown(Round(Round((N$34+N$35*($A39-1))*(1+(EnemyDamageSlider-1)+(EnemyDMGDanger-1)+(EnemyJackDMG-1)),0)*IF($A39&gt;20,(1+Max(0,((($A39-20)*(($A39-20)+1))/2)/100)*(2+Max(0,($A39-35)*0.2))),1),0)*IF(EnemyBuffed=TRUE,1.25,1),0)*EnemyDMGTaken,0),1) &amp; ")"</f>
        <v>6  (6)</v>
      </c>
      <c r="O39" s="414" t="str">
        <f>Rounddown(Round(Round((O$34+O$35*($A39-1))*(1+(EnemyDamageSlider-1)+(EnemyDMGDanger-1)+(EnemyJackDMG-1)),0)*IF($A39&gt;20,(1+Max(0,((($A39-20)*(($A39-20)+1))/2)/100)*(2+Max(0,($A39-35)*0.2))),1),0)*IF(EnemyBuffed=TRUE,1.25,1),0) &amp; "  (" &amp; MAX(ROUND(Rounddown(Round(Round((O$34+O$35*($A39-1))*(1+(EnemyDamageSlider-1)+(EnemyDMGDanger-1)+(EnemyJackDMG-1)),0)*IF($A39&gt;20,(1+Max(0,((($A39-20)*(($A39-20)+1))/2)/100)*(2+Max(0,($A39-35)*0.2))),1),0)*IF(EnemyBuffed=TRUE,1.25,1),0)*EnemyDMGTaken,0),1) &amp; ")"</f>
        <v>5  (5)</v>
      </c>
      <c r="P39" s="414" t="str">
        <f>Rounddown(Round(Round((P$34+P$35*($A39-1))*(1+(EnemyDamageSlider-1)+(EnemyDMGDanger-1)+(EnemyJackDMG-1)),0)*IF($A39&gt;20,(1+Max(0,((($A39-20)*(($A39-20)+1))/2)/100)*(2+Max(0,($A39-35)*0.2))),1),0)*IF(EnemyBuffed=TRUE,1.25,1),0) &amp; "  (" &amp; MAX(ROUND(Rounddown(Round(Round((P$34+P$35*($A39-1))*(1+(EnemyDamageSlider-1)+(EnemyDMGDanger-1)+(EnemyJackDMG-1)),0)*IF($A39&gt;20,(1+Max(0,((($A39-20)*(($A39-20)+1))/2)/100)*(2+Max(0,($A39-35)*0.2))),1),0)*IF(EnemyBuffed=TRUE,1.25,1),0)*EnemyDMGTaken,0),1) &amp; ")"</f>
        <v>6  (6)</v>
      </c>
      <c r="Q39" s="414" t="str">
        <f>Rounddown(Round(Round((Q$34+Q$35*($A39-1))*(1+(EnemyDamageSlider-1)+(EnemyDMGDanger-1)+(EnemyJackDMG-1)),0)*IF($A39&gt;20,(1+Max(0,((($A39-20)*(($A39-20)+1))/2)/100)*(2+Max(0,($A39-35)*0.2))),1),0)*IF(EnemyBuffed=TRUE,1.25,1),0) &amp; "  (" &amp; MAX(ROUND(Rounddown(Round(Round((Q$34+Q$35*($A39-1))*(1+(EnemyDamageSlider-1)+(EnemyDMGDanger-1)+(EnemyJackDMG-1)),0)*IF($A39&gt;20,(1+Max(0,((($A39-20)*(($A39-20)+1))/2)/100)*(2+Max(0,($A39-35)*0.2))),1),0)*IF(EnemyBuffed=TRUE,1.25,1),0)*EnemyDMGTaken,0),1) &amp; ")"</f>
        <v>6  (6)</v>
      </c>
      <c r="R39" s="414" t="str">
        <f>Rounddown(Round(Round((R$34+R$35*($A39-1))*(1+(EnemyDamageSlider-1)+(EnemyDMGDanger-1)+(EnemyJackDMG-1)),0)*IF($A39&gt;20,(1+Max(0,((($A39-20)*(($A39-20)+1))/2)/100)*(2+Max(0,($A39-35)*0.2))),1),0)*IF(EnemyBuffed=TRUE,1.25,1),0) &amp; "  (" &amp; MAX(ROUND(Rounddown(Round(Round((R$34+R$35*($A39-1))*(1+(EnemyDamageSlider-1)+(EnemyDMGDanger-1)+(EnemyJackDMG-1)),0)*IF($A39&gt;20,(1+Max(0,((($A39-20)*(($A39-20)+1))/2)/100)*(2+Max(0,($A39-35)*0.2))),1),0)*IF(EnemyBuffed=TRUE,1.25,1),0)*EnemyDMGTaken,0),1) &amp; ")"</f>
        <v>6  (6)</v>
      </c>
      <c r="S39" s="414" t="str">
        <f>Rounddown(Round(Round((S$34+S$35*($A39-1))*(1+(EnemyDamageSlider-1)+(EnemyDMGDanger-1)+(EnemyJackDMG-1)),0)*IF($A39&gt;20,(1+Max(0,((($A39-20)*(($A39-20)+1))/2)/100)*(2+Max(0,($A39-35)*0.2))),1),0)*IF(EnemyBuffed=TRUE,1.25,1),0) &amp; "  (" &amp; MAX(ROUND(Rounddown(Round(Round((S$34+S$35*($A39-1))*(1+(EnemyDamageSlider-1)+(EnemyDMGDanger-1)+(EnemyJackDMG-1)),0)*IF($A39&gt;20,(1+Max(0,((($A39-20)*(($A39-20)+1))/2)/100)*(2+Max(0,($A39-35)*0.2))),1),0)*IF(EnemyBuffed=TRUE,1.25,1),0)*EnemyDMGTaken,0),1) &amp; ")"</f>
        <v>4  (4)</v>
      </c>
      <c r="T39" s="414" t="str">
        <f>Rounddown(Round(Round((T$34+T$35*($A39-1))*(1+(EnemyDamageSlider-1)+(EnemyDMGDanger-1)+(EnemyJackDMG-1)),0)*IF($A39&gt;20,(1+Max(0,((($A39-20)*(($A39-20)+1))/2)/100)*(2+Max(0,($A39-35)*0.2))),1),0)*IF(EnemyBuffed=TRUE,1.25,1),0) &amp; "  (" &amp; MAX(ROUND(Rounddown(Round(Round((T$34+T$35*($A39-1))*(1+(EnemyDamageSlider-1)+(EnemyDMGDanger-1)+(EnemyJackDMG-1)),0)*IF($A39&gt;20,(1+Max(0,((($A39-20)*(($A39-20)+1))/2)/100)*(2+Max(0,($A39-35)*0.2))),1),0)*IF(EnemyBuffed=TRUE,1.25,1),0)*EnemyDMGTaken,0),1) &amp; ")"</f>
        <v>6  (6)</v>
      </c>
      <c r="U39" s="414" t="str">
        <f>Rounddown(Round(Round((U$34+U$35*($A39-1))*(1+(EnemyDamageSlider-1)+(EnemyDMGDanger-1)+(EnemyJackDMG-1)),0)*IF($A39&gt;20,(1+Max(0,((($A39-20)*(($A39-20)+1))/2)/100)*(2+Max(0,($A39-35)*0.2))),1),0)*IF(EnemyBuffed=TRUE,1.25,1),0) &amp; "  (" &amp; MAX(ROUND(Rounddown(Round(Round((U$34+U$35*($A39-1))*(1+(EnemyDamageSlider-1)+(EnemyDMGDanger-1)+(EnemyJackDMG-1)),0)*IF($A39&gt;20,(1+Max(0,((($A39-20)*(($A39-20)+1))/2)/100)*(2+Max(0,($A39-35)*0.2))),1),0)*IF(EnemyBuffed=TRUE,1.25,1),0)*EnemyDMGTaken,0),1) &amp; ")"</f>
        <v>6  (6)</v>
      </c>
      <c r="V39" s="414" t="str">
        <f>Rounddown(Round(Round((V$34+V$35*($A39-1))*(1+(EnemyDamageSlider-1)+(EnemyDMGDanger-1)+(EnemyJackDMG-1)),0)*IF($A39&gt;20,(1+Max(0,((($A39-20)*(($A39-20)+1))/2)/100)*(2+Max(0,($A39-35)*0.2))),1),0)*IF(EnemyBuffed=TRUE,1.25,1),0) &amp; "  (" &amp; MAX(ROUND(Rounddown(Round(Round((V$34+V$35*($A39-1))*(1+(EnemyDamageSlider-1)+(EnemyDMGDanger-1)+(EnemyJackDMG-1)),0)*IF($A39&gt;20,(1+Max(0,((($A39-20)*(($A39-20)+1))/2)/100)*(2+Max(0,($A39-35)*0.2))),1),0)*IF(EnemyBuffed=TRUE,1.25,1),0)*EnemyDMGTaken,0),1) &amp; ")"</f>
        <v>8  (8)</v>
      </c>
      <c r="W39" s="414" t="str">
        <f>Rounddown(Round(Round((W$34+W$35*($A39-1))*(1+(EnemyDamageSlider-1)+(EnemyDMGDanger-1)+(EnemyJackDMG-1)),0)*IF($A39&gt;20,(1+Max(0,((($A39-20)*(($A39-20)+1))/2)/100)*(2+Max(0,($A39-35)*0.2))),1),0)*IF(EnemyBuffed=TRUE,1.25,1),0) &amp; "  (" &amp; MAX(ROUND(Rounddown(Round(Round((W$34+W$35*($A39-1))*(1+(EnemyDamageSlider-1)+(EnemyDMGDanger-1)+(EnemyJackDMG-1)),0)*IF($A39&gt;20,(1+Max(0,((($A39-20)*(($A39-20)+1))/2)/100)*(2+Max(0,($A39-35)*0.2))),1),0)*IF(EnemyBuffed=TRUE,1.25,1),0)*EnemyDMGTaken,0),1) &amp; ")"</f>
        <v>8  (8)</v>
      </c>
      <c r="X39" s="414" t="str">
        <f>Rounddown(Round(Round((X$34+X$35*($A39-1))*(1+(EnemyDamageSlider-1)+(EnemyDMGDanger-1)+(EnemyJackDMG-1)),0)*IF($A39&gt;20,(1+Max(0,((($A39-20)*(($A39-20)+1))/2)/100)*(2+Max(0,($A39-35)*0.2))),1),0)*IF(EnemyBuffed=TRUE,1.25,1),0) &amp; "  (" &amp; MAX(ROUND(Rounddown(Round(Round((X$34+X$35*($A39-1))*(1+(EnemyDamageSlider-1)+(EnemyDMGDanger-1)+(EnemyJackDMG-1)),0)*IF($A39&gt;20,(1+Max(0,((($A39-20)*(($A39-20)+1))/2)/100)*(2+Max(0,($A39-35)*0.2))),1),0)*IF(EnemyBuffed=TRUE,1.25,1),0)*EnemyDMGTaken,0),1) &amp; ")"</f>
        <v>8  (8)</v>
      </c>
      <c r="Y39" s="414" t="str">
        <f>Rounddown(Round(Round((Y$34+Y$35*($A39-1))*(1+(EnemyDamageSlider-1)+(EnemyDMGDanger-1)+(EnemyJackDMG-1)),0)*IF($A39&gt;20,(1+Max(0,((($A39-20)*(($A39-20)+1))/2)/100)*(2+Max(0,($A39-35)*0.2))),1),0)*IF(EnemyBuffed=TRUE,1.25,1),0) &amp; "  (" &amp; MAX(ROUND(Rounddown(Round(Round((Y$34+Y$35*($A39-1))*(1+(EnemyDamageSlider-1)+(EnemyDMGDanger-1)+(EnemyJackDMG-1)),0)*IF($A39&gt;20,(1+Max(0,((($A39-20)*(($A39-20)+1))/2)/100)*(2+Max(0,($A39-35)*0.2))),1),0)*IF(EnemyBuffed=TRUE,1.25,1),0)*EnemyDMGTaken,0),1) &amp; ")"</f>
        <v>8  (8)</v>
      </c>
      <c r="Z39" s="414" t="str">
        <f>Rounddown(Round(Round((Z$34+Z$35*($A39-1))*(1+(EnemyDamageSlider-1)+(EnemyDMGDanger-1)+(EnemyJackDMG-1)),0)*IF($A39&gt;20,(1+Max(0,((($A39-20)*(($A39-20)+1))/2)/100)*(2+Max(0,($A39-35)*0.2))),1),0)*IF(EnemyBuffed=TRUE,1.25,1),0) &amp; "  (" &amp; MAX(ROUND(Rounddown(Round(Round((Z$34+Z$35*($A39-1))*(1+(EnemyDamageSlider-1)+(EnemyDMGDanger-1)+(EnemyJackDMG-1)),0)*IF($A39&gt;20,(1+Max(0,((($A39-20)*(($A39-20)+1))/2)/100)*(2+Max(0,($A39-35)*0.2))),1),0)*IF(EnemyBuffed=TRUE,1.25,1),0)*EnemyDMGTaken,0),1) &amp; ")"</f>
        <v>8  (8)</v>
      </c>
      <c r="AA39" s="414" t="str">
        <f>Rounddown(Round(Round((AA$34+AA$35*($A39-1))*(1+(EnemyDamageSlider-1)+(EnemyDMGDanger-1)+(EnemyJackDMG-1)),0)*IF($A39&gt;20,(1+Max(0,((($A39-20)*(($A39-20)+1))/2)/100)*(2+Max(0,($A39-35)*0.2))),1),0)*IF(EnemyBuffed=TRUE,1.25,1),0) &amp; "  (" &amp; MAX(ROUND(Rounddown(Round(Round((AA$34+AA$35*($A39-1))*(1+(EnemyDamageSlider-1)+(EnemyDMGDanger-1)+(EnemyJackDMG-1)),0)*IF($A39&gt;20,(1+Max(0,((($A39-20)*(($A39-20)+1))/2)/100)*(2+Max(0,($A39-35)*0.2))),1),0)*IF(EnemyBuffed=TRUE,1.25,1),0)*EnemyDMGTaken,0),1) &amp; ")"</f>
        <v>5  (5)</v>
      </c>
    </row>
    <row r="40">
      <c r="A40" s="150">
        <v>5.0</v>
      </c>
      <c r="B40" s="415">
        <v>0.0</v>
      </c>
      <c r="C40" s="414" t="str">
        <f>Rounddown(Round(Round((C$34+C$35*($A40-1))*(1+(EnemyDamageSlider-1)+(EnemyDMGDanger-1)+(EnemyJackDMG-1)),0)*IF($A40&gt;20,(1+Max(0,((($A40-20)*(($A40-20)+1))/2)/100)*(2+Max(0,($A40-35)*0.2))),1),0)*IF(EnemyBuffed=TRUE,1.25,1),0) &amp; "  (" &amp; MAX(ROUND(Rounddown(Round(Round((C$34+C$35*($A40-1))*(1+(EnemyDamageSlider-1)+(EnemyDMGDanger-1)+(EnemyJackDMG-1)),0)*IF($A40&gt;20,(1+Max(0,((($A40-20)*(($A40-20)+1))/2)/100)*(2+Max(0,($A40-35)*0.2))),1),0)*IF(EnemyBuffed=TRUE,1.25,1),0)*EnemyDMGTaken,0),1) &amp; ")"</f>
        <v>5  (5)</v>
      </c>
      <c r="D40" s="414" t="str">
        <f>Rounddown(Round(Round((D$34+D$35*($A40-1))*(1+(EnemyDamageSlider-1)+(EnemyDMGDanger-1)+(EnemyJackDMG-1)),0)*IF($A40&gt;20,(1+Max(0,((($A40-20)*(($A40-20)+1))/2)/100)*(2+Max(0,($A40-35)*0.2))),1),0)*IF(EnemyBuffed=TRUE,1.25,1),0) &amp; "  (" &amp; MAX(ROUND(Rounddown(Round(Round((D$34+D$35*($A40-1))*(1+(EnemyDamageSlider-1)+(EnemyDMGDanger-1)+(EnemyJackDMG-1)),0)*IF($A40&gt;20,(1+Max(0,((($A40-20)*(($A40-20)+1))/2)/100)*(2+Max(0,($A40-35)*0.2))),1),0)*IF(EnemyBuffed=TRUE,1.25,1),0)*EnemyDMGTaken,0),1) &amp; ")"</f>
        <v>5  (5)</v>
      </c>
      <c r="E40" s="414" t="str">
        <f>Rounddown(Round(Round((E$34+E$35*($A40-1))*(1+(EnemyDamageSlider-1)+(EnemyDMGDanger-1)+(EnemyJackDMG-1)),0)*IF($A40&gt;20,(1+Max(0,((($A40-20)*(($A40-20)+1))/2)/100)*(2+Max(0,($A40-35)*0.2))),1),0)*IF(EnemyBuffed=TRUE,1.25,1),0) &amp; "  (" &amp; MAX(ROUND(Rounddown(Round(Round((E$34+E$35*($A40-1))*(1+(EnemyDamageSlider-1)+(EnemyDMGDanger-1)+(EnemyJackDMG-1)),0)*IF($A40&gt;20,(1+Max(0,((($A40-20)*(($A40-20)+1))/2)/100)*(2+Max(0,($A40-35)*0.2))),1),0)*IF(EnemyBuffed=TRUE,1.25,1),0)*EnemyDMGTaken,0),1) &amp; ")"</f>
        <v>5  (5)</v>
      </c>
      <c r="F40" s="414" t="str">
        <f>Rounddown(Round(Round((F$34+F$35*($A40-1))*(1+(EnemyDamageSlider-1)+(EnemyDMGDanger-1)+(EnemyJackDMG-1)),0)*IF($A40&gt;20,(1+Max(0,((($A40-20)*(($A40-20)+1))/2)/100)*(2+Max(0,($A40-35)*0.2))),1),0)*IF(EnemyBuffed=TRUE,1.25,1),0) &amp; "  (" &amp; MAX(ROUND(Rounddown(Round(Round((F$34+F$35*($A40-1))*(1+(EnemyDamageSlider-1)+(EnemyDMGDanger-1)+(EnemyJackDMG-1)),0)*IF($A40&gt;20,(1+Max(0,((($A40-20)*(($A40-20)+1))/2)/100)*(2+Max(0,($A40-35)*0.2))),1),0)*IF(EnemyBuffed=TRUE,1.25,1),0)*EnemyDMGTaken,0),1) &amp; ")"</f>
        <v>6  (6)</v>
      </c>
      <c r="G40" s="414" t="str">
        <f>Rounddown(Round(Round((G$34+G$35*($A40-1))*(1+(EnemyDamageSlider-1)+(EnemyDMGDanger-1)+(EnemyJackDMG-1)),0)*IF($A40&gt;20,(1+Max(0,((($A40-20)*(($A40-20)+1))/2)/100)*(2+Max(0,($A40-35)*0.2))),1),0)*IF(EnemyBuffed=TRUE,1.25,1),0) &amp; "  (" &amp; MAX(ROUND(Rounddown(Round(Round((G$34+G$35*($A40-1))*(1+(EnemyDamageSlider-1)+(EnemyDMGDanger-1)+(EnemyJackDMG-1)),0)*IF($A40&gt;20,(1+Max(0,((($A40-20)*(($A40-20)+1))/2)/100)*(2+Max(0,($A40-35)*0.2))),1),0)*IF(EnemyBuffed=TRUE,1.25,1),0)*EnemyDMGTaken,0),1) &amp; ")"</f>
        <v>8  (8)</v>
      </c>
      <c r="H40" s="414" t="str">
        <f>Rounddown(Round(Round((H$34+H$35*($A40-1))*(1+(EnemyDamageSlider-1)+(EnemyDMGDanger-1)+(EnemyJackDMG-1)),0)*IF($A40&gt;20,(1+Max(0,((($A40-20)*(($A40-20)+1))/2)/100)*(2+Max(0,($A40-35)*0.2))),1),0)*IF(EnemyBuffed=TRUE,1.25,1),0) &amp; "  (" &amp; MAX(ROUND(Rounddown(Round(Round((H$34+H$35*($A40-1))*(1+(EnemyDamageSlider-1)+(EnemyDMGDanger-1)+(EnemyJackDMG-1)),0)*IF($A40&gt;20,(1+Max(0,((($A40-20)*(($A40-20)+1))/2)/100)*(2+Max(0,($A40-35)*0.2))),1),0)*IF(EnemyBuffed=TRUE,1.25,1),0)*EnemyDMGTaken,0),1) &amp; ")"</f>
        <v>8  (8)</v>
      </c>
      <c r="I40" s="414" t="str">
        <f>Rounddown(Round(Round((I$34+I$35*($A40-1))*(1+(EnemyDamageSlider-1)+(EnemyDMGDanger-1)+(EnemyJackDMG-1)),0)*IF($A40&gt;20,(1+Max(0,((($A40-20)*(($A40-20)+1))/2)/100)*(2+Max(0,($A40-35)*0.2))),1),0)*IF(EnemyBuffed=TRUE,1.25,1),0) &amp; "  (" &amp; MAX(ROUND(Rounddown(Round(Round((I$34+I$35*($A40-1))*(1+(EnemyDamageSlider-1)+(EnemyDMGDanger-1)+(EnemyJackDMG-1)),0)*IF($A40&gt;20,(1+Max(0,((($A40-20)*(($A40-20)+1))/2)/100)*(2+Max(0,($A40-35)*0.2))),1),0)*IF(EnemyBuffed=TRUE,1.25,1),0)*EnemyDMGTaken,0),1) &amp; ")"</f>
        <v>5  (5)</v>
      </c>
      <c r="J40" s="414" t="str">
        <f>Rounddown(Round(Round((J$34+J$35*($A40-1))*(1+(EnemyDamageSlider-1)+(EnemyDMGDanger-1)+(EnemyJackDMG-1)),0)*IF($A40&gt;20,(1+Max(0,((($A40-20)*(($A40-20)+1))/2)/100)*(2+Max(0,($A40-35)*0.2))),1),0)*IF(EnemyBuffed=TRUE,1.25,1),0) &amp; "  (" &amp; MAX(ROUND(Rounddown(Round(Round((J$34+J$35*($A40-1))*(1+(EnemyDamageSlider-1)+(EnemyDMGDanger-1)+(EnemyJackDMG-1)),0)*IF($A40&gt;20,(1+Max(0,((($A40-20)*(($A40-20)+1))/2)/100)*(2+Max(0,($A40-35)*0.2))),1),0)*IF(EnemyBuffed=TRUE,1.25,1),0)*EnemyDMGTaken,0),1) &amp; ")"</f>
        <v>6  (6)</v>
      </c>
      <c r="K40" s="414" t="str">
        <f>Rounddown(Round(Round((K$34+K$35*($A40-1))*(1+(EnemyDamageSlider-1)+(EnemyDMGDanger-1)+(EnemyJackDMG-1)),0)*IF($A40&gt;20,(1+Max(0,((($A40-20)*(($A40-20)+1))/2)/100)*(2+Max(0,($A40-35)*0.2))),1),0)*IF(EnemyBuffed=TRUE,1.25,1),0) &amp; "  (" &amp; MAX(ROUND(Rounddown(Round(Round((K$34+K$35*($A40-1))*(1+(EnemyDamageSlider-1)+(EnemyDMGDanger-1)+(EnemyJackDMG-1)),0)*IF($A40&gt;20,(1+Max(0,((($A40-20)*(($A40-20)+1))/2)/100)*(2+Max(0,($A40-35)*0.2))),1),0)*IF(EnemyBuffed=TRUE,1.25,1),0)*EnemyDMGTaken,0),1) &amp; ")"</f>
        <v>6  (6)</v>
      </c>
      <c r="L40" s="414" t="str">
        <f>Rounddown(Round(Round((L$34+L$35*($A40-1))*(1+(EnemyDamageSlider-1)+(EnemyDMGDanger-1)+(EnemyJackDMG-1)),0)*IF($A40&gt;20,(1+Max(0,((($A40-20)*(($A40-20)+1))/2)/100)*(2+Max(0,($A40-35)*0.2))),1),0)*IF(EnemyBuffed=TRUE,1.25,1),0) &amp; "  (" &amp; MAX(ROUND(Rounddown(Round(Round((L$34+L$35*($A40-1))*(1+(EnemyDamageSlider-1)+(EnemyDMGDanger-1)+(EnemyJackDMG-1)),0)*IF($A40&gt;20,(1+Max(0,((($A40-20)*(($A40-20)+1))/2)/100)*(2+Max(0,($A40-35)*0.2))),1),0)*IF(EnemyBuffed=TRUE,1.25,1),0)*EnemyDMGTaken,0),1) &amp; ")"</f>
        <v>6  (6)</v>
      </c>
      <c r="M40" s="414" t="str">
        <f>Rounddown(Round(Round((M$34+M$35*($A40-1))*(1+(EnemyDamageSlider-1)+(EnemyDMGDanger-1)+(EnemyJackDMG-1)),0)*IF($A40&gt;20,(1+Max(0,((($A40-20)*(($A40-20)+1))/2)/100)*(2+Max(0,($A40-35)*0.2))),1),0)*IF(EnemyBuffed=TRUE,1.25,1),0) &amp; "  (" &amp; MAX(ROUND(Rounddown(Round(Round((M$34+M$35*($A40-1))*(1+(EnemyDamageSlider-1)+(EnemyDMGDanger-1)+(EnemyJackDMG-1)),0)*IF($A40&gt;20,(1+Max(0,((($A40-20)*(($A40-20)+1))/2)/100)*(2+Max(0,($A40-35)*0.2))),1),0)*IF(EnemyBuffed=TRUE,1.25,1),0)*EnemyDMGTaken,0),1) &amp; ")"</f>
        <v>7  (7)</v>
      </c>
      <c r="N40" s="414" t="str">
        <f>Rounddown(Round(Round((N$34+N$35*($A40-1))*(1+(EnemyDamageSlider-1)+(EnemyDMGDanger-1)+(EnemyJackDMG-1)),0)*IF($A40&gt;20,(1+Max(0,((($A40-20)*(($A40-20)+1))/2)/100)*(2+Max(0,($A40-35)*0.2))),1),0)*IF(EnemyBuffed=TRUE,1.25,1),0) &amp; "  (" &amp; MAX(ROUND(Rounddown(Round(Round((N$34+N$35*($A40-1))*(1+(EnemyDamageSlider-1)+(EnemyDMGDanger-1)+(EnemyJackDMG-1)),0)*IF($A40&gt;20,(1+Max(0,((($A40-20)*(($A40-20)+1))/2)/100)*(2+Max(0,($A40-35)*0.2))),1),0)*IF(EnemyBuffed=TRUE,1.25,1),0)*EnemyDMGTaken,0),1) &amp; ")"</f>
        <v>7  (7)</v>
      </c>
      <c r="O40" s="414" t="str">
        <f>Rounddown(Round(Round((O$34+O$35*($A40-1))*(1+(EnemyDamageSlider-1)+(EnemyDMGDanger-1)+(EnemyJackDMG-1)),0)*IF($A40&gt;20,(1+Max(0,((($A40-20)*(($A40-20)+1))/2)/100)*(2+Max(0,($A40-35)*0.2))),1),0)*IF(EnemyBuffed=TRUE,1.25,1),0) &amp; "  (" &amp; MAX(ROUND(Rounddown(Round(Round((O$34+O$35*($A40-1))*(1+(EnemyDamageSlider-1)+(EnemyDMGDanger-1)+(EnemyJackDMG-1)),0)*IF($A40&gt;20,(1+Max(0,((($A40-20)*(($A40-20)+1))/2)/100)*(2+Max(0,($A40-35)*0.2))),1),0)*IF(EnemyBuffed=TRUE,1.25,1),0)*EnemyDMGTaken,0),1) &amp; ")"</f>
        <v>6  (6)</v>
      </c>
      <c r="P40" s="414" t="str">
        <f>Rounddown(Round(Round((P$34+P$35*($A40-1))*(1+(EnemyDamageSlider-1)+(EnemyDMGDanger-1)+(EnemyJackDMG-1)),0)*IF($A40&gt;20,(1+Max(0,((($A40-20)*(($A40-20)+1))/2)/100)*(2+Max(0,($A40-35)*0.2))),1),0)*IF(EnemyBuffed=TRUE,1.25,1),0) &amp; "  (" &amp; MAX(ROUND(Rounddown(Round(Round((P$34+P$35*($A40-1))*(1+(EnemyDamageSlider-1)+(EnemyDMGDanger-1)+(EnemyJackDMG-1)),0)*IF($A40&gt;20,(1+Max(0,((($A40-20)*(($A40-20)+1))/2)/100)*(2+Max(0,($A40-35)*0.2))),1),0)*IF(EnemyBuffed=TRUE,1.25,1),0)*EnemyDMGTaken,0),1) &amp; ")"</f>
        <v>7  (7)</v>
      </c>
      <c r="Q40" s="414" t="str">
        <f>Rounddown(Round(Round((Q$34+Q$35*($A40-1))*(1+(EnemyDamageSlider-1)+(EnemyDMGDanger-1)+(EnemyJackDMG-1)),0)*IF($A40&gt;20,(1+Max(0,((($A40-20)*(($A40-20)+1))/2)/100)*(2+Max(0,($A40-35)*0.2))),1),0)*IF(EnemyBuffed=TRUE,1.25,1),0) &amp; "  (" &amp; MAX(ROUND(Rounddown(Round(Round((Q$34+Q$35*($A40-1))*(1+(EnemyDamageSlider-1)+(EnemyDMGDanger-1)+(EnemyJackDMG-1)),0)*IF($A40&gt;20,(1+Max(0,((($A40-20)*(($A40-20)+1))/2)/100)*(2+Max(0,($A40-35)*0.2))),1),0)*IF(EnemyBuffed=TRUE,1.25,1),0)*EnemyDMGTaken,0),1) &amp; ")"</f>
        <v>8  (8)</v>
      </c>
      <c r="R40" s="414" t="str">
        <f>Rounddown(Round(Round((R$34+R$35*($A40-1))*(1+(EnemyDamageSlider-1)+(EnemyDMGDanger-1)+(EnemyJackDMG-1)),0)*IF($A40&gt;20,(1+Max(0,((($A40-20)*(($A40-20)+1))/2)/100)*(2+Max(0,($A40-35)*0.2))),1),0)*IF(EnemyBuffed=TRUE,1.25,1),0) &amp; "  (" &amp; MAX(ROUND(Rounddown(Round(Round((R$34+R$35*($A40-1))*(1+(EnemyDamageSlider-1)+(EnemyDMGDanger-1)+(EnemyJackDMG-1)),0)*IF($A40&gt;20,(1+Max(0,((($A40-20)*(($A40-20)+1))/2)/100)*(2+Max(0,($A40-35)*0.2))),1),0)*IF(EnemyBuffed=TRUE,1.25,1),0)*EnemyDMGTaken,0),1) &amp; ")"</f>
        <v>8  (8)</v>
      </c>
      <c r="S40" s="414" t="str">
        <f>Rounddown(Round(Round((S$34+S$35*($A40-1))*(1+(EnemyDamageSlider-1)+(EnemyDMGDanger-1)+(EnemyJackDMG-1)),0)*IF($A40&gt;20,(1+Max(0,((($A40-20)*(($A40-20)+1))/2)/100)*(2+Max(0,($A40-35)*0.2))),1),0)*IF(EnemyBuffed=TRUE,1.25,1),0) &amp; "  (" &amp; MAX(ROUND(Rounddown(Round(Round((S$34+S$35*($A40-1))*(1+(EnemyDamageSlider-1)+(EnemyDMGDanger-1)+(EnemyJackDMG-1)),0)*IF($A40&gt;20,(1+Max(0,((($A40-20)*(($A40-20)+1))/2)/100)*(2+Max(0,($A40-35)*0.2))),1),0)*IF(EnemyBuffed=TRUE,1.25,1),0)*EnemyDMGTaken,0),1) &amp; ")"</f>
        <v>5  (5)</v>
      </c>
      <c r="T40" s="414" t="str">
        <f>Rounddown(Round(Round((T$34+T$35*($A40-1))*(1+(EnemyDamageSlider-1)+(EnemyDMGDanger-1)+(EnemyJackDMG-1)),0)*IF($A40&gt;20,(1+Max(0,((($A40-20)*(($A40-20)+1))/2)/100)*(2+Max(0,($A40-35)*0.2))),1),0)*IF(EnemyBuffed=TRUE,1.25,1),0) &amp; "  (" &amp; MAX(ROUND(Rounddown(Round(Round((T$34+T$35*($A40-1))*(1+(EnemyDamageSlider-1)+(EnemyDMGDanger-1)+(EnemyJackDMG-1)),0)*IF($A40&gt;20,(1+Max(0,((($A40-20)*(($A40-20)+1))/2)/100)*(2+Max(0,($A40-35)*0.2))),1),0)*IF(EnemyBuffed=TRUE,1.25,1),0)*EnemyDMGTaken,0),1) &amp; ")"</f>
        <v>8  (8)</v>
      </c>
      <c r="U40" s="414" t="str">
        <f>Rounddown(Round(Round((U$34+U$35*($A40-1))*(1+(EnemyDamageSlider-1)+(EnemyDMGDanger-1)+(EnemyJackDMG-1)),0)*IF($A40&gt;20,(1+Max(0,((($A40-20)*(($A40-20)+1))/2)/100)*(2+Max(0,($A40-35)*0.2))),1),0)*IF(EnemyBuffed=TRUE,1.25,1),0) &amp; "  (" &amp; MAX(ROUND(Rounddown(Round(Round((U$34+U$35*($A40-1))*(1+(EnemyDamageSlider-1)+(EnemyDMGDanger-1)+(EnemyJackDMG-1)),0)*IF($A40&gt;20,(1+Max(0,((($A40-20)*(($A40-20)+1))/2)/100)*(2+Max(0,($A40-35)*0.2))),1),0)*IF(EnemyBuffed=TRUE,1.25,1),0)*EnemyDMGTaken,0),1) &amp; ")"</f>
        <v>7  (7)</v>
      </c>
      <c r="V40" s="414" t="str">
        <f>Rounddown(Round(Round((V$34+V$35*($A40-1))*(1+(EnemyDamageSlider-1)+(EnemyDMGDanger-1)+(EnemyJackDMG-1)),0)*IF($A40&gt;20,(1+Max(0,((($A40-20)*(($A40-20)+1))/2)/100)*(2+Max(0,($A40-35)*0.2))),1),0)*IF(EnemyBuffed=TRUE,1.25,1),0) &amp; "  (" &amp; MAX(ROUND(Rounddown(Round(Round((V$34+V$35*($A40-1))*(1+(EnemyDamageSlider-1)+(EnemyDMGDanger-1)+(EnemyJackDMG-1)),0)*IF($A40&gt;20,(1+Max(0,((($A40-20)*(($A40-20)+1))/2)/100)*(2+Max(0,($A40-35)*0.2))),1),0)*IF(EnemyBuffed=TRUE,1.25,1),0)*EnemyDMGTaken,0),1) &amp; ")"</f>
        <v>10  (10)</v>
      </c>
      <c r="W40" s="414" t="str">
        <f>Rounddown(Round(Round((W$34+W$35*($A40-1))*(1+(EnemyDamageSlider-1)+(EnemyDMGDanger-1)+(EnemyJackDMG-1)),0)*IF($A40&gt;20,(1+Max(0,((($A40-20)*(($A40-20)+1))/2)/100)*(2+Max(0,($A40-35)*0.2))),1),0)*IF(EnemyBuffed=TRUE,1.25,1),0) &amp; "  (" &amp; MAX(ROUND(Rounddown(Round(Round((W$34+W$35*($A40-1))*(1+(EnemyDamageSlider-1)+(EnemyDMGDanger-1)+(EnemyJackDMG-1)),0)*IF($A40&gt;20,(1+Max(0,((($A40-20)*(($A40-20)+1))/2)/100)*(2+Max(0,($A40-35)*0.2))),1),0)*IF(EnemyBuffed=TRUE,1.25,1),0)*EnemyDMGTaken,0),1) &amp; ")"</f>
        <v>10  (10)</v>
      </c>
      <c r="X40" s="414" t="str">
        <f>Rounddown(Round(Round((X$34+X$35*($A40-1))*(1+(EnemyDamageSlider-1)+(EnemyDMGDanger-1)+(EnemyJackDMG-1)),0)*IF($A40&gt;20,(1+Max(0,((($A40-20)*(($A40-20)+1))/2)/100)*(2+Max(0,($A40-35)*0.2))),1),0)*IF(EnemyBuffed=TRUE,1.25,1),0) &amp; "  (" &amp; MAX(ROUND(Rounddown(Round(Round((X$34+X$35*($A40-1))*(1+(EnemyDamageSlider-1)+(EnemyDMGDanger-1)+(EnemyJackDMG-1)),0)*IF($A40&gt;20,(1+Max(0,((($A40-20)*(($A40-20)+1))/2)/100)*(2+Max(0,($A40-35)*0.2))),1),0)*IF(EnemyBuffed=TRUE,1.25,1),0)*EnemyDMGTaken,0),1) &amp; ")"</f>
        <v>10  (10)</v>
      </c>
      <c r="Y40" s="414" t="str">
        <f>Rounddown(Round(Round((Y$34+Y$35*($A40-1))*(1+(EnemyDamageSlider-1)+(EnemyDMGDanger-1)+(EnemyJackDMG-1)),0)*IF($A40&gt;20,(1+Max(0,((($A40-20)*(($A40-20)+1))/2)/100)*(2+Max(0,($A40-35)*0.2))),1),0)*IF(EnemyBuffed=TRUE,1.25,1),0) &amp; "  (" &amp; MAX(ROUND(Rounddown(Round(Round((Y$34+Y$35*($A40-1))*(1+(EnemyDamageSlider-1)+(EnemyDMGDanger-1)+(EnemyJackDMG-1)),0)*IF($A40&gt;20,(1+Max(0,((($A40-20)*(($A40-20)+1))/2)/100)*(2+Max(0,($A40-35)*0.2))),1),0)*IF(EnemyBuffed=TRUE,1.25,1),0)*EnemyDMGTaken,0),1) &amp; ")"</f>
        <v>10  (10)</v>
      </c>
      <c r="Z40" s="414" t="str">
        <f>Rounddown(Round(Round((Z$34+Z$35*($A40-1))*(1+(EnemyDamageSlider-1)+(EnemyDMGDanger-1)+(EnemyJackDMG-1)),0)*IF($A40&gt;20,(1+Max(0,((($A40-20)*(($A40-20)+1))/2)/100)*(2+Max(0,($A40-35)*0.2))),1),0)*IF(EnemyBuffed=TRUE,1.25,1),0) &amp; "  (" &amp; MAX(ROUND(Rounddown(Round(Round((Z$34+Z$35*($A40-1))*(1+(EnemyDamageSlider-1)+(EnemyDMGDanger-1)+(EnemyJackDMG-1)),0)*IF($A40&gt;20,(1+Max(0,((($A40-20)*(($A40-20)+1))/2)/100)*(2+Max(0,($A40-35)*0.2))),1),0)*IF(EnemyBuffed=TRUE,1.25,1),0)*EnemyDMGTaken,0),1) &amp; ")"</f>
        <v>10  (10)</v>
      </c>
      <c r="AA40" s="414" t="str">
        <f>Rounddown(Round(Round((AA$34+AA$35*($A40-1))*(1+(EnemyDamageSlider-1)+(EnemyDMGDanger-1)+(EnemyJackDMG-1)),0)*IF($A40&gt;20,(1+Max(0,((($A40-20)*(($A40-20)+1))/2)/100)*(2+Max(0,($A40-35)*0.2))),1),0)*IF(EnemyBuffed=TRUE,1.25,1),0) &amp; "  (" &amp; MAX(ROUND(Rounddown(Round(Round((AA$34+AA$35*($A40-1))*(1+(EnemyDamageSlider-1)+(EnemyDMGDanger-1)+(EnemyJackDMG-1)),0)*IF($A40&gt;20,(1+Max(0,((($A40-20)*(($A40-20)+1))/2)/100)*(2+Max(0,($A40-35)*0.2))),1),0)*IF(EnemyBuffed=TRUE,1.25,1),0)*EnemyDMGTaken,0),1) &amp; ")"</f>
        <v>6  (6)</v>
      </c>
    </row>
    <row r="41">
      <c r="A41" s="150">
        <v>6.0</v>
      </c>
      <c r="B41" s="415">
        <v>0.0</v>
      </c>
      <c r="C41" s="414" t="str">
        <f>Rounddown(Round(Round((C$34+C$35*($A41-1))*(1+(EnemyDamageSlider-1)+(EnemyDMGDanger-1)+(EnemyJackDMG-1)),0)*IF($A41&gt;20,(1+Max(0,((($A41-20)*(($A41-20)+1))/2)/100)*(2+Max(0,($A41-35)*0.2))),1),0)*IF(EnemyBuffed=TRUE,1.25,1),0) &amp; "  (" &amp; MAX(ROUND(Rounddown(Round(Round((C$34+C$35*($A41-1))*(1+(EnemyDamageSlider-1)+(EnemyDMGDanger-1)+(EnemyJackDMG-1)),0)*IF($A41&gt;20,(1+Max(0,((($A41-20)*(($A41-20)+1))/2)/100)*(2+Max(0,($A41-35)*0.2))),1),0)*IF(EnemyBuffed=TRUE,1.25,1),0)*EnemyDMGTaken,0),1) &amp; ")"</f>
        <v>6  (6)</v>
      </c>
      <c r="D41" s="414" t="str">
        <f>Rounddown(Round(Round((D$34+D$35*($A41-1))*(1+(EnemyDamageSlider-1)+(EnemyDMGDanger-1)+(EnemyJackDMG-1)),0)*IF($A41&gt;20,(1+Max(0,((($A41-20)*(($A41-20)+1))/2)/100)*(2+Max(0,($A41-35)*0.2))),1),0)*IF(EnemyBuffed=TRUE,1.25,1),0) &amp; "  (" &amp; MAX(ROUND(Rounddown(Round(Round((D$34+D$35*($A41-1))*(1+(EnemyDamageSlider-1)+(EnemyDMGDanger-1)+(EnemyJackDMG-1)),0)*IF($A41&gt;20,(1+Max(0,((($A41-20)*(($A41-20)+1))/2)/100)*(2+Max(0,($A41-35)*0.2))),1),0)*IF(EnemyBuffed=TRUE,1.25,1),0)*EnemyDMGTaken,0),1) &amp; ")"</f>
        <v>6  (6)</v>
      </c>
      <c r="E41" s="414" t="str">
        <f>Rounddown(Round(Round((E$34+E$35*($A41-1))*(1+(EnemyDamageSlider-1)+(EnemyDMGDanger-1)+(EnemyJackDMG-1)),0)*IF($A41&gt;20,(1+Max(0,((($A41-20)*(($A41-20)+1))/2)/100)*(2+Max(0,($A41-35)*0.2))),1),0)*IF(EnemyBuffed=TRUE,1.25,1),0) &amp; "  (" &amp; MAX(ROUND(Rounddown(Round(Round((E$34+E$35*($A41-1))*(1+(EnemyDamageSlider-1)+(EnemyDMGDanger-1)+(EnemyJackDMG-1)),0)*IF($A41&gt;20,(1+Max(0,((($A41-20)*(($A41-20)+1))/2)/100)*(2+Max(0,($A41-35)*0.2))),1),0)*IF(EnemyBuffed=TRUE,1.25,1),0)*EnemyDMGTaken,0),1) &amp; ")"</f>
        <v>6  (6)</v>
      </c>
      <c r="F41" s="414" t="str">
        <f>Rounddown(Round(Round((F$34+F$35*($A41-1))*(1+(EnemyDamageSlider-1)+(EnemyDMGDanger-1)+(EnemyJackDMG-1)),0)*IF($A41&gt;20,(1+Max(0,((($A41-20)*(($A41-20)+1))/2)/100)*(2+Max(0,($A41-35)*0.2))),1),0)*IF(EnemyBuffed=TRUE,1.25,1),0) &amp; "  (" &amp; MAX(ROUND(Rounddown(Round(Round((F$34+F$35*($A41-1))*(1+(EnemyDamageSlider-1)+(EnemyDMGDanger-1)+(EnemyJackDMG-1)),0)*IF($A41&gt;20,(1+Max(0,((($A41-20)*(($A41-20)+1))/2)/100)*(2+Max(0,($A41-35)*0.2))),1),0)*IF(EnemyBuffed=TRUE,1.25,1),0)*EnemyDMGTaken,0),1) &amp; ")"</f>
        <v>7  (7)</v>
      </c>
      <c r="G41" s="414" t="str">
        <f>Rounddown(Round(Round((G$34+G$35*($A41-1))*(1+(EnemyDamageSlider-1)+(EnemyDMGDanger-1)+(EnemyJackDMG-1)),0)*IF($A41&gt;20,(1+Max(0,((($A41-20)*(($A41-20)+1))/2)/100)*(2+Max(0,($A41-35)*0.2))),1),0)*IF(EnemyBuffed=TRUE,1.25,1),0) &amp; "  (" &amp; MAX(ROUND(Rounddown(Round(Round((G$34+G$35*($A41-1))*(1+(EnemyDamageSlider-1)+(EnemyDMGDanger-1)+(EnemyJackDMG-1)),0)*IF($A41&gt;20,(1+Max(0,((($A41-20)*(($A41-20)+1))/2)/100)*(2+Max(0,($A41-35)*0.2))),1),0)*IF(EnemyBuffed=TRUE,1.25,1),0)*EnemyDMGTaken,0),1) &amp; ")"</f>
        <v>10  (10)</v>
      </c>
      <c r="H41" s="414" t="str">
        <f>Rounddown(Round(Round((H$34+H$35*($A41-1))*(1+(EnemyDamageSlider-1)+(EnemyDMGDanger-1)+(EnemyJackDMG-1)),0)*IF($A41&gt;20,(1+Max(0,((($A41-20)*(($A41-20)+1))/2)/100)*(2+Max(0,($A41-35)*0.2))),1),0)*IF(EnemyBuffed=TRUE,1.25,1),0) &amp; "  (" &amp; MAX(ROUND(Rounddown(Round(Round((H$34+H$35*($A41-1))*(1+(EnemyDamageSlider-1)+(EnemyDMGDanger-1)+(EnemyJackDMG-1)),0)*IF($A41&gt;20,(1+Max(0,((($A41-20)*(($A41-20)+1))/2)/100)*(2+Max(0,($A41-35)*0.2))),1),0)*IF(EnemyBuffed=TRUE,1.25,1),0)*EnemyDMGTaken,0),1) &amp; ")"</f>
        <v>9  (9)</v>
      </c>
      <c r="I41" s="414" t="str">
        <f>Rounddown(Round(Round((I$34+I$35*($A41-1))*(1+(EnemyDamageSlider-1)+(EnemyDMGDanger-1)+(EnemyJackDMG-1)),0)*IF($A41&gt;20,(1+Max(0,((($A41-20)*(($A41-20)+1))/2)/100)*(2+Max(0,($A41-35)*0.2))),1),0)*IF(EnemyBuffed=TRUE,1.25,1),0) &amp; "  (" &amp; MAX(ROUND(Rounddown(Round(Round((I$34+I$35*($A41-1))*(1+(EnemyDamageSlider-1)+(EnemyDMGDanger-1)+(EnemyJackDMG-1)),0)*IF($A41&gt;20,(1+Max(0,((($A41-20)*(($A41-20)+1))/2)/100)*(2+Max(0,($A41-35)*0.2))),1),0)*IF(EnemyBuffed=TRUE,1.25,1),0)*EnemyDMGTaken,0),1) &amp; ")"</f>
        <v>6  (6)</v>
      </c>
      <c r="J41" s="414" t="str">
        <f>Rounddown(Round(Round((J$34+J$35*($A41-1))*(1+(EnemyDamageSlider-1)+(EnemyDMGDanger-1)+(EnemyJackDMG-1)),0)*IF($A41&gt;20,(1+Max(0,((($A41-20)*(($A41-20)+1))/2)/100)*(2+Max(0,($A41-35)*0.2))),1),0)*IF(EnemyBuffed=TRUE,1.25,1),0) &amp; "  (" &amp; MAX(ROUND(Rounddown(Round(Round((J$34+J$35*($A41-1))*(1+(EnemyDamageSlider-1)+(EnemyDMGDanger-1)+(EnemyJackDMG-1)),0)*IF($A41&gt;20,(1+Max(0,((($A41-20)*(($A41-20)+1))/2)/100)*(2+Max(0,($A41-35)*0.2))),1),0)*IF(EnemyBuffed=TRUE,1.25,1),0)*EnemyDMGTaken,0),1) &amp; ")"</f>
        <v>7  (7)</v>
      </c>
      <c r="K41" s="414" t="str">
        <f>Rounddown(Round(Round((K$34+K$35*($A41-1))*(1+(EnemyDamageSlider-1)+(EnemyDMGDanger-1)+(EnemyJackDMG-1)),0)*IF($A41&gt;20,(1+Max(0,((($A41-20)*(($A41-20)+1))/2)/100)*(2+Max(0,($A41-35)*0.2))),1),0)*IF(EnemyBuffed=TRUE,1.25,1),0) &amp; "  (" &amp; MAX(ROUND(Rounddown(Round(Round((K$34+K$35*($A41-1))*(1+(EnemyDamageSlider-1)+(EnemyDMGDanger-1)+(EnemyJackDMG-1)),0)*IF($A41&gt;20,(1+Max(0,((($A41-20)*(($A41-20)+1))/2)/100)*(2+Max(0,($A41-35)*0.2))),1),0)*IF(EnemyBuffed=TRUE,1.25,1),0)*EnemyDMGTaken,0),1) &amp; ")"</f>
        <v>7  (7)</v>
      </c>
      <c r="L41" s="414" t="str">
        <f>Rounddown(Round(Round((L$34+L$35*($A41-1))*(1+(EnemyDamageSlider-1)+(EnemyDMGDanger-1)+(EnemyJackDMG-1)),0)*IF($A41&gt;20,(1+Max(0,((($A41-20)*(($A41-20)+1))/2)/100)*(2+Max(0,($A41-35)*0.2))),1),0)*IF(EnemyBuffed=TRUE,1.25,1),0) &amp; "  (" &amp; MAX(ROUND(Rounddown(Round(Round((L$34+L$35*($A41-1))*(1+(EnemyDamageSlider-1)+(EnemyDMGDanger-1)+(EnemyJackDMG-1)),0)*IF($A41&gt;20,(1+Max(0,((($A41-20)*(($A41-20)+1))/2)/100)*(2+Max(0,($A41-35)*0.2))),1),0)*IF(EnemyBuffed=TRUE,1.25,1),0)*EnemyDMGTaken,0),1) &amp; ")"</f>
        <v>7  (7)</v>
      </c>
      <c r="M41" s="414" t="str">
        <f>Rounddown(Round(Round((M$34+M$35*($A41-1))*(1+(EnemyDamageSlider-1)+(EnemyDMGDanger-1)+(EnemyJackDMG-1)),0)*IF($A41&gt;20,(1+Max(0,((($A41-20)*(($A41-20)+1))/2)/100)*(2+Max(0,($A41-35)*0.2))),1),0)*IF(EnemyBuffed=TRUE,1.25,1),0) &amp; "  (" &amp; MAX(ROUND(Rounddown(Round(Round((M$34+M$35*($A41-1))*(1+(EnemyDamageSlider-1)+(EnemyDMGDanger-1)+(EnemyJackDMG-1)),0)*IF($A41&gt;20,(1+Max(0,((($A41-20)*(($A41-20)+1))/2)/100)*(2+Max(0,($A41-35)*0.2))),1),0)*IF(EnemyBuffed=TRUE,1.25,1),0)*EnemyDMGTaken,0),1) &amp; ")"</f>
        <v>8  (8)</v>
      </c>
      <c r="N41" s="414" t="str">
        <f>Rounddown(Round(Round((N$34+N$35*($A41-1))*(1+(EnemyDamageSlider-1)+(EnemyDMGDanger-1)+(EnemyJackDMG-1)),0)*IF($A41&gt;20,(1+Max(0,((($A41-20)*(($A41-20)+1))/2)/100)*(2+Max(0,($A41-35)*0.2))),1),0)*IF(EnemyBuffed=TRUE,1.25,1),0) &amp; "  (" &amp; MAX(ROUND(Rounddown(Round(Round((N$34+N$35*($A41-1))*(1+(EnemyDamageSlider-1)+(EnemyDMGDanger-1)+(EnemyJackDMG-1)),0)*IF($A41&gt;20,(1+Max(0,((($A41-20)*(($A41-20)+1))/2)/100)*(2+Max(0,($A41-35)*0.2))),1),0)*IF(EnemyBuffed=TRUE,1.25,1),0)*EnemyDMGTaken,0),1) &amp; ")"</f>
        <v>8  (8)</v>
      </c>
      <c r="O41" s="414" t="str">
        <f>Rounddown(Round(Round((O$34+O$35*($A41-1))*(1+(EnemyDamageSlider-1)+(EnemyDMGDanger-1)+(EnemyJackDMG-1)),0)*IF($A41&gt;20,(1+Max(0,((($A41-20)*(($A41-20)+1))/2)/100)*(2+Max(0,($A41-35)*0.2))),1),0)*IF(EnemyBuffed=TRUE,1.25,1),0) &amp; "  (" &amp; MAX(ROUND(Rounddown(Round(Round((O$34+O$35*($A41-1))*(1+(EnemyDamageSlider-1)+(EnemyDMGDanger-1)+(EnemyJackDMG-1)),0)*IF($A41&gt;20,(1+Max(0,((($A41-20)*(($A41-20)+1))/2)/100)*(2+Max(0,($A41-35)*0.2))),1),0)*IF(EnemyBuffed=TRUE,1.25,1),0)*EnemyDMGTaken,0),1) &amp; ")"</f>
        <v>7  (7)</v>
      </c>
      <c r="P41" s="414" t="str">
        <f>Rounddown(Round(Round((P$34+P$35*($A41-1))*(1+(EnemyDamageSlider-1)+(EnemyDMGDanger-1)+(EnemyJackDMG-1)),0)*IF($A41&gt;20,(1+Max(0,((($A41-20)*(($A41-20)+1))/2)/100)*(2+Max(0,($A41-35)*0.2))),1),0)*IF(EnemyBuffed=TRUE,1.25,1),0) &amp; "  (" &amp; MAX(ROUND(Rounddown(Round(Round((P$34+P$35*($A41-1))*(1+(EnemyDamageSlider-1)+(EnemyDMGDanger-1)+(EnemyJackDMG-1)),0)*IF($A41&gt;20,(1+Max(0,((($A41-20)*(($A41-20)+1))/2)/100)*(2+Max(0,($A41-35)*0.2))),1),0)*IF(EnemyBuffed=TRUE,1.25,1),0)*EnemyDMGTaken,0),1) &amp; ")"</f>
        <v>8  (8)</v>
      </c>
      <c r="Q41" s="414" t="str">
        <f>Rounddown(Round(Round((Q$34+Q$35*($A41-1))*(1+(EnemyDamageSlider-1)+(EnemyDMGDanger-1)+(EnemyJackDMG-1)),0)*IF($A41&gt;20,(1+Max(0,((($A41-20)*(($A41-20)+1))/2)/100)*(2+Max(0,($A41-35)*0.2))),1),0)*IF(EnemyBuffed=TRUE,1.25,1),0) &amp; "  (" &amp; MAX(ROUND(Rounddown(Round(Round((Q$34+Q$35*($A41-1))*(1+(EnemyDamageSlider-1)+(EnemyDMGDanger-1)+(EnemyJackDMG-1)),0)*IF($A41&gt;20,(1+Max(0,((($A41-20)*(($A41-20)+1))/2)/100)*(2+Max(0,($A41-35)*0.2))),1),0)*IF(EnemyBuffed=TRUE,1.25,1),0)*EnemyDMGTaken,0),1) &amp; ")"</f>
        <v>9  (9)</v>
      </c>
      <c r="R41" s="414" t="str">
        <f>Rounddown(Round(Round((R$34+R$35*($A41-1))*(1+(EnemyDamageSlider-1)+(EnemyDMGDanger-1)+(EnemyJackDMG-1)),0)*IF($A41&gt;20,(1+Max(0,((($A41-20)*(($A41-20)+1))/2)/100)*(2+Max(0,($A41-35)*0.2))),1),0)*IF(EnemyBuffed=TRUE,1.25,1),0) &amp; "  (" &amp; MAX(ROUND(Rounddown(Round(Round((R$34+R$35*($A41-1))*(1+(EnemyDamageSlider-1)+(EnemyDMGDanger-1)+(EnemyJackDMG-1)),0)*IF($A41&gt;20,(1+Max(0,((($A41-20)*(($A41-20)+1))/2)/100)*(2+Max(0,($A41-35)*0.2))),1),0)*IF(EnemyBuffed=TRUE,1.25,1),0)*EnemyDMGTaken,0),1) &amp; ")"</f>
        <v>9  (9)</v>
      </c>
      <c r="S41" s="414" t="str">
        <f>Rounddown(Round(Round((S$34+S$35*($A41-1))*(1+(EnemyDamageSlider-1)+(EnemyDMGDanger-1)+(EnemyJackDMG-1)),0)*IF($A41&gt;20,(1+Max(0,((($A41-20)*(($A41-20)+1))/2)/100)*(2+Max(0,($A41-35)*0.2))),1),0)*IF(EnemyBuffed=TRUE,1.25,1),0) &amp; "  (" &amp; MAX(ROUND(Rounddown(Round(Round((S$34+S$35*($A41-1))*(1+(EnemyDamageSlider-1)+(EnemyDMGDanger-1)+(EnemyJackDMG-1)),0)*IF($A41&gt;20,(1+Max(0,((($A41-20)*(($A41-20)+1))/2)/100)*(2+Max(0,($A41-35)*0.2))),1),0)*IF(EnemyBuffed=TRUE,1.25,1),0)*EnemyDMGTaken,0),1) &amp; ")"</f>
        <v>6  (6)</v>
      </c>
      <c r="T41" s="414" t="str">
        <f>Rounddown(Round(Round((T$34+T$35*($A41-1))*(1+(EnemyDamageSlider-1)+(EnemyDMGDanger-1)+(EnemyJackDMG-1)),0)*IF($A41&gt;20,(1+Max(0,((($A41-20)*(($A41-20)+1))/2)/100)*(2+Max(0,($A41-35)*0.2))),1),0)*IF(EnemyBuffed=TRUE,1.25,1),0) &amp; "  (" &amp; MAX(ROUND(Rounddown(Round(Round((T$34+T$35*($A41-1))*(1+(EnemyDamageSlider-1)+(EnemyDMGDanger-1)+(EnemyJackDMG-1)),0)*IF($A41&gt;20,(1+Max(0,((($A41-20)*(($A41-20)+1))/2)/100)*(2+Max(0,($A41-35)*0.2))),1),0)*IF(EnemyBuffed=TRUE,1.25,1),0)*EnemyDMGTaken,0),1) &amp; ")"</f>
        <v>9  (9)</v>
      </c>
      <c r="U41" s="414" t="str">
        <f>Rounddown(Round(Round((U$34+U$35*($A41-1))*(1+(EnemyDamageSlider-1)+(EnemyDMGDanger-1)+(EnemyJackDMG-1)),0)*IF($A41&gt;20,(1+Max(0,((($A41-20)*(($A41-20)+1))/2)/100)*(2+Max(0,($A41-35)*0.2))),1),0)*IF(EnemyBuffed=TRUE,1.25,1),0) &amp; "  (" &amp; MAX(ROUND(Rounddown(Round(Round((U$34+U$35*($A41-1))*(1+(EnemyDamageSlider-1)+(EnemyDMGDanger-1)+(EnemyJackDMG-1)),0)*IF($A41&gt;20,(1+Max(0,((($A41-20)*(($A41-20)+1))/2)/100)*(2+Max(0,($A41-35)*0.2))),1),0)*IF(EnemyBuffed=TRUE,1.25,1),0)*EnemyDMGTaken,0),1) &amp; ")"</f>
        <v>8  (8)</v>
      </c>
      <c r="V41" s="414" t="str">
        <f>Rounddown(Round(Round((V$34+V$35*($A41-1))*(1+(EnemyDamageSlider-1)+(EnemyDMGDanger-1)+(EnemyJackDMG-1)),0)*IF($A41&gt;20,(1+Max(0,((($A41-20)*(($A41-20)+1))/2)/100)*(2+Max(0,($A41-35)*0.2))),1),0)*IF(EnemyBuffed=TRUE,1.25,1),0) &amp; "  (" &amp; MAX(ROUND(Rounddown(Round(Round((V$34+V$35*($A41-1))*(1+(EnemyDamageSlider-1)+(EnemyDMGDanger-1)+(EnemyJackDMG-1)),0)*IF($A41&gt;20,(1+Max(0,((($A41-20)*(($A41-20)+1))/2)/100)*(2+Max(0,($A41-35)*0.2))),1),0)*IF(EnemyBuffed=TRUE,1.25,1),0)*EnemyDMGTaken,0),1) &amp; ")"</f>
        <v>12  (12)</v>
      </c>
      <c r="W41" s="414" t="str">
        <f>Rounddown(Round(Round((W$34+W$35*($A41-1))*(1+(EnemyDamageSlider-1)+(EnemyDMGDanger-1)+(EnemyJackDMG-1)),0)*IF($A41&gt;20,(1+Max(0,((($A41-20)*(($A41-20)+1))/2)/100)*(2+Max(0,($A41-35)*0.2))),1),0)*IF(EnemyBuffed=TRUE,1.25,1),0) &amp; "  (" &amp; MAX(ROUND(Rounddown(Round(Round((W$34+W$35*($A41-1))*(1+(EnemyDamageSlider-1)+(EnemyDMGDanger-1)+(EnemyJackDMG-1)),0)*IF($A41&gt;20,(1+Max(0,((($A41-20)*(($A41-20)+1))/2)/100)*(2+Max(0,($A41-35)*0.2))),1),0)*IF(EnemyBuffed=TRUE,1.25,1),0)*EnemyDMGTaken,0),1) &amp; ")"</f>
        <v>12  (12)</v>
      </c>
      <c r="X41" s="414" t="str">
        <f>Rounddown(Round(Round((X$34+X$35*($A41-1))*(1+(EnemyDamageSlider-1)+(EnemyDMGDanger-1)+(EnemyJackDMG-1)),0)*IF($A41&gt;20,(1+Max(0,((($A41-20)*(($A41-20)+1))/2)/100)*(2+Max(0,($A41-35)*0.2))),1),0)*IF(EnemyBuffed=TRUE,1.25,1),0) &amp; "  (" &amp; MAX(ROUND(Rounddown(Round(Round((X$34+X$35*($A41-1))*(1+(EnemyDamageSlider-1)+(EnemyDMGDanger-1)+(EnemyJackDMG-1)),0)*IF($A41&gt;20,(1+Max(0,((($A41-20)*(($A41-20)+1))/2)/100)*(2+Max(0,($A41-35)*0.2))),1),0)*IF(EnemyBuffed=TRUE,1.25,1),0)*EnemyDMGTaken,0),1) &amp; ")"</f>
        <v>12  (12)</v>
      </c>
      <c r="Y41" s="414" t="str">
        <f>Rounddown(Round(Round((Y$34+Y$35*($A41-1))*(1+(EnemyDamageSlider-1)+(EnemyDMGDanger-1)+(EnemyJackDMG-1)),0)*IF($A41&gt;20,(1+Max(0,((($A41-20)*(($A41-20)+1))/2)/100)*(2+Max(0,($A41-35)*0.2))),1),0)*IF(EnemyBuffed=TRUE,1.25,1),0) &amp; "  (" &amp; MAX(ROUND(Rounddown(Round(Round((Y$34+Y$35*($A41-1))*(1+(EnemyDamageSlider-1)+(EnemyDMGDanger-1)+(EnemyJackDMG-1)),0)*IF($A41&gt;20,(1+Max(0,((($A41-20)*(($A41-20)+1))/2)/100)*(2+Max(0,($A41-35)*0.2))),1),0)*IF(EnemyBuffed=TRUE,1.25,1),0)*EnemyDMGTaken,0),1) &amp; ")"</f>
        <v>12  (12)</v>
      </c>
      <c r="Z41" s="414" t="str">
        <f>Rounddown(Round(Round((Z$34+Z$35*($A41-1))*(1+(EnemyDamageSlider-1)+(EnemyDMGDanger-1)+(EnemyJackDMG-1)),0)*IF($A41&gt;20,(1+Max(0,((($A41-20)*(($A41-20)+1))/2)/100)*(2+Max(0,($A41-35)*0.2))),1),0)*IF(EnemyBuffed=TRUE,1.25,1),0) &amp; "  (" &amp; MAX(ROUND(Rounddown(Round(Round((Z$34+Z$35*($A41-1))*(1+(EnemyDamageSlider-1)+(EnemyDMGDanger-1)+(EnemyJackDMG-1)),0)*IF($A41&gt;20,(1+Max(0,((($A41-20)*(($A41-20)+1))/2)/100)*(2+Max(0,($A41-35)*0.2))),1),0)*IF(EnemyBuffed=TRUE,1.25,1),0)*EnemyDMGTaken,0),1) &amp; ")"</f>
        <v>12  (12)</v>
      </c>
      <c r="AA41" s="414" t="str">
        <f>Rounddown(Round(Round((AA$34+AA$35*($A41-1))*(1+(EnemyDamageSlider-1)+(EnemyDMGDanger-1)+(EnemyJackDMG-1)),0)*IF($A41&gt;20,(1+Max(0,((($A41-20)*(($A41-20)+1))/2)/100)*(2+Max(0,($A41-35)*0.2))),1),0)*IF(EnemyBuffed=TRUE,1.25,1),0) &amp; "  (" &amp; MAX(ROUND(Rounddown(Round(Round((AA$34+AA$35*($A41-1))*(1+(EnemyDamageSlider-1)+(EnemyDMGDanger-1)+(EnemyJackDMG-1)),0)*IF($A41&gt;20,(1+Max(0,((($A41-20)*(($A41-20)+1))/2)/100)*(2+Max(0,($A41-35)*0.2))),1),0)*IF(EnemyBuffed=TRUE,1.25,1),0)*EnemyDMGTaken,0),1) &amp; ")"</f>
        <v>7  (7)</v>
      </c>
    </row>
    <row r="42">
      <c r="A42" s="150">
        <v>7.0</v>
      </c>
      <c r="B42" s="415">
        <v>0.0</v>
      </c>
      <c r="C42" s="414" t="str">
        <f>Rounddown(Round(Round((C$34+C$35*($A42-1))*(1+(EnemyDamageSlider-1)+(EnemyDMGDanger-1)+(EnemyJackDMG-1)),0)*IF($A42&gt;20,(1+Max(0,((($A42-20)*(($A42-20)+1))/2)/100)*(2+Max(0,($A42-35)*0.2))),1),0)*IF(EnemyBuffed=TRUE,1.25,1),0) &amp; "  (" &amp; MAX(ROUND(Rounddown(Round(Round((C$34+C$35*($A42-1))*(1+(EnemyDamageSlider-1)+(EnemyDMGDanger-1)+(EnemyJackDMG-1)),0)*IF($A42&gt;20,(1+Max(0,((($A42-20)*(($A42-20)+1))/2)/100)*(2+Max(0,($A42-35)*0.2))),1),0)*IF(EnemyBuffed=TRUE,1.25,1),0)*EnemyDMGTaken,0),1) &amp; ")"</f>
        <v>6  (6)</v>
      </c>
      <c r="D42" s="414" t="str">
        <f>Rounddown(Round(Round((D$34+D$35*($A42-1))*(1+(EnemyDamageSlider-1)+(EnemyDMGDanger-1)+(EnemyJackDMG-1)),0)*IF($A42&gt;20,(1+Max(0,((($A42-20)*(($A42-20)+1))/2)/100)*(2+Max(0,($A42-35)*0.2))),1),0)*IF(EnemyBuffed=TRUE,1.25,1),0) &amp; "  (" &amp; MAX(ROUND(Rounddown(Round(Round((D$34+D$35*($A42-1))*(1+(EnemyDamageSlider-1)+(EnemyDMGDanger-1)+(EnemyJackDMG-1)),0)*IF($A42&gt;20,(1+Max(0,((($A42-20)*(($A42-20)+1))/2)/100)*(2+Max(0,($A42-35)*0.2))),1),0)*IF(EnemyBuffed=TRUE,1.25,1),0)*EnemyDMGTaken,0),1) &amp; ")"</f>
        <v>6  (6)</v>
      </c>
      <c r="E42" s="414" t="str">
        <f>Rounddown(Round(Round((E$34+E$35*($A42-1))*(1+(EnemyDamageSlider-1)+(EnemyDMGDanger-1)+(EnemyJackDMG-1)),0)*IF($A42&gt;20,(1+Max(0,((($A42-20)*(($A42-20)+1))/2)/100)*(2+Max(0,($A42-35)*0.2))),1),0)*IF(EnemyBuffed=TRUE,1.25,1),0) &amp; "  (" &amp; MAX(ROUND(Rounddown(Round(Round((E$34+E$35*($A42-1))*(1+(EnemyDamageSlider-1)+(EnemyDMGDanger-1)+(EnemyJackDMG-1)),0)*IF($A42&gt;20,(1+Max(0,((($A42-20)*(($A42-20)+1))/2)/100)*(2+Max(0,($A42-35)*0.2))),1),0)*IF(EnemyBuffed=TRUE,1.25,1),0)*EnemyDMGTaken,0),1) &amp; ")"</f>
        <v>6  (6)</v>
      </c>
      <c r="F42" s="414" t="str">
        <f>Rounddown(Round(Round((F$34+F$35*($A42-1))*(1+(EnemyDamageSlider-1)+(EnemyDMGDanger-1)+(EnemyJackDMG-1)),0)*IF($A42&gt;20,(1+Max(0,((($A42-20)*(($A42-20)+1))/2)/100)*(2+Max(0,($A42-35)*0.2))),1),0)*IF(EnemyBuffed=TRUE,1.25,1),0) &amp; "  (" &amp; MAX(ROUND(Rounddown(Round(Round((F$34+F$35*($A42-1))*(1+(EnemyDamageSlider-1)+(EnemyDMGDanger-1)+(EnemyJackDMG-1)),0)*IF($A42&gt;20,(1+Max(0,((($A42-20)*(($A42-20)+1))/2)/100)*(2+Max(0,($A42-35)*0.2))),1),0)*IF(EnemyBuffed=TRUE,1.25,1),0)*EnemyDMGTaken,0),1) &amp; ")"</f>
        <v>9  (9)</v>
      </c>
      <c r="G42" s="414" t="str">
        <f>Rounddown(Round(Round((G$34+G$35*($A42-1))*(1+(EnemyDamageSlider-1)+(EnemyDMGDanger-1)+(EnemyJackDMG-1)),0)*IF($A42&gt;20,(1+Max(0,((($A42-20)*(($A42-20)+1))/2)/100)*(2+Max(0,($A42-35)*0.2))),1),0)*IF(EnemyBuffed=TRUE,1.25,1),0) &amp; "  (" &amp; MAX(ROUND(Rounddown(Round(Round((G$34+G$35*($A42-1))*(1+(EnemyDamageSlider-1)+(EnemyDMGDanger-1)+(EnemyJackDMG-1)),0)*IF($A42&gt;20,(1+Max(0,((($A42-20)*(($A42-20)+1))/2)/100)*(2+Max(0,($A42-35)*0.2))),1),0)*IF(EnemyBuffed=TRUE,1.25,1),0)*EnemyDMGTaken,0),1) &amp; ")"</f>
        <v>11  (11)</v>
      </c>
      <c r="H42" s="414" t="str">
        <f>Rounddown(Round(Round((H$34+H$35*($A42-1))*(1+(EnemyDamageSlider-1)+(EnemyDMGDanger-1)+(EnemyJackDMG-1)),0)*IF($A42&gt;20,(1+Max(0,((($A42-20)*(($A42-20)+1))/2)/100)*(2+Max(0,($A42-35)*0.2))),1),0)*IF(EnemyBuffed=TRUE,1.25,1),0) &amp; "  (" &amp; MAX(ROUND(Rounddown(Round(Round((H$34+H$35*($A42-1))*(1+(EnemyDamageSlider-1)+(EnemyDMGDanger-1)+(EnemyJackDMG-1)),0)*IF($A42&gt;20,(1+Max(0,((($A42-20)*(($A42-20)+1))/2)/100)*(2+Max(0,($A42-35)*0.2))),1),0)*IF(EnemyBuffed=TRUE,1.25,1),0)*EnemyDMGTaken,0),1) &amp; ")"</f>
        <v>10  (10)</v>
      </c>
      <c r="I42" s="414" t="str">
        <f>Rounddown(Round(Round((I$34+I$35*($A42-1))*(1+(EnemyDamageSlider-1)+(EnemyDMGDanger-1)+(EnemyJackDMG-1)),0)*IF($A42&gt;20,(1+Max(0,((($A42-20)*(($A42-20)+1))/2)/100)*(2+Max(0,($A42-35)*0.2))),1),0)*IF(EnemyBuffed=TRUE,1.25,1),0) &amp; "  (" &amp; MAX(ROUND(Rounddown(Round(Round((I$34+I$35*($A42-1))*(1+(EnemyDamageSlider-1)+(EnemyDMGDanger-1)+(EnemyJackDMG-1)),0)*IF($A42&gt;20,(1+Max(0,((($A42-20)*(($A42-20)+1))/2)/100)*(2+Max(0,($A42-35)*0.2))),1),0)*IF(EnemyBuffed=TRUE,1.25,1),0)*EnemyDMGTaken,0),1) &amp; ")"</f>
        <v>6  (6)</v>
      </c>
      <c r="J42" s="414" t="str">
        <f>Rounddown(Round(Round((J$34+J$35*($A42-1))*(1+(EnemyDamageSlider-1)+(EnemyDMGDanger-1)+(EnemyJackDMG-1)),0)*IF($A42&gt;20,(1+Max(0,((($A42-20)*(($A42-20)+1))/2)/100)*(2+Max(0,($A42-35)*0.2))),1),0)*IF(EnemyBuffed=TRUE,1.25,1),0) &amp; "  (" &amp; MAX(ROUND(Rounddown(Round(Round((J$34+J$35*($A42-1))*(1+(EnemyDamageSlider-1)+(EnemyDMGDanger-1)+(EnemyJackDMG-1)),0)*IF($A42&gt;20,(1+Max(0,((($A42-20)*(($A42-20)+1))/2)/100)*(2+Max(0,($A42-35)*0.2))),1),0)*IF(EnemyBuffed=TRUE,1.25,1),0)*EnemyDMGTaken,0),1) &amp; ")"</f>
        <v>9  (9)</v>
      </c>
      <c r="K42" s="414" t="str">
        <f>Rounddown(Round(Round((K$34+K$35*($A42-1))*(1+(EnemyDamageSlider-1)+(EnemyDMGDanger-1)+(EnemyJackDMG-1)),0)*IF($A42&gt;20,(1+Max(0,((($A42-20)*(($A42-20)+1))/2)/100)*(2+Max(0,($A42-35)*0.2))),1),0)*IF(EnemyBuffed=TRUE,1.25,1),0) &amp; "  (" &amp; MAX(ROUND(Rounddown(Round(Round((K$34+K$35*($A42-1))*(1+(EnemyDamageSlider-1)+(EnemyDMGDanger-1)+(EnemyJackDMG-1)),0)*IF($A42&gt;20,(1+Max(0,((($A42-20)*(($A42-20)+1))/2)/100)*(2+Max(0,($A42-35)*0.2))),1),0)*IF(EnemyBuffed=TRUE,1.25,1),0)*EnemyDMGTaken,0),1) &amp; ")"</f>
        <v>9  (9)</v>
      </c>
      <c r="L42" s="414" t="str">
        <f>Rounddown(Round(Round((L$34+L$35*($A42-1))*(1+(EnemyDamageSlider-1)+(EnemyDMGDanger-1)+(EnemyJackDMG-1)),0)*IF($A42&gt;20,(1+Max(0,((($A42-20)*(($A42-20)+1))/2)/100)*(2+Max(0,($A42-35)*0.2))),1),0)*IF(EnemyBuffed=TRUE,1.25,1),0) &amp; "  (" &amp; MAX(ROUND(Rounddown(Round(Round((L$34+L$35*($A42-1))*(1+(EnemyDamageSlider-1)+(EnemyDMGDanger-1)+(EnemyJackDMG-1)),0)*IF($A42&gt;20,(1+Max(0,((($A42-20)*(($A42-20)+1))/2)/100)*(2+Max(0,($A42-35)*0.2))),1),0)*IF(EnemyBuffed=TRUE,1.25,1),0)*EnemyDMGTaken,0),1) &amp; ")"</f>
        <v>9  (9)</v>
      </c>
      <c r="M42" s="414" t="str">
        <f>Rounddown(Round(Round((M$34+M$35*($A42-1))*(1+(EnemyDamageSlider-1)+(EnemyDMGDanger-1)+(EnemyJackDMG-1)),0)*IF($A42&gt;20,(1+Max(0,((($A42-20)*(($A42-20)+1))/2)/100)*(2+Max(0,($A42-35)*0.2))),1),0)*IF(EnemyBuffed=TRUE,1.25,1),0) &amp; "  (" &amp; MAX(ROUND(Rounddown(Round(Round((M$34+M$35*($A42-1))*(1+(EnemyDamageSlider-1)+(EnemyDMGDanger-1)+(EnemyJackDMG-1)),0)*IF($A42&gt;20,(1+Max(0,((($A42-20)*(($A42-20)+1))/2)/100)*(2+Max(0,($A42-35)*0.2))),1),0)*IF(EnemyBuffed=TRUE,1.25,1),0)*EnemyDMGTaken,0),1) &amp; ")"</f>
        <v>10  (10)</v>
      </c>
      <c r="N42" s="414" t="str">
        <f>Rounddown(Round(Round((N$34+N$35*($A42-1))*(1+(EnemyDamageSlider-1)+(EnemyDMGDanger-1)+(EnemyJackDMG-1)),0)*IF($A42&gt;20,(1+Max(0,((($A42-20)*(($A42-20)+1))/2)/100)*(2+Max(0,($A42-35)*0.2))),1),0)*IF(EnemyBuffed=TRUE,1.25,1),0) &amp; "  (" &amp; MAX(ROUND(Rounddown(Round(Round((N$34+N$35*($A42-1))*(1+(EnemyDamageSlider-1)+(EnemyDMGDanger-1)+(EnemyJackDMG-1)),0)*IF($A42&gt;20,(1+Max(0,((($A42-20)*(($A42-20)+1))/2)/100)*(2+Max(0,($A42-35)*0.2))),1),0)*IF(EnemyBuffed=TRUE,1.25,1),0)*EnemyDMGTaken,0),1) &amp; ")"</f>
        <v>10  (10)</v>
      </c>
      <c r="O42" s="414" t="str">
        <f>Rounddown(Round(Round((O$34+O$35*($A42-1))*(1+(EnemyDamageSlider-1)+(EnemyDMGDanger-1)+(EnemyJackDMG-1)),0)*IF($A42&gt;20,(1+Max(0,((($A42-20)*(($A42-20)+1))/2)/100)*(2+Max(0,($A42-35)*0.2))),1),0)*IF(EnemyBuffed=TRUE,1.25,1),0) &amp; "  (" &amp; MAX(ROUND(Rounddown(Round(Round((O$34+O$35*($A42-1))*(1+(EnemyDamageSlider-1)+(EnemyDMGDanger-1)+(EnemyJackDMG-1)),0)*IF($A42&gt;20,(1+Max(0,((($A42-20)*(($A42-20)+1))/2)/100)*(2+Max(0,($A42-35)*0.2))),1),0)*IF(EnemyBuffed=TRUE,1.25,1),0)*EnemyDMGTaken,0),1) &amp; ")"</f>
        <v>9  (9)</v>
      </c>
      <c r="P42" s="414" t="str">
        <f>Rounddown(Round(Round((P$34+P$35*($A42-1))*(1+(EnemyDamageSlider-1)+(EnemyDMGDanger-1)+(EnemyJackDMG-1)),0)*IF($A42&gt;20,(1+Max(0,((($A42-20)*(($A42-20)+1))/2)/100)*(2+Max(0,($A42-35)*0.2))),1),0)*IF(EnemyBuffed=TRUE,1.25,1),0) &amp; "  (" &amp; MAX(ROUND(Rounddown(Round(Round((P$34+P$35*($A42-1))*(1+(EnemyDamageSlider-1)+(EnemyDMGDanger-1)+(EnemyJackDMG-1)),0)*IF($A42&gt;20,(1+Max(0,((($A42-20)*(($A42-20)+1))/2)/100)*(2+Max(0,($A42-35)*0.2))),1),0)*IF(EnemyBuffed=TRUE,1.25,1),0)*EnemyDMGTaken,0),1) &amp; ")"</f>
        <v>10  (10)</v>
      </c>
      <c r="Q42" s="414" t="str">
        <f>Rounddown(Round(Round((Q$34+Q$35*($A42-1))*(1+(EnemyDamageSlider-1)+(EnemyDMGDanger-1)+(EnemyJackDMG-1)),0)*IF($A42&gt;20,(1+Max(0,((($A42-20)*(($A42-20)+1))/2)/100)*(2+Max(0,($A42-35)*0.2))),1),0)*IF(EnemyBuffed=TRUE,1.25,1),0) &amp; "  (" &amp; MAX(ROUND(Rounddown(Round(Round((Q$34+Q$35*($A42-1))*(1+(EnemyDamageSlider-1)+(EnemyDMGDanger-1)+(EnemyJackDMG-1)),0)*IF($A42&gt;20,(1+Max(0,((($A42-20)*(($A42-20)+1))/2)/100)*(2+Max(0,($A42-35)*0.2))),1),0)*IF(EnemyBuffed=TRUE,1.25,1),0)*EnemyDMGTaken,0),1) &amp; ")"</f>
        <v>11  (11)</v>
      </c>
      <c r="R42" s="414" t="str">
        <f>Rounddown(Round(Round((R$34+R$35*($A42-1))*(1+(EnemyDamageSlider-1)+(EnemyDMGDanger-1)+(EnemyJackDMG-1)),0)*IF($A42&gt;20,(1+Max(0,((($A42-20)*(($A42-20)+1))/2)/100)*(2+Max(0,($A42-35)*0.2))),1),0)*IF(EnemyBuffed=TRUE,1.25,1),0) &amp; "  (" &amp; MAX(ROUND(Rounddown(Round(Round((R$34+R$35*($A42-1))*(1+(EnemyDamageSlider-1)+(EnemyDMGDanger-1)+(EnemyJackDMG-1)),0)*IF($A42&gt;20,(1+Max(0,((($A42-20)*(($A42-20)+1))/2)/100)*(2+Max(0,($A42-35)*0.2))),1),0)*IF(EnemyBuffed=TRUE,1.25,1),0)*EnemyDMGTaken,0),1) &amp; ")"</f>
        <v>11  (11)</v>
      </c>
      <c r="S42" s="414" t="str">
        <f>Rounddown(Round(Round((S$34+S$35*($A42-1))*(1+(EnemyDamageSlider-1)+(EnemyDMGDanger-1)+(EnemyJackDMG-1)),0)*IF($A42&gt;20,(1+Max(0,((($A42-20)*(($A42-20)+1))/2)/100)*(2+Max(0,($A42-35)*0.2))),1),0)*IF(EnemyBuffed=TRUE,1.25,1),0) &amp; "  (" &amp; MAX(ROUND(Rounddown(Round(Round((S$34+S$35*($A42-1))*(1+(EnemyDamageSlider-1)+(EnemyDMGDanger-1)+(EnemyJackDMG-1)),0)*IF($A42&gt;20,(1+Max(0,((($A42-20)*(($A42-20)+1))/2)/100)*(2+Max(0,($A42-35)*0.2))),1),0)*IF(EnemyBuffed=TRUE,1.25,1),0)*EnemyDMGTaken,0),1) &amp; ")"</f>
        <v>6  (6)</v>
      </c>
      <c r="T42" s="414" t="str">
        <f>Rounddown(Round(Round((T$34+T$35*($A42-1))*(1+(EnemyDamageSlider-1)+(EnemyDMGDanger-1)+(EnemyJackDMG-1)),0)*IF($A42&gt;20,(1+Max(0,((($A42-20)*(($A42-20)+1))/2)/100)*(2+Max(0,($A42-35)*0.2))),1),0)*IF(EnemyBuffed=TRUE,1.25,1),0) &amp; "  (" &amp; MAX(ROUND(Rounddown(Round(Round((T$34+T$35*($A42-1))*(1+(EnemyDamageSlider-1)+(EnemyDMGDanger-1)+(EnemyJackDMG-1)),0)*IF($A42&gt;20,(1+Max(0,((($A42-20)*(($A42-20)+1))/2)/100)*(2+Max(0,($A42-35)*0.2))),1),0)*IF(EnemyBuffed=TRUE,1.25,1),0)*EnemyDMGTaken,0),1) &amp; ")"</f>
        <v>11  (11)</v>
      </c>
      <c r="U42" s="414" t="str">
        <f>Rounddown(Round(Round((U$34+U$35*($A42-1))*(1+(EnemyDamageSlider-1)+(EnemyDMGDanger-1)+(EnemyJackDMG-1)),0)*IF($A42&gt;20,(1+Max(0,((($A42-20)*(($A42-20)+1))/2)/100)*(2+Max(0,($A42-35)*0.2))),1),0)*IF(EnemyBuffed=TRUE,1.25,1),0) &amp; "  (" &amp; MAX(ROUND(Rounddown(Round(Round((U$34+U$35*($A42-1))*(1+(EnemyDamageSlider-1)+(EnemyDMGDanger-1)+(EnemyJackDMG-1)),0)*IF($A42&gt;20,(1+Max(0,((($A42-20)*(($A42-20)+1))/2)/100)*(2+Max(0,($A42-35)*0.2))),1),0)*IF(EnemyBuffed=TRUE,1.25,1),0)*EnemyDMGTaken,0),1) &amp; ")"</f>
        <v>10  (10)</v>
      </c>
      <c r="V42" s="414" t="str">
        <f>Rounddown(Round(Round((V$34+V$35*($A42-1))*(1+(EnemyDamageSlider-1)+(EnemyDMGDanger-1)+(EnemyJackDMG-1)),0)*IF($A42&gt;20,(1+Max(0,((($A42-20)*(($A42-20)+1))/2)/100)*(2+Max(0,($A42-35)*0.2))),1),0)*IF(EnemyBuffed=TRUE,1.25,1),0) &amp; "  (" &amp; MAX(ROUND(Rounddown(Round(Round((V$34+V$35*($A42-1))*(1+(EnemyDamageSlider-1)+(EnemyDMGDanger-1)+(EnemyJackDMG-1)),0)*IF($A42&gt;20,(1+Max(0,((($A42-20)*(($A42-20)+1))/2)/100)*(2+Max(0,($A42-35)*0.2))),1),0)*IF(EnemyBuffed=TRUE,1.25,1),0)*EnemyDMGTaken,0),1) &amp; ")"</f>
        <v>14  (14)</v>
      </c>
      <c r="W42" s="414" t="str">
        <f>Rounddown(Round(Round((W$34+W$35*($A42-1))*(1+(EnemyDamageSlider-1)+(EnemyDMGDanger-1)+(EnemyJackDMG-1)),0)*IF($A42&gt;20,(1+Max(0,((($A42-20)*(($A42-20)+1))/2)/100)*(2+Max(0,($A42-35)*0.2))),1),0)*IF(EnemyBuffed=TRUE,1.25,1),0) &amp; "  (" &amp; MAX(ROUND(Rounddown(Round(Round((W$34+W$35*($A42-1))*(1+(EnemyDamageSlider-1)+(EnemyDMGDanger-1)+(EnemyJackDMG-1)),0)*IF($A42&gt;20,(1+Max(0,((($A42-20)*(($A42-20)+1))/2)/100)*(2+Max(0,($A42-35)*0.2))),1),0)*IF(EnemyBuffed=TRUE,1.25,1),0)*EnemyDMGTaken,0),1) &amp; ")"</f>
        <v>14  (14)</v>
      </c>
      <c r="X42" s="414" t="str">
        <f>Rounddown(Round(Round((X$34+X$35*($A42-1))*(1+(EnemyDamageSlider-1)+(EnemyDMGDanger-1)+(EnemyJackDMG-1)),0)*IF($A42&gt;20,(1+Max(0,((($A42-20)*(($A42-20)+1))/2)/100)*(2+Max(0,($A42-35)*0.2))),1),0)*IF(EnemyBuffed=TRUE,1.25,1),0) &amp; "  (" &amp; MAX(ROUND(Rounddown(Round(Round((X$34+X$35*($A42-1))*(1+(EnemyDamageSlider-1)+(EnemyDMGDanger-1)+(EnemyJackDMG-1)),0)*IF($A42&gt;20,(1+Max(0,((($A42-20)*(($A42-20)+1))/2)/100)*(2+Max(0,($A42-35)*0.2))),1),0)*IF(EnemyBuffed=TRUE,1.25,1),0)*EnemyDMGTaken,0),1) &amp; ")"</f>
        <v>14  (14)</v>
      </c>
      <c r="Y42" s="414" t="str">
        <f>Rounddown(Round(Round((Y$34+Y$35*($A42-1))*(1+(EnemyDamageSlider-1)+(EnemyDMGDanger-1)+(EnemyJackDMG-1)),0)*IF($A42&gt;20,(1+Max(0,((($A42-20)*(($A42-20)+1))/2)/100)*(2+Max(0,($A42-35)*0.2))),1),0)*IF(EnemyBuffed=TRUE,1.25,1),0) &amp; "  (" &amp; MAX(ROUND(Rounddown(Round(Round((Y$34+Y$35*($A42-1))*(1+(EnemyDamageSlider-1)+(EnemyDMGDanger-1)+(EnemyJackDMG-1)),0)*IF($A42&gt;20,(1+Max(0,((($A42-20)*(($A42-20)+1))/2)/100)*(2+Max(0,($A42-35)*0.2))),1),0)*IF(EnemyBuffed=TRUE,1.25,1),0)*EnemyDMGTaken,0),1) &amp; ")"</f>
        <v>14  (14)</v>
      </c>
      <c r="Z42" s="414" t="str">
        <f>Rounddown(Round(Round((Z$34+Z$35*($A42-1))*(1+(EnemyDamageSlider-1)+(EnemyDMGDanger-1)+(EnemyJackDMG-1)),0)*IF($A42&gt;20,(1+Max(0,((($A42-20)*(($A42-20)+1))/2)/100)*(2+Max(0,($A42-35)*0.2))),1),0)*IF(EnemyBuffed=TRUE,1.25,1),0) &amp; "  (" &amp; MAX(ROUND(Rounddown(Round(Round((Z$34+Z$35*($A42-1))*(1+(EnemyDamageSlider-1)+(EnemyDMGDanger-1)+(EnemyJackDMG-1)),0)*IF($A42&gt;20,(1+Max(0,((($A42-20)*(($A42-20)+1))/2)/100)*(2+Max(0,($A42-35)*0.2))),1),0)*IF(EnemyBuffed=TRUE,1.25,1),0)*EnemyDMGTaken,0),1) &amp; ")"</f>
        <v>14  (14)</v>
      </c>
      <c r="AA42" s="414" t="str">
        <f>Rounddown(Round(Round((AA$34+AA$35*($A42-1))*(1+(EnemyDamageSlider-1)+(EnemyDMGDanger-1)+(EnemyJackDMG-1)),0)*IF($A42&gt;20,(1+Max(0,((($A42-20)*(($A42-20)+1))/2)/100)*(2+Max(0,($A42-35)*0.2))),1),0)*IF(EnemyBuffed=TRUE,1.25,1),0) &amp; "  (" &amp; MAX(ROUND(Rounddown(Round(Round((AA$34+AA$35*($A42-1))*(1+(EnemyDamageSlider-1)+(EnemyDMGDanger-1)+(EnemyJackDMG-1)),0)*IF($A42&gt;20,(1+Max(0,((($A42-20)*(($A42-20)+1))/2)/100)*(2+Max(0,($A42-35)*0.2))),1),0)*IF(EnemyBuffed=TRUE,1.25,1),0)*EnemyDMGTaken,0),1) &amp; ")"</f>
        <v>8  (8)</v>
      </c>
    </row>
    <row r="43">
      <c r="A43" s="150">
        <v>8.0</v>
      </c>
      <c r="B43" s="415">
        <v>0.0</v>
      </c>
      <c r="C43" s="414" t="str">
        <f>Rounddown(Round(Round((C$34+C$35*($A43-1))*(1+(EnemyDamageSlider-1)+(EnemyDMGDanger-1)+(EnemyJackDMG-1)),0)*IF($A43&gt;20,(1+Max(0,((($A43-20)*(($A43-20)+1))/2)/100)*(2+Max(0,($A43-35)*0.2))),1),0)*IF(EnemyBuffed=TRUE,1.25,1),0) &amp; "  (" &amp; MAX(ROUND(Rounddown(Round(Round((C$34+C$35*($A43-1))*(1+(EnemyDamageSlider-1)+(EnemyDMGDanger-1)+(EnemyJackDMG-1)),0)*IF($A43&gt;20,(1+Max(0,((($A43-20)*(($A43-20)+1))/2)/100)*(2+Max(0,($A43-35)*0.2))),1),0)*IF(EnemyBuffed=TRUE,1.25,1),0)*EnemyDMGTaken,0),1) &amp; ")"</f>
        <v>7  (7)</v>
      </c>
      <c r="D43" s="414" t="str">
        <f>Rounddown(Round(Round((D$34+D$35*($A43-1))*(1+(EnemyDamageSlider-1)+(EnemyDMGDanger-1)+(EnemyJackDMG-1)),0)*IF($A43&gt;20,(1+Max(0,((($A43-20)*(($A43-20)+1))/2)/100)*(2+Max(0,($A43-35)*0.2))),1),0)*IF(EnemyBuffed=TRUE,1.25,1),0) &amp; "  (" &amp; MAX(ROUND(Rounddown(Round(Round((D$34+D$35*($A43-1))*(1+(EnemyDamageSlider-1)+(EnemyDMGDanger-1)+(EnemyJackDMG-1)),0)*IF($A43&gt;20,(1+Max(0,((($A43-20)*(($A43-20)+1))/2)/100)*(2+Max(0,($A43-35)*0.2))),1),0)*IF(EnemyBuffed=TRUE,1.25,1),0)*EnemyDMGTaken,0),1) &amp; ")"</f>
        <v>7  (7)</v>
      </c>
      <c r="E43" s="414" t="str">
        <f>Rounddown(Round(Round((E$34+E$35*($A43-1))*(1+(EnemyDamageSlider-1)+(EnemyDMGDanger-1)+(EnemyJackDMG-1)),0)*IF($A43&gt;20,(1+Max(0,((($A43-20)*(($A43-20)+1))/2)/100)*(2+Max(0,($A43-35)*0.2))),1),0)*IF(EnemyBuffed=TRUE,1.25,1),0) &amp; "  (" &amp; MAX(ROUND(Rounddown(Round(Round((E$34+E$35*($A43-1))*(1+(EnemyDamageSlider-1)+(EnemyDMGDanger-1)+(EnemyJackDMG-1)),0)*IF($A43&gt;20,(1+Max(0,((($A43-20)*(($A43-20)+1))/2)/100)*(2+Max(0,($A43-35)*0.2))),1),0)*IF(EnemyBuffed=TRUE,1.25,1),0)*EnemyDMGTaken,0),1) &amp; ")"</f>
        <v>7  (7)</v>
      </c>
      <c r="F43" s="414" t="str">
        <f>Rounddown(Round(Round((F$34+F$35*($A43-1))*(1+(EnemyDamageSlider-1)+(EnemyDMGDanger-1)+(EnemyJackDMG-1)),0)*IF($A43&gt;20,(1+Max(0,((($A43-20)*(($A43-20)+1))/2)/100)*(2+Max(0,($A43-35)*0.2))),1),0)*IF(EnemyBuffed=TRUE,1.25,1),0) &amp; "  (" &amp; MAX(ROUND(Rounddown(Round(Round((F$34+F$35*($A43-1))*(1+(EnemyDamageSlider-1)+(EnemyDMGDanger-1)+(EnemyJackDMG-1)),0)*IF($A43&gt;20,(1+Max(0,((($A43-20)*(($A43-20)+1))/2)/100)*(2+Max(0,($A43-35)*0.2))),1),0)*IF(EnemyBuffed=TRUE,1.25,1),0)*EnemyDMGTaken,0),1) &amp; ")"</f>
        <v>10  (10)</v>
      </c>
      <c r="G43" s="414" t="str">
        <f>Rounddown(Round(Round((G$34+G$35*($A43-1))*(1+(EnemyDamageSlider-1)+(EnemyDMGDanger-1)+(EnemyJackDMG-1)),0)*IF($A43&gt;20,(1+Max(0,((($A43-20)*(($A43-20)+1))/2)/100)*(2+Max(0,($A43-35)*0.2))),1),0)*IF(EnemyBuffed=TRUE,1.25,1),0) &amp; "  (" &amp; MAX(ROUND(Rounddown(Round(Round((G$34+G$35*($A43-1))*(1+(EnemyDamageSlider-1)+(EnemyDMGDanger-1)+(EnemyJackDMG-1)),0)*IF($A43&gt;20,(1+Max(0,((($A43-20)*(($A43-20)+1))/2)/100)*(2+Max(0,($A43-35)*0.2))),1),0)*IF(EnemyBuffed=TRUE,1.25,1),0)*EnemyDMGTaken,0),1) &amp; ")"</f>
        <v>13  (13)</v>
      </c>
      <c r="H43" s="414" t="str">
        <f>Rounddown(Round(Round((H$34+H$35*($A43-1))*(1+(EnemyDamageSlider-1)+(EnemyDMGDanger-1)+(EnemyJackDMG-1)),0)*IF($A43&gt;20,(1+Max(0,((($A43-20)*(($A43-20)+1))/2)/100)*(2+Max(0,($A43-35)*0.2))),1),0)*IF(EnemyBuffed=TRUE,1.25,1),0) &amp; "  (" &amp; MAX(ROUND(Rounddown(Round(Round((H$34+H$35*($A43-1))*(1+(EnemyDamageSlider-1)+(EnemyDMGDanger-1)+(EnemyJackDMG-1)),0)*IF($A43&gt;20,(1+Max(0,((($A43-20)*(($A43-20)+1))/2)/100)*(2+Max(0,($A43-35)*0.2))),1),0)*IF(EnemyBuffed=TRUE,1.25,1),0)*EnemyDMGTaken,0),1) &amp; ")"</f>
        <v>11  (11)</v>
      </c>
      <c r="I43" s="414" t="str">
        <f>Rounddown(Round(Round((I$34+I$35*($A43-1))*(1+(EnemyDamageSlider-1)+(EnemyDMGDanger-1)+(EnemyJackDMG-1)),0)*IF($A43&gt;20,(1+Max(0,((($A43-20)*(($A43-20)+1))/2)/100)*(2+Max(0,($A43-35)*0.2))),1),0)*IF(EnemyBuffed=TRUE,1.25,1),0) &amp; "  (" &amp; MAX(ROUND(Rounddown(Round(Round((I$34+I$35*($A43-1))*(1+(EnemyDamageSlider-1)+(EnemyDMGDanger-1)+(EnemyJackDMG-1)),0)*IF($A43&gt;20,(1+Max(0,((($A43-20)*(($A43-20)+1))/2)/100)*(2+Max(0,($A43-35)*0.2))),1),0)*IF(EnemyBuffed=TRUE,1.25,1),0)*EnemyDMGTaken,0),1) &amp; ")"</f>
        <v>7  (7)</v>
      </c>
      <c r="J43" s="414" t="str">
        <f>Rounddown(Round(Round((J$34+J$35*($A43-1))*(1+(EnemyDamageSlider-1)+(EnemyDMGDanger-1)+(EnemyJackDMG-1)),0)*IF($A43&gt;20,(1+Max(0,((($A43-20)*(($A43-20)+1))/2)/100)*(2+Max(0,($A43-35)*0.2))),1),0)*IF(EnemyBuffed=TRUE,1.25,1),0) &amp; "  (" &amp; MAX(ROUND(Rounddown(Round(Round((J$34+J$35*($A43-1))*(1+(EnemyDamageSlider-1)+(EnemyDMGDanger-1)+(EnemyJackDMG-1)),0)*IF($A43&gt;20,(1+Max(0,((($A43-20)*(($A43-20)+1))/2)/100)*(2+Max(0,($A43-35)*0.2))),1),0)*IF(EnemyBuffed=TRUE,1.25,1),0)*EnemyDMGTaken,0),1) &amp; ")"</f>
        <v>10  (10)</v>
      </c>
      <c r="K43" s="414" t="str">
        <f>Rounddown(Round(Round((K$34+K$35*($A43-1))*(1+(EnemyDamageSlider-1)+(EnemyDMGDanger-1)+(EnemyJackDMG-1)),0)*IF($A43&gt;20,(1+Max(0,((($A43-20)*(($A43-20)+1))/2)/100)*(2+Max(0,($A43-35)*0.2))),1),0)*IF(EnemyBuffed=TRUE,1.25,1),0) &amp; "  (" &amp; MAX(ROUND(Rounddown(Round(Round((K$34+K$35*($A43-1))*(1+(EnemyDamageSlider-1)+(EnemyDMGDanger-1)+(EnemyJackDMG-1)),0)*IF($A43&gt;20,(1+Max(0,((($A43-20)*(($A43-20)+1))/2)/100)*(2+Max(0,($A43-35)*0.2))),1),0)*IF(EnemyBuffed=TRUE,1.25,1),0)*EnemyDMGTaken,0),1) &amp; ")"</f>
        <v>10  (10)</v>
      </c>
      <c r="L43" s="414" t="str">
        <f>Rounddown(Round(Round((L$34+L$35*($A43-1))*(1+(EnemyDamageSlider-1)+(EnemyDMGDanger-1)+(EnemyJackDMG-1)),0)*IF($A43&gt;20,(1+Max(0,((($A43-20)*(($A43-20)+1))/2)/100)*(2+Max(0,($A43-35)*0.2))),1),0)*IF(EnemyBuffed=TRUE,1.25,1),0) &amp; "  (" &amp; MAX(ROUND(Rounddown(Round(Round((L$34+L$35*($A43-1))*(1+(EnemyDamageSlider-1)+(EnemyDMGDanger-1)+(EnemyJackDMG-1)),0)*IF($A43&gt;20,(1+Max(0,((($A43-20)*(($A43-20)+1))/2)/100)*(2+Max(0,($A43-35)*0.2))),1),0)*IF(EnemyBuffed=TRUE,1.25,1),0)*EnemyDMGTaken,0),1) &amp; ")"</f>
        <v>10  (10)</v>
      </c>
      <c r="M43" s="414" t="str">
        <f>Rounddown(Round(Round((M$34+M$35*($A43-1))*(1+(EnemyDamageSlider-1)+(EnemyDMGDanger-1)+(EnemyJackDMG-1)),0)*IF($A43&gt;20,(1+Max(0,((($A43-20)*(($A43-20)+1))/2)/100)*(2+Max(0,($A43-35)*0.2))),1),0)*IF(EnemyBuffed=TRUE,1.25,1),0) &amp; "  (" &amp; MAX(ROUND(Rounddown(Round(Round((M$34+M$35*($A43-1))*(1+(EnemyDamageSlider-1)+(EnemyDMGDanger-1)+(EnemyJackDMG-1)),0)*IF($A43&gt;20,(1+Max(0,((($A43-20)*(($A43-20)+1))/2)/100)*(2+Max(0,($A43-35)*0.2))),1),0)*IF(EnemyBuffed=TRUE,1.25,1),0)*EnemyDMGTaken,0),1) &amp; ")"</f>
        <v>11  (11)</v>
      </c>
      <c r="N43" s="414" t="str">
        <f>Rounddown(Round(Round((N$34+N$35*($A43-1))*(1+(EnemyDamageSlider-1)+(EnemyDMGDanger-1)+(EnemyJackDMG-1)),0)*IF($A43&gt;20,(1+Max(0,((($A43-20)*(($A43-20)+1))/2)/100)*(2+Max(0,($A43-35)*0.2))),1),0)*IF(EnemyBuffed=TRUE,1.25,1),0) &amp; "  (" &amp; MAX(ROUND(Rounddown(Round(Round((N$34+N$35*($A43-1))*(1+(EnemyDamageSlider-1)+(EnemyDMGDanger-1)+(EnemyJackDMG-1)),0)*IF($A43&gt;20,(1+Max(0,((($A43-20)*(($A43-20)+1))/2)/100)*(2+Max(0,($A43-35)*0.2))),1),0)*IF(EnemyBuffed=TRUE,1.25,1),0)*EnemyDMGTaken,0),1) &amp; ")"</f>
        <v>11  (11)</v>
      </c>
      <c r="O43" s="414" t="str">
        <f>Rounddown(Round(Round((O$34+O$35*($A43-1))*(1+(EnemyDamageSlider-1)+(EnemyDMGDanger-1)+(EnemyJackDMG-1)),0)*IF($A43&gt;20,(1+Max(0,((($A43-20)*(($A43-20)+1))/2)/100)*(2+Max(0,($A43-35)*0.2))),1),0)*IF(EnemyBuffed=TRUE,1.25,1),0) &amp; "  (" &amp; MAX(ROUND(Rounddown(Round(Round((O$34+O$35*($A43-1))*(1+(EnemyDamageSlider-1)+(EnemyDMGDanger-1)+(EnemyJackDMG-1)),0)*IF($A43&gt;20,(1+Max(0,((($A43-20)*(($A43-20)+1))/2)/100)*(2+Max(0,($A43-35)*0.2))),1),0)*IF(EnemyBuffed=TRUE,1.25,1),0)*EnemyDMGTaken,0),1) &amp; ")"</f>
        <v>10  (10)</v>
      </c>
      <c r="P43" s="414" t="str">
        <f>Rounddown(Round(Round((P$34+P$35*($A43-1))*(1+(EnemyDamageSlider-1)+(EnemyDMGDanger-1)+(EnemyJackDMG-1)),0)*IF($A43&gt;20,(1+Max(0,((($A43-20)*(($A43-20)+1))/2)/100)*(2+Max(0,($A43-35)*0.2))),1),0)*IF(EnemyBuffed=TRUE,1.25,1),0) &amp; "  (" &amp; MAX(ROUND(Rounddown(Round(Round((P$34+P$35*($A43-1))*(1+(EnemyDamageSlider-1)+(EnemyDMGDanger-1)+(EnemyJackDMG-1)),0)*IF($A43&gt;20,(1+Max(0,((($A43-20)*(($A43-20)+1))/2)/100)*(2+Max(0,($A43-35)*0.2))),1),0)*IF(EnemyBuffed=TRUE,1.25,1),0)*EnemyDMGTaken,0),1) &amp; ")"</f>
        <v>11  (11)</v>
      </c>
      <c r="Q43" s="414" t="str">
        <f>Rounddown(Round(Round((Q$34+Q$35*($A43-1))*(1+(EnemyDamageSlider-1)+(EnemyDMGDanger-1)+(EnemyJackDMG-1)),0)*IF($A43&gt;20,(1+Max(0,((($A43-20)*(($A43-20)+1))/2)/100)*(2+Max(0,($A43-35)*0.2))),1),0)*IF(EnemyBuffed=TRUE,1.25,1),0) &amp; "  (" &amp; MAX(ROUND(Rounddown(Round(Round((Q$34+Q$35*($A43-1))*(1+(EnemyDamageSlider-1)+(EnemyDMGDanger-1)+(EnemyJackDMG-1)),0)*IF($A43&gt;20,(1+Max(0,((($A43-20)*(($A43-20)+1))/2)/100)*(2+Max(0,($A43-35)*0.2))),1),0)*IF(EnemyBuffed=TRUE,1.25,1),0)*EnemyDMGTaken,0),1) &amp; ")"</f>
        <v>13  (13)</v>
      </c>
      <c r="R43" s="414" t="str">
        <f>Rounddown(Round(Round((R$34+R$35*($A43-1))*(1+(EnemyDamageSlider-1)+(EnemyDMGDanger-1)+(EnemyJackDMG-1)),0)*IF($A43&gt;20,(1+Max(0,((($A43-20)*(($A43-20)+1))/2)/100)*(2+Max(0,($A43-35)*0.2))),1),0)*IF(EnemyBuffed=TRUE,1.25,1),0) &amp; "  (" &amp; MAX(ROUND(Rounddown(Round(Round((R$34+R$35*($A43-1))*(1+(EnemyDamageSlider-1)+(EnemyDMGDanger-1)+(EnemyJackDMG-1)),0)*IF($A43&gt;20,(1+Max(0,((($A43-20)*(($A43-20)+1))/2)/100)*(2+Max(0,($A43-35)*0.2))),1),0)*IF(EnemyBuffed=TRUE,1.25,1),0)*EnemyDMGTaken,0),1) &amp; ")"</f>
        <v>12  (12)</v>
      </c>
      <c r="S43" s="414" t="str">
        <f>Rounddown(Round(Round((S$34+S$35*($A43-1))*(1+(EnemyDamageSlider-1)+(EnemyDMGDanger-1)+(EnemyJackDMG-1)),0)*IF($A43&gt;20,(1+Max(0,((($A43-20)*(($A43-20)+1))/2)/100)*(2+Max(0,($A43-35)*0.2))),1),0)*IF(EnemyBuffed=TRUE,1.25,1),0) &amp; "  (" &amp; MAX(ROUND(Rounddown(Round(Round((S$34+S$35*($A43-1))*(1+(EnemyDamageSlider-1)+(EnemyDMGDanger-1)+(EnemyJackDMG-1)),0)*IF($A43&gt;20,(1+Max(0,((($A43-20)*(($A43-20)+1))/2)/100)*(2+Max(0,($A43-35)*0.2))),1),0)*IF(EnemyBuffed=TRUE,1.25,1),0)*EnemyDMGTaken,0),1) &amp; ")"</f>
        <v>7  (7)</v>
      </c>
      <c r="T43" s="414" t="str">
        <f>Rounddown(Round(Round((T$34+T$35*($A43-1))*(1+(EnemyDamageSlider-1)+(EnemyDMGDanger-1)+(EnemyJackDMG-1)),0)*IF($A43&gt;20,(1+Max(0,((($A43-20)*(($A43-20)+1))/2)/100)*(2+Max(0,($A43-35)*0.2))),1),0)*IF(EnemyBuffed=TRUE,1.25,1),0) &amp; "  (" &amp; MAX(ROUND(Rounddown(Round(Round((T$34+T$35*($A43-1))*(1+(EnemyDamageSlider-1)+(EnemyDMGDanger-1)+(EnemyJackDMG-1)),0)*IF($A43&gt;20,(1+Max(0,((($A43-20)*(($A43-20)+1))/2)/100)*(2+Max(0,($A43-35)*0.2))),1),0)*IF(EnemyBuffed=TRUE,1.25,1),0)*EnemyDMGTaken,0),1) &amp; ")"</f>
        <v>13  (13)</v>
      </c>
      <c r="U43" s="414" t="str">
        <f>Rounddown(Round(Round((U$34+U$35*($A43-1))*(1+(EnemyDamageSlider-1)+(EnemyDMGDanger-1)+(EnemyJackDMG-1)),0)*IF($A43&gt;20,(1+Max(0,((($A43-20)*(($A43-20)+1))/2)/100)*(2+Max(0,($A43-35)*0.2))),1),0)*IF(EnemyBuffed=TRUE,1.25,1),0) &amp; "  (" &amp; MAX(ROUND(Rounddown(Round(Round((U$34+U$35*($A43-1))*(1+(EnemyDamageSlider-1)+(EnemyDMGDanger-1)+(EnemyJackDMG-1)),0)*IF($A43&gt;20,(1+Max(0,((($A43-20)*(($A43-20)+1))/2)/100)*(2+Max(0,($A43-35)*0.2))),1),0)*IF(EnemyBuffed=TRUE,1.25,1),0)*EnemyDMGTaken,0),1) &amp; ")"</f>
        <v>11  (11)</v>
      </c>
      <c r="V43" s="414" t="str">
        <f>Rounddown(Round(Round((V$34+V$35*($A43-1))*(1+(EnemyDamageSlider-1)+(EnemyDMGDanger-1)+(EnemyJackDMG-1)),0)*IF($A43&gt;20,(1+Max(0,((($A43-20)*(($A43-20)+1))/2)/100)*(2+Max(0,($A43-35)*0.2))),1),0)*IF(EnemyBuffed=TRUE,1.25,1),0) &amp; "  (" &amp; MAX(ROUND(Rounddown(Round(Round((V$34+V$35*($A43-1))*(1+(EnemyDamageSlider-1)+(EnemyDMGDanger-1)+(EnemyJackDMG-1)),0)*IF($A43&gt;20,(1+Max(0,((($A43-20)*(($A43-20)+1))/2)/100)*(2+Max(0,($A43-35)*0.2))),1),0)*IF(EnemyBuffed=TRUE,1.25,1),0)*EnemyDMGTaken,0),1) &amp; ")"</f>
        <v>16  (16)</v>
      </c>
      <c r="W43" s="414" t="str">
        <f>Rounddown(Round(Round((W$34+W$35*($A43-1))*(1+(EnemyDamageSlider-1)+(EnemyDMGDanger-1)+(EnemyJackDMG-1)),0)*IF($A43&gt;20,(1+Max(0,((($A43-20)*(($A43-20)+1))/2)/100)*(2+Max(0,($A43-35)*0.2))),1),0)*IF(EnemyBuffed=TRUE,1.25,1),0) &amp; "  (" &amp; MAX(ROUND(Rounddown(Round(Round((W$34+W$35*($A43-1))*(1+(EnemyDamageSlider-1)+(EnemyDMGDanger-1)+(EnemyJackDMG-1)),0)*IF($A43&gt;20,(1+Max(0,((($A43-20)*(($A43-20)+1))/2)/100)*(2+Max(0,($A43-35)*0.2))),1),0)*IF(EnemyBuffed=TRUE,1.25,1),0)*EnemyDMGTaken,0),1) &amp; ")"</f>
        <v>16  (16)</v>
      </c>
      <c r="X43" s="414" t="str">
        <f>Rounddown(Round(Round((X$34+X$35*($A43-1))*(1+(EnemyDamageSlider-1)+(EnemyDMGDanger-1)+(EnemyJackDMG-1)),0)*IF($A43&gt;20,(1+Max(0,((($A43-20)*(($A43-20)+1))/2)/100)*(2+Max(0,($A43-35)*0.2))),1),0)*IF(EnemyBuffed=TRUE,1.25,1),0) &amp; "  (" &amp; MAX(ROUND(Rounddown(Round(Round((X$34+X$35*($A43-1))*(1+(EnemyDamageSlider-1)+(EnemyDMGDanger-1)+(EnemyJackDMG-1)),0)*IF($A43&gt;20,(1+Max(0,((($A43-20)*(($A43-20)+1))/2)/100)*(2+Max(0,($A43-35)*0.2))),1),0)*IF(EnemyBuffed=TRUE,1.25,1),0)*EnemyDMGTaken,0),1) &amp; ")"</f>
        <v>16  (16)</v>
      </c>
      <c r="Y43" s="414" t="str">
        <f>Rounddown(Round(Round((Y$34+Y$35*($A43-1))*(1+(EnemyDamageSlider-1)+(EnemyDMGDanger-1)+(EnemyJackDMG-1)),0)*IF($A43&gt;20,(1+Max(0,((($A43-20)*(($A43-20)+1))/2)/100)*(2+Max(0,($A43-35)*0.2))),1),0)*IF(EnemyBuffed=TRUE,1.25,1),0) &amp; "  (" &amp; MAX(ROUND(Rounddown(Round(Round((Y$34+Y$35*($A43-1))*(1+(EnemyDamageSlider-1)+(EnemyDMGDanger-1)+(EnemyJackDMG-1)),0)*IF($A43&gt;20,(1+Max(0,((($A43-20)*(($A43-20)+1))/2)/100)*(2+Max(0,($A43-35)*0.2))),1),0)*IF(EnemyBuffed=TRUE,1.25,1),0)*EnemyDMGTaken,0),1) &amp; ")"</f>
        <v>16  (16)</v>
      </c>
      <c r="Z43" s="414" t="str">
        <f>Rounddown(Round(Round((Z$34+Z$35*($A43-1))*(1+(EnemyDamageSlider-1)+(EnemyDMGDanger-1)+(EnemyJackDMG-1)),0)*IF($A43&gt;20,(1+Max(0,((($A43-20)*(($A43-20)+1))/2)/100)*(2+Max(0,($A43-35)*0.2))),1),0)*IF(EnemyBuffed=TRUE,1.25,1),0) &amp; "  (" &amp; MAX(ROUND(Rounddown(Round(Round((Z$34+Z$35*($A43-1))*(1+(EnemyDamageSlider-1)+(EnemyDMGDanger-1)+(EnemyJackDMG-1)),0)*IF($A43&gt;20,(1+Max(0,((($A43-20)*(($A43-20)+1))/2)/100)*(2+Max(0,($A43-35)*0.2))),1),0)*IF(EnemyBuffed=TRUE,1.25,1),0)*EnemyDMGTaken,0),1) &amp; ")"</f>
        <v>16  (16)</v>
      </c>
      <c r="AA43" s="414" t="str">
        <f>Rounddown(Round(Round((AA$34+AA$35*($A43-1))*(1+(EnemyDamageSlider-1)+(EnemyDMGDanger-1)+(EnemyJackDMG-1)),0)*IF($A43&gt;20,(1+Max(0,((($A43-20)*(($A43-20)+1))/2)/100)*(2+Max(0,($A43-35)*0.2))),1),0)*IF(EnemyBuffed=TRUE,1.25,1),0) &amp; "  (" &amp; MAX(ROUND(Rounddown(Round(Round((AA$34+AA$35*($A43-1))*(1+(EnemyDamageSlider-1)+(EnemyDMGDanger-1)+(EnemyJackDMG-1)),0)*IF($A43&gt;20,(1+Max(0,((($A43-20)*(($A43-20)+1))/2)/100)*(2+Max(0,($A43-35)*0.2))),1),0)*IF(EnemyBuffed=TRUE,1.25,1),0)*EnemyDMGTaken,0),1) &amp; ")"</f>
        <v>9  (9)</v>
      </c>
    </row>
    <row r="44">
      <c r="A44" s="150">
        <v>9.0</v>
      </c>
      <c r="B44" s="415">
        <v>0.0</v>
      </c>
      <c r="C44" s="414" t="str">
        <f>Rounddown(Round(Round((C$34+C$35*($A44-1))*(1+(EnemyDamageSlider-1)+(EnemyDMGDanger-1)+(EnemyJackDMG-1)),0)*IF($A44&gt;20,(1+Max(0,((($A44-20)*(($A44-20)+1))/2)/100)*(2+Max(0,($A44-35)*0.2))),1),0)*IF(EnemyBuffed=TRUE,1.25,1),0) &amp; "  (" &amp; MAX(ROUND(Rounddown(Round(Round((C$34+C$35*($A44-1))*(1+(EnemyDamageSlider-1)+(EnemyDMGDanger-1)+(EnemyJackDMG-1)),0)*IF($A44&gt;20,(1+Max(0,((($A44-20)*(($A44-20)+1))/2)/100)*(2+Max(0,($A44-35)*0.2))),1),0)*IF(EnemyBuffed=TRUE,1.25,1),0)*EnemyDMGTaken,0),1) &amp; ")"</f>
        <v>8  (8)</v>
      </c>
      <c r="D44" s="414" t="str">
        <f>Rounddown(Round(Round((D$34+D$35*($A44-1))*(1+(EnemyDamageSlider-1)+(EnemyDMGDanger-1)+(EnemyJackDMG-1)),0)*IF($A44&gt;20,(1+Max(0,((($A44-20)*(($A44-20)+1))/2)/100)*(2+Max(0,($A44-35)*0.2))),1),0)*IF(EnemyBuffed=TRUE,1.25,1),0) &amp; "  (" &amp; MAX(ROUND(Rounddown(Round(Round((D$34+D$35*($A44-1))*(1+(EnemyDamageSlider-1)+(EnemyDMGDanger-1)+(EnemyJackDMG-1)),0)*IF($A44&gt;20,(1+Max(0,((($A44-20)*(($A44-20)+1))/2)/100)*(2+Max(0,($A44-35)*0.2))),1),0)*IF(EnemyBuffed=TRUE,1.25,1),0)*EnemyDMGTaken,0),1) &amp; ")"</f>
        <v>8  (8)</v>
      </c>
      <c r="E44" s="414" t="str">
        <f>Rounddown(Round(Round((E$34+E$35*($A44-1))*(1+(EnemyDamageSlider-1)+(EnemyDMGDanger-1)+(EnemyJackDMG-1)),0)*IF($A44&gt;20,(1+Max(0,((($A44-20)*(($A44-20)+1))/2)/100)*(2+Max(0,($A44-35)*0.2))),1),0)*IF(EnemyBuffed=TRUE,1.25,1),0) &amp; "  (" &amp; MAX(ROUND(Rounddown(Round(Round((E$34+E$35*($A44-1))*(1+(EnemyDamageSlider-1)+(EnemyDMGDanger-1)+(EnemyJackDMG-1)),0)*IF($A44&gt;20,(1+Max(0,((($A44-20)*(($A44-20)+1))/2)/100)*(2+Max(0,($A44-35)*0.2))),1),0)*IF(EnemyBuffed=TRUE,1.25,1),0)*EnemyDMGTaken,0),1) &amp; ")"</f>
        <v>8  (8)</v>
      </c>
      <c r="F44" s="414" t="str">
        <f>Rounddown(Round(Round((F$34+F$35*($A44-1))*(1+(EnemyDamageSlider-1)+(EnemyDMGDanger-1)+(EnemyJackDMG-1)),0)*IF($A44&gt;20,(1+Max(0,((($A44-20)*(($A44-20)+1))/2)/100)*(2+Max(0,($A44-35)*0.2))),1),0)*IF(EnemyBuffed=TRUE,1.25,1),0) &amp; "  (" &amp; MAX(ROUND(Rounddown(Round(Round((F$34+F$35*($A44-1))*(1+(EnemyDamageSlider-1)+(EnemyDMGDanger-1)+(EnemyJackDMG-1)),0)*IF($A44&gt;20,(1+Max(0,((($A44-20)*(($A44-20)+1))/2)/100)*(2+Max(0,($A44-35)*0.2))),1),0)*IF(EnemyBuffed=TRUE,1.25,1),0)*EnemyDMGTaken,0),1) &amp; ")"</f>
        <v>11  (11)</v>
      </c>
      <c r="G44" s="414" t="str">
        <f>Rounddown(Round(Round((G$34+G$35*($A44-1))*(1+(EnemyDamageSlider-1)+(EnemyDMGDanger-1)+(EnemyJackDMG-1)),0)*IF($A44&gt;20,(1+Max(0,((($A44-20)*(($A44-20)+1))/2)/100)*(2+Max(0,($A44-35)*0.2))),1),0)*IF(EnemyBuffed=TRUE,1.25,1),0) &amp; "  (" &amp; MAX(ROUND(Rounddown(Round(Round((G$34+G$35*($A44-1))*(1+(EnemyDamageSlider-1)+(EnemyDMGDanger-1)+(EnemyJackDMG-1)),0)*IF($A44&gt;20,(1+Max(0,((($A44-20)*(($A44-20)+1))/2)/100)*(2+Max(0,($A44-35)*0.2))),1),0)*IF(EnemyBuffed=TRUE,1.25,1),0)*EnemyDMGTaken,0),1) &amp; ")"</f>
        <v>15  (15)</v>
      </c>
      <c r="H44" s="414" t="str">
        <f>Rounddown(Round(Round((H$34+H$35*($A44-1))*(1+(EnemyDamageSlider-1)+(EnemyDMGDanger-1)+(EnemyJackDMG-1)),0)*IF($A44&gt;20,(1+Max(0,((($A44-20)*(($A44-20)+1))/2)/100)*(2+Max(0,($A44-35)*0.2))),1),0)*IF(EnemyBuffed=TRUE,1.25,1),0) &amp; "  (" &amp; MAX(ROUND(Rounddown(Round(Round((H$34+H$35*($A44-1))*(1+(EnemyDamageSlider-1)+(EnemyDMGDanger-1)+(EnemyJackDMG-1)),0)*IF($A44&gt;20,(1+Max(0,((($A44-20)*(($A44-20)+1))/2)/100)*(2+Max(0,($A44-35)*0.2))),1),0)*IF(EnemyBuffed=TRUE,1.25,1),0)*EnemyDMGTaken,0),1) &amp; ")"</f>
        <v>12  (12)</v>
      </c>
      <c r="I44" s="414" t="str">
        <f>Rounddown(Round(Round((I$34+I$35*($A44-1))*(1+(EnemyDamageSlider-1)+(EnemyDMGDanger-1)+(EnemyJackDMG-1)),0)*IF($A44&gt;20,(1+Max(0,((($A44-20)*(($A44-20)+1))/2)/100)*(2+Max(0,($A44-35)*0.2))),1),0)*IF(EnemyBuffed=TRUE,1.25,1),0) &amp; "  (" &amp; MAX(ROUND(Rounddown(Round(Round((I$34+I$35*($A44-1))*(1+(EnemyDamageSlider-1)+(EnemyDMGDanger-1)+(EnemyJackDMG-1)),0)*IF($A44&gt;20,(1+Max(0,((($A44-20)*(($A44-20)+1))/2)/100)*(2+Max(0,($A44-35)*0.2))),1),0)*IF(EnemyBuffed=TRUE,1.25,1),0)*EnemyDMGTaken,0),1) &amp; ")"</f>
        <v>8  (8)</v>
      </c>
      <c r="J44" s="414" t="str">
        <f>Rounddown(Round(Round((J$34+J$35*($A44-1))*(1+(EnemyDamageSlider-1)+(EnemyDMGDanger-1)+(EnemyJackDMG-1)),0)*IF($A44&gt;20,(1+Max(0,((($A44-20)*(($A44-20)+1))/2)/100)*(2+Max(0,($A44-35)*0.2))),1),0)*IF(EnemyBuffed=TRUE,1.25,1),0) &amp; "  (" &amp; MAX(ROUND(Rounddown(Round(Round((J$34+J$35*($A44-1))*(1+(EnemyDamageSlider-1)+(EnemyDMGDanger-1)+(EnemyJackDMG-1)),0)*IF($A44&gt;20,(1+Max(0,((($A44-20)*(($A44-20)+1))/2)/100)*(2+Max(0,($A44-35)*0.2))),1),0)*IF(EnemyBuffed=TRUE,1.25,1),0)*EnemyDMGTaken,0),1) &amp; ")"</f>
        <v>11  (11)</v>
      </c>
      <c r="K44" s="414" t="str">
        <f>Rounddown(Round(Round((K$34+K$35*($A44-1))*(1+(EnemyDamageSlider-1)+(EnemyDMGDanger-1)+(EnemyJackDMG-1)),0)*IF($A44&gt;20,(1+Max(0,((($A44-20)*(($A44-20)+1))/2)/100)*(2+Max(0,($A44-35)*0.2))),1),0)*IF(EnemyBuffed=TRUE,1.25,1),0) &amp; "  (" &amp; MAX(ROUND(Rounddown(Round(Round((K$34+K$35*($A44-1))*(1+(EnemyDamageSlider-1)+(EnemyDMGDanger-1)+(EnemyJackDMG-1)),0)*IF($A44&gt;20,(1+Max(0,((($A44-20)*(($A44-20)+1))/2)/100)*(2+Max(0,($A44-35)*0.2))),1),0)*IF(EnemyBuffed=TRUE,1.25,1),0)*EnemyDMGTaken,0),1) &amp; ")"</f>
        <v>11  (11)</v>
      </c>
      <c r="L44" s="414" t="str">
        <f>Rounddown(Round(Round((L$34+L$35*($A44-1))*(1+(EnemyDamageSlider-1)+(EnemyDMGDanger-1)+(EnemyJackDMG-1)),0)*IF($A44&gt;20,(1+Max(0,((($A44-20)*(($A44-20)+1))/2)/100)*(2+Max(0,($A44-35)*0.2))),1),0)*IF(EnemyBuffed=TRUE,1.25,1),0) &amp; "  (" &amp; MAX(ROUND(Rounddown(Round(Round((L$34+L$35*($A44-1))*(1+(EnemyDamageSlider-1)+(EnemyDMGDanger-1)+(EnemyJackDMG-1)),0)*IF($A44&gt;20,(1+Max(0,((($A44-20)*(($A44-20)+1))/2)/100)*(2+Max(0,($A44-35)*0.2))),1),0)*IF(EnemyBuffed=TRUE,1.25,1),0)*EnemyDMGTaken,0),1) &amp; ")"</f>
        <v>11  (11)</v>
      </c>
      <c r="M44" s="414" t="str">
        <f>Rounddown(Round(Round((M$34+M$35*($A44-1))*(1+(EnemyDamageSlider-1)+(EnemyDMGDanger-1)+(EnemyJackDMG-1)),0)*IF($A44&gt;20,(1+Max(0,((($A44-20)*(($A44-20)+1))/2)/100)*(2+Max(0,($A44-35)*0.2))),1),0)*IF(EnemyBuffed=TRUE,1.25,1),0) &amp; "  (" &amp; MAX(ROUND(Rounddown(Round(Round((M$34+M$35*($A44-1))*(1+(EnemyDamageSlider-1)+(EnemyDMGDanger-1)+(EnemyJackDMG-1)),0)*IF($A44&gt;20,(1+Max(0,((($A44-20)*(($A44-20)+1))/2)/100)*(2+Max(0,($A44-35)*0.2))),1),0)*IF(EnemyBuffed=TRUE,1.25,1),0)*EnemyDMGTaken,0),1) &amp; ")"</f>
        <v>13  (13)</v>
      </c>
      <c r="N44" s="414" t="str">
        <f>Rounddown(Round(Round((N$34+N$35*($A44-1))*(1+(EnemyDamageSlider-1)+(EnemyDMGDanger-1)+(EnemyJackDMG-1)),0)*IF($A44&gt;20,(1+Max(0,((($A44-20)*(($A44-20)+1))/2)/100)*(2+Max(0,($A44-35)*0.2))),1),0)*IF(EnemyBuffed=TRUE,1.25,1),0) &amp; "  (" &amp; MAX(ROUND(Rounddown(Round(Round((N$34+N$35*($A44-1))*(1+(EnemyDamageSlider-1)+(EnemyDMGDanger-1)+(EnemyJackDMG-1)),0)*IF($A44&gt;20,(1+Max(0,((($A44-20)*(($A44-20)+1))/2)/100)*(2+Max(0,($A44-35)*0.2))),1),0)*IF(EnemyBuffed=TRUE,1.25,1),0)*EnemyDMGTaken,0),1) &amp; ")"</f>
        <v>13  (13)</v>
      </c>
      <c r="O44" s="414" t="str">
        <f>Rounddown(Round(Round((O$34+O$35*($A44-1))*(1+(EnemyDamageSlider-1)+(EnemyDMGDanger-1)+(EnemyJackDMG-1)),0)*IF($A44&gt;20,(1+Max(0,((($A44-20)*(($A44-20)+1))/2)/100)*(2+Max(0,($A44-35)*0.2))),1),0)*IF(EnemyBuffed=TRUE,1.25,1),0) &amp; "  (" &amp; MAX(ROUND(Rounddown(Round(Round((O$34+O$35*($A44-1))*(1+(EnemyDamageSlider-1)+(EnemyDMGDanger-1)+(EnemyJackDMG-1)),0)*IF($A44&gt;20,(1+Max(0,((($A44-20)*(($A44-20)+1))/2)/100)*(2+Max(0,($A44-35)*0.2))),1),0)*IF(EnemyBuffed=TRUE,1.25,1),0)*EnemyDMGTaken,0),1) &amp; ")"</f>
        <v>11  (11)</v>
      </c>
      <c r="P44" s="414" t="str">
        <f>Rounddown(Round(Round((P$34+P$35*($A44-1))*(1+(EnemyDamageSlider-1)+(EnemyDMGDanger-1)+(EnemyJackDMG-1)),0)*IF($A44&gt;20,(1+Max(0,((($A44-20)*(($A44-20)+1))/2)/100)*(2+Max(0,($A44-35)*0.2))),1),0)*IF(EnemyBuffed=TRUE,1.25,1),0) &amp; "  (" &amp; MAX(ROUND(Rounddown(Round(Round((P$34+P$35*($A44-1))*(1+(EnemyDamageSlider-1)+(EnemyDMGDanger-1)+(EnemyJackDMG-1)),0)*IF($A44&gt;20,(1+Max(0,((($A44-20)*(($A44-20)+1))/2)/100)*(2+Max(0,($A44-35)*0.2))),1),0)*IF(EnemyBuffed=TRUE,1.25,1),0)*EnemyDMGTaken,0),1) &amp; ")"</f>
        <v>13  (13)</v>
      </c>
      <c r="Q44" s="414" t="str">
        <f>Rounddown(Round(Round((Q$34+Q$35*($A44-1))*(1+(EnemyDamageSlider-1)+(EnemyDMGDanger-1)+(EnemyJackDMG-1)),0)*IF($A44&gt;20,(1+Max(0,((($A44-20)*(($A44-20)+1))/2)/100)*(2+Max(0,($A44-35)*0.2))),1),0)*IF(EnemyBuffed=TRUE,1.25,1),0) &amp; "  (" &amp; MAX(ROUND(Rounddown(Round(Round((Q$34+Q$35*($A44-1))*(1+(EnemyDamageSlider-1)+(EnemyDMGDanger-1)+(EnemyJackDMG-1)),0)*IF($A44&gt;20,(1+Max(0,((($A44-20)*(($A44-20)+1))/2)/100)*(2+Max(0,($A44-35)*0.2))),1),0)*IF(EnemyBuffed=TRUE,1.25,1),0)*EnemyDMGTaken,0),1) &amp; ")"</f>
        <v>14  (14)</v>
      </c>
      <c r="R44" s="414" t="str">
        <f>Rounddown(Round(Round((R$34+R$35*($A44-1))*(1+(EnemyDamageSlider-1)+(EnemyDMGDanger-1)+(EnemyJackDMG-1)),0)*IF($A44&gt;20,(1+Max(0,((($A44-20)*(($A44-20)+1))/2)/100)*(2+Max(0,($A44-35)*0.2))),1),0)*IF(EnemyBuffed=TRUE,1.25,1),0) &amp; "  (" &amp; MAX(ROUND(Rounddown(Round(Round((R$34+R$35*($A44-1))*(1+(EnemyDamageSlider-1)+(EnemyDMGDanger-1)+(EnemyJackDMG-1)),0)*IF($A44&gt;20,(1+Max(0,((($A44-20)*(($A44-20)+1))/2)/100)*(2+Max(0,($A44-35)*0.2))),1),0)*IF(EnemyBuffed=TRUE,1.25,1),0)*EnemyDMGTaken,0),1) &amp; ")"</f>
        <v>14  (14)</v>
      </c>
      <c r="S44" s="414" t="str">
        <f>Rounddown(Round(Round((S$34+S$35*($A44-1))*(1+(EnemyDamageSlider-1)+(EnemyDMGDanger-1)+(EnemyJackDMG-1)),0)*IF($A44&gt;20,(1+Max(0,((($A44-20)*(($A44-20)+1))/2)/100)*(2+Max(0,($A44-35)*0.2))),1),0)*IF(EnemyBuffed=TRUE,1.25,1),0) &amp; "  (" &amp; MAX(ROUND(Rounddown(Round(Round((S$34+S$35*($A44-1))*(1+(EnemyDamageSlider-1)+(EnemyDMGDanger-1)+(EnemyJackDMG-1)),0)*IF($A44&gt;20,(1+Max(0,((($A44-20)*(($A44-20)+1))/2)/100)*(2+Max(0,($A44-35)*0.2))),1),0)*IF(EnemyBuffed=TRUE,1.25,1),0)*EnemyDMGTaken,0),1) &amp; ")"</f>
        <v>8  (8)</v>
      </c>
      <c r="T44" s="414" t="str">
        <f>Rounddown(Round(Round((T$34+T$35*($A44-1))*(1+(EnemyDamageSlider-1)+(EnemyDMGDanger-1)+(EnemyJackDMG-1)),0)*IF($A44&gt;20,(1+Max(0,((($A44-20)*(($A44-20)+1))/2)/100)*(2+Max(0,($A44-35)*0.2))),1),0)*IF(EnemyBuffed=TRUE,1.25,1),0) &amp; "  (" &amp; MAX(ROUND(Rounddown(Round(Round((T$34+T$35*($A44-1))*(1+(EnemyDamageSlider-1)+(EnemyDMGDanger-1)+(EnemyJackDMG-1)),0)*IF($A44&gt;20,(1+Max(0,((($A44-20)*(($A44-20)+1))/2)/100)*(2+Max(0,($A44-35)*0.2))),1),0)*IF(EnemyBuffed=TRUE,1.25,1),0)*EnemyDMGTaken,0),1) &amp; ")"</f>
        <v>14  (14)</v>
      </c>
      <c r="U44" s="414" t="str">
        <f>Rounddown(Round(Round((U$34+U$35*($A44-1))*(1+(EnemyDamageSlider-1)+(EnemyDMGDanger-1)+(EnemyJackDMG-1)),0)*IF($A44&gt;20,(1+Max(0,((($A44-20)*(($A44-20)+1))/2)/100)*(2+Max(0,($A44-35)*0.2))),1),0)*IF(EnemyBuffed=TRUE,1.25,1),0) &amp; "  (" &amp; MAX(ROUND(Rounddown(Round(Round((U$34+U$35*($A44-1))*(1+(EnemyDamageSlider-1)+(EnemyDMGDanger-1)+(EnemyJackDMG-1)),0)*IF($A44&gt;20,(1+Max(0,((($A44-20)*(($A44-20)+1))/2)/100)*(2+Max(0,($A44-35)*0.2))),1),0)*IF(EnemyBuffed=TRUE,1.25,1),0)*EnemyDMGTaken,0),1) &amp; ")"</f>
        <v>13  (13)</v>
      </c>
      <c r="V44" s="414" t="str">
        <f>Rounddown(Round(Round((V$34+V$35*($A44-1))*(1+(EnemyDamageSlider-1)+(EnemyDMGDanger-1)+(EnemyJackDMG-1)),0)*IF($A44&gt;20,(1+Max(0,((($A44-20)*(($A44-20)+1))/2)/100)*(2+Max(0,($A44-35)*0.2))),1),0)*IF(EnemyBuffed=TRUE,1.25,1),0) &amp; "  (" &amp; MAX(ROUND(Rounddown(Round(Round((V$34+V$35*($A44-1))*(1+(EnemyDamageSlider-1)+(EnemyDMGDanger-1)+(EnemyJackDMG-1)),0)*IF($A44&gt;20,(1+Max(0,((($A44-20)*(($A44-20)+1))/2)/100)*(2+Max(0,($A44-35)*0.2))),1),0)*IF(EnemyBuffed=TRUE,1.25,1),0)*EnemyDMGTaken,0),1) &amp; ")"</f>
        <v>18  (18)</v>
      </c>
      <c r="W44" s="414" t="str">
        <f>Rounddown(Round(Round((W$34+W$35*($A44-1))*(1+(EnemyDamageSlider-1)+(EnemyDMGDanger-1)+(EnemyJackDMG-1)),0)*IF($A44&gt;20,(1+Max(0,((($A44-20)*(($A44-20)+1))/2)/100)*(2+Max(0,($A44-35)*0.2))),1),0)*IF(EnemyBuffed=TRUE,1.25,1),0) &amp; "  (" &amp; MAX(ROUND(Rounddown(Round(Round((W$34+W$35*($A44-1))*(1+(EnemyDamageSlider-1)+(EnemyDMGDanger-1)+(EnemyJackDMG-1)),0)*IF($A44&gt;20,(1+Max(0,((($A44-20)*(($A44-20)+1))/2)/100)*(2+Max(0,($A44-35)*0.2))),1),0)*IF(EnemyBuffed=TRUE,1.25,1),0)*EnemyDMGTaken,0),1) &amp; ")"</f>
        <v>18  (18)</v>
      </c>
      <c r="X44" s="414" t="str">
        <f>Rounddown(Round(Round((X$34+X$35*($A44-1))*(1+(EnemyDamageSlider-1)+(EnemyDMGDanger-1)+(EnemyJackDMG-1)),0)*IF($A44&gt;20,(1+Max(0,((($A44-20)*(($A44-20)+1))/2)/100)*(2+Max(0,($A44-35)*0.2))),1),0)*IF(EnemyBuffed=TRUE,1.25,1),0) &amp; "  (" &amp; MAX(ROUND(Rounddown(Round(Round((X$34+X$35*($A44-1))*(1+(EnemyDamageSlider-1)+(EnemyDMGDanger-1)+(EnemyJackDMG-1)),0)*IF($A44&gt;20,(1+Max(0,((($A44-20)*(($A44-20)+1))/2)/100)*(2+Max(0,($A44-35)*0.2))),1),0)*IF(EnemyBuffed=TRUE,1.25,1),0)*EnemyDMGTaken,0),1) &amp; ")"</f>
        <v>18  (18)</v>
      </c>
      <c r="Y44" s="414" t="str">
        <f>Rounddown(Round(Round((Y$34+Y$35*($A44-1))*(1+(EnemyDamageSlider-1)+(EnemyDMGDanger-1)+(EnemyJackDMG-1)),0)*IF($A44&gt;20,(1+Max(0,((($A44-20)*(($A44-20)+1))/2)/100)*(2+Max(0,($A44-35)*0.2))),1),0)*IF(EnemyBuffed=TRUE,1.25,1),0) &amp; "  (" &amp; MAX(ROUND(Rounddown(Round(Round((Y$34+Y$35*($A44-1))*(1+(EnemyDamageSlider-1)+(EnemyDMGDanger-1)+(EnemyJackDMG-1)),0)*IF($A44&gt;20,(1+Max(0,((($A44-20)*(($A44-20)+1))/2)/100)*(2+Max(0,($A44-35)*0.2))),1),0)*IF(EnemyBuffed=TRUE,1.25,1),0)*EnemyDMGTaken,0),1) &amp; ")"</f>
        <v>18  (18)</v>
      </c>
      <c r="Z44" s="414" t="str">
        <f>Rounddown(Round(Round((Z$34+Z$35*($A44-1))*(1+(EnemyDamageSlider-1)+(EnemyDMGDanger-1)+(EnemyJackDMG-1)),0)*IF($A44&gt;20,(1+Max(0,((($A44-20)*(($A44-20)+1))/2)/100)*(2+Max(0,($A44-35)*0.2))),1),0)*IF(EnemyBuffed=TRUE,1.25,1),0) &amp; "  (" &amp; MAX(ROUND(Rounddown(Round(Round((Z$34+Z$35*($A44-1))*(1+(EnemyDamageSlider-1)+(EnemyDMGDanger-1)+(EnemyJackDMG-1)),0)*IF($A44&gt;20,(1+Max(0,((($A44-20)*(($A44-20)+1))/2)/100)*(2+Max(0,($A44-35)*0.2))),1),0)*IF(EnemyBuffed=TRUE,1.25,1),0)*EnemyDMGTaken,0),1) &amp; ")"</f>
        <v>18  (18)</v>
      </c>
      <c r="AA44" s="414" t="str">
        <f>Rounddown(Round(Round((AA$34+AA$35*($A44-1))*(1+(EnemyDamageSlider-1)+(EnemyDMGDanger-1)+(EnemyJackDMG-1)),0)*IF($A44&gt;20,(1+Max(0,((($A44-20)*(($A44-20)+1))/2)/100)*(2+Max(0,($A44-35)*0.2))),1),0)*IF(EnemyBuffed=TRUE,1.25,1),0) &amp; "  (" &amp; MAX(ROUND(Rounddown(Round(Round((AA$34+AA$35*($A44-1))*(1+(EnemyDamageSlider-1)+(EnemyDMGDanger-1)+(EnemyJackDMG-1)),0)*IF($A44&gt;20,(1+Max(0,((($A44-20)*(($A44-20)+1))/2)/100)*(2+Max(0,($A44-35)*0.2))),1),0)*IF(EnemyBuffed=TRUE,1.25,1),0)*EnemyDMGTaken,0),1) &amp; ")"</f>
        <v>10  (10)</v>
      </c>
    </row>
    <row r="45">
      <c r="A45" s="150">
        <v>10.0</v>
      </c>
      <c r="B45" s="415">
        <v>0.0</v>
      </c>
      <c r="C45" s="414" t="str">
        <f>Rounddown(Round(Round((C$34+C$35*($A45-1))*(1+(EnemyDamageSlider-1)+(EnemyDMGDanger-1)+(EnemyJackDMG-1)),0)*IF($A45&gt;20,(1+Max(0,((($A45-20)*(($A45-20)+1))/2)/100)*(2+Max(0,($A45-35)*0.2))),1),0)*IF(EnemyBuffed=TRUE,1.25,1),0) &amp; "  (" &amp; MAX(ROUND(Rounddown(Round(Round((C$34+C$35*($A45-1))*(1+(EnemyDamageSlider-1)+(EnemyDMGDanger-1)+(EnemyJackDMG-1)),0)*IF($A45&gt;20,(1+Max(0,((($A45-20)*(($A45-20)+1))/2)/100)*(2+Max(0,($A45-35)*0.2))),1),0)*IF(EnemyBuffed=TRUE,1.25,1),0)*EnemyDMGTaken,0),1) &amp; ")"</f>
        <v>9  (9)</v>
      </c>
      <c r="D45" s="414" t="str">
        <f>Rounddown(Round(Round((D$34+D$35*($A45-1))*(1+(EnemyDamageSlider-1)+(EnemyDMGDanger-1)+(EnemyJackDMG-1)),0)*IF($A45&gt;20,(1+Max(0,((($A45-20)*(($A45-20)+1))/2)/100)*(2+Max(0,($A45-35)*0.2))),1),0)*IF(EnemyBuffed=TRUE,1.25,1),0) &amp; "  (" &amp; MAX(ROUND(Rounddown(Round(Round((D$34+D$35*($A45-1))*(1+(EnemyDamageSlider-1)+(EnemyDMGDanger-1)+(EnemyJackDMG-1)),0)*IF($A45&gt;20,(1+Max(0,((($A45-20)*(($A45-20)+1))/2)/100)*(2+Max(0,($A45-35)*0.2))),1),0)*IF(EnemyBuffed=TRUE,1.25,1),0)*EnemyDMGTaken,0),1) &amp; ")"</f>
        <v>9  (9)</v>
      </c>
      <c r="E45" s="414" t="str">
        <f>Rounddown(Round(Round((E$34+E$35*($A45-1))*(1+(EnemyDamageSlider-1)+(EnemyDMGDanger-1)+(EnemyJackDMG-1)),0)*IF($A45&gt;20,(1+Max(0,((($A45-20)*(($A45-20)+1))/2)/100)*(2+Max(0,($A45-35)*0.2))),1),0)*IF(EnemyBuffed=TRUE,1.25,1),0) &amp; "  (" &amp; MAX(ROUND(Rounddown(Round(Round((E$34+E$35*($A45-1))*(1+(EnemyDamageSlider-1)+(EnemyDMGDanger-1)+(EnemyJackDMG-1)),0)*IF($A45&gt;20,(1+Max(0,((($A45-20)*(($A45-20)+1))/2)/100)*(2+Max(0,($A45-35)*0.2))),1),0)*IF(EnemyBuffed=TRUE,1.25,1),0)*EnemyDMGTaken,0),1) &amp; ")"</f>
        <v>9  (9)</v>
      </c>
      <c r="F45" s="414" t="str">
        <f>Rounddown(Round(Round((F$34+F$35*($A45-1))*(1+(EnemyDamageSlider-1)+(EnemyDMGDanger-1)+(EnemyJackDMG-1)),0)*IF($A45&gt;20,(1+Max(0,((($A45-20)*(($A45-20)+1))/2)/100)*(2+Max(0,($A45-35)*0.2))),1),0)*IF(EnemyBuffed=TRUE,1.25,1),0) &amp; "  (" &amp; MAX(ROUND(Rounddown(Round(Round((F$34+F$35*($A45-1))*(1+(EnemyDamageSlider-1)+(EnemyDMGDanger-1)+(EnemyJackDMG-1)),0)*IF($A45&gt;20,(1+Max(0,((($A45-20)*(($A45-20)+1))/2)/100)*(2+Max(0,($A45-35)*0.2))),1),0)*IF(EnemyBuffed=TRUE,1.25,1),0)*EnemyDMGTaken,0),1) &amp; ")"</f>
        <v>12  (12)</v>
      </c>
      <c r="G45" s="414" t="str">
        <f>Rounddown(Round(Round((G$34+G$35*($A45-1))*(1+(EnemyDamageSlider-1)+(EnemyDMGDanger-1)+(EnemyJackDMG-1)),0)*IF($A45&gt;20,(1+Max(0,((($A45-20)*(($A45-20)+1))/2)/100)*(2+Max(0,($A45-35)*0.2))),1),0)*IF(EnemyBuffed=TRUE,1.25,1),0) &amp; "  (" &amp; MAX(ROUND(Rounddown(Round(Round((G$34+G$35*($A45-1))*(1+(EnemyDamageSlider-1)+(EnemyDMGDanger-1)+(EnemyJackDMG-1)),0)*IF($A45&gt;20,(1+Max(0,((($A45-20)*(($A45-20)+1))/2)/100)*(2+Max(0,($A45-35)*0.2))),1),0)*IF(EnemyBuffed=TRUE,1.25,1),0)*EnemyDMGTaken,0),1) &amp; ")"</f>
        <v>17  (17)</v>
      </c>
      <c r="H45" s="414" t="str">
        <f>Rounddown(Round(Round((H$34+H$35*($A45-1))*(1+(EnemyDamageSlider-1)+(EnemyDMGDanger-1)+(EnemyJackDMG-1)),0)*IF($A45&gt;20,(1+Max(0,((($A45-20)*(($A45-20)+1))/2)/100)*(2+Max(0,($A45-35)*0.2))),1),0)*IF(EnemyBuffed=TRUE,1.25,1),0) &amp; "  (" &amp; MAX(ROUND(Rounddown(Round(Round((H$34+H$35*($A45-1))*(1+(EnemyDamageSlider-1)+(EnemyDMGDanger-1)+(EnemyJackDMG-1)),0)*IF($A45&gt;20,(1+Max(0,((($A45-20)*(($A45-20)+1))/2)/100)*(2+Max(0,($A45-35)*0.2))),1),0)*IF(EnemyBuffed=TRUE,1.25,1),0)*EnemyDMGTaken,0),1) &amp; ")"</f>
        <v>14  (14)</v>
      </c>
      <c r="I45" s="414" t="str">
        <f>Rounddown(Round(Round((I$34+I$35*($A45-1))*(1+(EnemyDamageSlider-1)+(EnemyDMGDanger-1)+(EnemyJackDMG-1)),0)*IF($A45&gt;20,(1+Max(0,((($A45-20)*(($A45-20)+1))/2)/100)*(2+Max(0,($A45-35)*0.2))),1),0)*IF(EnemyBuffed=TRUE,1.25,1),0) &amp; "  (" &amp; MAX(ROUND(Rounddown(Round(Round((I$34+I$35*($A45-1))*(1+(EnemyDamageSlider-1)+(EnemyDMGDanger-1)+(EnemyJackDMG-1)),0)*IF($A45&gt;20,(1+Max(0,((($A45-20)*(($A45-20)+1))/2)/100)*(2+Max(0,($A45-35)*0.2))),1),0)*IF(EnemyBuffed=TRUE,1.25,1),0)*EnemyDMGTaken,0),1) &amp; ")"</f>
        <v>9  (9)</v>
      </c>
      <c r="J45" s="414" t="str">
        <f>Rounddown(Round(Round((J$34+J$35*($A45-1))*(1+(EnemyDamageSlider-1)+(EnemyDMGDanger-1)+(EnemyJackDMG-1)),0)*IF($A45&gt;20,(1+Max(0,((($A45-20)*(($A45-20)+1))/2)/100)*(2+Max(0,($A45-35)*0.2))),1),0)*IF(EnemyBuffed=TRUE,1.25,1),0) &amp; "  (" &amp; MAX(ROUND(Rounddown(Round(Round((J$34+J$35*($A45-1))*(1+(EnemyDamageSlider-1)+(EnemyDMGDanger-1)+(EnemyJackDMG-1)),0)*IF($A45&gt;20,(1+Max(0,((($A45-20)*(($A45-20)+1))/2)/100)*(2+Max(0,($A45-35)*0.2))),1),0)*IF(EnemyBuffed=TRUE,1.25,1),0)*EnemyDMGTaken,0),1) &amp; ")"</f>
        <v>12  (12)</v>
      </c>
      <c r="K45" s="414" t="str">
        <f>Rounddown(Round(Round((K$34+K$35*($A45-1))*(1+(EnemyDamageSlider-1)+(EnemyDMGDanger-1)+(EnemyJackDMG-1)),0)*IF($A45&gt;20,(1+Max(0,((($A45-20)*(($A45-20)+1))/2)/100)*(2+Max(0,($A45-35)*0.2))),1),0)*IF(EnemyBuffed=TRUE,1.25,1),0) &amp; "  (" &amp; MAX(ROUND(Rounddown(Round(Round((K$34+K$35*($A45-1))*(1+(EnemyDamageSlider-1)+(EnemyDMGDanger-1)+(EnemyJackDMG-1)),0)*IF($A45&gt;20,(1+Max(0,((($A45-20)*(($A45-20)+1))/2)/100)*(2+Max(0,($A45-35)*0.2))),1),0)*IF(EnemyBuffed=TRUE,1.25,1),0)*EnemyDMGTaken,0),1) &amp; ")"</f>
        <v>12  (12)</v>
      </c>
      <c r="L45" s="414" t="str">
        <f>Rounddown(Round(Round((L$34+L$35*($A45-1))*(1+(EnemyDamageSlider-1)+(EnemyDMGDanger-1)+(EnemyJackDMG-1)),0)*IF($A45&gt;20,(1+Max(0,((($A45-20)*(($A45-20)+1))/2)/100)*(2+Max(0,($A45-35)*0.2))),1),0)*IF(EnemyBuffed=TRUE,1.25,1),0) &amp; "  (" &amp; MAX(ROUND(Rounddown(Round(Round((L$34+L$35*($A45-1))*(1+(EnemyDamageSlider-1)+(EnemyDMGDanger-1)+(EnemyJackDMG-1)),0)*IF($A45&gt;20,(1+Max(0,((($A45-20)*(($A45-20)+1))/2)/100)*(2+Max(0,($A45-35)*0.2))),1),0)*IF(EnemyBuffed=TRUE,1.25,1),0)*EnemyDMGTaken,0),1) &amp; ")"</f>
        <v>12  (12)</v>
      </c>
      <c r="M45" s="414" t="str">
        <f>Rounddown(Round(Round((M$34+M$35*($A45-1))*(1+(EnemyDamageSlider-1)+(EnemyDMGDanger-1)+(EnemyJackDMG-1)),0)*IF($A45&gt;20,(1+Max(0,((($A45-20)*(($A45-20)+1))/2)/100)*(2+Max(0,($A45-35)*0.2))),1),0)*IF(EnemyBuffed=TRUE,1.25,1),0) &amp; "  (" &amp; MAX(ROUND(Rounddown(Round(Round((M$34+M$35*($A45-1))*(1+(EnemyDamageSlider-1)+(EnemyDMGDanger-1)+(EnemyJackDMG-1)),0)*IF($A45&gt;20,(1+Max(0,((($A45-20)*(($A45-20)+1))/2)/100)*(2+Max(0,($A45-35)*0.2))),1),0)*IF(EnemyBuffed=TRUE,1.25,1),0)*EnemyDMGTaken,0),1) &amp; ")"</f>
        <v>14  (14)</v>
      </c>
      <c r="N45" s="414" t="str">
        <f>Rounddown(Round(Round((N$34+N$35*($A45-1))*(1+(EnemyDamageSlider-1)+(EnemyDMGDanger-1)+(EnemyJackDMG-1)),0)*IF($A45&gt;20,(1+Max(0,((($A45-20)*(($A45-20)+1))/2)/100)*(2+Max(0,($A45-35)*0.2))),1),0)*IF(EnemyBuffed=TRUE,1.25,1),0) &amp; "  (" &amp; MAX(ROUND(Rounddown(Round(Round((N$34+N$35*($A45-1))*(1+(EnemyDamageSlider-1)+(EnemyDMGDanger-1)+(EnemyJackDMG-1)),0)*IF($A45&gt;20,(1+Max(0,((($A45-20)*(($A45-20)+1))/2)/100)*(2+Max(0,($A45-35)*0.2))),1),0)*IF(EnemyBuffed=TRUE,1.25,1),0)*EnemyDMGTaken,0),1) &amp; ")"</f>
        <v>14  (14)</v>
      </c>
      <c r="O45" s="414" t="str">
        <f>Rounddown(Round(Round((O$34+O$35*($A45-1))*(1+(EnemyDamageSlider-1)+(EnemyDMGDanger-1)+(EnemyJackDMG-1)),0)*IF($A45&gt;20,(1+Max(0,((($A45-20)*(($A45-20)+1))/2)/100)*(2+Max(0,($A45-35)*0.2))),1),0)*IF(EnemyBuffed=TRUE,1.25,1),0) &amp; "  (" &amp; MAX(ROUND(Rounddown(Round(Round((O$34+O$35*($A45-1))*(1+(EnemyDamageSlider-1)+(EnemyDMGDanger-1)+(EnemyJackDMG-1)),0)*IF($A45&gt;20,(1+Max(0,((($A45-20)*(($A45-20)+1))/2)/100)*(2+Max(0,($A45-35)*0.2))),1),0)*IF(EnemyBuffed=TRUE,1.25,1),0)*EnemyDMGTaken,0),1) &amp; ")"</f>
        <v>12  (12)</v>
      </c>
      <c r="P45" s="414" t="str">
        <f>Rounddown(Round(Round((P$34+P$35*($A45-1))*(1+(EnemyDamageSlider-1)+(EnemyDMGDanger-1)+(EnemyJackDMG-1)),0)*IF($A45&gt;20,(1+Max(0,((($A45-20)*(($A45-20)+1))/2)/100)*(2+Max(0,($A45-35)*0.2))),1),0)*IF(EnemyBuffed=TRUE,1.25,1),0) &amp; "  (" &amp; MAX(ROUND(Rounddown(Round(Round((P$34+P$35*($A45-1))*(1+(EnemyDamageSlider-1)+(EnemyDMGDanger-1)+(EnemyJackDMG-1)),0)*IF($A45&gt;20,(1+Max(0,((($A45-20)*(($A45-20)+1))/2)/100)*(2+Max(0,($A45-35)*0.2))),1),0)*IF(EnemyBuffed=TRUE,1.25,1),0)*EnemyDMGTaken,0),1) &amp; ")"</f>
        <v>14  (14)</v>
      </c>
      <c r="Q45" s="414" t="str">
        <f>Rounddown(Round(Round((Q$34+Q$35*($A45-1))*(1+(EnemyDamageSlider-1)+(EnemyDMGDanger-1)+(EnemyJackDMG-1)),0)*IF($A45&gt;20,(1+Max(0,((($A45-20)*(($A45-20)+1))/2)/100)*(2+Max(0,($A45-35)*0.2))),1),0)*IF(EnemyBuffed=TRUE,1.25,1),0) &amp; "  (" &amp; MAX(ROUND(Rounddown(Round(Round((Q$34+Q$35*($A45-1))*(1+(EnemyDamageSlider-1)+(EnemyDMGDanger-1)+(EnemyJackDMG-1)),0)*IF($A45&gt;20,(1+Max(0,((($A45-20)*(($A45-20)+1))/2)/100)*(2+Max(0,($A45-35)*0.2))),1),0)*IF(EnemyBuffed=TRUE,1.25,1),0)*EnemyDMGTaken,0),1) &amp; ")"</f>
        <v>16  (16)</v>
      </c>
      <c r="R45" s="414" t="str">
        <f>Rounddown(Round(Round((R$34+R$35*($A45-1))*(1+(EnemyDamageSlider-1)+(EnemyDMGDanger-1)+(EnemyJackDMG-1)),0)*IF($A45&gt;20,(1+Max(0,((($A45-20)*(($A45-20)+1))/2)/100)*(2+Max(0,($A45-35)*0.2))),1),0)*IF(EnemyBuffed=TRUE,1.25,1),0) &amp; "  (" &amp; MAX(ROUND(Rounddown(Round(Round((R$34+R$35*($A45-1))*(1+(EnemyDamageSlider-1)+(EnemyDMGDanger-1)+(EnemyJackDMG-1)),0)*IF($A45&gt;20,(1+Max(0,((($A45-20)*(($A45-20)+1))/2)/100)*(2+Max(0,($A45-35)*0.2))),1),0)*IF(EnemyBuffed=TRUE,1.25,1),0)*EnemyDMGTaken,0),1) &amp; ")"</f>
        <v>15  (15)</v>
      </c>
      <c r="S45" s="414" t="str">
        <f>Rounddown(Round(Round((S$34+S$35*($A45-1))*(1+(EnemyDamageSlider-1)+(EnemyDMGDanger-1)+(EnemyJackDMG-1)),0)*IF($A45&gt;20,(1+Max(0,((($A45-20)*(($A45-20)+1))/2)/100)*(2+Max(0,($A45-35)*0.2))),1),0)*IF(EnemyBuffed=TRUE,1.25,1),0) &amp; "  (" &amp; MAX(ROUND(Rounddown(Round(Round((S$34+S$35*($A45-1))*(1+(EnemyDamageSlider-1)+(EnemyDMGDanger-1)+(EnemyJackDMG-1)),0)*IF($A45&gt;20,(1+Max(0,((($A45-20)*(($A45-20)+1))/2)/100)*(2+Max(0,($A45-35)*0.2))),1),0)*IF(EnemyBuffed=TRUE,1.25,1),0)*EnemyDMGTaken,0),1) &amp; ")"</f>
        <v>9  (9)</v>
      </c>
      <c r="T45" s="414" t="str">
        <f>Rounddown(Round(Round((T$34+T$35*($A45-1))*(1+(EnemyDamageSlider-1)+(EnemyDMGDanger-1)+(EnemyJackDMG-1)),0)*IF($A45&gt;20,(1+Max(0,((($A45-20)*(($A45-20)+1))/2)/100)*(2+Max(0,($A45-35)*0.2))),1),0)*IF(EnemyBuffed=TRUE,1.25,1),0) &amp; "  (" &amp; MAX(ROUND(Rounddown(Round(Round((T$34+T$35*($A45-1))*(1+(EnemyDamageSlider-1)+(EnemyDMGDanger-1)+(EnemyJackDMG-1)),0)*IF($A45&gt;20,(1+Max(0,((($A45-20)*(($A45-20)+1))/2)/100)*(2+Max(0,($A45-35)*0.2))),1),0)*IF(EnemyBuffed=TRUE,1.25,1),0)*EnemyDMGTaken,0),1) &amp; ")"</f>
        <v>16  (16)</v>
      </c>
      <c r="U45" s="414" t="str">
        <f>Rounddown(Round(Round((U$34+U$35*($A45-1))*(1+(EnemyDamageSlider-1)+(EnemyDMGDanger-1)+(EnemyJackDMG-1)),0)*IF($A45&gt;20,(1+Max(0,((($A45-20)*(($A45-20)+1))/2)/100)*(2+Max(0,($A45-35)*0.2))),1),0)*IF(EnemyBuffed=TRUE,1.25,1),0) &amp; "  (" &amp; MAX(ROUND(Rounddown(Round(Round((U$34+U$35*($A45-1))*(1+(EnemyDamageSlider-1)+(EnemyDMGDanger-1)+(EnemyJackDMG-1)),0)*IF($A45&gt;20,(1+Max(0,((($A45-20)*(($A45-20)+1))/2)/100)*(2+Max(0,($A45-35)*0.2))),1),0)*IF(EnemyBuffed=TRUE,1.25,1),0)*EnemyDMGTaken,0),1) &amp; ")"</f>
        <v>14  (14)</v>
      </c>
      <c r="V45" s="414" t="str">
        <f>Rounddown(Round(Round((V$34+V$35*($A45-1))*(1+(EnemyDamageSlider-1)+(EnemyDMGDanger-1)+(EnemyJackDMG-1)),0)*IF($A45&gt;20,(1+Max(0,((($A45-20)*(($A45-20)+1))/2)/100)*(2+Max(0,($A45-35)*0.2))),1),0)*IF(EnemyBuffed=TRUE,1.25,1),0) &amp; "  (" &amp; MAX(ROUND(Rounddown(Round(Round((V$34+V$35*($A45-1))*(1+(EnemyDamageSlider-1)+(EnemyDMGDanger-1)+(EnemyJackDMG-1)),0)*IF($A45&gt;20,(1+Max(0,((($A45-20)*(($A45-20)+1))/2)/100)*(2+Max(0,($A45-35)*0.2))),1),0)*IF(EnemyBuffed=TRUE,1.25,1),0)*EnemyDMGTaken,0),1) &amp; ")"</f>
        <v>20  (20)</v>
      </c>
      <c r="W45" s="414" t="str">
        <f>Rounddown(Round(Round((W$34+W$35*($A45-1))*(1+(EnemyDamageSlider-1)+(EnemyDMGDanger-1)+(EnemyJackDMG-1)),0)*IF($A45&gt;20,(1+Max(0,((($A45-20)*(($A45-20)+1))/2)/100)*(2+Max(0,($A45-35)*0.2))),1),0)*IF(EnemyBuffed=TRUE,1.25,1),0) &amp; "  (" &amp; MAX(ROUND(Rounddown(Round(Round((W$34+W$35*($A45-1))*(1+(EnemyDamageSlider-1)+(EnemyDMGDanger-1)+(EnemyJackDMG-1)),0)*IF($A45&gt;20,(1+Max(0,((($A45-20)*(($A45-20)+1))/2)/100)*(2+Max(0,($A45-35)*0.2))),1),0)*IF(EnemyBuffed=TRUE,1.25,1),0)*EnemyDMGTaken,0),1) &amp; ")"</f>
        <v>20  (20)</v>
      </c>
      <c r="X45" s="414" t="str">
        <f>Rounddown(Round(Round((X$34+X$35*($A45-1))*(1+(EnemyDamageSlider-1)+(EnemyDMGDanger-1)+(EnemyJackDMG-1)),0)*IF($A45&gt;20,(1+Max(0,((($A45-20)*(($A45-20)+1))/2)/100)*(2+Max(0,($A45-35)*0.2))),1),0)*IF(EnemyBuffed=TRUE,1.25,1),0) &amp; "  (" &amp; MAX(ROUND(Rounddown(Round(Round((X$34+X$35*($A45-1))*(1+(EnemyDamageSlider-1)+(EnemyDMGDanger-1)+(EnemyJackDMG-1)),0)*IF($A45&gt;20,(1+Max(0,((($A45-20)*(($A45-20)+1))/2)/100)*(2+Max(0,($A45-35)*0.2))),1),0)*IF(EnemyBuffed=TRUE,1.25,1),0)*EnemyDMGTaken,0),1) &amp; ")"</f>
        <v>20  (20)</v>
      </c>
      <c r="Y45" s="414" t="str">
        <f>Rounddown(Round(Round((Y$34+Y$35*($A45-1))*(1+(EnemyDamageSlider-1)+(EnemyDMGDanger-1)+(EnemyJackDMG-1)),0)*IF($A45&gt;20,(1+Max(0,((($A45-20)*(($A45-20)+1))/2)/100)*(2+Max(0,($A45-35)*0.2))),1),0)*IF(EnemyBuffed=TRUE,1.25,1),0) &amp; "  (" &amp; MAX(ROUND(Rounddown(Round(Round((Y$34+Y$35*($A45-1))*(1+(EnemyDamageSlider-1)+(EnemyDMGDanger-1)+(EnemyJackDMG-1)),0)*IF($A45&gt;20,(1+Max(0,((($A45-20)*(($A45-20)+1))/2)/100)*(2+Max(0,($A45-35)*0.2))),1),0)*IF(EnemyBuffed=TRUE,1.25,1),0)*EnemyDMGTaken,0),1) &amp; ")"</f>
        <v>20  (20)</v>
      </c>
      <c r="Z45" s="414" t="str">
        <f>Rounddown(Round(Round((Z$34+Z$35*($A45-1))*(1+(EnemyDamageSlider-1)+(EnemyDMGDanger-1)+(EnemyJackDMG-1)),0)*IF($A45&gt;20,(1+Max(0,((($A45-20)*(($A45-20)+1))/2)/100)*(2+Max(0,($A45-35)*0.2))),1),0)*IF(EnemyBuffed=TRUE,1.25,1),0) &amp; "  (" &amp; MAX(ROUND(Rounddown(Round(Round((Z$34+Z$35*($A45-1))*(1+(EnemyDamageSlider-1)+(EnemyDMGDanger-1)+(EnemyJackDMG-1)),0)*IF($A45&gt;20,(1+Max(0,((($A45-20)*(($A45-20)+1))/2)/100)*(2+Max(0,($A45-35)*0.2))),1),0)*IF(EnemyBuffed=TRUE,1.25,1),0)*EnemyDMGTaken,0),1) &amp; ")"</f>
        <v>20  (20)</v>
      </c>
      <c r="AA45" s="414" t="str">
        <f>Rounddown(Round(Round((AA$34+AA$35*($A45-1))*(1+(EnemyDamageSlider-1)+(EnemyDMGDanger-1)+(EnemyJackDMG-1)),0)*IF($A45&gt;20,(1+Max(0,((($A45-20)*(($A45-20)+1))/2)/100)*(2+Max(0,($A45-35)*0.2))),1),0)*IF(EnemyBuffed=TRUE,1.25,1),0) &amp; "  (" &amp; MAX(ROUND(Rounddown(Round(Round((AA$34+AA$35*($A45-1))*(1+(EnemyDamageSlider-1)+(EnemyDMGDanger-1)+(EnemyJackDMG-1)),0)*IF($A45&gt;20,(1+Max(0,((($A45-20)*(($A45-20)+1))/2)/100)*(2+Max(0,($A45-35)*0.2))),1),0)*IF(EnemyBuffed=TRUE,1.25,1),0)*EnemyDMGTaken,0),1) &amp; ")"</f>
        <v>11  (11)</v>
      </c>
    </row>
    <row r="46">
      <c r="A46" s="150">
        <v>11.0</v>
      </c>
      <c r="B46" s="415">
        <v>0.0</v>
      </c>
      <c r="C46" s="414" t="str">
        <f>Rounddown(Round(Round((C$34+C$35*($A46-1))*(1+(EnemyDamageSlider-1)+(EnemyDMGDanger-1)+(EnemyJackDMG-1)),0)*IF($A46&gt;20,(1+Max(0,((($A46-20)*(($A46-20)+1))/2)/100)*(2+Max(0,($A46-35)*0.2))),1),0)*IF(EnemyBuffed=TRUE,1.25,1),0) &amp; "  (" &amp; MAX(ROUND(Rounddown(Round(Round((C$34+C$35*($A46-1))*(1+(EnemyDamageSlider-1)+(EnemyDMGDanger-1)+(EnemyJackDMG-1)),0)*IF($A46&gt;20,(1+Max(0,((($A46-20)*(($A46-20)+1))/2)/100)*(2+Max(0,($A46-35)*0.2))),1),0)*IF(EnemyBuffed=TRUE,1.25,1),0)*EnemyDMGTaken,0),1) &amp; ")"</f>
        <v>10  (10)</v>
      </c>
      <c r="D46" s="414" t="str">
        <f>Rounddown(Round(Round((D$34+D$35*($A46-1))*(1+(EnemyDamageSlider-1)+(EnemyDMGDanger-1)+(EnemyJackDMG-1)),0)*IF($A46&gt;20,(1+Max(0,((($A46-20)*(($A46-20)+1))/2)/100)*(2+Max(0,($A46-35)*0.2))),1),0)*IF(EnemyBuffed=TRUE,1.25,1),0) &amp; "  (" &amp; MAX(ROUND(Rounddown(Round(Round((D$34+D$35*($A46-1))*(1+(EnemyDamageSlider-1)+(EnemyDMGDanger-1)+(EnemyJackDMG-1)),0)*IF($A46&gt;20,(1+Max(0,((($A46-20)*(($A46-20)+1))/2)/100)*(2+Max(0,($A46-35)*0.2))),1),0)*IF(EnemyBuffed=TRUE,1.25,1),0)*EnemyDMGTaken,0),1) &amp; ")"</f>
        <v>10  (10)</v>
      </c>
      <c r="E46" s="414" t="str">
        <f>Rounddown(Round(Round((E$34+E$35*($A46-1))*(1+(EnemyDamageSlider-1)+(EnemyDMGDanger-1)+(EnemyJackDMG-1)),0)*IF($A46&gt;20,(1+Max(0,((($A46-20)*(($A46-20)+1))/2)/100)*(2+Max(0,($A46-35)*0.2))),1),0)*IF(EnemyBuffed=TRUE,1.25,1),0) &amp; "  (" &amp; MAX(ROUND(Rounddown(Round(Round((E$34+E$35*($A46-1))*(1+(EnemyDamageSlider-1)+(EnemyDMGDanger-1)+(EnemyJackDMG-1)),0)*IF($A46&gt;20,(1+Max(0,((($A46-20)*(($A46-20)+1))/2)/100)*(2+Max(0,($A46-35)*0.2))),1),0)*IF(EnemyBuffed=TRUE,1.25,1),0)*EnemyDMGTaken,0),1) &amp; ")"</f>
        <v>10  (10)</v>
      </c>
      <c r="F46" s="414" t="str">
        <f>Rounddown(Round(Round((F$34+F$35*($A46-1))*(1+(EnemyDamageSlider-1)+(EnemyDMGDanger-1)+(EnemyJackDMG-1)),0)*IF($A46&gt;20,(1+Max(0,((($A46-20)*(($A46-20)+1))/2)/100)*(2+Max(0,($A46-35)*0.2))),1),0)*IF(EnemyBuffed=TRUE,1.25,1),0) &amp; "  (" &amp; MAX(ROUND(Rounddown(Round(Round((F$34+F$35*($A46-1))*(1+(EnemyDamageSlider-1)+(EnemyDMGDanger-1)+(EnemyJackDMG-1)),0)*IF($A46&gt;20,(1+Max(0,((($A46-20)*(($A46-20)+1))/2)/100)*(2+Max(0,($A46-35)*0.2))),1),0)*IF(EnemyBuffed=TRUE,1.25,1),0)*EnemyDMGTaken,0),1) &amp; ")"</f>
        <v>13  (13)</v>
      </c>
      <c r="G46" s="414" t="str">
        <f>Rounddown(Round(Round((G$34+G$35*($A46-1))*(1+(EnemyDamageSlider-1)+(EnemyDMGDanger-1)+(EnemyJackDMG-1)),0)*IF($A46&gt;20,(1+Max(0,((($A46-20)*(($A46-20)+1))/2)/100)*(2+Max(0,($A46-35)*0.2))),1),0)*IF(EnemyBuffed=TRUE,1.25,1),0) &amp; "  (" &amp; MAX(ROUND(Rounddown(Round(Round((G$34+G$35*($A46-1))*(1+(EnemyDamageSlider-1)+(EnemyDMGDanger-1)+(EnemyJackDMG-1)),0)*IF($A46&gt;20,(1+Max(0,((($A46-20)*(($A46-20)+1))/2)/100)*(2+Max(0,($A46-35)*0.2))),1),0)*IF(EnemyBuffed=TRUE,1.25,1),0)*EnemyDMGTaken,0),1) &amp; ")"</f>
        <v>18  (18)</v>
      </c>
      <c r="H46" s="414" t="str">
        <f>Rounddown(Round(Round((H$34+H$35*($A46-1))*(1+(EnemyDamageSlider-1)+(EnemyDMGDanger-1)+(EnemyJackDMG-1)),0)*IF($A46&gt;20,(1+Max(0,((($A46-20)*(($A46-20)+1))/2)/100)*(2+Max(0,($A46-35)*0.2))),1),0)*IF(EnemyBuffed=TRUE,1.25,1),0) &amp; "  (" &amp; MAX(ROUND(Rounddown(Round(Round((H$34+H$35*($A46-1))*(1+(EnemyDamageSlider-1)+(EnemyDMGDanger-1)+(EnemyJackDMG-1)),0)*IF($A46&gt;20,(1+Max(0,((($A46-20)*(($A46-20)+1))/2)/100)*(2+Max(0,($A46-35)*0.2))),1),0)*IF(EnemyBuffed=TRUE,1.25,1),0)*EnemyDMGTaken,0),1) &amp; ")"</f>
        <v>15  (15)</v>
      </c>
      <c r="I46" s="414" t="str">
        <f>Rounddown(Round(Round((I$34+I$35*($A46-1))*(1+(EnemyDamageSlider-1)+(EnemyDMGDanger-1)+(EnemyJackDMG-1)),0)*IF($A46&gt;20,(1+Max(0,((($A46-20)*(($A46-20)+1))/2)/100)*(2+Max(0,($A46-35)*0.2))),1),0)*IF(EnemyBuffed=TRUE,1.25,1),0) &amp; "  (" &amp; MAX(ROUND(Rounddown(Round(Round((I$34+I$35*($A46-1))*(1+(EnemyDamageSlider-1)+(EnemyDMGDanger-1)+(EnemyJackDMG-1)),0)*IF($A46&gt;20,(1+Max(0,((($A46-20)*(($A46-20)+1))/2)/100)*(2+Max(0,($A46-35)*0.2))),1),0)*IF(EnemyBuffed=TRUE,1.25,1),0)*EnemyDMGTaken,0),1) &amp; ")"</f>
        <v>10  (10)</v>
      </c>
      <c r="J46" s="414" t="str">
        <f>Rounddown(Round(Round((J$34+J$35*($A46-1))*(1+(EnemyDamageSlider-1)+(EnemyDMGDanger-1)+(EnemyJackDMG-1)),0)*IF($A46&gt;20,(1+Max(0,((($A46-20)*(($A46-20)+1))/2)/100)*(2+Max(0,($A46-35)*0.2))),1),0)*IF(EnemyBuffed=TRUE,1.25,1),0) &amp; "  (" &amp; MAX(ROUND(Rounddown(Round(Round((J$34+J$35*($A46-1))*(1+(EnemyDamageSlider-1)+(EnemyDMGDanger-1)+(EnemyJackDMG-1)),0)*IF($A46&gt;20,(1+Max(0,((($A46-20)*(($A46-20)+1))/2)/100)*(2+Max(0,($A46-35)*0.2))),1),0)*IF(EnemyBuffed=TRUE,1.25,1),0)*EnemyDMGTaken,0),1) &amp; ")"</f>
        <v>13  (13)</v>
      </c>
      <c r="K46" s="414" t="str">
        <f>Rounddown(Round(Round((K$34+K$35*($A46-1))*(1+(EnemyDamageSlider-1)+(EnemyDMGDanger-1)+(EnemyJackDMG-1)),0)*IF($A46&gt;20,(1+Max(0,((($A46-20)*(($A46-20)+1))/2)/100)*(2+Max(0,($A46-35)*0.2))),1),0)*IF(EnemyBuffed=TRUE,1.25,1),0) &amp; "  (" &amp; MAX(ROUND(Rounddown(Round(Round((K$34+K$35*($A46-1))*(1+(EnemyDamageSlider-1)+(EnemyDMGDanger-1)+(EnemyJackDMG-1)),0)*IF($A46&gt;20,(1+Max(0,((($A46-20)*(($A46-20)+1))/2)/100)*(2+Max(0,($A46-35)*0.2))),1),0)*IF(EnemyBuffed=TRUE,1.25,1),0)*EnemyDMGTaken,0),1) &amp; ")"</f>
        <v>13  (13)</v>
      </c>
      <c r="L46" s="414" t="str">
        <f>Rounddown(Round(Round((L$34+L$35*($A46-1))*(1+(EnemyDamageSlider-1)+(EnemyDMGDanger-1)+(EnemyJackDMG-1)),0)*IF($A46&gt;20,(1+Max(0,((($A46-20)*(($A46-20)+1))/2)/100)*(2+Max(0,($A46-35)*0.2))),1),0)*IF(EnemyBuffed=TRUE,1.25,1),0) &amp; "  (" &amp; MAX(ROUND(Rounddown(Round(Round((L$34+L$35*($A46-1))*(1+(EnemyDamageSlider-1)+(EnemyDMGDanger-1)+(EnemyJackDMG-1)),0)*IF($A46&gt;20,(1+Max(0,((($A46-20)*(($A46-20)+1))/2)/100)*(2+Max(0,($A46-35)*0.2))),1),0)*IF(EnemyBuffed=TRUE,1.25,1),0)*EnemyDMGTaken,0),1) &amp; ")"</f>
        <v>13  (13)</v>
      </c>
      <c r="M46" s="414" t="str">
        <f>Rounddown(Round(Round((M$34+M$35*($A46-1))*(1+(EnemyDamageSlider-1)+(EnemyDMGDanger-1)+(EnemyJackDMG-1)),0)*IF($A46&gt;20,(1+Max(0,((($A46-20)*(($A46-20)+1))/2)/100)*(2+Max(0,($A46-35)*0.2))),1),0)*IF(EnemyBuffed=TRUE,1.25,1),0) &amp; "  (" &amp; MAX(ROUND(Rounddown(Round(Round((M$34+M$35*($A46-1))*(1+(EnemyDamageSlider-1)+(EnemyDMGDanger-1)+(EnemyJackDMG-1)),0)*IF($A46&gt;20,(1+Max(0,((($A46-20)*(($A46-20)+1))/2)/100)*(2+Max(0,($A46-35)*0.2))),1),0)*IF(EnemyBuffed=TRUE,1.25,1),0)*EnemyDMGTaken,0),1) &amp; ")"</f>
        <v>15  (15)</v>
      </c>
      <c r="N46" s="414" t="str">
        <f>Rounddown(Round(Round((N$34+N$35*($A46-1))*(1+(EnemyDamageSlider-1)+(EnemyDMGDanger-1)+(EnemyJackDMG-1)),0)*IF($A46&gt;20,(1+Max(0,((($A46-20)*(($A46-20)+1))/2)/100)*(2+Max(0,($A46-35)*0.2))),1),0)*IF(EnemyBuffed=TRUE,1.25,1),0) &amp; "  (" &amp; MAX(ROUND(Rounddown(Round(Round((N$34+N$35*($A46-1))*(1+(EnemyDamageSlider-1)+(EnemyDMGDanger-1)+(EnemyJackDMG-1)),0)*IF($A46&gt;20,(1+Max(0,((($A46-20)*(($A46-20)+1))/2)/100)*(2+Max(0,($A46-35)*0.2))),1),0)*IF(EnemyBuffed=TRUE,1.25,1),0)*EnemyDMGTaken,0),1) &amp; ")"</f>
        <v>15  (15)</v>
      </c>
      <c r="O46" s="414" t="str">
        <f>Rounddown(Round(Round((O$34+O$35*($A46-1))*(1+(EnemyDamageSlider-1)+(EnemyDMGDanger-1)+(EnemyJackDMG-1)),0)*IF($A46&gt;20,(1+Max(0,((($A46-20)*(($A46-20)+1))/2)/100)*(2+Max(0,($A46-35)*0.2))),1),0)*IF(EnemyBuffed=TRUE,1.25,1),0) &amp; "  (" &amp; MAX(ROUND(Rounddown(Round(Round((O$34+O$35*($A46-1))*(1+(EnemyDamageSlider-1)+(EnemyDMGDanger-1)+(EnemyJackDMG-1)),0)*IF($A46&gt;20,(1+Max(0,((($A46-20)*(($A46-20)+1))/2)/100)*(2+Max(0,($A46-35)*0.2))),1),0)*IF(EnemyBuffed=TRUE,1.25,1),0)*EnemyDMGTaken,0),1) &amp; ")"</f>
        <v>13  (13)</v>
      </c>
      <c r="P46" s="414" t="str">
        <f>Rounddown(Round(Round((P$34+P$35*($A46-1))*(1+(EnemyDamageSlider-1)+(EnemyDMGDanger-1)+(EnemyJackDMG-1)),0)*IF($A46&gt;20,(1+Max(0,((($A46-20)*(($A46-20)+1))/2)/100)*(2+Max(0,($A46-35)*0.2))),1),0)*IF(EnemyBuffed=TRUE,1.25,1),0) &amp; "  (" &amp; MAX(ROUND(Rounddown(Round(Round((P$34+P$35*($A46-1))*(1+(EnemyDamageSlider-1)+(EnemyDMGDanger-1)+(EnemyJackDMG-1)),0)*IF($A46&gt;20,(1+Max(0,((($A46-20)*(($A46-20)+1))/2)/100)*(2+Max(0,($A46-35)*0.2))),1),0)*IF(EnemyBuffed=TRUE,1.25,1),0)*EnemyDMGTaken,0),1) &amp; ")"</f>
        <v>15  (15)</v>
      </c>
      <c r="Q46" s="414" t="str">
        <f>Rounddown(Round(Round((Q$34+Q$35*($A46-1))*(1+(EnemyDamageSlider-1)+(EnemyDMGDanger-1)+(EnemyJackDMG-1)),0)*IF($A46&gt;20,(1+Max(0,((($A46-20)*(($A46-20)+1))/2)/100)*(2+Max(0,($A46-35)*0.2))),1),0)*IF(EnemyBuffed=TRUE,1.25,1),0) &amp; "  (" &amp; MAX(ROUND(Rounddown(Round(Round((Q$34+Q$35*($A46-1))*(1+(EnemyDamageSlider-1)+(EnemyDMGDanger-1)+(EnemyJackDMG-1)),0)*IF($A46&gt;20,(1+Max(0,((($A46-20)*(($A46-20)+1))/2)/100)*(2+Max(0,($A46-35)*0.2))),1),0)*IF(EnemyBuffed=TRUE,1.25,1),0)*EnemyDMGTaken,0),1) &amp; ")"</f>
        <v>18  (18)</v>
      </c>
      <c r="R46" s="414" t="str">
        <f>Rounddown(Round(Round((R$34+R$35*($A46-1))*(1+(EnemyDamageSlider-1)+(EnemyDMGDanger-1)+(EnemyJackDMG-1)),0)*IF($A46&gt;20,(1+Max(0,((($A46-20)*(($A46-20)+1))/2)/100)*(2+Max(0,($A46-35)*0.2))),1),0)*IF(EnemyBuffed=TRUE,1.25,1),0) &amp; "  (" &amp; MAX(ROUND(Rounddown(Round(Round((R$34+R$35*($A46-1))*(1+(EnemyDamageSlider-1)+(EnemyDMGDanger-1)+(EnemyJackDMG-1)),0)*IF($A46&gt;20,(1+Max(0,((($A46-20)*(($A46-20)+1))/2)/100)*(2+Max(0,($A46-35)*0.2))),1),0)*IF(EnemyBuffed=TRUE,1.25,1),0)*EnemyDMGTaken,0),1) &amp; ")"</f>
        <v>17  (17)</v>
      </c>
      <c r="S46" s="414" t="str">
        <f>Rounddown(Round(Round((S$34+S$35*($A46-1))*(1+(EnemyDamageSlider-1)+(EnemyDMGDanger-1)+(EnemyJackDMG-1)),0)*IF($A46&gt;20,(1+Max(0,((($A46-20)*(($A46-20)+1))/2)/100)*(2+Max(0,($A46-35)*0.2))),1),0)*IF(EnemyBuffed=TRUE,1.25,1),0) &amp; "  (" &amp; MAX(ROUND(Rounddown(Round(Round((S$34+S$35*($A46-1))*(1+(EnemyDamageSlider-1)+(EnemyDMGDanger-1)+(EnemyJackDMG-1)),0)*IF($A46&gt;20,(1+Max(0,((($A46-20)*(($A46-20)+1))/2)/100)*(2+Max(0,($A46-35)*0.2))),1),0)*IF(EnemyBuffed=TRUE,1.25,1),0)*EnemyDMGTaken,0),1) &amp; ")"</f>
        <v>10  (10)</v>
      </c>
      <c r="T46" s="414" t="str">
        <f>Rounddown(Round(Round((T$34+T$35*($A46-1))*(1+(EnemyDamageSlider-1)+(EnemyDMGDanger-1)+(EnemyJackDMG-1)),0)*IF($A46&gt;20,(1+Max(0,((($A46-20)*(($A46-20)+1))/2)/100)*(2+Max(0,($A46-35)*0.2))),1),0)*IF(EnemyBuffed=TRUE,1.25,1),0) &amp; "  (" &amp; MAX(ROUND(Rounddown(Round(Round((T$34+T$35*($A46-1))*(1+(EnemyDamageSlider-1)+(EnemyDMGDanger-1)+(EnemyJackDMG-1)),0)*IF($A46&gt;20,(1+Max(0,((($A46-20)*(($A46-20)+1))/2)/100)*(2+Max(0,($A46-35)*0.2))),1),0)*IF(EnemyBuffed=TRUE,1.25,1),0)*EnemyDMGTaken,0),1) &amp; ")"</f>
        <v>18  (18)</v>
      </c>
      <c r="U46" s="414" t="str">
        <f>Rounddown(Round(Round((U$34+U$35*($A46-1))*(1+(EnemyDamageSlider-1)+(EnemyDMGDanger-1)+(EnemyJackDMG-1)),0)*IF($A46&gt;20,(1+Max(0,((($A46-20)*(($A46-20)+1))/2)/100)*(2+Max(0,($A46-35)*0.2))),1),0)*IF(EnemyBuffed=TRUE,1.25,1),0) &amp; "  (" &amp; MAX(ROUND(Rounddown(Round(Round((U$34+U$35*($A46-1))*(1+(EnemyDamageSlider-1)+(EnemyDMGDanger-1)+(EnemyJackDMG-1)),0)*IF($A46&gt;20,(1+Max(0,((($A46-20)*(($A46-20)+1))/2)/100)*(2+Max(0,($A46-35)*0.2))),1),0)*IF(EnemyBuffed=TRUE,1.25,1),0)*EnemyDMGTaken,0),1) &amp; ")"</f>
        <v>15  (15)</v>
      </c>
      <c r="V46" s="414" t="str">
        <f>Rounddown(Round(Round((V$34+V$35*($A46-1))*(1+(EnemyDamageSlider-1)+(EnemyDMGDanger-1)+(EnemyJackDMG-1)),0)*IF($A46&gt;20,(1+Max(0,((($A46-20)*(($A46-20)+1))/2)/100)*(2+Max(0,($A46-35)*0.2))),1),0)*IF(EnemyBuffed=TRUE,1.25,1),0) &amp; "  (" &amp; MAX(ROUND(Rounddown(Round(Round((V$34+V$35*($A46-1))*(1+(EnemyDamageSlider-1)+(EnemyDMGDanger-1)+(EnemyJackDMG-1)),0)*IF($A46&gt;20,(1+Max(0,((($A46-20)*(($A46-20)+1))/2)/100)*(2+Max(0,($A46-35)*0.2))),1),0)*IF(EnemyBuffed=TRUE,1.25,1),0)*EnemyDMGTaken,0),1) &amp; ")"</f>
        <v>22  (22)</v>
      </c>
      <c r="W46" s="414" t="str">
        <f>Rounddown(Round(Round((W$34+W$35*($A46-1))*(1+(EnemyDamageSlider-1)+(EnemyDMGDanger-1)+(EnemyJackDMG-1)),0)*IF($A46&gt;20,(1+Max(0,((($A46-20)*(($A46-20)+1))/2)/100)*(2+Max(0,($A46-35)*0.2))),1),0)*IF(EnemyBuffed=TRUE,1.25,1),0) &amp; "  (" &amp; MAX(ROUND(Rounddown(Round(Round((W$34+W$35*($A46-1))*(1+(EnemyDamageSlider-1)+(EnemyDMGDanger-1)+(EnemyJackDMG-1)),0)*IF($A46&gt;20,(1+Max(0,((($A46-20)*(($A46-20)+1))/2)/100)*(2+Max(0,($A46-35)*0.2))),1),0)*IF(EnemyBuffed=TRUE,1.25,1),0)*EnemyDMGTaken,0),1) &amp; ")"</f>
        <v>22  (22)</v>
      </c>
      <c r="X46" s="414" t="str">
        <f>Rounddown(Round(Round((X$34+X$35*($A46-1))*(1+(EnemyDamageSlider-1)+(EnemyDMGDanger-1)+(EnemyJackDMG-1)),0)*IF($A46&gt;20,(1+Max(0,((($A46-20)*(($A46-20)+1))/2)/100)*(2+Max(0,($A46-35)*0.2))),1),0)*IF(EnemyBuffed=TRUE,1.25,1),0) &amp; "  (" &amp; MAX(ROUND(Rounddown(Round(Round((X$34+X$35*($A46-1))*(1+(EnemyDamageSlider-1)+(EnemyDMGDanger-1)+(EnemyJackDMG-1)),0)*IF($A46&gt;20,(1+Max(0,((($A46-20)*(($A46-20)+1))/2)/100)*(2+Max(0,($A46-35)*0.2))),1),0)*IF(EnemyBuffed=TRUE,1.25,1),0)*EnemyDMGTaken,0),1) &amp; ")"</f>
        <v>22  (22)</v>
      </c>
      <c r="Y46" s="414" t="str">
        <f>Rounddown(Round(Round((Y$34+Y$35*($A46-1))*(1+(EnemyDamageSlider-1)+(EnemyDMGDanger-1)+(EnemyJackDMG-1)),0)*IF($A46&gt;20,(1+Max(0,((($A46-20)*(($A46-20)+1))/2)/100)*(2+Max(0,($A46-35)*0.2))),1),0)*IF(EnemyBuffed=TRUE,1.25,1),0) &amp; "  (" &amp; MAX(ROUND(Rounddown(Round(Round((Y$34+Y$35*($A46-1))*(1+(EnemyDamageSlider-1)+(EnemyDMGDanger-1)+(EnemyJackDMG-1)),0)*IF($A46&gt;20,(1+Max(0,((($A46-20)*(($A46-20)+1))/2)/100)*(2+Max(0,($A46-35)*0.2))),1),0)*IF(EnemyBuffed=TRUE,1.25,1),0)*EnemyDMGTaken,0),1) &amp; ")"</f>
        <v>22  (22)</v>
      </c>
      <c r="Z46" s="414" t="str">
        <f>Rounddown(Round(Round((Z$34+Z$35*($A46-1))*(1+(EnemyDamageSlider-1)+(EnemyDMGDanger-1)+(EnemyJackDMG-1)),0)*IF($A46&gt;20,(1+Max(0,((($A46-20)*(($A46-20)+1))/2)/100)*(2+Max(0,($A46-35)*0.2))),1),0)*IF(EnemyBuffed=TRUE,1.25,1),0) &amp; "  (" &amp; MAX(ROUND(Rounddown(Round(Round((Z$34+Z$35*($A46-1))*(1+(EnemyDamageSlider-1)+(EnemyDMGDanger-1)+(EnemyJackDMG-1)),0)*IF($A46&gt;20,(1+Max(0,((($A46-20)*(($A46-20)+1))/2)/100)*(2+Max(0,($A46-35)*0.2))),1),0)*IF(EnemyBuffed=TRUE,1.25,1),0)*EnemyDMGTaken,0),1) &amp; ")"</f>
        <v>22  (22)</v>
      </c>
      <c r="AA46" s="414" t="str">
        <f>Rounddown(Round(Round((AA$34+AA$35*($A46-1))*(1+(EnemyDamageSlider-1)+(EnemyDMGDanger-1)+(EnemyJackDMG-1)),0)*IF($A46&gt;20,(1+Max(0,((($A46-20)*(($A46-20)+1))/2)/100)*(2+Max(0,($A46-35)*0.2))),1),0)*IF(EnemyBuffed=TRUE,1.25,1),0) &amp; "  (" &amp; MAX(ROUND(Rounddown(Round(Round((AA$34+AA$35*($A46-1))*(1+(EnemyDamageSlider-1)+(EnemyDMGDanger-1)+(EnemyJackDMG-1)),0)*IF($A46&gt;20,(1+Max(0,((($A46-20)*(($A46-20)+1))/2)/100)*(2+Max(0,($A46-35)*0.2))),1),0)*IF(EnemyBuffed=TRUE,1.25,1),0)*EnemyDMGTaken,0),1) &amp; ")"</f>
        <v>12  (12)</v>
      </c>
    </row>
    <row r="47">
      <c r="A47" s="150">
        <v>12.0</v>
      </c>
      <c r="B47" s="415">
        <v>0.0</v>
      </c>
      <c r="C47" s="414" t="str">
        <f>Rounddown(Round(Round((C$34+C$35*($A47-1))*(1+(EnemyDamageSlider-1)+(EnemyDMGDanger-1)+(EnemyJackDMG-1)),0)*IF($A47&gt;20,(1+Max(0,((($A47-20)*(($A47-20)+1))/2)/100)*(2+Max(0,($A47-35)*0.2))),1),0)*IF(EnemyBuffed=TRUE,1.25,1),0) &amp; "  (" &amp; MAX(ROUND(Rounddown(Round(Round((C$34+C$35*($A47-1))*(1+(EnemyDamageSlider-1)+(EnemyDMGDanger-1)+(EnemyJackDMG-1)),0)*IF($A47&gt;20,(1+Max(0,((($A47-20)*(($A47-20)+1))/2)/100)*(2+Max(0,($A47-35)*0.2))),1),0)*IF(EnemyBuffed=TRUE,1.25,1),0)*EnemyDMGTaken,0),1) &amp; ")"</f>
        <v>11  (11)</v>
      </c>
      <c r="D47" s="414" t="str">
        <f>Rounddown(Round(Round((D$34+D$35*($A47-1))*(1+(EnemyDamageSlider-1)+(EnemyDMGDanger-1)+(EnemyJackDMG-1)),0)*IF($A47&gt;20,(1+Max(0,((($A47-20)*(($A47-20)+1))/2)/100)*(2+Max(0,($A47-35)*0.2))),1),0)*IF(EnemyBuffed=TRUE,1.25,1),0) &amp; "  (" &amp; MAX(ROUND(Rounddown(Round(Round((D$34+D$35*($A47-1))*(1+(EnemyDamageSlider-1)+(EnemyDMGDanger-1)+(EnemyJackDMG-1)),0)*IF($A47&gt;20,(1+Max(0,((($A47-20)*(($A47-20)+1))/2)/100)*(2+Max(0,($A47-35)*0.2))),1),0)*IF(EnemyBuffed=TRUE,1.25,1),0)*EnemyDMGTaken,0),1) &amp; ")"</f>
        <v>11  (11)</v>
      </c>
      <c r="E47" s="414" t="str">
        <f>Rounddown(Round(Round((E$34+E$35*($A47-1))*(1+(EnemyDamageSlider-1)+(EnemyDMGDanger-1)+(EnemyJackDMG-1)),0)*IF($A47&gt;20,(1+Max(0,((($A47-20)*(($A47-20)+1))/2)/100)*(2+Max(0,($A47-35)*0.2))),1),0)*IF(EnemyBuffed=TRUE,1.25,1),0) &amp; "  (" &amp; MAX(ROUND(Rounddown(Round(Round((E$34+E$35*($A47-1))*(1+(EnemyDamageSlider-1)+(EnemyDMGDanger-1)+(EnemyJackDMG-1)),0)*IF($A47&gt;20,(1+Max(0,((($A47-20)*(($A47-20)+1))/2)/100)*(2+Max(0,($A47-35)*0.2))),1),0)*IF(EnemyBuffed=TRUE,1.25,1),0)*EnemyDMGTaken,0),1) &amp; ")"</f>
        <v>11  (11)</v>
      </c>
      <c r="F47" s="414" t="str">
        <f>Rounddown(Round(Round((F$34+F$35*($A47-1))*(1+(EnemyDamageSlider-1)+(EnemyDMGDanger-1)+(EnemyJackDMG-1)),0)*IF($A47&gt;20,(1+Max(0,((($A47-20)*(($A47-20)+1))/2)/100)*(2+Max(0,($A47-35)*0.2))),1),0)*IF(EnemyBuffed=TRUE,1.25,1),0) &amp; "  (" &amp; MAX(ROUND(Rounddown(Round(Round((F$34+F$35*($A47-1))*(1+(EnemyDamageSlider-1)+(EnemyDMGDanger-1)+(EnemyJackDMG-1)),0)*IF($A47&gt;20,(1+Max(0,((($A47-20)*(($A47-20)+1))/2)/100)*(2+Max(0,($A47-35)*0.2))),1),0)*IF(EnemyBuffed=TRUE,1.25,1),0)*EnemyDMGTaken,0),1) &amp; ")"</f>
        <v>14  (14)</v>
      </c>
      <c r="G47" s="414" t="str">
        <f>Rounddown(Round(Round((G$34+G$35*($A47-1))*(1+(EnemyDamageSlider-1)+(EnemyDMGDanger-1)+(EnemyJackDMG-1)),0)*IF($A47&gt;20,(1+Max(0,((($A47-20)*(($A47-20)+1))/2)/100)*(2+Max(0,($A47-35)*0.2))),1),0)*IF(EnemyBuffed=TRUE,1.25,1),0) &amp; "  (" &amp; MAX(ROUND(Rounddown(Round(Round((G$34+G$35*($A47-1))*(1+(EnemyDamageSlider-1)+(EnemyDMGDanger-1)+(EnemyJackDMG-1)),0)*IF($A47&gt;20,(1+Max(0,((($A47-20)*(($A47-20)+1))/2)/100)*(2+Max(0,($A47-35)*0.2))),1),0)*IF(EnemyBuffed=TRUE,1.25,1),0)*EnemyDMGTaken,0),1) &amp; ")"</f>
        <v>20  (20)</v>
      </c>
      <c r="H47" s="414" t="str">
        <f>Rounddown(Round(Round((H$34+H$35*($A47-1))*(1+(EnemyDamageSlider-1)+(EnemyDMGDanger-1)+(EnemyJackDMG-1)),0)*IF($A47&gt;20,(1+Max(0,((($A47-20)*(($A47-20)+1))/2)/100)*(2+Max(0,($A47-35)*0.2))),1),0)*IF(EnemyBuffed=TRUE,1.25,1),0) &amp; "  (" &amp; MAX(ROUND(Rounddown(Round(Round((H$34+H$35*($A47-1))*(1+(EnemyDamageSlider-1)+(EnemyDMGDanger-1)+(EnemyJackDMG-1)),0)*IF($A47&gt;20,(1+Max(0,((($A47-20)*(($A47-20)+1))/2)/100)*(2+Max(0,($A47-35)*0.2))),1),0)*IF(EnemyBuffed=TRUE,1.25,1),0)*EnemyDMGTaken,0),1) &amp; ")"</f>
        <v>16  (16)</v>
      </c>
      <c r="I47" s="414" t="str">
        <f>Rounddown(Round(Round((I$34+I$35*($A47-1))*(1+(EnemyDamageSlider-1)+(EnemyDMGDanger-1)+(EnemyJackDMG-1)),0)*IF($A47&gt;20,(1+Max(0,((($A47-20)*(($A47-20)+1))/2)/100)*(2+Max(0,($A47-35)*0.2))),1),0)*IF(EnemyBuffed=TRUE,1.25,1),0) &amp; "  (" &amp; MAX(ROUND(Rounddown(Round(Round((I$34+I$35*($A47-1))*(1+(EnemyDamageSlider-1)+(EnemyDMGDanger-1)+(EnemyJackDMG-1)),0)*IF($A47&gt;20,(1+Max(0,((($A47-20)*(($A47-20)+1))/2)/100)*(2+Max(0,($A47-35)*0.2))),1),0)*IF(EnemyBuffed=TRUE,1.25,1),0)*EnemyDMGTaken,0),1) &amp; ")"</f>
        <v>11  (11)</v>
      </c>
      <c r="J47" s="414" t="str">
        <f>Rounddown(Round(Round((J$34+J$35*($A47-1))*(1+(EnemyDamageSlider-1)+(EnemyDMGDanger-1)+(EnemyJackDMG-1)),0)*IF($A47&gt;20,(1+Max(0,((($A47-20)*(($A47-20)+1))/2)/100)*(2+Max(0,($A47-35)*0.2))),1),0)*IF(EnemyBuffed=TRUE,1.25,1),0) &amp; "  (" &amp; MAX(ROUND(Rounddown(Round(Round((J$34+J$35*($A47-1))*(1+(EnemyDamageSlider-1)+(EnemyDMGDanger-1)+(EnemyJackDMG-1)),0)*IF($A47&gt;20,(1+Max(0,((($A47-20)*(($A47-20)+1))/2)/100)*(2+Max(0,($A47-35)*0.2))),1),0)*IF(EnemyBuffed=TRUE,1.25,1),0)*EnemyDMGTaken,0),1) &amp; ")"</f>
        <v>14  (14)</v>
      </c>
      <c r="K47" s="414" t="str">
        <f>Rounddown(Round(Round((K$34+K$35*($A47-1))*(1+(EnemyDamageSlider-1)+(EnemyDMGDanger-1)+(EnemyJackDMG-1)),0)*IF($A47&gt;20,(1+Max(0,((($A47-20)*(($A47-20)+1))/2)/100)*(2+Max(0,($A47-35)*0.2))),1),0)*IF(EnemyBuffed=TRUE,1.25,1),0) &amp; "  (" &amp; MAX(ROUND(Rounddown(Round(Round((K$34+K$35*($A47-1))*(1+(EnemyDamageSlider-1)+(EnemyDMGDanger-1)+(EnemyJackDMG-1)),0)*IF($A47&gt;20,(1+Max(0,((($A47-20)*(($A47-20)+1))/2)/100)*(2+Max(0,($A47-35)*0.2))),1),0)*IF(EnemyBuffed=TRUE,1.25,1),0)*EnemyDMGTaken,0),1) &amp; ")"</f>
        <v>14  (14)</v>
      </c>
      <c r="L47" s="414" t="str">
        <f>Rounddown(Round(Round((L$34+L$35*($A47-1))*(1+(EnemyDamageSlider-1)+(EnemyDMGDanger-1)+(EnemyJackDMG-1)),0)*IF($A47&gt;20,(1+Max(0,((($A47-20)*(($A47-20)+1))/2)/100)*(2+Max(0,($A47-35)*0.2))),1),0)*IF(EnemyBuffed=TRUE,1.25,1),0) &amp; "  (" &amp; MAX(ROUND(Rounddown(Round(Round((L$34+L$35*($A47-1))*(1+(EnemyDamageSlider-1)+(EnemyDMGDanger-1)+(EnemyJackDMG-1)),0)*IF($A47&gt;20,(1+Max(0,((($A47-20)*(($A47-20)+1))/2)/100)*(2+Max(0,($A47-35)*0.2))),1),0)*IF(EnemyBuffed=TRUE,1.25,1),0)*EnemyDMGTaken,0),1) &amp; ")"</f>
        <v>14  (14)</v>
      </c>
      <c r="M47" s="414" t="str">
        <f>Rounddown(Round(Round((M$34+M$35*($A47-1))*(1+(EnemyDamageSlider-1)+(EnemyDMGDanger-1)+(EnemyJackDMG-1)),0)*IF($A47&gt;20,(1+Max(0,((($A47-20)*(($A47-20)+1))/2)/100)*(2+Max(0,($A47-35)*0.2))),1),0)*IF(EnemyBuffed=TRUE,1.25,1),0) &amp; "  (" &amp; MAX(ROUND(Rounddown(Round(Round((M$34+M$35*($A47-1))*(1+(EnemyDamageSlider-1)+(EnemyDMGDanger-1)+(EnemyJackDMG-1)),0)*IF($A47&gt;20,(1+Max(0,((($A47-20)*(($A47-20)+1))/2)/100)*(2+Max(0,($A47-35)*0.2))),1),0)*IF(EnemyBuffed=TRUE,1.25,1),0)*EnemyDMGTaken,0),1) &amp; ")"</f>
        <v>17  (17)</v>
      </c>
      <c r="N47" s="414" t="str">
        <f>Rounddown(Round(Round((N$34+N$35*($A47-1))*(1+(EnemyDamageSlider-1)+(EnemyDMGDanger-1)+(EnemyJackDMG-1)),0)*IF($A47&gt;20,(1+Max(0,((($A47-20)*(($A47-20)+1))/2)/100)*(2+Max(0,($A47-35)*0.2))),1),0)*IF(EnemyBuffed=TRUE,1.25,1),0) &amp; "  (" &amp; MAX(ROUND(Rounddown(Round(Round((N$34+N$35*($A47-1))*(1+(EnemyDamageSlider-1)+(EnemyDMGDanger-1)+(EnemyJackDMG-1)),0)*IF($A47&gt;20,(1+Max(0,((($A47-20)*(($A47-20)+1))/2)/100)*(2+Max(0,($A47-35)*0.2))),1),0)*IF(EnemyBuffed=TRUE,1.25,1),0)*EnemyDMGTaken,0),1) &amp; ")"</f>
        <v>17  (17)</v>
      </c>
      <c r="O47" s="414" t="str">
        <f>Rounddown(Round(Round((O$34+O$35*($A47-1))*(1+(EnemyDamageSlider-1)+(EnemyDMGDanger-1)+(EnemyJackDMG-1)),0)*IF($A47&gt;20,(1+Max(0,((($A47-20)*(($A47-20)+1))/2)/100)*(2+Max(0,($A47-35)*0.2))),1),0)*IF(EnemyBuffed=TRUE,1.25,1),0) &amp; "  (" &amp; MAX(ROUND(Rounddown(Round(Round((O$34+O$35*($A47-1))*(1+(EnemyDamageSlider-1)+(EnemyDMGDanger-1)+(EnemyJackDMG-1)),0)*IF($A47&gt;20,(1+Max(0,((($A47-20)*(($A47-20)+1))/2)/100)*(2+Max(0,($A47-35)*0.2))),1),0)*IF(EnemyBuffed=TRUE,1.25,1),0)*EnemyDMGTaken,0),1) &amp; ")"</f>
        <v>14  (14)</v>
      </c>
      <c r="P47" s="414" t="str">
        <f>Rounddown(Round(Round((P$34+P$35*($A47-1))*(1+(EnemyDamageSlider-1)+(EnemyDMGDanger-1)+(EnemyJackDMG-1)),0)*IF($A47&gt;20,(1+Max(0,((($A47-20)*(($A47-20)+1))/2)/100)*(2+Max(0,($A47-35)*0.2))),1),0)*IF(EnemyBuffed=TRUE,1.25,1),0) &amp; "  (" &amp; MAX(ROUND(Rounddown(Round(Round((P$34+P$35*($A47-1))*(1+(EnemyDamageSlider-1)+(EnemyDMGDanger-1)+(EnemyJackDMG-1)),0)*IF($A47&gt;20,(1+Max(0,((($A47-20)*(($A47-20)+1))/2)/100)*(2+Max(0,($A47-35)*0.2))),1),0)*IF(EnemyBuffed=TRUE,1.25,1),0)*EnemyDMGTaken,0),1) &amp; ")"</f>
        <v>17  (17)</v>
      </c>
      <c r="Q47" s="414" t="str">
        <f>Rounddown(Round(Round((Q$34+Q$35*($A47-1))*(1+(EnemyDamageSlider-1)+(EnemyDMGDanger-1)+(EnemyJackDMG-1)),0)*IF($A47&gt;20,(1+Max(0,((($A47-20)*(($A47-20)+1))/2)/100)*(2+Max(0,($A47-35)*0.2))),1),0)*IF(EnemyBuffed=TRUE,1.25,1),0) &amp; "  (" &amp; MAX(ROUND(Rounddown(Round(Round((Q$34+Q$35*($A47-1))*(1+(EnemyDamageSlider-1)+(EnemyDMGDanger-1)+(EnemyJackDMG-1)),0)*IF($A47&gt;20,(1+Max(0,((($A47-20)*(($A47-20)+1))/2)/100)*(2+Max(0,($A47-35)*0.2))),1),0)*IF(EnemyBuffed=TRUE,1.25,1),0)*EnemyDMGTaken,0),1) &amp; ")"</f>
        <v>19  (19)</v>
      </c>
      <c r="R47" s="414" t="str">
        <f>Rounddown(Round(Round((R$34+R$35*($A47-1))*(1+(EnemyDamageSlider-1)+(EnemyDMGDanger-1)+(EnemyJackDMG-1)),0)*IF($A47&gt;20,(1+Max(0,((($A47-20)*(($A47-20)+1))/2)/100)*(2+Max(0,($A47-35)*0.2))),1),0)*IF(EnemyBuffed=TRUE,1.25,1),0) &amp; "  (" &amp; MAX(ROUND(Rounddown(Round(Round((R$34+R$35*($A47-1))*(1+(EnemyDamageSlider-1)+(EnemyDMGDanger-1)+(EnemyJackDMG-1)),0)*IF($A47&gt;20,(1+Max(0,((($A47-20)*(($A47-20)+1))/2)/100)*(2+Max(0,($A47-35)*0.2))),1),0)*IF(EnemyBuffed=TRUE,1.25,1),0)*EnemyDMGTaken,0),1) &amp; ")"</f>
        <v>18  (18)</v>
      </c>
      <c r="S47" s="414" t="str">
        <f>Rounddown(Round(Round((S$34+S$35*($A47-1))*(1+(EnemyDamageSlider-1)+(EnemyDMGDanger-1)+(EnemyJackDMG-1)),0)*IF($A47&gt;20,(1+Max(0,((($A47-20)*(($A47-20)+1))/2)/100)*(2+Max(0,($A47-35)*0.2))),1),0)*IF(EnemyBuffed=TRUE,1.25,1),0) &amp; "  (" &amp; MAX(ROUND(Rounddown(Round(Round((S$34+S$35*($A47-1))*(1+(EnemyDamageSlider-1)+(EnemyDMGDanger-1)+(EnemyJackDMG-1)),0)*IF($A47&gt;20,(1+Max(0,((($A47-20)*(($A47-20)+1))/2)/100)*(2+Max(0,($A47-35)*0.2))),1),0)*IF(EnemyBuffed=TRUE,1.25,1),0)*EnemyDMGTaken,0),1) &amp; ")"</f>
        <v>11  (11)</v>
      </c>
      <c r="T47" s="414" t="str">
        <f>Rounddown(Round(Round((T$34+T$35*($A47-1))*(1+(EnemyDamageSlider-1)+(EnemyDMGDanger-1)+(EnemyJackDMG-1)),0)*IF($A47&gt;20,(1+Max(0,((($A47-20)*(($A47-20)+1))/2)/100)*(2+Max(0,($A47-35)*0.2))),1),0)*IF(EnemyBuffed=TRUE,1.25,1),0) &amp; "  (" &amp; MAX(ROUND(Rounddown(Round(Round((T$34+T$35*($A47-1))*(1+(EnemyDamageSlider-1)+(EnemyDMGDanger-1)+(EnemyJackDMG-1)),0)*IF($A47&gt;20,(1+Max(0,((($A47-20)*(($A47-20)+1))/2)/100)*(2+Max(0,($A47-35)*0.2))),1),0)*IF(EnemyBuffed=TRUE,1.25,1),0)*EnemyDMGTaken,0),1) &amp; ")"</f>
        <v>19  (19)</v>
      </c>
      <c r="U47" s="414" t="str">
        <f>Rounddown(Round(Round((U$34+U$35*($A47-1))*(1+(EnemyDamageSlider-1)+(EnemyDMGDanger-1)+(EnemyJackDMG-1)),0)*IF($A47&gt;20,(1+Max(0,((($A47-20)*(($A47-20)+1))/2)/100)*(2+Max(0,($A47-35)*0.2))),1),0)*IF(EnemyBuffed=TRUE,1.25,1),0) &amp; "  (" &amp; MAX(ROUND(Rounddown(Round(Round((U$34+U$35*($A47-1))*(1+(EnemyDamageSlider-1)+(EnemyDMGDanger-1)+(EnemyJackDMG-1)),0)*IF($A47&gt;20,(1+Max(0,((($A47-20)*(($A47-20)+1))/2)/100)*(2+Max(0,($A47-35)*0.2))),1),0)*IF(EnemyBuffed=TRUE,1.25,1),0)*EnemyDMGTaken,0),1) &amp; ")"</f>
        <v>17  (17)</v>
      </c>
      <c r="V47" s="414" t="str">
        <f>Rounddown(Round(Round((V$34+V$35*($A47-1))*(1+(EnemyDamageSlider-1)+(EnemyDMGDanger-1)+(EnemyJackDMG-1)),0)*IF($A47&gt;20,(1+Max(0,((($A47-20)*(($A47-20)+1))/2)/100)*(2+Max(0,($A47-35)*0.2))),1),0)*IF(EnemyBuffed=TRUE,1.25,1),0) &amp; "  (" &amp; MAX(ROUND(Rounddown(Round(Round((V$34+V$35*($A47-1))*(1+(EnemyDamageSlider-1)+(EnemyDMGDanger-1)+(EnemyJackDMG-1)),0)*IF($A47&gt;20,(1+Max(0,((($A47-20)*(($A47-20)+1))/2)/100)*(2+Max(0,($A47-35)*0.2))),1),0)*IF(EnemyBuffed=TRUE,1.25,1),0)*EnemyDMGTaken,0),1) &amp; ")"</f>
        <v>25  (25)</v>
      </c>
      <c r="W47" s="414" t="str">
        <f>Rounddown(Round(Round((W$34+W$35*($A47-1))*(1+(EnemyDamageSlider-1)+(EnemyDMGDanger-1)+(EnemyJackDMG-1)),0)*IF($A47&gt;20,(1+Max(0,((($A47-20)*(($A47-20)+1))/2)/100)*(2+Max(0,($A47-35)*0.2))),1),0)*IF(EnemyBuffed=TRUE,1.25,1),0) &amp; "  (" &amp; MAX(ROUND(Rounddown(Round(Round((W$34+W$35*($A47-1))*(1+(EnemyDamageSlider-1)+(EnemyDMGDanger-1)+(EnemyJackDMG-1)),0)*IF($A47&gt;20,(1+Max(0,((($A47-20)*(($A47-20)+1))/2)/100)*(2+Max(0,($A47-35)*0.2))),1),0)*IF(EnemyBuffed=TRUE,1.25,1),0)*EnemyDMGTaken,0),1) &amp; ")"</f>
        <v>25  (25)</v>
      </c>
      <c r="X47" s="414" t="str">
        <f>Rounddown(Round(Round((X$34+X$35*($A47-1))*(1+(EnemyDamageSlider-1)+(EnemyDMGDanger-1)+(EnemyJackDMG-1)),0)*IF($A47&gt;20,(1+Max(0,((($A47-20)*(($A47-20)+1))/2)/100)*(2+Max(0,($A47-35)*0.2))),1),0)*IF(EnemyBuffed=TRUE,1.25,1),0) &amp; "  (" &amp; MAX(ROUND(Rounddown(Round(Round((X$34+X$35*($A47-1))*(1+(EnemyDamageSlider-1)+(EnemyDMGDanger-1)+(EnemyJackDMG-1)),0)*IF($A47&gt;20,(1+Max(0,((($A47-20)*(($A47-20)+1))/2)/100)*(2+Max(0,($A47-35)*0.2))),1),0)*IF(EnemyBuffed=TRUE,1.25,1),0)*EnemyDMGTaken,0),1) &amp; ")"</f>
        <v>25  (25)</v>
      </c>
      <c r="Y47" s="414" t="str">
        <f>Rounddown(Round(Round((Y$34+Y$35*($A47-1))*(1+(EnemyDamageSlider-1)+(EnemyDMGDanger-1)+(EnemyJackDMG-1)),0)*IF($A47&gt;20,(1+Max(0,((($A47-20)*(($A47-20)+1))/2)/100)*(2+Max(0,($A47-35)*0.2))),1),0)*IF(EnemyBuffed=TRUE,1.25,1),0) &amp; "  (" &amp; MAX(ROUND(Rounddown(Round(Round((Y$34+Y$35*($A47-1))*(1+(EnemyDamageSlider-1)+(EnemyDMGDanger-1)+(EnemyJackDMG-1)),0)*IF($A47&gt;20,(1+Max(0,((($A47-20)*(($A47-20)+1))/2)/100)*(2+Max(0,($A47-35)*0.2))),1),0)*IF(EnemyBuffed=TRUE,1.25,1),0)*EnemyDMGTaken,0),1) &amp; ")"</f>
        <v>25  (25)</v>
      </c>
      <c r="Z47" s="414" t="str">
        <f>Rounddown(Round(Round((Z$34+Z$35*($A47-1))*(1+(EnemyDamageSlider-1)+(EnemyDMGDanger-1)+(EnemyJackDMG-1)),0)*IF($A47&gt;20,(1+Max(0,((($A47-20)*(($A47-20)+1))/2)/100)*(2+Max(0,($A47-35)*0.2))),1),0)*IF(EnemyBuffed=TRUE,1.25,1),0) &amp; "  (" &amp; MAX(ROUND(Rounddown(Round(Round((Z$34+Z$35*($A47-1))*(1+(EnemyDamageSlider-1)+(EnemyDMGDanger-1)+(EnemyJackDMG-1)),0)*IF($A47&gt;20,(1+Max(0,((($A47-20)*(($A47-20)+1))/2)/100)*(2+Max(0,($A47-35)*0.2))),1),0)*IF(EnemyBuffed=TRUE,1.25,1),0)*EnemyDMGTaken,0),1) &amp; ")"</f>
        <v>25  (25)</v>
      </c>
      <c r="AA47" s="414" t="str">
        <f>Rounddown(Round(Round((AA$34+AA$35*($A47-1))*(1+(EnemyDamageSlider-1)+(EnemyDMGDanger-1)+(EnemyJackDMG-1)),0)*IF($A47&gt;20,(1+Max(0,((($A47-20)*(($A47-20)+1))/2)/100)*(2+Max(0,($A47-35)*0.2))),1),0)*IF(EnemyBuffed=TRUE,1.25,1),0) &amp; "  (" &amp; MAX(ROUND(Rounddown(Round(Round((AA$34+AA$35*($A47-1))*(1+(EnemyDamageSlider-1)+(EnemyDMGDanger-1)+(EnemyJackDMG-1)),0)*IF($A47&gt;20,(1+Max(0,((($A47-20)*(($A47-20)+1))/2)/100)*(2+Max(0,($A47-35)*0.2))),1),0)*IF(EnemyBuffed=TRUE,1.25,1),0)*EnemyDMGTaken,0),1) &amp; ")"</f>
        <v>13  (13)</v>
      </c>
    </row>
    <row r="48">
      <c r="A48" s="150">
        <v>13.0</v>
      </c>
      <c r="B48" s="415">
        <v>0.0</v>
      </c>
      <c r="C48" s="414" t="str">
        <f>Rounddown(Round(Round((C$34+C$35*($A48-1))*(1+(EnemyDamageSlider-1)+(EnemyDMGDanger-1)+(EnemyJackDMG-1)),0)*IF($A48&gt;20,(1+Max(0,((($A48-20)*(($A48-20)+1))/2)/100)*(2+Max(0,($A48-35)*0.2))),1),0)*IF(EnemyBuffed=TRUE,1.25,1),0) &amp; "  (" &amp; MAX(ROUND(Rounddown(Round(Round((C$34+C$35*($A48-1))*(1+(EnemyDamageSlider-1)+(EnemyDMGDanger-1)+(EnemyJackDMG-1)),0)*IF($A48&gt;20,(1+Max(0,((($A48-20)*(($A48-20)+1))/2)/100)*(2+Max(0,($A48-35)*0.2))),1),0)*IF(EnemyBuffed=TRUE,1.25,1),0)*EnemyDMGTaken,0),1) &amp; ")"</f>
        <v>11  (11)</v>
      </c>
      <c r="D48" s="414" t="str">
        <f>Rounddown(Round(Round((D$34+D$35*($A48-1))*(1+(EnemyDamageSlider-1)+(EnemyDMGDanger-1)+(EnemyJackDMG-1)),0)*IF($A48&gt;20,(1+Max(0,((($A48-20)*(($A48-20)+1))/2)/100)*(2+Max(0,($A48-35)*0.2))),1),0)*IF(EnemyBuffed=TRUE,1.25,1),0) &amp; "  (" &amp; MAX(ROUND(Rounddown(Round(Round((D$34+D$35*($A48-1))*(1+(EnemyDamageSlider-1)+(EnemyDMGDanger-1)+(EnemyJackDMG-1)),0)*IF($A48&gt;20,(1+Max(0,((($A48-20)*(($A48-20)+1))/2)/100)*(2+Max(0,($A48-35)*0.2))),1),0)*IF(EnemyBuffed=TRUE,1.25,1),0)*EnemyDMGTaken,0),1) &amp; ")"</f>
        <v>11  (11)</v>
      </c>
      <c r="E48" s="414" t="str">
        <f>Rounddown(Round(Round((E$34+E$35*($A48-1))*(1+(EnemyDamageSlider-1)+(EnemyDMGDanger-1)+(EnemyJackDMG-1)),0)*IF($A48&gt;20,(1+Max(0,((($A48-20)*(($A48-20)+1))/2)/100)*(2+Max(0,($A48-35)*0.2))),1),0)*IF(EnemyBuffed=TRUE,1.25,1),0) &amp; "  (" &amp; MAX(ROUND(Rounddown(Round(Round((E$34+E$35*($A48-1))*(1+(EnemyDamageSlider-1)+(EnemyDMGDanger-1)+(EnemyJackDMG-1)),0)*IF($A48&gt;20,(1+Max(0,((($A48-20)*(($A48-20)+1))/2)/100)*(2+Max(0,($A48-35)*0.2))),1),0)*IF(EnemyBuffed=TRUE,1.25,1),0)*EnemyDMGTaken,0),1) &amp; ")"</f>
        <v>11  (11)</v>
      </c>
      <c r="F48" s="414" t="str">
        <f>Rounddown(Round(Round((F$34+F$35*($A48-1))*(1+(EnemyDamageSlider-1)+(EnemyDMGDanger-1)+(EnemyJackDMG-1)),0)*IF($A48&gt;20,(1+Max(0,((($A48-20)*(($A48-20)+1))/2)/100)*(2+Max(0,($A48-35)*0.2))),1),0)*IF(EnemyBuffed=TRUE,1.25,1),0) &amp; "  (" &amp; MAX(ROUND(Rounddown(Round(Round((F$34+F$35*($A48-1))*(1+(EnemyDamageSlider-1)+(EnemyDMGDanger-1)+(EnemyJackDMG-1)),0)*IF($A48&gt;20,(1+Max(0,((($A48-20)*(($A48-20)+1))/2)/100)*(2+Max(0,($A48-35)*0.2))),1),0)*IF(EnemyBuffed=TRUE,1.25,1),0)*EnemyDMGTaken,0),1) &amp; ")"</f>
        <v>16  (16)</v>
      </c>
      <c r="G48" s="414" t="str">
        <f>Rounddown(Round(Round((G$34+G$35*($A48-1))*(1+(EnemyDamageSlider-1)+(EnemyDMGDanger-1)+(EnemyJackDMG-1)),0)*IF($A48&gt;20,(1+Max(0,((($A48-20)*(($A48-20)+1))/2)/100)*(2+Max(0,($A48-35)*0.2))),1),0)*IF(EnemyBuffed=TRUE,1.25,1),0) &amp; "  (" &amp; MAX(ROUND(Rounddown(Round(Round((G$34+G$35*($A48-1))*(1+(EnemyDamageSlider-1)+(EnemyDMGDanger-1)+(EnemyJackDMG-1)),0)*IF($A48&gt;20,(1+Max(0,((($A48-20)*(($A48-20)+1))/2)/100)*(2+Max(0,($A48-35)*0.2))),1),0)*IF(EnemyBuffed=TRUE,1.25,1),0)*EnemyDMGTaken,0),1) &amp; ")"</f>
        <v>22  (22)</v>
      </c>
      <c r="H48" s="414" t="str">
        <f>Rounddown(Round(Round((H$34+H$35*($A48-1))*(1+(EnemyDamageSlider-1)+(EnemyDMGDanger-1)+(EnemyJackDMG-1)),0)*IF($A48&gt;20,(1+Max(0,((($A48-20)*(($A48-20)+1))/2)/100)*(2+Max(0,($A48-35)*0.2))),1),0)*IF(EnemyBuffed=TRUE,1.25,1),0) &amp; "  (" &amp; MAX(ROUND(Rounddown(Round(Round((H$34+H$35*($A48-1))*(1+(EnemyDamageSlider-1)+(EnemyDMGDanger-1)+(EnemyJackDMG-1)),0)*IF($A48&gt;20,(1+Max(0,((($A48-20)*(($A48-20)+1))/2)/100)*(2+Max(0,($A48-35)*0.2))),1),0)*IF(EnemyBuffed=TRUE,1.25,1),0)*EnemyDMGTaken,0),1) &amp; ")"</f>
        <v>17  (17)</v>
      </c>
      <c r="I48" s="414" t="str">
        <f>Rounddown(Round(Round((I$34+I$35*($A48-1))*(1+(EnemyDamageSlider-1)+(EnemyDMGDanger-1)+(EnemyJackDMG-1)),0)*IF($A48&gt;20,(1+Max(0,((($A48-20)*(($A48-20)+1))/2)/100)*(2+Max(0,($A48-35)*0.2))),1),0)*IF(EnemyBuffed=TRUE,1.25,1),0) &amp; "  (" &amp; MAX(ROUND(Rounddown(Round(Round((I$34+I$35*($A48-1))*(1+(EnemyDamageSlider-1)+(EnemyDMGDanger-1)+(EnemyJackDMG-1)),0)*IF($A48&gt;20,(1+Max(0,((($A48-20)*(($A48-20)+1))/2)/100)*(2+Max(0,($A48-35)*0.2))),1),0)*IF(EnemyBuffed=TRUE,1.25,1),0)*EnemyDMGTaken,0),1) &amp; ")"</f>
        <v>11  (11)</v>
      </c>
      <c r="J48" s="414" t="str">
        <f>Rounddown(Round(Round((J$34+J$35*($A48-1))*(1+(EnemyDamageSlider-1)+(EnemyDMGDanger-1)+(EnemyJackDMG-1)),0)*IF($A48&gt;20,(1+Max(0,((($A48-20)*(($A48-20)+1))/2)/100)*(2+Max(0,($A48-35)*0.2))),1),0)*IF(EnemyBuffed=TRUE,1.25,1),0) &amp; "  (" &amp; MAX(ROUND(Rounddown(Round(Round((J$34+J$35*($A48-1))*(1+(EnemyDamageSlider-1)+(EnemyDMGDanger-1)+(EnemyJackDMG-1)),0)*IF($A48&gt;20,(1+Max(0,((($A48-20)*(($A48-20)+1))/2)/100)*(2+Max(0,($A48-35)*0.2))),1),0)*IF(EnemyBuffed=TRUE,1.25,1),0)*EnemyDMGTaken,0),1) &amp; ")"</f>
        <v>16  (16)</v>
      </c>
      <c r="K48" s="414" t="str">
        <f>Rounddown(Round(Round((K$34+K$35*($A48-1))*(1+(EnemyDamageSlider-1)+(EnemyDMGDanger-1)+(EnemyJackDMG-1)),0)*IF($A48&gt;20,(1+Max(0,((($A48-20)*(($A48-20)+1))/2)/100)*(2+Max(0,($A48-35)*0.2))),1),0)*IF(EnemyBuffed=TRUE,1.25,1),0) &amp; "  (" &amp; MAX(ROUND(Rounddown(Round(Round((K$34+K$35*($A48-1))*(1+(EnemyDamageSlider-1)+(EnemyDMGDanger-1)+(EnemyJackDMG-1)),0)*IF($A48&gt;20,(1+Max(0,((($A48-20)*(($A48-20)+1))/2)/100)*(2+Max(0,($A48-35)*0.2))),1),0)*IF(EnemyBuffed=TRUE,1.25,1),0)*EnemyDMGTaken,0),1) &amp; ")"</f>
        <v>16  (16)</v>
      </c>
      <c r="L48" s="414" t="str">
        <f>Rounddown(Round(Round((L$34+L$35*($A48-1))*(1+(EnemyDamageSlider-1)+(EnemyDMGDanger-1)+(EnemyJackDMG-1)),0)*IF($A48&gt;20,(1+Max(0,((($A48-20)*(($A48-20)+1))/2)/100)*(2+Max(0,($A48-35)*0.2))),1),0)*IF(EnemyBuffed=TRUE,1.25,1),0) &amp; "  (" &amp; MAX(ROUND(Rounddown(Round(Round((L$34+L$35*($A48-1))*(1+(EnemyDamageSlider-1)+(EnemyDMGDanger-1)+(EnemyJackDMG-1)),0)*IF($A48&gt;20,(1+Max(0,((($A48-20)*(($A48-20)+1))/2)/100)*(2+Max(0,($A48-35)*0.2))),1),0)*IF(EnemyBuffed=TRUE,1.25,1),0)*EnemyDMGTaken,0),1) &amp; ")"</f>
        <v>16  (16)</v>
      </c>
      <c r="M48" s="414" t="str">
        <f>Rounddown(Round(Round((M$34+M$35*($A48-1))*(1+(EnemyDamageSlider-1)+(EnemyDMGDanger-1)+(EnemyJackDMG-1)),0)*IF($A48&gt;20,(1+Max(0,((($A48-20)*(($A48-20)+1))/2)/100)*(2+Max(0,($A48-35)*0.2))),1),0)*IF(EnemyBuffed=TRUE,1.25,1),0) &amp; "  (" &amp; MAX(ROUND(Rounddown(Round(Round((M$34+M$35*($A48-1))*(1+(EnemyDamageSlider-1)+(EnemyDMGDanger-1)+(EnemyJackDMG-1)),0)*IF($A48&gt;20,(1+Max(0,((($A48-20)*(($A48-20)+1))/2)/100)*(2+Max(0,($A48-35)*0.2))),1),0)*IF(EnemyBuffed=TRUE,1.25,1),0)*EnemyDMGTaken,0),1) &amp; ")"</f>
        <v>18  (18)</v>
      </c>
      <c r="N48" s="414" t="str">
        <f>Rounddown(Round(Round((N$34+N$35*($A48-1))*(1+(EnemyDamageSlider-1)+(EnemyDMGDanger-1)+(EnemyJackDMG-1)),0)*IF($A48&gt;20,(1+Max(0,((($A48-20)*(($A48-20)+1))/2)/100)*(2+Max(0,($A48-35)*0.2))),1),0)*IF(EnemyBuffed=TRUE,1.25,1),0) &amp; "  (" &amp; MAX(ROUND(Rounddown(Round(Round((N$34+N$35*($A48-1))*(1+(EnemyDamageSlider-1)+(EnemyDMGDanger-1)+(EnemyJackDMG-1)),0)*IF($A48&gt;20,(1+Max(0,((($A48-20)*(($A48-20)+1))/2)/100)*(2+Max(0,($A48-35)*0.2))),1),0)*IF(EnemyBuffed=TRUE,1.25,1),0)*EnemyDMGTaken,0),1) &amp; ")"</f>
        <v>18  (18)</v>
      </c>
      <c r="O48" s="414" t="str">
        <f>Rounddown(Round(Round((O$34+O$35*($A48-1))*(1+(EnemyDamageSlider-1)+(EnemyDMGDanger-1)+(EnemyJackDMG-1)),0)*IF($A48&gt;20,(1+Max(0,((($A48-20)*(($A48-20)+1))/2)/100)*(2+Max(0,($A48-35)*0.2))),1),0)*IF(EnemyBuffed=TRUE,1.25,1),0) &amp; "  (" &amp; MAX(ROUND(Rounddown(Round(Round((O$34+O$35*($A48-1))*(1+(EnemyDamageSlider-1)+(EnemyDMGDanger-1)+(EnemyJackDMG-1)),0)*IF($A48&gt;20,(1+Max(0,((($A48-20)*(($A48-20)+1))/2)/100)*(2+Max(0,($A48-35)*0.2))),1),0)*IF(EnemyBuffed=TRUE,1.25,1),0)*EnemyDMGTaken,0),1) &amp; ")"</f>
        <v>16  (16)</v>
      </c>
      <c r="P48" s="414" t="str">
        <f>Rounddown(Round(Round((P$34+P$35*($A48-1))*(1+(EnemyDamageSlider-1)+(EnemyDMGDanger-1)+(EnemyJackDMG-1)),0)*IF($A48&gt;20,(1+Max(0,((($A48-20)*(($A48-20)+1))/2)/100)*(2+Max(0,($A48-35)*0.2))),1),0)*IF(EnemyBuffed=TRUE,1.25,1),0) &amp; "  (" &amp; MAX(ROUND(Rounddown(Round(Round((P$34+P$35*($A48-1))*(1+(EnemyDamageSlider-1)+(EnemyDMGDanger-1)+(EnemyJackDMG-1)),0)*IF($A48&gt;20,(1+Max(0,((($A48-20)*(($A48-20)+1))/2)/100)*(2+Max(0,($A48-35)*0.2))),1),0)*IF(EnemyBuffed=TRUE,1.25,1),0)*EnemyDMGTaken,0),1) &amp; ")"</f>
        <v>18  (18)</v>
      </c>
      <c r="Q48" s="414" t="str">
        <f>Rounddown(Round(Round((Q$34+Q$35*($A48-1))*(1+(EnemyDamageSlider-1)+(EnemyDMGDanger-1)+(EnemyJackDMG-1)),0)*IF($A48&gt;20,(1+Max(0,((($A48-20)*(($A48-20)+1))/2)/100)*(2+Max(0,($A48-35)*0.2))),1),0)*IF(EnemyBuffed=TRUE,1.25,1),0) &amp; "  (" &amp; MAX(ROUND(Rounddown(Round(Round((Q$34+Q$35*($A48-1))*(1+(EnemyDamageSlider-1)+(EnemyDMGDanger-1)+(EnemyJackDMG-1)),0)*IF($A48&gt;20,(1+Max(0,((($A48-20)*(($A48-20)+1))/2)/100)*(2+Max(0,($A48-35)*0.2))),1),0)*IF(EnemyBuffed=TRUE,1.25,1),0)*EnemyDMGTaken,0),1) &amp; ")"</f>
        <v>21  (21)</v>
      </c>
      <c r="R48" s="414" t="str">
        <f>Rounddown(Round(Round((R$34+R$35*($A48-1))*(1+(EnemyDamageSlider-1)+(EnemyDMGDanger-1)+(EnemyJackDMG-1)),0)*IF($A48&gt;20,(1+Max(0,((($A48-20)*(($A48-20)+1))/2)/100)*(2+Max(0,($A48-35)*0.2))),1),0)*IF(EnemyBuffed=TRUE,1.25,1),0) &amp; "  (" &amp; MAX(ROUND(Rounddown(Round(Round((R$34+R$35*($A48-1))*(1+(EnemyDamageSlider-1)+(EnemyDMGDanger-1)+(EnemyJackDMG-1)),0)*IF($A48&gt;20,(1+Max(0,((($A48-20)*(($A48-20)+1))/2)/100)*(2+Max(0,($A48-35)*0.2))),1),0)*IF(EnemyBuffed=TRUE,1.25,1),0)*EnemyDMGTaken,0),1) &amp; ")"</f>
        <v>20  (20)</v>
      </c>
      <c r="S48" s="414" t="str">
        <f>Rounddown(Round(Round((S$34+S$35*($A48-1))*(1+(EnemyDamageSlider-1)+(EnemyDMGDanger-1)+(EnemyJackDMG-1)),0)*IF($A48&gt;20,(1+Max(0,((($A48-20)*(($A48-20)+1))/2)/100)*(2+Max(0,($A48-35)*0.2))),1),0)*IF(EnemyBuffed=TRUE,1.25,1),0) &amp; "  (" &amp; MAX(ROUND(Rounddown(Round(Round((S$34+S$35*($A48-1))*(1+(EnemyDamageSlider-1)+(EnemyDMGDanger-1)+(EnemyJackDMG-1)),0)*IF($A48&gt;20,(1+Max(0,((($A48-20)*(($A48-20)+1))/2)/100)*(2+Max(0,($A48-35)*0.2))),1),0)*IF(EnemyBuffed=TRUE,1.25,1),0)*EnemyDMGTaken,0),1) &amp; ")"</f>
        <v>11  (11)</v>
      </c>
      <c r="T48" s="414" t="str">
        <f>Rounddown(Round(Round((T$34+T$35*($A48-1))*(1+(EnemyDamageSlider-1)+(EnemyDMGDanger-1)+(EnemyJackDMG-1)),0)*IF($A48&gt;20,(1+Max(0,((($A48-20)*(($A48-20)+1))/2)/100)*(2+Max(0,($A48-35)*0.2))),1),0)*IF(EnemyBuffed=TRUE,1.25,1),0) &amp; "  (" &amp; MAX(ROUND(Rounddown(Round(Round((T$34+T$35*($A48-1))*(1+(EnemyDamageSlider-1)+(EnemyDMGDanger-1)+(EnemyJackDMG-1)),0)*IF($A48&gt;20,(1+Max(0,((($A48-20)*(($A48-20)+1))/2)/100)*(2+Max(0,($A48-35)*0.2))),1),0)*IF(EnemyBuffed=TRUE,1.25,1),0)*EnemyDMGTaken,0),1) &amp; ")"</f>
        <v>21  (21)</v>
      </c>
      <c r="U48" s="414" t="str">
        <f>Rounddown(Round(Round((U$34+U$35*($A48-1))*(1+(EnemyDamageSlider-1)+(EnemyDMGDanger-1)+(EnemyJackDMG-1)),0)*IF($A48&gt;20,(1+Max(0,((($A48-20)*(($A48-20)+1))/2)/100)*(2+Max(0,($A48-35)*0.2))),1),0)*IF(EnemyBuffed=TRUE,1.25,1),0) &amp; "  (" &amp; MAX(ROUND(Rounddown(Round(Round((U$34+U$35*($A48-1))*(1+(EnemyDamageSlider-1)+(EnemyDMGDanger-1)+(EnemyJackDMG-1)),0)*IF($A48&gt;20,(1+Max(0,((($A48-20)*(($A48-20)+1))/2)/100)*(2+Max(0,($A48-35)*0.2))),1),0)*IF(EnemyBuffed=TRUE,1.25,1),0)*EnemyDMGTaken,0),1) &amp; ")"</f>
        <v>18  (18)</v>
      </c>
      <c r="V48" s="414" t="str">
        <f>Rounddown(Round(Round((V$34+V$35*($A48-1))*(1+(EnemyDamageSlider-1)+(EnemyDMGDanger-1)+(EnemyJackDMG-1)),0)*IF($A48&gt;20,(1+Max(0,((($A48-20)*(($A48-20)+1))/2)/100)*(2+Max(0,($A48-35)*0.2))),1),0)*IF(EnemyBuffed=TRUE,1.25,1),0) &amp; "  (" &amp; MAX(ROUND(Rounddown(Round(Round((V$34+V$35*($A48-1))*(1+(EnemyDamageSlider-1)+(EnemyDMGDanger-1)+(EnemyJackDMG-1)),0)*IF($A48&gt;20,(1+Max(0,((($A48-20)*(($A48-20)+1))/2)/100)*(2+Max(0,($A48-35)*0.2))),1),0)*IF(EnemyBuffed=TRUE,1.25,1),0)*EnemyDMGTaken,0),1) &amp; ")"</f>
        <v>27  (27)</v>
      </c>
      <c r="W48" s="414" t="str">
        <f>Rounddown(Round(Round((W$34+W$35*($A48-1))*(1+(EnemyDamageSlider-1)+(EnemyDMGDanger-1)+(EnemyJackDMG-1)),0)*IF($A48&gt;20,(1+Max(0,((($A48-20)*(($A48-20)+1))/2)/100)*(2+Max(0,($A48-35)*0.2))),1),0)*IF(EnemyBuffed=TRUE,1.25,1),0) &amp; "  (" &amp; MAX(ROUND(Rounddown(Round(Round((W$34+W$35*($A48-1))*(1+(EnemyDamageSlider-1)+(EnemyDMGDanger-1)+(EnemyJackDMG-1)),0)*IF($A48&gt;20,(1+Max(0,((($A48-20)*(($A48-20)+1))/2)/100)*(2+Max(0,($A48-35)*0.2))),1),0)*IF(EnemyBuffed=TRUE,1.25,1),0)*EnemyDMGTaken,0),1) &amp; ")"</f>
        <v>27  (27)</v>
      </c>
      <c r="X48" s="414" t="str">
        <f>Rounddown(Round(Round((X$34+X$35*($A48-1))*(1+(EnemyDamageSlider-1)+(EnemyDMGDanger-1)+(EnemyJackDMG-1)),0)*IF($A48&gt;20,(1+Max(0,((($A48-20)*(($A48-20)+1))/2)/100)*(2+Max(0,($A48-35)*0.2))),1),0)*IF(EnemyBuffed=TRUE,1.25,1),0) &amp; "  (" &amp; MAX(ROUND(Rounddown(Round(Round((X$34+X$35*($A48-1))*(1+(EnemyDamageSlider-1)+(EnemyDMGDanger-1)+(EnemyJackDMG-1)),0)*IF($A48&gt;20,(1+Max(0,((($A48-20)*(($A48-20)+1))/2)/100)*(2+Max(0,($A48-35)*0.2))),1),0)*IF(EnemyBuffed=TRUE,1.25,1),0)*EnemyDMGTaken,0),1) &amp; ")"</f>
        <v>27  (27)</v>
      </c>
      <c r="Y48" s="414" t="str">
        <f>Rounddown(Round(Round((Y$34+Y$35*($A48-1))*(1+(EnemyDamageSlider-1)+(EnemyDMGDanger-1)+(EnemyJackDMG-1)),0)*IF($A48&gt;20,(1+Max(0,((($A48-20)*(($A48-20)+1))/2)/100)*(2+Max(0,($A48-35)*0.2))),1),0)*IF(EnemyBuffed=TRUE,1.25,1),0) &amp; "  (" &amp; MAX(ROUND(Rounddown(Round(Round((Y$34+Y$35*($A48-1))*(1+(EnemyDamageSlider-1)+(EnemyDMGDanger-1)+(EnemyJackDMG-1)),0)*IF($A48&gt;20,(1+Max(0,((($A48-20)*(($A48-20)+1))/2)/100)*(2+Max(0,($A48-35)*0.2))),1),0)*IF(EnemyBuffed=TRUE,1.25,1),0)*EnemyDMGTaken,0),1) &amp; ")"</f>
        <v>27  (27)</v>
      </c>
      <c r="Z48" s="414" t="str">
        <f>Rounddown(Round(Round((Z$34+Z$35*($A48-1))*(1+(EnemyDamageSlider-1)+(EnemyDMGDanger-1)+(EnemyJackDMG-1)),0)*IF($A48&gt;20,(1+Max(0,((($A48-20)*(($A48-20)+1))/2)/100)*(2+Max(0,($A48-35)*0.2))),1),0)*IF(EnemyBuffed=TRUE,1.25,1),0) &amp; "  (" &amp; MAX(ROUND(Rounddown(Round(Round((Z$34+Z$35*($A48-1))*(1+(EnemyDamageSlider-1)+(EnemyDMGDanger-1)+(EnemyJackDMG-1)),0)*IF($A48&gt;20,(1+Max(0,((($A48-20)*(($A48-20)+1))/2)/100)*(2+Max(0,($A48-35)*0.2))),1),0)*IF(EnemyBuffed=TRUE,1.25,1),0)*EnemyDMGTaken,0),1) &amp; ")"</f>
        <v>27  (27)</v>
      </c>
      <c r="AA48" s="414" t="str">
        <f>Rounddown(Round(Round((AA$34+AA$35*($A48-1))*(1+(EnemyDamageSlider-1)+(EnemyDMGDanger-1)+(EnemyJackDMG-1)),0)*IF($A48&gt;20,(1+Max(0,((($A48-20)*(($A48-20)+1))/2)/100)*(2+Max(0,($A48-35)*0.2))),1),0)*IF(EnemyBuffed=TRUE,1.25,1),0) &amp; "  (" &amp; MAX(ROUND(Rounddown(Round(Round((AA$34+AA$35*($A48-1))*(1+(EnemyDamageSlider-1)+(EnemyDMGDanger-1)+(EnemyJackDMG-1)),0)*IF($A48&gt;20,(1+Max(0,((($A48-20)*(($A48-20)+1))/2)/100)*(2+Max(0,($A48-35)*0.2))),1),0)*IF(EnemyBuffed=TRUE,1.25,1),0)*EnemyDMGTaken,0),1) &amp; ")"</f>
        <v>14  (14)</v>
      </c>
    </row>
    <row r="49">
      <c r="A49" s="150">
        <v>14.0</v>
      </c>
      <c r="B49" s="415">
        <v>0.0</v>
      </c>
      <c r="C49" s="414" t="str">
        <f>Rounddown(Round(Round((C$34+C$35*($A49-1))*(1+(EnemyDamageSlider-1)+(EnemyDMGDanger-1)+(EnemyJackDMG-1)),0)*IF($A49&gt;20,(1+Max(0,((($A49-20)*(($A49-20)+1))/2)/100)*(2+Max(0,($A49-35)*0.2))),1),0)*IF(EnemyBuffed=TRUE,1.25,1),0) &amp; "  (" &amp; MAX(ROUND(Rounddown(Round(Round((C$34+C$35*($A49-1))*(1+(EnemyDamageSlider-1)+(EnemyDMGDanger-1)+(EnemyJackDMG-1)),0)*IF($A49&gt;20,(1+Max(0,((($A49-20)*(($A49-20)+1))/2)/100)*(2+Max(0,($A49-35)*0.2))),1),0)*IF(EnemyBuffed=TRUE,1.25,1),0)*EnemyDMGTaken,0),1) &amp; ")"</f>
        <v>12  (12)</v>
      </c>
      <c r="D49" s="414" t="str">
        <f>Rounddown(Round(Round((D$34+D$35*($A49-1))*(1+(EnemyDamageSlider-1)+(EnemyDMGDanger-1)+(EnemyJackDMG-1)),0)*IF($A49&gt;20,(1+Max(0,((($A49-20)*(($A49-20)+1))/2)/100)*(2+Max(0,($A49-35)*0.2))),1),0)*IF(EnemyBuffed=TRUE,1.25,1),0) &amp; "  (" &amp; MAX(ROUND(Rounddown(Round(Round((D$34+D$35*($A49-1))*(1+(EnemyDamageSlider-1)+(EnemyDMGDanger-1)+(EnemyJackDMG-1)),0)*IF($A49&gt;20,(1+Max(0,((($A49-20)*(($A49-20)+1))/2)/100)*(2+Max(0,($A49-35)*0.2))),1),0)*IF(EnemyBuffed=TRUE,1.25,1),0)*EnemyDMGTaken,0),1) &amp; ")"</f>
        <v>12  (12)</v>
      </c>
      <c r="E49" s="414" t="str">
        <f>Rounddown(Round(Round((E$34+E$35*($A49-1))*(1+(EnemyDamageSlider-1)+(EnemyDMGDanger-1)+(EnemyJackDMG-1)),0)*IF($A49&gt;20,(1+Max(0,((($A49-20)*(($A49-20)+1))/2)/100)*(2+Max(0,($A49-35)*0.2))),1),0)*IF(EnemyBuffed=TRUE,1.25,1),0) &amp; "  (" &amp; MAX(ROUND(Rounddown(Round(Round((E$34+E$35*($A49-1))*(1+(EnemyDamageSlider-1)+(EnemyDMGDanger-1)+(EnemyJackDMG-1)),0)*IF($A49&gt;20,(1+Max(0,((($A49-20)*(($A49-20)+1))/2)/100)*(2+Max(0,($A49-35)*0.2))),1),0)*IF(EnemyBuffed=TRUE,1.25,1),0)*EnemyDMGTaken,0),1) &amp; ")"</f>
        <v>12  (12)</v>
      </c>
      <c r="F49" s="414" t="str">
        <f>Rounddown(Round(Round((F$34+F$35*($A49-1))*(1+(EnemyDamageSlider-1)+(EnemyDMGDanger-1)+(EnemyJackDMG-1)),0)*IF($A49&gt;20,(1+Max(0,((($A49-20)*(($A49-20)+1))/2)/100)*(2+Max(0,($A49-35)*0.2))),1),0)*IF(EnemyBuffed=TRUE,1.25,1),0) &amp; "  (" &amp; MAX(ROUND(Rounddown(Round(Round((F$34+F$35*($A49-1))*(1+(EnemyDamageSlider-1)+(EnemyDMGDanger-1)+(EnemyJackDMG-1)),0)*IF($A49&gt;20,(1+Max(0,((($A49-20)*(($A49-20)+1))/2)/100)*(2+Max(0,($A49-35)*0.2))),1),0)*IF(EnemyBuffed=TRUE,1.25,1),0)*EnemyDMGTaken,0),1) &amp; ")"</f>
        <v>17  (17)</v>
      </c>
      <c r="G49" s="414" t="str">
        <f>Rounddown(Round(Round((G$34+G$35*($A49-1))*(1+(EnemyDamageSlider-1)+(EnemyDMGDanger-1)+(EnemyJackDMG-1)),0)*IF($A49&gt;20,(1+Max(0,((($A49-20)*(($A49-20)+1))/2)/100)*(2+Max(0,($A49-35)*0.2))),1),0)*IF(EnemyBuffed=TRUE,1.25,1),0) &amp; "  (" &amp; MAX(ROUND(Rounddown(Round(Round((G$34+G$35*($A49-1))*(1+(EnemyDamageSlider-1)+(EnemyDMGDanger-1)+(EnemyJackDMG-1)),0)*IF($A49&gt;20,(1+Max(0,((($A49-20)*(($A49-20)+1))/2)/100)*(2+Max(0,($A49-35)*0.2))),1),0)*IF(EnemyBuffed=TRUE,1.25,1),0)*EnemyDMGTaken,0),1) &amp; ")"</f>
        <v>23  (23)</v>
      </c>
      <c r="H49" s="414" t="str">
        <f>Rounddown(Round(Round((H$34+H$35*($A49-1))*(1+(EnemyDamageSlider-1)+(EnemyDMGDanger-1)+(EnemyJackDMG-1)),0)*IF($A49&gt;20,(1+Max(0,((($A49-20)*(($A49-20)+1))/2)/100)*(2+Max(0,($A49-35)*0.2))),1),0)*IF(EnemyBuffed=TRUE,1.25,1),0) &amp; "  (" &amp; MAX(ROUND(Rounddown(Round(Round((H$34+H$35*($A49-1))*(1+(EnemyDamageSlider-1)+(EnemyDMGDanger-1)+(EnemyJackDMG-1)),0)*IF($A49&gt;20,(1+Max(0,((($A49-20)*(($A49-20)+1))/2)/100)*(2+Max(0,($A49-35)*0.2))),1),0)*IF(EnemyBuffed=TRUE,1.25,1),0)*EnemyDMGTaken,0),1) &amp; ")"</f>
        <v>18  (18)</v>
      </c>
      <c r="I49" s="414" t="str">
        <f>Rounddown(Round(Round((I$34+I$35*($A49-1))*(1+(EnemyDamageSlider-1)+(EnemyDMGDanger-1)+(EnemyJackDMG-1)),0)*IF($A49&gt;20,(1+Max(0,((($A49-20)*(($A49-20)+1))/2)/100)*(2+Max(0,($A49-35)*0.2))),1),0)*IF(EnemyBuffed=TRUE,1.25,1),0) &amp; "  (" &amp; MAX(ROUND(Rounddown(Round(Round((I$34+I$35*($A49-1))*(1+(EnemyDamageSlider-1)+(EnemyDMGDanger-1)+(EnemyJackDMG-1)),0)*IF($A49&gt;20,(1+Max(0,((($A49-20)*(($A49-20)+1))/2)/100)*(2+Max(0,($A49-35)*0.2))),1),0)*IF(EnemyBuffed=TRUE,1.25,1),0)*EnemyDMGTaken,0),1) &amp; ")"</f>
        <v>12  (12)</v>
      </c>
      <c r="J49" s="414" t="str">
        <f>Rounddown(Round(Round((J$34+J$35*($A49-1))*(1+(EnemyDamageSlider-1)+(EnemyDMGDanger-1)+(EnemyJackDMG-1)),0)*IF($A49&gt;20,(1+Max(0,((($A49-20)*(($A49-20)+1))/2)/100)*(2+Max(0,($A49-35)*0.2))),1),0)*IF(EnemyBuffed=TRUE,1.25,1),0) &amp; "  (" &amp; MAX(ROUND(Rounddown(Round(Round((J$34+J$35*($A49-1))*(1+(EnemyDamageSlider-1)+(EnemyDMGDanger-1)+(EnemyJackDMG-1)),0)*IF($A49&gt;20,(1+Max(0,((($A49-20)*(($A49-20)+1))/2)/100)*(2+Max(0,($A49-35)*0.2))),1),0)*IF(EnemyBuffed=TRUE,1.25,1),0)*EnemyDMGTaken,0),1) &amp; ")"</f>
        <v>17  (17)</v>
      </c>
      <c r="K49" s="414" t="str">
        <f>Rounddown(Round(Round((K$34+K$35*($A49-1))*(1+(EnemyDamageSlider-1)+(EnemyDMGDanger-1)+(EnemyJackDMG-1)),0)*IF($A49&gt;20,(1+Max(0,((($A49-20)*(($A49-20)+1))/2)/100)*(2+Max(0,($A49-35)*0.2))),1),0)*IF(EnemyBuffed=TRUE,1.25,1),0) &amp; "  (" &amp; MAX(ROUND(Rounddown(Round(Round((K$34+K$35*($A49-1))*(1+(EnemyDamageSlider-1)+(EnemyDMGDanger-1)+(EnemyJackDMG-1)),0)*IF($A49&gt;20,(1+Max(0,((($A49-20)*(($A49-20)+1))/2)/100)*(2+Max(0,($A49-35)*0.2))),1),0)*IF(EnemyBuffed=TRUE,1.25,1),0)*EnemyDMGTaken,0),1) &amp; ")"</f>
        <v>17  (17)</v>
      </c>
      <c r="L49" s="414" t="str">
        <f>Rounddown(Round(Round((L$34+L$35*($A49-1))*(1+(EnemyDamageSlider-1)+(EnemyDMGDanger-1)+(EnemyJackDMG-1)),0)*IF($A49&gt;20,(1+Max(0,((($A49-20)*(($A49-20)+1))/2)/100)*(2+Max(0,($A49-35)*0.2))),1),0)*IF(EnemyBuffed=TRUE,1.25,1),0) &amp; "  (" &amp; MAX(ROUND(Rounddown(Round(Round((L$34+L$35*($A49-1))*(1+(EnemyDamageSlider-1)+(EnemyDMGDanger-1)+(EnemyJackDMG-1)),0)*IF($A49&gt;20,(1+Max(0,((($A49-20)*(($A49-20)+1))/2)/100)*(2+Max(0,($A49-35)*0.2))),1),0)*IF(EnemyBuffed=TRUE,1.25,1),0)*EnemyDMGTaken,0),1) &amp; ")"</f>
        <v>17  (17)</v>
      </c>
      <c r="M49" s="414" t="str">
        <f>Rounddown(Round(Round((M$34+M$35*($A49-1))*(1+(EnemyDamageSlider-1)+(EnemyDMGDanger-1)+(EnemyJackDMG-1)),0)*IF($A49&gt;20,(1+Max(0,((($A49-20)*(($A49-20)+1))/2)/100)*(2+Max(0,($A49-35)*0.2))),1),0)*IF(EnemyBuffed=TRUE,1.25,1),0) &amp; "  (" &amp; MAX(ROUND(Rounddown(Round(Round((M$34+M$35*($A49-1))*(1+(EnemyDamageSlider-1)+(EnemyDMGDanger-1)+(EnemyJackDMG-1)),0)*IF($A49&gt;20,(1+Max(0,((($A49-20)*(($A49-20)+1))/2)/100)*(2+Max(0,($A49-35)*0.2))),1),0)*IF(EnemyBuffed=TRUE,1.25,1),0)*EnemyDMGTaken,0),1) &amp; ")"</f>
        <v>20  (20)</v>
      </c>
      <c r="N49" s="414" t="str">
        <f>Rounddown(Round(Round((N$34+N$35*($A49-1))*(1+(EnemyDamageSlider-1)+(EnemyDMGDanger-1)+(EnemyJackDMG-1)),0)*IF($A49&gt;20,(1+Max(0,((($A49-20)*(($A49-20)+1))/2)/100)*(2+Max(0,($A49-35)*0.2))),1),0)*IF(EnemyBuffed=TRUE,1.25,1),0) &amp; "  (" &amp; MAX(ROUND(Rounddown(Round(Round((N$34+N$35*($A49-1))*(1+(EnemyDamageSlider-1)+(EnemyDMGDanger-1)+(EnemyJackDMG-1)),0)*IF($A49&gt;20,(1+Max(0,((($A49-20)*(($A49-20)+1))/2)/100)*(2+Max(0,($A49-35)*0.2))),1),0)*IF(EnemyBuffed=TRUE,1.25,1),0)*EnemyDMGTaken,0),1) &amp; ")"</f>
        <v>20  (20)</v>
      </c>
      <c r="O49" s="414" t="str">
        <f>Rounddown(Round(Round((O$34+O$35*($A49-1))*(1+(EnemyDamageSlider-1)+(EnemyDMGDanger-1)+(EnemyJackDMG-1)),0)*IF($A49&gt;20,(1+Max(0,((($A49-20)*(($A49-20)+1))/2)/100)*(2+Max(0,($A49-35)*0.2))),1),0)*IF(EnemyBuffed=TRUE,1.25,1),0) &amp; "  (" &amp; MAX(ROUND(Rounddown(Round(Round((O$34+O$35*($A49-1))*(1+(EnemyDamageSlider-1)+(EnemyDMGDanger-1)+(EnemyJackDMG-1)),0)*IF($A49&gt;20,(1+Max(0,((($A49-20)*(($A49-20)+1))/2)/100)*(2+Max(0,($A49-35)*0.2))),1),0)*IF(EnemyBuffed=TRUE,1.25,1),0)*EnemyDMGTaken,0),1) &amp; ")"</f>
        <v>17  (17)</v>
      </c>
      <c r="P49" s="414" t="str">
        <f>Rounddown(Round(Round((P$34+P$35*($A49-1))*(1+(EnemyDamageSlider-1)+(EnemyDMGDanger-1)+(EnemyJackDMG-1)),0)*IF($A49&gt;20,(1+Max(0,((($A49-20)*(($A49-20)+1))/2)/100)*(2+Max(0,($A49-35)*0.2))),1),0)*IF(EnemyBuffed=TRUE,1.25,1),0) &amp; "  (" &amp; MAX(ROUND(Rounddown(Round(Round((P$34+P$35*($A49-1))*(1+(EnemyDamageSlider-1)+(EnemyDMGDanger-1)+(EnemyJackDMG-1)),0)*IF($A49&gt;20,(1+Max(0,((($A49-20)*(($A49-20)+1))/2)/100)*(2+Max(0,($A49-35)*0.2))),1),0)*IF(EnemyBuffed=TRUE,1.25,1),0)*EnemyDMGTaken,0),1) &amp; ")"</f>
        <v>20  (20)</v>
      </c>
      <c r="Q49" s="414" t="str">
        <f>Rounddown(Round(Round((Q$34+Q$35*($A49-1))*(1+(EnemyDamageSlider-1)+(EnemyDMGDanger-1)+(EnemyJackDMG-1)),0)*IF($A49&gt;20,(1+Max(0,((($A49-20)*(($A49-20)+1))/2)/100)*(2+Max(0,($A49-35)*0.2))),1),0)*IF(EnemyBuffed=TRUE,1.25,1),0) &amp; "  (" &amp; MAX(ROUND(Rounddown(Round(Round((Q$34+Q$35*($A49-1))*(1+(EnemyDamageSlider-1)+(EnemyDMGDanger-1)+(EnemyJackDMG-1)),0)*IF($A49&gt;20,(1+Max(0,((($A49-20)*(($A49-20)+1))/2)/100)*(2+Max(0,($A49-35)*0.2))),1),0)*IF(EnemyBuffed=TRUE,1.25,1),0)*EnemyDMGTaken,0),1) &amp; ")"</f>
        <v>22  (22)</v>
      </c>
      <c r="R49" s="414" t="str">
        <f>Rounddown(Round(Round((R$34+R$35*($A49-1))*(1+(EnemyDamageSlider-1)+(EnemyDMGDanger-1)+(EnemyJackDMG-1)),0)*IF($A49&gt;20,(1+Max(0,((($A49-20)*(($A49-20)+1))/2)/100)*(2+Max(0,($A49-35)*0.2))),1),0)*IF(EnemyBuffed=TRUE,1.25,1),0) &amp; "  (" &amp; MAX(ROUND(Rounddown(Round(Round((R$34+R$35*($A49-1))*(1+(EnemyDamageSlider-1)+(EnemyDMGDanger-1)+(EnemyJackDMG-1)),0)*IF($A49&gt;20,(1+Max(0,((($A49-20)*(($A49-20)+1))/2)/100)*(2+Max(0,($A49-35)*0.2))),1),0)*IF(EnemyBuffed=TRUE,1.25,1),0)*EnemyDMGTaken,0),1) &amp; ")"</f>
        <v>21  (21)</v>
      </c>
      <c r="S49" s="414" t="str">
        <f>Rounddown(Round(Round((S$34+S$35*($A49-1))*(1+(EnemyDamageSlider-1)+(EnemyDMGDanger-1)+(EnemyJackDMG-1)),0)*IF($A49&gt;20,(1+Max(0,((($A49-20)*(($A49-20)+1))/2)/100)*(2+Max(0,($A49-35)*0.2))),1),0)*IF(EnemyBuffed=TRUE,1.25,1),0) &amp; "  (" &amp; MAX(ROUND(Rounddown(Round(Round((S$34+S$35*($A49-1))*(1+(EnemyDamageSlider-1)+(EnemyDMGDanger-1)+(EnemyJackDMG-1)),0)*IF($A49&gt;20,(1+Max(0,((($A49-20)*(($A49-20)+1))/2)/100)*(2+Max(0,($A49-35)*0.2))),1),0)*IF(EnemyBuffed=TRUE,1.25,1),0)*EnemyDMGTaken,0),1) &amp; ")"</f>
        <v>12  (12)</v>
      </c>
      <c r="T49" s="414" t="str">
        <f>Rounddown(Round(Round((T$34+T$35*($A49-1))*(1+(EnemyDamageSlider-1)+(EnemyDMGDanger-1)+(EnemyJackDMG-1)),0)*IF($A49&gt;20,(1+Max(0,((($A49-20)*(($A49-20)+1))/2)/100)*(2+Max(0,($A49-35)*0.2))),1),0)*IF(EnemyBuffed=TRUE,1.25,1),0) &amp; "  (" &amp; MAX(ROUND(Rounddown(Round(Round((T$34+T$35*($A49-1))*(1+(EnemyDamageSlider-1)+(EnemyDMGDanger-1)+(EnemyJackDMG-1)),0)*IF($A49&gt;20,(1+Max(0,((($A49-20)*(($A49-20)+1))/2)/100)*(2+Max(0,($A49-35)*0.2))),1),0)*IF(EnemyBuffed=TRUE,1.25,1),0)*EnemyDMGTaken,0),1) &amp; ")"</f>
        <v>22  (22)</v>
      </c>
      <c r="U49" s="414" t="str">
        <f>Rounddown(Round(Round((U$34+U$35*($A49-1))*(1+(EnemyDamageSlider-1)+(EnemyDMGDanger-1)+(EnemyJackDMG-1)),0)*IF($A49&gt;20,(1+Max(0,((($A49-20)*(($A49-20)+1))/2)/100)*(2+Max(0,($A49-35)*0.2))),1),0)*IF(EnemyBuffed=TRUE,1.25,1),0) &amp; "  (" &amp; MAX(ROUND(Rounddown(Round(Round((U$34+U$35*($A49-1))*(1+(EnemyDamageSlider-1)+(EnemyDMGDanger-1)+(EnemyJackDMG-1)),0)*IF($A49&gt;20,(1+Max(0,((($A49-20)*(($A49-20)+1))/2)/100)*(2+Max(0,($A49-35)*0.2))),1),0)*IF(EnemyBuffed=TRUE,1.25,1),0)*EnemyDMGTaken,0),1) &amp; ")"</f>
        <v>20  (20)</v>
      </c>
      <c r="V49" s="414" t="str">
        <f>Rounddown(Round(Round((V$34+V$35*($A49-1))*(1+(EnemyDamageSlider-1)+(EnemyDMGDanger-1)+(EnemyJackDMG-1)),0)*IF($A49&gt;20,(1+Max(0,((($A49-20)*(($A49-20)+1))/2)/100)*(2+Max(0,($A49-35)*0.2))),1),0)*IF(EnemyBuffed=TRUE,1.25,1),0) &amp; "  (" &amp; MAX(ROUND(Rounddown(Round(Round((V$34+V$35*($A49-1))*(1+(EnemyDamageSlider-1)+(EnemyDMGDanger-1)+(EnemyJackDMG-1)),0)*IF($A49&gt;20,(1+Max(0,((($A49-20)*(($A49-20)+1))/2)/100)*(2+Max(0,($A49-35)*0.2))),1),0)*IF(EnemyBuffed=TRUE,1.25,1),0)*EnemyDMGTaken,0),1) &amp; ")"</f>
        <v>29  (29)</v>
      </c>
      <c r="W49" s="414" t="str">
        <f>Rounddown(Round(Round((W$34+W$35*($A49-1))*(1+(EnemyDamageSlider-1)+(EnemyDMGDanger-1)+(EnemyJackDMG-1)),0)*IF($A49&gt;20,(1+Max(0,((($A49-20)*(($A49-20)+1))/2)/100)*(2+Max(0,($A49-35)*0.2))),1),0)*IF(EnemyBuffed=TRUE,1.25,1),0) &amp; "  (" &amp; MAX(ROUND(Rounddown(Round(Round((W$34+W$35*($A49-1))*(1+(EnemyDamageSlider-1)+(EnemyDMGDanger-1)+(EnemyJackDMG-1)),0)*IF($A49&gt;20,(1+Max(0,((($A49-20)*(($A49-20)+1))/2)/100)*(2+Max(0,($A49-35)*0.2))),1),0)*IF(EnemyBuffed=TRUE,1.25,1),0)*EnemyDMGTaken,0),1) &amp; ")"</f>
        <v>29  (29)</v>
      </c>
      <c r="X49" s="414" t="str">
        <f>Rounddown(Round(Round((X$34+X$35*($A49-1))*(1+(EnemyDamageSlider-1)+(EnemyDMGDanger-1)+(EnemyJackDMG-1)),0)*IF($A49&gt;20,(1+Max(0,((($A49-20)*(($A49-20)+1))/2)/100)*(2+Max(0,($A49-35)*0.2))),1),0)*IF(EnemyBuffed=TRUE,1.25,1),0) &amp; "  (" &amp; MAX(ROUND(Rounddown(Round(Round((X$34+X$35*($A49-1))*(1+(EnemyDamageSlider-1)+(EnemyDMGDanger-1)+(EnemyJackDMG-1)),0)*IF($A49&gt;20,(1+Max(0,((($A49-20)*(($A49-20)+1))/2)/100)*(2+Max(0,($A49-35)*0.2))),1),0)*IF(EnemyBuffed=TRUE,1.25,1),0)*EnemyDMGTaken,0),1) &amp; ")"</f>
        <v>29  (29)</v>
      </c>
      <c r="Y49" s="414" t="str">
        <f>Rounddown(Round(Round((Y$34+Y$35*($A49-1))*(1+(EnemyDamageSlider-1)+(EnemyDMGDanger-1)+(EnemyJackDMG-1)),0)*IF($A49&gt;20,(1+Max(0,((($A49-20)*(($A49-20)+1))/2)/100)*(2+Max(0,($A49-35)*0.2))),1),0)*IF(EnemyBuffed=TRUE,1.25,1),0) &amp; "  (" &amp; MAX(ROUND(Rounddown(Round(Round((Y$34+Y$35*($A49-1))*(1+(EnemyDamageSlider-1)+(EnemyDMGDanger-1)+(EnemyJackDMG-1)),0)*IF($A49&gt;20,(1+Max(0,((($A49-20)*(($A49-20)+1))/2)/100)*(2+Max(0,($A49-35)*0.2))),1),0)*IF(EnemyBuffed=TRUE,1.25,1),0)*EnemyDMGTaken,0),1) &amp; ")"</f>
        <v>29  (29)</v>
      </c>
      <c r="Z49" s="414" t="str">
        <f>Rounddown(Round(Round((Z$34+Z$35*($A49-1))*(1+(EnemyDamageSlider-1)+(EnemyDMGDanger-1)+(EnemyJackDMG-1)),0)*IF($A49&gt;20,(1+Max(0,((($A49-20)*(($A49-20)+1))/2)/100)*(2+Max(0,($A49-35)*0.2))),1),0)*IF(EnemyBuffed=TRUE,1.25,1),0) &amp; "  (" &amp; MAX(ROUND(Rounddown(Round(Round((Z$34+Z$35*($A49-1))*(1+(EnemyDamageSlider-1)+(EnemyDMGDanger-1)+(EnemyJackDMG-1)),0)*IF($A49&gt;20,(1+Max(0,((($A49-20)*(($A49-20)+1))/2)/100)*(2+Max(0,($A49-35)*0.2))),1),0)*IF(EnemyBuffed=TRUE,1.25,1),0)*EnemyDMGTaken,0),1) &amp; ")"</f>
        <v>29  (29)</v>
      </c>
      <c r="AA49" s="414" t="str">
        <f>Rounddown(Round(Round((AA$34+AA$35*($A49-1))*(1+(EnemyDamageSlider-1)+(EnemyDMGDanger-1)+(EnemyJackDMG-1)),0)*IF($A49&gt;20,(1+Max(0,((($A49-20)*(($A49-20)+1))/2)/100)*(2+Max(0,($A49-35)*0.2))),1),0)*IF(EnemyBuffed=TRUE,1.25,1),0) &amp; "  (" &amp; MAX(ROUND(Rounddown(Round(Round((AA$34+AA$35*($A49-1))*(1+(EnemyDamageSlider-1)+(EnemyDMGDanger-1)+(EnemyJackDMG-1)),0)*IF($A49&gt;20,(1+Max(0,((($A49-20)*(($A49-20)+1))/2)/100)*(2+Max(0,($A49-35)*0.2))),1),0)*IF(EnemyBuffed=TRUE,1.25,1),0)*EnemyDMGTaken,0),1) &amp; ")"</f>
        <v>15  (15)</v>
      </c>
    </row>
    <row r="50">
      <c r="A50" s="150">
        <v>15.0</v>
      </c>
      <c r="B50" s="415">
        <v>0.0</v>
      </c>
      <c r="C50" s="414" t="str">
        <f>Rounddown(Round(Round((C$34+C$35*($A50-1))*(1+(EnemyDamageSlider-1)+(EnemyDMGDanger-1)+(EnemyJackDMG-1)),0)*IF($A50&gt;20,(1+Max(0,((($A50-20)*(($A50-20)+1))/2)/100)*(2+Max(0,($A50-35)*0.2))),1),0)*IF(EnemyBuffed=TRUE,1.25,1),0) &amp; "  (" &amp; MAX(ROUND(Rounddown(Round(Round((C$34+C$35*($A50-1))*(1+(EnemyDamageSlider-1)+(EnemyDMGDanger-1)+(EnemyJackDMG-1)),0)*IF($A50&gt;20,(1+Max(0,((($A50-20)*(($A50-20)+1))/2)/100)*(2+Max(0,($A50-35)*0.2))),1),0)*IF(EnemyBuffed=TRUE,1.25,1),0)*EnemyDMGTaken,0),1) &amp; ")"</f>
        <v>13  (13)</v>
      </c>
      <c r="D50" s="414" t="str">
        <f>Rounddown(Round(Round((D$34+D$35*($A50-1))*(1+(EnemyDamageSlider-1)+(EnemyDMGDanger-1)+(EnemyJackDMG-1)),0)*IF($A50&gt;20,(1+Max(0,((($A50-20)*(($A50-20)+1))/2)/100)*(2+Max(0,($A50-35)*0.2))),1),0)*IF(EnemyBuffed=TRUE,1.25,1),0) &amp; "  (" &amp; MAX(ROUND(Rounddown(Round(Round((D$34+D$35*($A50-1))*(1+(EnemyDamageSlider-1)+(EnemyDMGDanger-1)+(EnemyJackDMG-1)),0)*IF($A50&gt;20,(1+Max(0,((($A50-20)*(($A50-20)+1))/2)/100)*(2+Max(0,($A50-35)*0.2))),1),0)*IF(EnemyBuffed=TRUE,1.25,1),0)*EnemyDMGTaken,0),1) &amp; ")"</f>
        <v>13  (13)</v>
      </c>
      <c r="E50" s="414" t="str">
        <f>Rounddown(Round(Round((E$34+E$35*($A50-1))*(1+(EnemyDamageSlider-1)+(EnemyDMGDanger-1)+(EnemyJackDMG-1)),0)*IF($A50&gt;20,(1+Max(0,((($A50-20)*(($A50-20)+1))/2)/100)*(2+Max(0,($A50-35)*0.2))),1),0)*IF(EnemyBuffed=TRUE,1.25,1),0) &amp; "  (" &amp; MAX(ROUND(Rounddown(Round(Round((E$34+E$35*($A50-1))*(1+(EnemyDamageSlider-1)+(EnemyDMGDanger-1)+(EnemyJackDMG-1)),0)*IF($A50&gt;20,(1+Max(0,((($A50-20)*(($A50-20)+1))/2)/100)*(2+Max(0,($A50-35)*0.2))),1),0)*IF(EnemyBuffed=TRUE,1.25,1),0)*EnemyDMGTaken,0),1) &amp; ")"</f>
        <v>13  (13)</v>
      </c>
      <c r="F50" s="414" t="str">
        <f>Rounddown(Round(Round((F$34+F$35*($A50-1))*(1+(EnemyDamageSlider-1)+(EnemyDMGDanger-1)+(EnemyJackDMG-1)),0)*IF($A50&gt;20,(1+Max(0,((($A50-20)*(($A50-20)+1))/2)/100)*(2+Max(0,($A50-35)*0.2))),1),0)*IF(EnemyBuffed=TRUE,1.25,1),0) &amp; "  (" &amp; MAX(ROUND(Rounddown(Round(Round((F$34+F$35*($A50-1))*(1+(EnemyDamageSlider-1)+(EnemyDMGDanger-1)+(EnemyJackDMG-1)),0)*IF($A50&gt;20,(1+Max(0,((($A50-20)*(($A50-20)+1))/2)/100)*(2+Max(0,($A50-35)*0.2))),1),0)*IF(EnemyBuffed=TRUE,1.25,1),0)*EnemyDMGTaken,0),1) &amp; ")"</f>
        <v>18  (18)</v>
      </c>
      <c r="G50" s="414" t="str">
        <f>Rounddown(Round(Round((G$34+G$35*($A50-1))*(1+(EnemyDamageSlider-1)+(EnemyDMGDanger-1)+(EnemyJackDMG-1)),0)*IF($A50&gt;20,(1+Max(0,((($A50-20)*(($A50-20)+1))/2)/100)*(2+Max(0,($A50-35)*0.2))),1),0)*IF(EnemyBuffed=TRUE,1.25,1),0) &amp; "  (" &amp; MAX(ROUND(Rounddown(Round(Round((G$34+G$35*($A50-1))*(1+(EnemyDamageSlider-1)+(EnemyDMGDanger-1)+(EnemyJackDMG-1)),0)*IF($A50&gt;20,(1+Max(0,((($A50-20)*(($A50-20)+1))/2)/100)*(2+Max(0,($A50-35)*0.2))),1),0)*IF(EnemyBuffed=TRUE,1.25,1),0)*EnemyDMGTaken,0),1) &amp; ")"</f>
        <v>25  (25)</v>
      </c>
      <c r="H50" s="414" t="str">
        <f>Rounddown(Round(Round((H$34+H$35*($A50-1))*(1+(EnemyDamageSlider-1)+(EnemyDMGDanger-1)+(EnemyJackDMG-1)),0)*IF($A50&gt;20,(1+Max(0,((($A50-20)*(($A50-20)+1))/2)/100)*(2+Max(0,($A50-35)*0.2))),1),0)*IF(EnemyBuffed=TRUE,1.25,1),0) &amp; "  (" &amp; MAX(ROUND(Rounddown(Round(Round((H$34+H$35*($A50-1))*(1+(EnemyDamageSlider-1)+(EnemyDMGDanger-1)+(EnemyJackDMG-1)),0)*IF($A50&gt;20,(1+Max(0,((($A50-20)*(($A50-20)+1))/2)/100)*(2+Max(0,($A50-35)*0.2))),1),0)*IF(EnemyBuffed=TRUE,1.25,1),0)*EnemyDMGTaken,0),1) &amp; ")"</f>
        <v>19  (19)</v>
      </c>
      <c r="I50" s="414" t="str">
        <f>Rounddown(Round(Round((I$34+I$35*($A50-1))*(1+(EnemyDamageSlider-1)+(EnemyDMGDanger-1)+(EnemyJackDMG-1)),0)*IF($A50&gt;20,(1+Max(0,((($A50-20)*(($A50-20)+1))/2)/100)*(2+Max(0,($A50-35)*0.2))),1),0)*IF(EnemyBuffed=TRUE,1.25,1),0) &amp; "  (" &amp; MAX(ROUND(Rounddown(Round(Round((I$34+I$35*($A50-1))*(1+(EnemyDamageSlider-1)+(EnemyDMGDanger-1)+(EnemyJackDMG-1)),0)*IF($A50&gt;20,(1+Max(0,((($A50-20)*(($A50-20)+1))/2)/100)*(2+Max(0,($A50-35)*0.2))),1),0)*IF(EnemyBuffed=TRUE,1.25,1),0)*EnemyDMGTaken,0),1) &amp; ")"</f>
        <v>13  (13)</v>
      </c>
      <c r="J50" s="414" t="str">
        <f>Rounddown(Round(Round((J$34+J$35*($A50-1))*(1+(EnemyDamageSlider-1)+(EnemyDMGDanger-1)+(EnemyJackDMG-1)),0)*IF($A50&gt;20,(1+Max(0,((($A50-20)*(($A50-20)+1))/2)/100)*(2+Max(0,($A50-35)*0.2))),1),0)*IF(EnemyBuffed=TRUE,1.25,1),0) &amp; "  (" &amp; MAX(ROUND(Rounddown(Round(Round((J$34+J$35*($A50-1))*(1+(EnemyDamageSlider-1)+(EnemyDMGDanger-1)+(EnemyJackDMG-1)),0)*IF($A50&gt;20,(1+Max(0,((($A50-20)*(($A50-20)+1))/2)/100)*(2+Max(0,($A50-35)*0.2))),1),0)*IF(EnemyBuffed=TRUE,1.25,1),0)*EnemyDMGTaken,0),1) &amp; ")"</f>
        <v>18  (18)</v>
      </c>
      <c r="K50" s="414" t="str">
        <f>Rounddown(Round(Round((K$34+K$35*($A50-1))*(1+(EnemyDamageSlider-1)+(EnemyDMGDanger-1)+(EnemyJackDMG-1)),0)*IF($A50&gt;20,(1+Max(0,((($A50-20)*(($A50-20)+1))/2)/100)*(2+Max(0,($A50-35)*0.2))),1),0)*IF(EnemyBuffed=TRUE,1.25,1),0) &amp; "  (" &amp; MAX(ROUND(Rounddown(Round(Round((K$34+K$35*($A50-1))*(1+(EnemyDamageSlider-1)+(EnemyDMGDanger-1)+(EnemyJackDMG-1)),0)*IF($A50&gt;20,(1+Max(0,((($A50-20)*(($A50-20)+1))/2)/100)*(2+Max(0,($A50-35)*0.2))),1),0)*IF(EnemyBuffed=TRUE,1.25,1),0)*EnemyDMGTaken,0),1) &amp; ")"</f>
        <v>18  (18)</v>
      </c>
      <c r="L50" s="414" t="str">
        <f>Rounddown(Round(Round((L$34+L$35*($A50-1))*(1+(EnemyDamageSlider-1)+(EnemyDMGDanger-1)+(EnemyJackDMG-1)),0)*IF($A50&gt;20,(1+Max(0,((($A50-20)*(($A50-20)+1))/2)/100)*(2+Max(0,($A50-35)*0.2))),1),0)*IF(EnemyBuffed=TRUE,1.25,1),0) &amp; "  (" &amp; MAX(ROUND(Rounddown(Round(Round((L$34+L$35*($A50-1))*(1+(EnemyDamageSlider-1)+(EnemyDMGDanger-1)+(EnemyJackDMG-1)),0)*IF($A50&gt;20,(1+Max(0,((($A50-20)*(($A50-20)+1))/2)/100)*(2+Max(0,($A50-35)*0.2))),1),0)*IF(EnemyBuffed=TRUE,1.25,1),0)*EnemyDMGTaken,0),1) &amp; ")"</f>
        <v>18  (18)</v>
      </c>
      <c r="M50" s="414" t="str">
        <f>Rounddown(Round(Round((M$34+M$35*($A50-1))*(1+(EnemyDamageSlider-1)+(EnemyDMGDanger-1)+(EnemyJackDMG-1)),0)*IF($A50&gt;20,(1+Max(0,((($A50-20)*(($A50-20)+1))/2)/100)*(2+Max(0,($A50-35)*0.2))),1),0)*IF(EnemyBuffed=TRUE,1.25,1),0) &amp; "  (" &amp; MAX(ROUND(Rounddown(Round(Round((M$34+M$35*($A50-1))*(1+(EnemyDamageSlider-1)+(EnemyDMGDanger-1)+(EnemyJackDMG-1)),0)*IF($A50&gt;20,(1+Max(0,((($A50-20)*(($A50-20)+1))/2)/100)*(2+Max(0,($A50-35)*0.2))),1),0)*IF(EnemyBuffed=TRUE,1.25,1),0)*EnemyDMGTaken,0),1) &amp; ")"</f>
        <v>21  (21)</v>
      </c>
      <c r="N50" s="414" t="str">
        <f>Rounddown(Round(Round((N$34+N$35*($A50-1))*(1+(EnemyDamageSlider-1)+(EnemyDMGDanger-1)+(EnemyJackDMG-1)),0)*IF($A50&gt;20,(1+Max(0,((($A50-20)*(($A50-20)+1))/2)/100)*(2+Max(0,($A50-35)*0.2))),1),0)*IF(EnemyBuffed=TRUE,1.25,1),0) &amp; "  (" &amp; MAX(ROUND(Rounddown(Round(Round((N$34+N$35*($A50-1))*(1+(EnemyDamageSlider-1)+(EnemyDMGDanger-1)+(EnemyJackDMG-1)),0)*IF($A50&gt;20,(1+Max(0,((($A50-20)*(($A50-20)+1))/2)/100)*(2+Max(0,($A50-35)*0.2))),1),0)*IF(EnemyBuffed=TRUE,1.25,1),0)*EnemyDMGTaken,0),1) &amp; ")"</f>
        <v>21  (21)</v>
      </c>
      <c r="O50" s="414" t="str">
        <f>Rounddown(Round(Round((O$34+O$35*($A50-1))*(1+(EnemyDamageSlider-1)+(EnemyDMGDanger-1)+(EnemyJackDMG-1)),0)*IF($A50&gt;20,(1+Max(0,((($A50-20)*(($A50-20)+1))/2)/100)*(2+Max(0,($A50-35)*0.2))),1),0)*IF(EnemyBuffed=TRUE,1.25,1),0) &amp; "  (" &amp; MAX(ROUND(Rounddown(Round(Round((O$34+O$35*($A50-1))*(1+(EnemyDamageSlider-1)+(EnemyDMGDanger-1)+(EnemyJackDMG-1)),0)*IF($A50&gt;20,(1+Max(0,((($A50-20)*(($A50-20)+1))/2)/100)*(2+Max(0,($A50-35)*0.2))),1),0)*IF(EnemyBuffed=TRUE,1.25,1),0)*EnemyDMGTaken,0),1) &amp; ")"</f>
        <v>18  (18)</v>
      </c>
      <c r="P50" s="414" t="str">
        <f>Rounddown(Round(Round((P$34+P$35*($A50-1))*(1+(EnemyDamageSlider-1)+(EnemyDMGDanger-1)+(EnemyJackDMG-1)),0)*IF($A50&gt;20,(1+Max(0,((($A50-20)*(($A50-20)+1))/2)/100)*(2+Max(0,($A50-35)*0.2))),1),0)*IF(EnemyBuffed=TRUE,1.25,1),0) &amp; "  (" &amp; MAX(ROUND(Rounddown(Round(Round((P$34+P$35*($A50-1))*(1+(EnemyDamageSlider-1)+(EnemyDMGDanger-1)+(EnemyJackDMG-1)),0)*IF($A50&gt;20,(1+Max(0,((($A50-20)*(($A50-20)+1))/2)/100)*(2+Max(0,($A50-35)*0.2))),1),0)*IF(EnemyBuffed=TRUE,1.25,1),0)*EnemyDMGTaken,0),1) &amp; ")"</f>
        <v>21  (21)</v>
      </c>
      <c r="Q50" s="414" t="str">
        <f>Rounddown(Round(Round((Q$34+Q$35*($A50-1))*(1+(EnemyDamageSlider-1)+(EnemyDMGDanger-1)+(EnemyJackDMG-1)),0)*IF($A50&gt;20,(1+Max(0,((($A50-20)*(($A50-20)+1))/2)/100)*(2+Max(0,($A50-35)*0.2))),1),0)*IF(EnemyBuffed=TRUE,1.25,1),0) &amp; "  (" &amp; MAX(ROUND(Rounddown(Round(Round((Q$34+Q$35*($A50-1))*(1+(EnemyDamageSlider-1)+(EnemyDMGDanger-1)+(EnemyJackDMG-1)),0)*IF($A50&gt;20,(1+Max(0,((($A50-20)*(($A50-20)+1))/2)/100)*(2+Max(0,($A50-35)*0.2))),1),0)*IF(EnemyBuffed=TRUE,1.25,1),0)*EnemyDMGTaken,0),1) &amp; ")"</f>
        <v>24  (24)</v>
      </c>
      <c r="R50" s="414" t="str">
        <f>Rounddown(Round(Round((R$34+R$35*($A50-1))*(1+(EnemyDamageSlider-1)+(EnemyDMGDanger-1)+(EnemyJackDMG-1)),0)*IF($A50&gt;20,(1+Max(0,((($A50-20)*(($A50-20)+1))/2)/100)*(2+Max(0,($A50-35)*0.2))),1),0)*IF(EnemyBuffed=TRUE,1.25,1),0) &amp; "  (" &amp; MAX(ROUND(Rounddown(Round(Round((R$34+R$35*($A50-1))*(1+(EnemyDamageSlider-1)+(EnemyDMGDanger-1)+(EnemyJackDMG-1)),0)*IF($A50&gt;20,(1+Max(0,((($A50-20)*(($A50-20)+1))/2)/100)*(2+Max(0,($A50-35)*0.2))),1),0)*IF(EnemyBuffed=TRUE,1.25,1),0)*EnemyDMGTaken,0),1) &amp; ")"</f>
        <v>23  (23)</v>
      </c>
      <c r="S50" s="414" t="str">
        <f>Rounddown(Round(Round((S$34+S$35*($A50-1))*(1+(EnemyDamageSlider-1)+(EnemyDMGDanger-1)+(EnemyJackDMG-1)),0)*IF($A50&gt;20,(1+Max(0,((($A50-20)*(($A50-20)+1))/2)/100)*(2+Max(0,($A50-35)*0.2))),1),0)*IF(EnemyBuffed=TRUE,1.25,1),0) &amp; "  (" &amp; MAX(ROUND(Rounddown(Round(Round((S$34+S$35*($A50-1))*(1+(EnemyDamageSlider-1)+(EnemyDMGDanger-1)+(EnemyJackDMG-1)),0)*IF($A50&gt;20,(1+Max(0,((($A50-20)*(($A50-20)+1))/2)/100)*(2+Max(0,($A50-35)*0.2))),1),0)*IF(EnemyBuffed=TRUE,1.25,1),0)*EnemyDMGTaken,0),1) &amp; ")"</f>
        <v>13  (13)</v>
      </c>
      <c r="T50" s="414" t="str">
        <f>Rounddown(Round(Round((T$34+T$35*($A50-1))*(1+(EnemyDamageSlider-1)+(EnemyDMGDanger-1)+(EnemyJackDMG-1)),0)*IF($A50&gt;20,(1+Max(0,((($A50-20)*(($A50-20)+1))/2)/100)*(2+Max(0,($A50-35)*0.2))),1),0)*IF(EnemyBuffed=TRUE,1.25,1),0) &amp; "  (" &amp; MAX(ROUND(Rounddown(Round(Round((T$34+T$35*($A50-1))*(1+(EnemyDamageSlider-1)+(EnemyDMGDanger-1)+(EnemyJackDMG-1)),0)*IF($A50&gt;20,(1+Max(0,((($A50-20)*(($A50-20)+1))/2)/100)*(2+Max(0,($A50-35)*0.2))),1),0)*IF(EnemyBuffed=TRUE,1.25,1),0)*EnemyDMGTaken,0),1) &amp; ")"</f>
        <v>24  (24)</v>
      </c>
      <c r="U50" s="414" t="str">
        <f>Rounddown(Round(Round((U$34+U$35*($A50-1))*(1+(EnemyDamageSlider-1)+(EnemyDMGDanger-1)+(EnemyJackDMG-1)),0)*IF($A50&gt;20,(1+Max(0,((($A50-20)*(($A50-20)+1))/2)/100)*(2+Max(0,($A50-35)*0.2))),1),0)*IF(EnemyBuffed=TRUE,1.25,1),0) &amp; "  (" &amp; MAX(ROUND(Rounddown(Round(Round((U$34+U$35*($A50-1))*(1+(EnemyDamageSlider-1)+(EnemyDMGDanger-1)+(EnemyJackDMG-1)),0)*IF($A50&gt;20,(1+Max(0,((($A50-20)*(($A50-20)+1))/2)/100)*(2+Max(0,($A50-35)*0.2))),1),0)*IF(EnemyBuffed=TRUE,1.25,1),0)*EnemyDMGTaken,0),1) &amp; ")"</f>
        <v>21  (21)</v>
      </c>
      <c r="V50" s="414" t="str">
        <f>Rounddown(Round(Round((V$34+V$35*($A50-1))*(1+(EnemyDamageSlider-1)+(EnemyDMGDanger-1)+(EnemyJackDMG-1)),0)*IF($A50&gt;20,(1+Max(0,((($A50-20)*(($A50-20)+1))/2)/100)*(2+Max(0,($A50-35)*0.2))),1),0)*IF(EnemyBuffed=TRUE,1.25,1),0) &amp; "  (" &amp; MAX(ROUND(Rounddown(Round(Round((V$34+V$35*($A50-1))*(1+(EnemyDamageSlider-1)+(EnemyDMGDanger-1)+(EnemyJackDMG-1)),0)*IF($A50&gt;20,(1+Max(0,((($A50-20)*(($A50-20)+1))/2)/100)*(2+Max(0,($A50-35)*0.2))),1),0)*IF(EnemyBuffed=TRUE,1.25,1),0)*EnemyDMGTaken,0),1) &amp; ")"</f>
        <v>31  (31)</v>
      </c>
      <c r="W50" s="414" t="str">
        <f>Rounddown(Round(Round((W$34+W$35*($A50-1))*(1+(EnemyDamageSlider-1)+(EnemyDMGDanger-1)+(EnemyJackDMG-1)),0)*IF($A50&gt;20,(1+Max(0,((($A50-20)*(($A50-20)+1))/2)/100)*(2+Max(0,($A50-35)*0.2))),1),0)*IF(EnemyBuffed=TRUE,1.25,1),0) &amp; "  (" &amp; MAX(ROUND(Rounddown(Round(Round((W$34+W$35*($A50-1))*(1+(EnemyDamageSlider-1)+(EnemyDMGDanger-1)+(EnemyJackDMG-1)),0)*IF($A50&gt;20,(1+Max(0,((($A50-20)*(($A50-20)+1))/2)/100)*(2+Max(0,($A50-35)*0.2))),1),0)*IF(EnemyBuffed=TRUE,1.25,1),0)*EnemyDMGTaken,0),1) &amp; ")"</f>
        <v>31  (31)</v>
      </c>
      <c r="X50" s="414" t="str">
        <f>Rounddown(Round(Round((X$34+X$35*($A50-1))*(1+(EnemyDamageSlider-1)+(EnemyDMGDanger-1)+(EnemyJackDMG-1)),0)*IF($A50&gt;20,(1+Max(0,((($A50-20)*(($A50-20)+1))/2)/100)*(2+Max(0,($A50-35)*0.2))),1),0)*IF(EnemyBuffed=TRUE,1.25,1),0) &amp; "  (" &amp; MAX(ROUND(Rounddown(Round(Round((X$34+X$35*($A50-1))*(1+(EnemyDamageSlider-1)+(EnemyDMGDanger-1)+(EnemyJackDMG-1)),0)*IF($A50&gt;20,(1+Max(0,((($A50-20)*(($A50-20)+1))/2)/100)*(2+Max(0,($A50-35)*0.2))),1),0)*IF(EnemyBuffed=TRUE,1.25,1),0)*EnemyDMGTaken,0),1) &amp; ")"</f>
        <v>31  (31)</v>
      </c>
      <c r="Y50" s="414" t="str">
        <f>Rounddown(Round(Round((Y$34+Y$35*($A50-1))*(1+(EnemyDamageSlider-1)+(EnemyDMGDanger-1)+(EnemyJackDMG-1)),0)*IF($A50&gt;20,(1+Max(0,((($A50-20)*(($A50-20)+1))/2)/100)*(2+Max(0,($A50-35)*0.2))),1),0)*IF(EnemyBuffed=TRUE,1.25,1),0) &amp; "  (" &amp; MAX(ROUND(Rounddown(Round(Round((Y$34+Y$35*($A50-1))*(1+(EnemyDamageSlider-1)+(EnemyDMGDanger-1)+(EnemyJackDMG-1)),0)*IF($A50&gt;20,(1+Max(0,((($A50-20)*(($A50-20)+1))/2)/100)*(2+Max(0,($A50-35)*0.2))),1),0)*IF(EnemyBuffed=TRUE,1.25,1),0)*EnemyDMGTaken,0),1) &amp; ")"</f>
        <v>31  (31)</v>
      </c>
      <c r="Z50" s="414" t="str">
        <f>Rounddown(Round(Round((Z$34+Z$35*($A50-1))*(1+(EnemyDamageSlider-1)+(EnemyDMGDanger-1)+(EnemyJackDMG-1)),0)*IF($A50&gt;20,(1+Max(0,((($A50-20)*(($A50-20)+1))/2)/100)*(2+Max(0,($A50-35)*0.2))),1),0)*IF(EnemyBuffed=TRUE,1.25,1),0) &amp; "  (" &amp; MAX(ROUND(Rounddown(Round(Round((Z$34+Z$35*($A50-1))*(1+(EnemyDamageSlider-1)+(EnemyDMGDanger-1)+(EnemyJackDMG-1)),0)*IF($A50&gt;20,(1+Max(0,((($A50-20)*(($A50-20)+1))/2)/100)*(2+Max(0,($A50-35)*0.2))),1),0)*IF(EnemyBuffed=TRUE,1.25,1),0)*EnemyDMGTaken,0),1) &amp; ")"</f>
        <v>31  (31)</v>
      </c>
      <c r="AA50" s="414" t="str">
        <f>Rounddown(Round(Round((AA$34+AA$35*($A50-1))*(1+(EnemyDamageSlider-1)+(EnemyDMGDanger-1)+(EnemyJackDMG-1)),0)*IF($A50&gt;20,(1+Max(0,((($A50-20)*(($A50-20)+1))/2)/100)*(2+Max(0,($A50-35)*0.2))),1),0)*IF(EnemyBuffed=TRUE,1.25,1),0) &amp; "  (" &amp; MAX(ROUND(Rounddown(Round(Round((AA$34+AA$35*($A50-1))*(1+(EnemyDamageSlider-1)+(EnemyDMGDanger-1)+(EnemyJackDMG-1)),0)*IF($A50&gt;20,(1+Max(0,((($A50-20)*(($A50-20)+1))/2)/100)*(2+Max(0,($A50-35)*0.2))),1),0)*IF(EnemyBuffed=TRUE,1.25,1),0)*EnemyDMGTaken,0),1) &amp; ")"</f>
        <v>16  (16)</v>
      </c>
    </row>
    <row r="51">
      <c r="A51" s="150">
        <v>16.0</v>
      </c>
      <c r="B51" s="415">
        <v>0.0</v>
      </c>
      <c r="C51" s="414" t="str">
        <f>Rounddown(Round(Round((C$34+C$35*($A51-1))*(1+(EnemyDamageSlider-1)+(EnemyDMGDanger-1)+(EnemyJackDMG-1)),0)*IF($A51&gt;20,(1+Max(0,((($A51-20)*(($A51-20)+1))/2)/100)*(2+Max(0,($A51-35)*0.2))),1),0)*IF(EnemyBuffed=TRUE,1.25,1),0) &amp; "  (" &amp; MAX(ROUND(Rounddown(Round(Round((C$34+C$35*($A51-1))*(1+(EnemyDamageSlider-1)+(EnemyDMGDanger-1)+(EnemyJackDMG-1)),0)*IF($A51&gt;20,(1+Max(0,((($A51-20)*(($A51-20)+1))/2)/100)*(2+Max(0,($A51-35)*0.2))),1),0)*IF(EnemyBuffed=TRUE,1.25,1),0)*EnemyDMGTaken,0),1) &amp; ")"</f>
        <v>14  (14)</v>
      </c>
      <c r="D51" s="414" t="str">
        <f>Rounddown(Round(Round((D$34+D$35*($A51-1))*(1+(EnemyDamageSlider-1)+(EnemyDMGDanger-1)+(EnemyJackDMG-1)),0)*IF($A51&gt;20,(1+Max(0,((($A51-20)*(($A51-20)+1))/2)/100)*(2+Max(0,($A51-35)*0.2))),1),0)*IF(EnemyBuffed=TRUE,1.25,1),0) &amp; "  (" &amp; MAX(ROUND(Rounddown(Round(Round((D$34+D$35*($A51-1))*(1+(EnemyDamageSlider-1)+(EnemyDMGDanger-1)+(EnemyJackDMG-1)),0)*IF($A51&gt;20,(1+Max(0,((($A51-20)*(($A51-20)+1))/2)/100)*(2+Max(0,($A51-35)*0.2))),1),0)*IF(EnemyBuffed=TRUE,1.25,1),0)*EnemyDMGTaken,0),1) &amp; ")"</f>
        <v>14  (14)</v>
      </c>
      <c r="E51" s="414" t="str">
        <f>Rounddown(Round(Round((E$34+E$35*($A51-1))*(1+(EnemyDamageSlider-1)+(EnemyDMGDanger-1)+(EnemyJackDMG-1)),0)*IF($A51&gt;20,(1+Max(0,((($A51-20)*(($A51-20)+1))/2)/100)*(2+Max(0,($A51-35)*0.2))),1),0)*IF(EnemyBuffed=TRUE,1.25,1),0) &amp; "  (" &amp; MAX(ROUND(Rounddown(Round(Round((E$34+E$35*($A51-1))*(1+(EnemyDamageSlider-1)+(EnemyDMGDanger-1)+(EnemyJackDMG-1)),0)*IF($A51&gt;20,(1+Max(0,((($A51-20)*(($A51-20)+1))/2)/100)*(2+Max(0,($A51-35)*0.2))),1),0)*IF(EnemyBuffed=TRUE,1.25,1),0)*EnemyDMGTaken,0),1) &amp; ")"</f>
        <v>14  (14)</v>
      </c>
      <c r="F51" s="414" t="str">
        <f>Rounddown(Round(Round((F$34+F$35*($A51-1))*(1+(EnemyDamageSlider-1)+(EnemyDMGDanger-1)+(EnemyJackDMG-1)),0)*IF($A51&gt;20,(1+Max(0,((($A51-20)*(($A51-20)+1))/2)/100)*(2+Max(0,($A51-35)*0.2))),1),0)*IF(EnemyBuffed=TRUE,1.25,1),0) &amp; "  (" &amp; MAX(ROUND(Rounddown(Round(Round((F$34+F$35*($A51-1))*(1+(EnemyDamageSlider-1)+(EnemyDMGDanger-1)+(EnemyJackDMG-1)),0)*IF($A51&gt;20,(1+Max(0,((($A51-20)*(($A51-20)+1))/2)/100)*(2+Max(0,($A51-35)*0.2))),1),0)*IF(EnemyBuffed=TRUE,1.25,1),0)*EnemyDMGTaken,0),1) &amp; ")"</f>
        <v>19  (19)</v>
      </c>
      <c r="G51" s="414" t="str">
        <f>Rounddown(Round(Round((G$34+G$35*($A51-1))*(1+(EnemyDamageSlider-1)+(EnemyDMGDanger-1)+(EnemyJackDMG-1)),0)*IF($A51&gt;20,(1+Max(0,((($A51-20)*(($A51-20)+1))/2)/100)*(2+Max(0,($A51-35)*0.2))),1),0)*IF(EnemyBuffed=TRUE,1.25,1),0) &amp; "  (" &amp; MAX(ROUND(Rounddown(Round(Round((G$34+G$35*($A51-1))*(1+(EnemyDamageSlider-1)+(EnemyDMGDanger-1)+(EnemyJackDMG-1)),0)*IF($A51&gt;20,(1+Max(0,((($A51-20)*(($A51-20)+1))/2)/100)*(2+Max(0,($A51-35)*0.2))),1),0)*IF(EnemyBuffed=TRUE,1.25,1),0)*EnemyDMGTaken,0),1) &amp; ")"</f>
        <v>27  (27)</v>
      </c>
      <c r="H51" s="414" t="str">
        <f>Rounddown(Round(Round((H$34+H$35*($A51-1))*(1+(EnemyDamageSlider-1)+(EnemyDMGDanger-1)+(EnemyJackDMG-1)),0)*IF($A51&gt;20,(1+Max(0,((($A51-20)*(($A51-20)+1))/2)/100)*(2+Max(0,($A51-35)*0.2))),1),0)*IF(EnemyBuffed=TRUE,1.25,1),0) &amp; "  (" &amp; MAX(ROUND(Rounddown(Round(Round((H$34+H$35*($A51-1))*(1+(EnemyDamageSlider-1)+(EnemyDMGDanger-1)+(EnemyJackDMG-1)),0)*IF($A51&gt;20,(1+Max(0,((($A51-20)*(($A51-20)+1))/2)/100)*(2+Max(0,($A51-35)*0.2))),1),0)*IF(EnemyBuffed=TRUE,1.25,1),0)*EnemyDMGTaken,0),1) &amp; ")"</f>
        <v>21  (21)</v>
      </c>
      <c r="I51" s="414" t="str">
        <f>Rounddown(Round(Round((I$34+I$35*($A51-1))*(1+(EnemyDamageSlider-1)+(EnemyDMGDanger-1)+(EnemyJackDMG-1)),0)*IF($A51&gt;20,(1+Max(0,((($A51-20)*(($A51-20)+1))/2)/100)*(2+Max(0,($A51-35)*0.2))),1),0)*IF(EnemyBuffed=TRUE,1.25,1),0) &amp; "  (" &amp; MAX(ROUND(Rounddown(Round(Round((I$34+I$35*($A51-1))*(1+(EnemyDamageSlider-1)+(EnemyDMGDanger-1)+(EnemyJackDMG-1)),0)*IF($A51&gt;20,(1+Max(0,((($A51-20)*(($A51-20)+1))/2)/100)*(2+Max(0,($A51-35)*0.2))),1),0)*IF(EnemyBuffed=TRUE,1.25,1),0)*EnemyDMGTaken,0),1) &amp; ")"</f>
        <v>14  (14)</v>
      </c>
      <c r="J51" s="414" t="str">
        <f>Rounddown(Round(Round((J$34+J$35*($A51-1))*(1+(EnemyDamageSlider-1)+(EnemyDMGDanger-1)+(EnemyJackDMG-1)),0)*IF($A51&gt;20,(1+Max(0,((($A51-20)*(($A51-20)+1))/2)/100)*(2+Max(0,($A51-35)*0.2))),1),0)*IF(EnemyBuffed=TRUE,1.25,1),0) &amp; "  (" &amp; MAX(ROUND(Rounddown(Round(Round((J$34+J$35*($A51-1))*(1+(EnemyDamageSlider-1)+(EnemyDMGDanger-1)+(EnemyJackDMG-1)),0)*IF($A51&gt;20,(1+Max(0,((($A51-20)*(($A51-20)+1))/2)/100)*(2+Max(0,($A51-35)*0.2))),1),0)*IF(EnemyBuffed=TRUE,1.25,1),0)*EnemyDMGTaken,0),1) &amp; ")"</f>
        <v>19  (19)</v>
      </c>
      <c r="K51" s="414" t="str">
        <f>Rounddown(Round(Round((K$34+K$35*($A51-1))*(1+(EnemyDamageSlider-1)+(EnemyDMGDanger-1)+(EnemyJackDMG-1)),0)*IF($A51&gt;20,(1+Max(0,((($A51-20)*(($A51-20)+1))/2)/100)*(2+Max(0,($A51-35)*0.2))),1),0)*IF(EnemyBuffed=TRUE,1.25,1),0) &amp; "  (" &amp; MAX(ROUND(Rounddown(Round(Round((K$34+K$35*($A51-1))*(1+(EnemyDamageSlider-1)+(EnemyDMGDanger-1)+(EnemyJackDMG-1)),0)*IF($A51&gt;20,(1+Max(0,((($A51-20)*(($A51-20)+1))/2)/100)*(2+Max(0,($A51-35)*0.2))),1),0)*IF(EnemyBuffed=TRUE,1.25,1),0)*EnemyDMGTaken,0),1) &amp; ")"</f>
        <v>19  (19)</v>
      </c>
      <c r="L51" s="414" t="str">
        <f>Rounddown(Round(Round((L$34+L$35*($A51-1))*(1+(EnemyDamageSlider-1)+(EnemyDMGDanger-1)+(EnemyJackDMG-1)),0)*IF($A51&gt;20,(1+Max(0,((($A51-20)*(($A51-20)+1))/2)/100)*(2+Max(0,($A51-35)*0.2))),1),0)*IF(EnemyBuffed=TRUE,1.25,1),0) &amp; "  (" &amp; MAX(ROUND(Rounddown(Round(Round((L$34+L$35*($A51-1))*(1+(EnemyDamageSlider-1)+(EnemyDMGDanger-1)+(EnemyJackDMG-1)),0)*IF($A51&gt;20,(1+Max(0,((($A51-20)*(($A51-20)+1))/2)/100)*(2+Max(0,($A51-35)*0.2))),1),0)*IF(EnemyBuffed=TRUE,1.25,1),0)*EnemyDMGTaken,0),1) &amp; ")"</f>
        <v>19  (19)</v>
      </c>
      <c r="M51" s="414" t="str">
        <f>Rounddown(Round(Round((M$34+M$35*($A51-1))*(1+(EnemyDamageSlider-1)+(EnemyDMGDanger-1)+(EnemyJackDMG-1)),0)*IF($A51&gt;20,(1+Max(0,((($A51-20)*(($A51-20)+1))/2)/100)*(2+Max(0,($A51-35)*0.2))),1),0)*IF(EnemyBuffed=TRUE,1.25,1),0) &amp; "  (" &amp; MAX(ROUND(Rounddown(Round(Round((M$34+M$35*($A51-1))*(1+(EnemyDamageSlider-1)+(EnemyDMGDanger-1)+(EnemyJackDMG-1)),0)*IF($A51&gt;20,(1+Max(0,((($A51-20)*(($A51-20)+1))/2)/100)*(2+Max(0,($A51-35)*0.2))),1),0)*IF(EnemyBuffed=TRUE,1.25,1),0)*EnemyDMGTaken,0),1) &amp; ")"</f>
        <v>22  (22)</v>
      </c>
      <c r="N51" s="414" t="str">
        <f>Rounddown(Round(Round((N$34+N$35*($A51-1))*(1+(EnemyDamageSlider-1)+(EnemyDMGDanger-1)+(EnemyJackDMG-1)),0)*IF($A51&gt;20,(1+Max(0,((($A51-20)*(($A51-20)+1))/2)/100)*(2+Max(0,($A51-35)*0.2))),1),0)*IF(EnemyBuffed=TRUE,1.25,1),0) &amp; "  (" &amp; MAX(ROUND(Rounddown(Round(Round((N$34+N$35*($A51-1))*(1+(EnemyDamageSlider-1)+(EnemyDMGDanger-1)+(EnemyJackDMG-1)),0)*IF($A51&gt;20,(1+Max(0,((($A51-20)*(($A51-20)+1))/2)/100)*(2+Max(0,($A51-35)*0.2))),1),0)*IF(EnemyBuffed=TRUE,1.25,1),0)*EnemyDMGTaken,0),1) &amp; ")"</f>
        <v>22  (22)</v>
      </c>
      <c r="O51" s="414" t="str">
        <f>Rounddown(Round(Round((O$34+O$35*($A51-1))*(1+(EnemyDamageSlider-1)+(EnemyDMGDanger-1)+(EnemyJackDMG-1)),0)*IF($A51&gt;20,(1+Max(0,((($A51-20)*(($A51-20)+1))/2)/100)*(2+Max(0,($A51-35)*0.2))),1),0)*IF(EnemyBuffed=TRUE,1.25,1),0) &amp; "  (" &amp; MAX(ROUND(Rounddown(Round(Round((O$34+O$35*($A51-1))*(1+(EnemyDamageSlider-1)+(EnemyDMGDanger-1)+(EnemyJackDMG-1)),0)*IF($A51&gt;20,(1+Max(0,((($A51-20)*(($A51-20)+1))/2)/100)*(2+Max(0,($A51-35)*0.2))),1),0)*IF(EnemyBuffed=TRUE,1.25,1),0)*EnemyDMGTaken,0),1) &amp; ")"</f>
        <v>19  (19)</v>
      </c>
      <c r="P51" s="414" t="str">
        <f>Rounddown(Round(Round((P$34+P$35*($A51-1))*(1+(EnemyDamageSlider-1)+(EnemyDMGDanger-1)+(EnemyJackDMG-1)),0)*IF($A51&gt;20,(1+Max(0,((($A51-20)*(($A51-20)+1))/2)/100)*(2+Max(0,($A51-35)*0.2))),1),0)*IF(EnemyBuffed=TRUE,1.25,1),0) &amp; "  (" &amp; MAX(ROUND(Rounddown(Round(Round((P$34+P$35*($A51-1))*(1+(EnemyDamageSlider-1)+(EnemyDMGDanger-1)+(EnemyJackDMG-1)),0)*IF($A51&gt;20,(1+Max(0,((($A51-20)*(($A51-20)+1))/2)/100)*(2+Max(0,($A51-35)*0.2))),1),0)*IF(EnemyBuffed=TRUE,1.25,1),0)*EnemyDMGTaken,0),1) &amp; ")"</f>
        <v>22  (22)</v>
      </c>
      <c r="Q51" s="414" t="str">
        <f>Rounddown(Round(Round((Q$34+Q$35*($A51-1))*(1+(EnemyDamageSlider-1)+(EnemyDMGDanger-1)+(EnemyJackDMG-1)),0)*IF($A51&gt;20,(1+Max(0,((($A51-20)*(($A51-20)+1))/2)/100)*(2+Max(0,($A51-35)*0.2))),1),0)*IF(EnemyBuffed=TRUE,1.25,1),0) &amp; "  (" &amp; MAX(ROUND(Rounddown(Round(Round((Q$34+Q$35*($A51-1))*(1+(EnemyDamageSlider-1)+(EnemyDMGDanger-1)+(EnemyJackDMG-1)),0)*IF($A51&gt;20,(1+Max(0,((($A51-20)*(($A51-20)+1))/2)/100)*(2+Max(0,($A51-35)*0.2))),1),0)*IF(EnemyBuffed=TRUE,1.25,1),0)*EnemyDMGTaken,0),1) &amp; ")"</f>
        <v>26  (26)</v>
      </c>
      <c r="R51" s="414" t="str">
        <f>Rounddown(Round(Round((R$34+R$35*($A51-1))*(1+(EnemyDamageSlider-1)+(EnemyDMGDanger-1)+(EnemyJackDMG-1)),0)*IF($A51&gt;20,(1+Max(0,((($A51-20)*(($A51-20)+1))/2)/100)*(2+Max(0,($A51-35)*0.2))),1),0)*IF(EnemyBuffed=TRUE,1.25,1),0) &amp; "  (" &amp; MAX(ROUND(Rounddown(Round(Round((R$34+R$35*($A51-1))*(1+(EnemyDamageSlider-1)+(EnemyDMGDanger-1)+(EnemyJackDMG-1)),0)*IF($A51&gt;20,(1+Max(0,((($A51-20)*(($A51-20)+1))/2)/100)*(2+Max(0,($A51-35)*0.2))),1),0)*IF(EnemyBuffed=TRUE,1.25,1),0)*EnemyDMGTaken,0),1) &amp; ")"</f>
        <v>25  (25)</v>
      </c>
      <c r="S51" s="414" t="str">
        <f>Rounddown(Round(Round((S$34+S$35*($A51-1))*(1+(EnemyDamageSlider-1)+(EnemyDMGDanger-1)+(EnemyJackDMG-1)),0)*IF($A51&gt;20,(1+Max(0,((($A51-20)*(($A51-20)+1))/2)/100)*(2+Max(0,($A51-35)*0.2))),1),0)*IF(EnemyBuffed=TRUE,1.25,1),0) &amp; "  (" &amp; MAX(ROUND(Rounddown(Round(Round((S$34+S$35*($A51-1))*(1+(EnemyDamageSlider-1)+(EnemyDMGDanger-1)+(EnemyJackDMG-1)),0)*IF($A51&gt;20,(1+Max(0,((($A51-20)*(($A51-20)+1))/2)/100)*(2+Max(0,($A51-35)*0.2))),1),0)*IF(EnemyBuffed=TRUE,1.25,1),0)*EnemyDMGTaken,0),1) &amp; ")"</f>
        <v>14  (14)</v>
      </c>
      <c r="T51" s="414" t="str">
        <f>Rounddown(Round(Round((T$34+T$35*($A51-1))*(1+(EnemyDamageSlider-1)+(EnemyDMGDanger-1)+(EnemyJackDMG-1)),0)*IF($A51&gt;20,(1+Max(0,((($A51-20)*(($A51-20)+1))/2)/100)*(2+Max(0,($A51-35)*0.2))),1),0)*IF(EnemyBuffed=TRUE,1.25,1),0) &amp; "  (" &amp; MAX(ROUND(Rounddown(Round(Round((T$34+T$35*($A51-1))*(1+(EnemyDamageSlider-1)+(EnemyDMGDanger-1)+(EnemyJackDMG-1)),0)*IF($A51&gt;20,(1+Max(0,((($A51-20)*(($A51-20)+1))/2)/100)*(2+Max(0,($A51-35)*0.2))),1),0)*IF(EnemyBuffed=TRUE,1.25,1),0)*EnemyDMGTaken,0),1) &amp; ")"</f>
        <v>26  (26)</v>
      </c>
      <c r="U51" s="414" t="str">
        <f>Rounddown(Round(Round((U$34+U$35*($A51-1))*(1+(EnemyDamageSlider-1)+(EnemyDMGDanger-1)+(EnemyJackDMG-1)),0)*IF($A51&gt;20,(1+Max(0,((($A51-20)*(($A51-20)+1))/2)/100)*(2+Max(0,($A51-35)*0.2))),1),0)*IF(EnemyBuffed=TRUE,1.25,1),0) &amp; "  (" &amp; MAX(ROUND(Rounddown(Round(Round((U$34+U$35*($A51-1))*(1+(EnemyDamageSlider-1)+(EnemyDMGDanger-1)+(EnemyJackDMG-1)),0)*IF($A51&gt;20,(1+Max(0,((($A51-20)*(($A51-20)+1))/2)/100)*(2+Max(0,($A51-35)*0.2))),1),0)*IF(EnemyBuffed=TRUE,1.25,1),0)*EnemyDMGTaken,0),1) &amp; ")"</f>
        <v>22  (22)</v>
      </c>
      <c r="V51" s="414" t="str">
        <f>Rounddown(Round(Round((V$34+V$35*($A51-1))*(1+(EnemyDamageSlider-1)+(EnemyDMGDanger-1)+(EnemyJackDMG-1)),0)*IF($A51&gt;20,(1+Max(0,((($A51-20)*(($A51-20)+1))/2)/100)*(2+Max(0,($A51-35)*0.2))),1),0)*IF(EnemyBuffed=TRUE,1.25,1),0) &amp; "  (" &amp; MAX(ROUND(Rounddown(Round(Round((V$34+V$35*($A51-1))*(1+(EnemyDamageSlider-1)+(EnemyDMGDanger-1)+(EnemyJackDMG-1)),0)*IF($A51&gt;20,(1+Max(0,((($A51-20)*(($A51-20)+1))/2)/100)*(2+Max(0,($A51-35)*0.2))),1),0)*IF(EnemyBuffed=TRUE,1.25,1),0)*EnemyDMGTaken,0),1) &amp; ")"</f>
        <v>33  (33)</v>
      </c>
      <c r="W51" s="414" t="str">
        <f>Rounddown(Round(Round((W$34+W$35*($A51-1))*(1+(EnemyDamageSlider-1)+(EnemyDMGDanger-1)+(EnemyJackDMG-1)),0)*IF($A51&gt;20,(1+Max(0,((($A51-20)*(($A51-20)+1))/2)/100)*(2+Max(0,($A51-35)*0.2))),1),0)*IF(EnemyBuffed=TRUE,1.25,1),0) &amp; "  (" &amp; MAX(ROUND(Rounddown(Round(Round((W$34+W$35*($A51-1))*(1+(EnemyDamageSlider-1)+(EnemyDMGDanger-1)+(EnemyJackDMG-1)),0)*IF($A51&gt;20,(1+Max(0,((($A51-20)*(($A51-20)+1))/2)/100)*(2+Max(0,($A51-35)*0.2))),1),0)*IF(EnemyBuffed=TRUE,1.25,1),0)*EnemyDMGTaken,0),1) &amp; ")"</f>
        <v>33  (33)</v>
      </c>
      <c r="X51" s="414" t="str">
        <f>Rounddown(Round(Round((X$34+X$35*($A51-1))*(1+(EnemyDamageSlider-1)+(EnemyDMGDanger-1)+(EnemyJackDMG-1)),0)*IF($A51&gt;20,(1+Max(0,((($A51-20)*(($A51-20)+1))/2)/100)*(2+Max(0,($A51-35)*0.2))),1),0)*IF(EnemyBuffed=TRUE,1.25,1),0) &amp; "  (" &amp; MAX(ROUND(Rounddown(Round(Round((X$34+X$35*($A51-1))*(1+(EnemyDamageSlider-1)+(EnemyDMGDanger-1)+(EnemyJackDMG-1)),0)*IF($A51&gt;20,(1+Max(0,((($A51-20)*(($A51-20)+1))/2)/100)*(2+Max(0,($A51-35)*0.2))),1),0)*IF(EnemyBuffed=TRUE,1.25,1),0)*EnemyDMGTaken,0),1) &amp; ")"</f>
        <v>33  (33)</v>
      </c>
      <c r="Y51" s="414" t="str">
        <f>Rounddown(Round(Round((Y$34+Y$35*($A51-1))*(1+(EnemyDamageSlider-1)+(EnemyDMGDanger-1)+(EnemyJackDMG-1)),0)*IF($A51&gt;20,(1+Max(0,((($A51-20)*(($A51-20)+1))/2)/100)*(2+Max(0,($A51-35)*0.2))),1),0)*IF(EnemyBuffed=TRUE,1.25,1),0) &amp; "  (" &amp; MAX(ROUND(Rounddown(Round(Round((Y$34+Y$35*($A51-1))*(1+(EnemyDamageSlider-1)+(EnemyDMGDanger-1)+(EnemyJackDMG-1)),0)*IF($A51&gt;20,(1+Max(0,((($A51-20)*(($A51-20)+1))/2)/100)*(2+Max(0,($A51-35)*0.2))),1),0)*IF(EnemyBuffed=TRUE,1.25,1),0)*EnemyDMGTaken,0),1) &amp; ")"</f>
        <v>33  (33)</v>
      </c>
      <c r="Z51" s="414" t="str">
        <f>Rounddown(Round(Round((Z$34+Z$35*($A51-1))*(1+(EnemyDamageSlider-1)+(EnemyDMGDanger-1)+(EnemyJackDMG-1)),0)*IF($A51&gt;20,(1+Max(0,((($A51-20)*(($A51-20)+1))/2)/100)*(2+Max(0,($A51-35)*0.2))),1),0)*IF(EnemyBuffed=TRUE,1.25,1),0) &amp; "  (" &amp; MAX(ROUND(Rounddown(Round(Round((Z$34+Z$35*($A51-1))*(1+(EnemyDamageSlider-1)+(EnemyDMGDanger-1)+(EnemyJackDMG-1)),0)*IF($A51&gt;20,(1+Max(0,((($A51-20)*(($A51-20)+1))/2)/100)*(2+Max(0,($A51-35)*0.2))),1),0)*IF(EnemyBuffed=TRUE,1.25,1),0)*EnemyDMGTaken,0),1) &amp; ")"</f>
        <v>33  (33)</v>
      </c>
      <c r="AA51" s="414" t="str">
        <f>Rounddown(Round(Round((AA$34+AA$35*($A51-1))*(1+(EnemyDamageSlider-1)+(EnemyDMGDanger-1)+(EnemyJackDMG-1)),0)*IF($A51&gt;20,(1+Max(0,((($A51-20)*(($A51-20)+1))/2)/100)*(2+Max(0,($A51-35)*0.2))),1),0)*IF(EnemyBuffed=TRUE,1.25,1),0) &amp; "  (" &amp; MAX(ROUND(Rounddown(Round(Round((AA$34+AA$35*($A51-1))*(1+(EnemyDamageSlider-1)+(EnemyDMGDanger-1)+(EnemyJackDMG-1)),0)*IF($A51&gt;20,(1+Max(0,((($A51-20)*(($A51-20)+1))/2)/100)*(2+Max(0,($A51-35)*0.2))),1),0)*IF(EnemyBuffed=TRUE,1.25,1),0)*EnemyDMGTaken,0),1) &amp; ")"</f>
        <v>17  (17)</v>
      </c>
    </row>
    <row r="52">
      <c r="A52" s="150">
        <v>17.0</v>
      </c>
      <c r="B52" s="415">
        <v>0.0</v>
      </c>
      <c r="C52" s="414" t="str">
        <f>Rounddown(Round(Round((C$34+C$35*($A52-1))*(1+(EnemyDamageSlider-1)+(EnemyDMGDanger-1)+(EnemyJackDMG-1)),0)*IF($A52&gt;20,(1+Max(0,((($A52-20)*(($A52-20)+1))/2)/100)*(2+Max(0,($A52-35)*0.2))),1),0)*IF(EnemyBuffed=TRUE,1.25,1),0) &amp; "  (" &amp; MAX(ROUND(Rounddown(Round(Round((C$34+C$35*($A52-1))*(1+(EnemyDamageSlider-1)+(EnemyDMGDanger-1)+(EnemyJackDMG-1)),0)*IF($A52&gt;20,(1+Max(0,((($A52-20)*(($A52-20)+1))/2)/100)*(2+Max(0,($A52-35)*0.2))),1),0)*IF(EnemyBuffed=TRUE,1.25,1),0)*EnemyDMGTaken,0),1) &amp; ")"</f>
        <v>15  (15)</v>
      </c>
      <c r="D52" s="414" t="str">
        <f>Rounddown(Round(Round((D$34+D$35*($A52-1))*(1+(EnemyDamageSlider-1)+(EnemyDMGDanger-1)+(EnemyJackDMG-1)),0)*IF($A52&gt;20,(1+Max(0,((($A52-20)*(($A52-20)+1))/2)/100)*(2+Max(0,($A52-35)*0.2))),1),0)*IF(EnemyBuffed=TRUE,1.25,1),0) &amp; "  (" &amp; MAX(ROUND(Rounddown(Round(Round((D$34+D$35*($A52-1))*(1+(EnemyDamageSlider-1)+(EnemyDMGDanger-1)+(EnemyJackDMG-1)),0)*IF($A52&gt;20,(1+Max(0,((($A52-20)*(($A52-20)+1))/2)/100)*(2+Max(0,($A52-35)*0.2))),1),0)*IF(EnemyBuffed=TRUE,1.25,1),0)*EnemyDMGTaken,0),1) &amp; ")"</f>
        <v>15  (15)</v>
      </c>
      <c r="E52" s="414" t="str">
        <f>Rounddown(Round(Round((E$34+E$35*($A52-1))*(1+(EnemyDamageSlider-1)+(EnemyDMGDanger-1)+(EnemyJackDMG-1)),0)*IF($A52&gt;20,(1+Max(0,((($A52-20)*(($A52-20)+1))/2)/100)*(2+Max(0,($A52-35)*0.2))),1),0)*IF(EnemyBuffed=TRUE,1.25,1),0) &amp; "  (" &amp; MAX(ROUND(Rounddown(Round(Round((E$34+E$35*($A52-1))*(1+(EnemyDamageSlider-1)+(EnemyDMGDanger-1)+(EnemyJackDMG-1)),0)*IF($A52&gt;20,(1+Max(0,((($A52-20)*(($A52-20)+1))/2)/100)*(2+Max(0,($A52-35)*0.2))),1),0)*IF(EnemyBuffed=TRUE,1.25,1),0)*EnemyDMGTaken,0),1) &amp; ")"</f>
        <v>15  (15)</v>
      </c>
      <c r="F52" s="414" t="str">
        <f>Rounddown(Round(Round((F$34+F$35*($A52-1))*(1+(EnemyDamageSlider-1)+(EnemyDMGDanger-1)+(EnemyJackDMG-1)),0)*IF($A52&gt;20,(1+Max(0,((($A52-20)*(($A52-20)+1))/2)/100)*(2+Max(0,($A52-35)*0.2))),1),0)*IF(EnemyBuffed=TRUE,1.25,1),0) &amp; "  (" &amp; MAX(ROUND(Rounddown(Round(Round((F$34+F$35*($A52-1))*(1+(EnemyDamageSlider-1)+(EnemyDMGDanger-1)+(EnemyJackDMG-1)),0)*IF($A52&gt;20,(1+Max(0,((($A52-20)*(($A52-20)+1))/2)/100)*(2+Max(0,($A52-35)*0.2))),1),0)*IF(EnemyBuffed=TRUE,1.25,1),0)*EnemyDMGTaken,0),1) &amp; ")"</f>
        <v>20  (20)</v>
      </c>
      <c r="G52" s="414" t="str">
        <f>Rounddown(Round(Round((G$34+G$35*($A52-1))*(1+(EnemyDamageSlider-1)+(EnemyDMGDanger-1)+(EnemyJackDMG-1)),0)*IF($A52&gt;20,(1+Max(0,((($A52-20)*(($A52-20)+1))/2)/100)*(2+Max(0,($A52-35)*0.2))),1),0)*IF(EnemyBuffed=TRUE,1.25,1),0) &amp; "  (" &amp; MAX(ROUND(Rounddown(Round(Round((G$34+G$35*($A52-1))*(1+(EnemyDamageSlider-1)+(EnemyDMGDanger-1)+(EnemyJackDMG-1)),0)*IF($A52&gt;20,(1+Max(0,((($A52-20)*(($A52-20)+1))/2)/100)*(2+Max(0,($A52-35)*0.2))),1),0)*IF(EnemyBuffed=TRUE,1.25,1),0)*EnemyDMGTaken,0),1) &amp; ")"</f>
        <v>28  (28)</v>
      </c>
      <c r="H52" s="414" t="str">
        <f>Rounddown(Round(Round((H$34+H$35*($A52-1))*(1+(EnemyDamageSlider-1)+(EnemyDMGDanger-1)+(EnemyJackDMG-1)),0)*IF($A52&gt;20,(1+Max(0,((($A52-20)*(($A52-20)+1))/2)/100)*(2+Max(0,($A52-35)*0.2))),1),0)*IF(EnemyBuffed=TRUE,1.25,1),0) &amp; "  (" &amp; MAX(ROUND(Rounddown(Round(Round((H$34+H$35*($A52-1))*(1+(EnemyDamageSlider-1)+(EnemyDMGDanger-1)+(EnemyJackDMG-1)),0)*IF($A52&gt;20,(1+Max(0,((($A52-20)*(($A52-20)+1))/2)/100)*(2+Max(0,($A52-35)*0.2))),1),0)*IF(EnemyBuffed=TRUE,1.25,1),0)*EnemyDMGTaken,0),1) &amp; ")"</f>
        <v>22  (22)</v>
      </c>
      <c r="I52" s="414" t="str">
        <f>Rounddown(Round(Round((I$34+I$35*($A52-1))*(1+(EnemyDamageSlider-1)+(EnemyDMGDanger-1)+(EnemyJackDMG-1)),0)*IF($A52&gt;20,(1+Max(0,((($A52-20)*(($A52-20)+1))/2)/100)*(2+Max(0,($A52-35)*0.2))),1),0)*IF(EnemyBuffed=TRUE,1.25,1),0) &amp; "  (" &amp; MAX(ROUND(Rounddown(Round(Round((I$34+I$35*($A52-1))*(1+(EnemyDamageSlider-1)+(EnemyDMGDanger-1)+(EnemyJackDMG-1)),0)*IF($A52&gt;20,(1+Max(0,((($A52-20)*(($A52-20)+1))/2)/100)*(2+Max(0,($A52-35)*0.2))),1),0)*IF(EnemyBuffed=TRUE,1.25,1),0)*EnemyDMGTaken,0),1) &amp; ")"</f>
        <v>15  (15)</v>
      </c>
      <c r="J52" s="414" t="str">
        <f>Rounddown(Round(Round((J$34+J$35*($A52-1))*(1+(EnemyDamageSlider-1)+(EnemyDMGDanger-1)+(EnemyJackDMG-1)),0)*IF($A52&gt;20,(1+Max(0,((($A52-20)*(($A52-20)+1))/2)/100)*(2+Max(0,($A52-35)*0.2))),1),0)*IF(EnemyBuffed=TRUE,1.25,1),0) &amp; "  (" &amp; MAX(ROUND(Rounddown(Round(Round((J$34+J$35*($A52-1))*(1+(EnemyDamageSlider-1)+(EnemyDMGDanger-1)+(EnemyJackDMG-1)),0)*IF($A52&gt;20,(1+Max(0,((($A52-20)*(($A52-20)+1))/2)/100)*(2+Max(0,($A52-35)*0.2))),1),0)*IF(EnemyBuffed=TRUE,1.25,1),0)*EnemyDMGTaken,0),1) &amp; ")"</f>
        <v>20  (20)</v>
      </c>
      <c r="K52" s="414" t="str">
        <f>Rounddown(Round(Round((K$34+K$35*($A52-1))*(1+(EnemyDamageSlider-1)+(EnemyDMGDanger-1)+(EnemyJackDMG-1)),0)*IF($A52&gt;20,(1+Max(0,((($A52-20)*(($A52-20)+1))/2)/100)*(2+Max(0,($A52-35)*0.2))),1),0)*IF(EnemyBuffed=TRUE,1.25,1),0) &amp; "  (" &amp; MAX(ROUND(Rounddown(Round(Round((K$34+K$35*($A52-1))*(1+(EnemyDamageSlider-1)+(EnemyDMGDanger-1)+(EnemyJackDMG-1)),0)*IF($A52&gt;20,(1+Max(0,((($A52-20)*(($A52-20)+1))/2)/100)*(2+Max(0,($A52-35)*0.2))),1),0)*IF(EnemyBuffed=TRUE,1.25,1),0)*EnemyDMGTaken,0),1) &amp; ")"</f>
        <v>20  (20)</v>
      </c>
      <c r="L52" s="414" t="str">
        <f>Rounddown(Round(Round((L$34+L$35*($A52-1))*(1+(EnemyDamageSlider-1)+(EnemyDMGDanger-1)+(EnemyJackDMG-1)),0)*IF($A52&gt;20,(1+Max(0,((($A52-20)*(($A52-20)+1))/2)/100)*(2+Max(0,($A52-35)*0.2))),1),0)*IF(EnemyBuffed=TRUE,1.25,1),0) &amp; "  (" &amp; MAX(ROUND(Rounddown(Round(Round((L$34+L$35*($A52-1))*(1+(EnemyDamageSlider-1)+(EnemyDMGDanger-1)+(EnemyJackDMG-1)),0)*IF($A52&gt;20,(1+Max(0,((($A52-20)*(($A52-20)+1))/2)/100)*(2+Max(0,($A52-35)*0.2))),1),0)*IF(EnemyBuffed=TRUE,1.25,1),0)*EnemyDMGTaken,0),1) &amp; ")"</f>
        <v>20  (20)</v>
      </c>
      <c r="M52" s="414" t="str">
        <f>Rounddown(Round(Round((M$34+M$35*($A52-1))*(1+(EnemyDamageSlider-1)+(EnemyDMGDanger-1)+(EnemyJackDMG-1)),0)*IF($A52&gt;20,(1+Max(0,((($A52-20)*(($A52-20)+1))/2)/100)*(2+Max(0,($A52-35)*0.2))),1),0)*IF(EnemyBuffed=TRUE,1.25,1),0) &amp; "  (" &amp; MAX(ROUND(Rounddown(Round(Round((M$34+M$35*($A52-1))*(1+(EnemyDamageSlider-1)+(EnemyDMGDanger-1)+(EnemyJackDMG-1)),0)*IF($A52&gt;20,(1+Max(0,((($A52-20)*(($A52-20)+1))/2)/100)*(2+Max(0,($A52-35)*0.2))),1),0)*IF(EnemyBuffed=TRUE,1.25,1),0)*EnemyDMGTaken,0),1) &amp; ")"</f>
        <v>24  (24)</v>
      </c>
      <c r="N52" s="414" t="str">
        <f>Rounddown(Round(Round((N$34+N$35*($A52-1))*(1+(EnemyDamageSlider-1)+(EnemyDMGDanger-1)+(EnemyJackDMG-1)),0)*IF($A52&gt;20,(1+Max(0,((($A52-20)*(($A52-20)+1))/2)/100)*(2+Max(0,($A52-35)*0.2))),1),0)*IF(EnemyBuffed=TRUE,1.25,1),0) &amp; "  (" &amp; MAX(ROUND(Rounddown(Round(Round((N$34+N$35*($A52-1))*(1+(EnemyDamageSlider-1)+(EnemyDMGDanger-1)+(EnemyJackDMG-1)),0)*IF($A52&gt;20,(1+Max(0,((($A52-20)*(($A52-20)+1))/2)/100)*(2+Max(0,($A52-35)*0.2))),1),0)*IF(EnemyBuffed=TRUE,1.25,1),0)*EnemyDMGTaken,0),1) &amp; ")"</f>
        <v>24  (24)</v>
      </c>
      <c r="O52" s="414" t="str">
        <f>Rounddown(Round(Round((O$34+O$35*($A52-1))*(1+(EnemyDamageSlider-1)+(EnemyDMGDanger-1)+(EnemyJackDMG-1)),0)*IF($A52&gt;20,(1+Max(0,((($A52-20)*(($A52-20)+1))/2)/100)*(2+Max(0,($A52-35)*0.2))),1),0)*IF(EnemyBuffed=TRUE,1.25,1),0) &amp; "  (" &amp; MAX(ROUND(Rounddown(Round(Round((O$34+O$35*($A52-1))*(1+(EnemyDamageSlider-1)+(EnemyDMGDanger-1)+(EnemyJackDMG-1)),0)*IF($A52&gt;20,(1+Max(0,((($A52-20)*(($A52-20)+1))/2)/100)*(2+Max(0,($A52-35)*0.2))),1),0)*IF(EnemyBuffed=TRUE,1.25,1),0)*EnemyDMGTaken,0),1) &amp; ")"</f>
        <v>20  (20)</v>
      </c>
      <c r="P52" s="414" t="str">
        <f>Rounddown(Round(Round((P$34+P$35*($A52-1))*(1+(EnemyDamageSlider-1)+(EnemyDMGDanger-1)+(EnemyJackDMG-1)),0)*IF($A52&gt;20,(1+Max(0,((($A52-20)*(($A52-20)+1))/2)/100)*(2+Max(0,($A52-35)*0.2))),1),0)*IF(EnemyBuffed=TRUE,1.25,1),0) &amp; "  (" &amp; MAX(ROUND(Rounddown(Round(Round((P$34+P$35*($A52-1))*(1+(EnemyDamageSlider-1)+(EnemyDMGDanger-1)+(EnemyJackDMG-1)),0)*IF($A52&gt;20,(1+Max(0,((($A52-20)*(($A52-20)+1))/2)/100)*(2+Max(0,($A52-35)*0.2))),1),0)*IF(EnemyBuffed=TRUE,1.25,1),0)*EnemyDMGTaken,0),1) &amp; ")"</f>
        <v>24  (24)</v>
      </c>
      <c r="Q52" s="414" t="str">
        <f>Rounddown(Round(Round((Q$34+Q$35*($A52-1))*(1+(EnemyDamageSlider-1)+(EnemyDMGDanger-1)+(EnemyJackDMG-1)),0)*IF($A52&gt;20,(1+Max(0,((($A52-20)*(($A52-20)+1))/2)/100)*(2+Max(0,($A52-35)*0.2))),1),0)*IF(EnemyBuffed=TRUE,1.25,1),0) &amp; "  (" &amp; MAX(ROUND(Rounddown(Round(Round((Q$34+Q$35*($A52-1))*(1+(EnemyDamageSlider-1)+(EnemyDMGDanger-1)+(EnemyJackDMG-1)),0)*IF($A52&gt;20,(1+Max(0,((($A52-20)*(($A52-20)+1))/2)/100)*(2+Max(0,($A52-35)*0.2))),1),0)*IF(EnemyBuffed=TRUE,1.25,1),0)*EnemyDMGTaken,0),1) &amp; ")"</f>
        <v>27  (27)</v>
      </c>
      <c r="R52" s="414" t="str">
        <f>Rounddown(Round(Round((R$34+R$35*($A52-1))*(1+(EnemyDamageSlider-1)+(EnemyDMGDanger-1)+(EnemyJackDMG-1)),0)*IF($A52&gt;20,(1+Max(0,((($A52-20)*(($A52-20)+1))/2)/100)*(2+Max(0,($A52-35)*0.2))),1),0)*IF(EnemyBuffed=TRUE,1.25,1),0) &amp; "  (" &amp; MAX(ROUND(Rounddown(Round(Round((R$34+R$35*($A52-1))*(1+(EnemyDamageSlider-1)+(EnemyDMGDanger-1)+(EnemyJackDMG-1)),0)*IF($A52&gt;20,(1+Max(0,((($A52-20)*(($A52-20)+1))/2)/100)*(2+Max(0,($A52-35)*0.2))),1),0)*IF(EnemyBuffed=TRUE,1.25,1),0)*EnemyDMGTaken,0),1) &amp; ")"</f>
        <v>26  (26)</v>
      </c>
      <c r="S52" s="414" t="str">
        <f>Rounddown(Round(Round((S$34+S$35*($A52-1))*(1+(EnemyDamageSlider-1)+(EnemyDMGDanger-1)+(EnemyJackDMG-1)),0)*IF($A52&gt;20,(1+Max(0,((($A52-20)*(($A52-20)+1))/2)/100)*(2+Max(0,($A52-35)*0.2))),1),0)*IF(EnemyBuffed=TRUE,1.25,1),0) &amp; "  (" &amp; MAX(ROUND(Rounddown(Round(Round((S$34+S$35*($A52-1))*(1+(EnemyDamageSlider-1)+(EnemyDMGDanger-1)+(EnemyJackDMG-1)),0)*IF($A52&gt;20,(1+Max(0,((($A52-20)*(($A52-20)+1))/2)/100)*(2+Max(0,($A52-35)*0.2))),1),0)*IF(EnemyBuffed=TRUE,1.25,1),0)*EnemyDMGTaken,0),1) &amp; ")"</f>
        <v>15  (15)</v>
      </c>
      <c r="T52" s="414" t="str">
        <f>Rounddown(Round(Round((T$34+T$35*($A52-1))*(1+(EnemyDamageSlider-1)+(EnemyDMGDanger-1)+(EnemyJackDMG-1)),0)*IF($A52&gt;20,(1+Max(0,((($A52-20)*(($A52-20)+1))/2)/100)*(2+Max(0,($A52-35)*0.2))),1),0)*IF(EnemyBuffed=TRUE,1.25,1),0) &amp; "  (" &amp; MAX(ROUND(Rounddown(Round(Round((T$34+T$35*($A52-1))*(1+(EnemyDamageSlider-1)+(EnemyDMGDanger-1)+(EnemyJackDMG-1)),0)*IF($A52&gt;20,(1+Max(0,((($A52-20)*(($A52-20)+1))/2)/100)*(2+Max(0,($A52-35)*0.2))),1),0)*IF(EnemyBuffed=TRUE,1.25,1),0)*EnemyDMGTaken,0),1) &amp; ")"</f>
        <v>27  (27)</v>
      </c>
      <c r="U52" s="414" t="str">
        <f>Rounddown(Round(Round((U$34+U$35*($A52-1))*(1+(EnemyDamageSlider-1)+(EnemyDMGDanger-1)+(EnemyJackDMG-1)),0)*IF($A52&gt;20,(1+Max(0,((($A52-20)*(($A52-20)+1))/2)/100)*(2+Max(0,($A52-35)*0.2))),1),0)*IF(EnemyBuffed=TRUE,1.25,1),0) &amp; "  (" &amp; MAX(ROUND(Rounddown(Round(Round((U$34+U$35*($A52-1))*(1+(EnemyDamageSlider-1)+(EnemyDMGDanger-1)+(EnemyJackDMG-1)),0)*IF($A52&gt;20,(1+Max(0,((($A52-20)*(($A52-20)+1))/2)/100)*(2+Max(0,($A52-35)*0.2))),1),0)*IF(EnemyBuffed=TRUE,1.25,1),0)*EnemyDMGTaken,0),1) &amp; ")"</f>
        <v>24  (24)</v>
      </c>
      <c r="V52" s="414" t="str">
        <f>Rounddown(Round(Round((V$34+V$35*($A52-1))*(1+(EnemyDamageSlider-1)+(EnemyDMGDanger-1)+(EnemyJackDMG-1)),0)*IF($A52&gt;20,(1+Max(0,((($A52-20)*(($A52-20)+1))/2)/100)*(2+Max(0,($A52-35)*0.2))),1),0)*IF(EnemyBuffed=TRUE,1.25,1),0) &amp; "  (" &amp; MAX(ROUND(Rounddown(Round(Round((V$34+V$35*($A52-1))*(1+(EnemyDamageSlider-1)+(EnemyDMGDanger-1)+(EnemyJackDMG-1)),0)*IF($A52&gt;20,(1+Max(0,((($A52-20)*(($A52-20)+1))/2)/100)*(2+Max(0,($A52-35)*0.2))),1),0)*IF(EnemyBuffed=TRUE,1.25,1),0)*EnemyDMGTaken,0),1) &amp; ")"</f>
        <v>35  (35)</v>
      </c>
      <c r="W52" s="414" t="str">
        <f>Rounddown(Round(Round((W$34+W$35*($A52-1))*(1+(EnemyDamageSlider-1)+(EnemyDMGDanger-1)+(EnemyJackDMG-1)),0)*IF($A52&gt;20,(1+Max(0,((($A52-20)*(($A52-20)+1))/2)/100)*(2+Max(0,($A52-35)*0.2))),1),0)*IF(EnemyBuffed=TRUE,1.25,1),0) &amp; "  (" &amp; MAX(ROUND(Rounddown(Round(Round((W$34+W$35*($A52-1))*(1+(EnemyDamageSlider-1)+(EnemyDMGDanger-1)+(EnemyJackDMG-1)),0)*IF($A52&gt;20,(1+Max(0,((($A52-20)*(($A52-20)+1))/2)/100)*(2+Max(0,($A52-35)*0.2))),1),0)*IF(EnemyBuffed=TRUE,1.25,1),0)*EnemyDMGTaken,0),1) &amp; ")"</f>
        <v>35  (35)</v>
      </c>
      <c r="X52" s="414" t="str">
        <f>Rounddown(Round(Round((X$34+X$35*($A52-1))*(1+(EnemyDamageSlider-1)+(EnemyDMGDanger-1)+(EnemyJackDMG-1)),0)*IF($A52&gt;20,(1+Max(0,((($A52-20)*(($A52-20)+1))/2)/100)*(2+Max(0,($A52-35)*0.2))),1),0)*IF(EnemyBuffed=TRUE,1.25,1),0) &amp; "  (" &amp; MAX(ROUND(Rounddown(Round(Round((X$34+X$35*($A52-1))*(1+(EnemyDamageSlider-1)+(EnemyDMGDanger-1)+(EnemyJackDMG-1)),0)*IF($A52&gt;20,(1+Max(0,((($A52-20)*(($A52-20)+1))/2)/100)*(2+Max(0,($A52-35)*0.2))),1),0)*IF(EnemyBuffed=TRUE,1.25,1),0)*EnemyDMGTaken,0),1) &amp; ")"</f>
        <v>35  (35)</v>
      </c>
      <c r="Y52" s="414" t="str">
        <f>Rounddown(Round(Round((Y$34+Y$35*($A52-1))*(1+(EnemyDamageSlider-1)+(EnemyDMGDanger-1)+(EnemyJackDMG-1)),0)*IF($A52&gt;20,(1+Max(0,((($A52-20)*(($A52-20)+1))/2)/100)*(2+Max(0,($A52-35)*0.2))),1),0)*IF(EnemyBuffed=TRUE,1.25,1),0) &amp; "  (" &amp; MAX(ROUND(Rounddown(Round(Round((Y$34+Y$35*($A52-1))*(1+(EnemyDamageSlider-1)+(EnemyDMGDanger-1)+(EnemyJackDMG-1)),0)*IF($A52&gt;20,(1+Max(0,((($A52-20)*(($A52-20)+1))/2)/100)*(2+Max(0,($A52-35)*0.2))),1),0)*IF(EnemyBuffed=TRUE,1.25,1),0)*EnemyDMGTaken,0),1) &amp; ")"</f>
        <v>35  (35)</v>
      </c>
      <c r="Z52" s="414" t="str">
        <f>Rounddown(Round(Round((Z$34+Z$35*($A52-1))*(1+(EnemyDamageSlider-1)+(EnemyDMGDanger-1)+(EnemyJackDMG-1)),0)*IF($A52&gt;20,(1+Max(0,((($A52-20)*(($A52-20)+1))/2)/100)*(2+Max(0,($A52-35)*0.2))),1),0)*IF(EnemyBuffed=TRUE,1.25,1),0) &amp; "  (" &amp; MAX(ROUND(Rounddown(Round(Round((Z$34+Z$35*($A52-1))*(1+(EnemyDamageSlider-1)+(EnemyDMGDanger-1)+(EnemyJackDMG-1)),0)*IF($A52&gt;20,(1+Max(0,((($A52-20)*(($A52-20)+1))/2)/100)*(2+Max(0,($A52-35)*0.2))),1),0)*IF(EnemyBuffed=TRUE,1.25,1),0)*EnemyDMGTaken,0),1) &amp; ")"</f>
        <v>35  (35)</v>
      </c>
      <c r="AA52" s="414" t="str">
        <f>Rounddown(Round(Round((AA$34+AA$35*($A52-1))*(1+(EnemyDamageSlider-1)+(EnemyDMGDanger-1)+(EnemyJackDMG-1)),0)*IF($A52&gt;20,(1+Max(0,((($A52-20)*(($A52-20)+1))/2)/100)*(2+Max(0,($A52-35)*0.2))),1),0)*IF(EnemyBuffed=TRUE,1.25,1),0) &amp; "  (" &amp; MAX(ROUND(Rounddown(Round(Round((AA$34+AA$35*($A52-1))*(1+(EnemyDamageSlider-1)+(EnemyDMGDanger-1)+(EnemyJackDMG-1)),0)*IF($A52&gt;20,(1+Max(0,((($A52-20)*(($A52-20)+1))/2)/100)*(2+Max(0,($A52-35)*0.2))),1),0)*IF(EnemyBuffed=TRUE,1.25,1),0)*EnemyDMGTaken,0),1) &amp; ")"</f>
        <v>18  (18)</v>
      </c>
    </row>
    <row r="53">
      <c r="A53" s="150">
        <v>18.0</v>
      </c>
      <c r="B53" s="415">
        <v>0.0</v>
      </c>
      <c r="C53" s="414" t="str">
        <f>Rounddown(Round(Round((C$34+C$35*($A53-1))*(1+(EnemyDamageSlider-1)+(EnemyDMGDanger-1)+(EnemyJackDMG-1)),0)*IF($A53&gt;20,(1+Max(0,((($A53-20)*(($A53-20)+1))/2)/100)*(2+Max(0,($A53-35)*0.2))),1),0)*IF(EnemyBuffed=TRUE,1.25,1),0) &amp; "  (" &amp; MAX(ROUND(Rounddown(Round(Round((C$34+C$35*($A53-1))*(1+(EnemyDamageSlider-1)+(EnemyDMGDanger-1)+(EnemyJackDMG-1)),0)*IF($A53&gt;20,(1+Max(0,((($A53-20)*(($A53-20)+1))/2)/100)*(2+Max(0,($A53-35)*0.2))),1),0)*IF(EnemyBuffed=TRUE,1.25,1),0)*EnemyDMGTaken,0),1) &amp; ")"</f>
        <v>16  (16)</v>
      </c>
      <c r="D53" s="414" t="str">
        <f>Rounddown(Round(Round((D$34+D$35*($A53-1))*(1+(EnemyDamageSlider-1)+(EnemyDMGDanger-1)+(EnemyJackDMG-1)),0)*IF($A53&gt;20,(1+Max(0,((($A53-20)*(($A53-20)+1))/2)/100)*(2+Max(0,($A53-35)*0.2))),1),0)*IF(EnemyBuffed=TRUE,1.25,1),0) &amp; "  (" &amp; MAX(ROUND(Rounddown(Round(Round((D$34+D$35*($A53-1))*(1+(EnemyDamageSlider-1)+(EnemyDMGDanger-1)+(EnemyJackDMG-1)),0)*IF($A53&gt;20,(1+Max(0,((($A53-20)*(($A53-20)+1))/2)/100)*(2+Max(0,($A53-35)*0.2))),1),0)*IF(EnemyBuffed=TRUE,1.25,1),0)*EnemyDMGTaken,0),1) &amp; ")"</f>
        <v>16  (16)</v>
      </c>
      <c r="E53" s="414" t="str">
        <f>Rounddown(Round(Round((E$34+E$35*($A53-1))*(1+(EnemyDamageSlider-1)+(EnemyDMGDanger-1)+(EnemyJackDMG-1)),0)*IF($A53&gt;20,(1+Max(0,((($A53-20)*(($A53-20)+1))/2)/100)*(2+Max(0,($A53-35)*0.2))),1),0)*IF(EnemyBuffed=TRUE,1.25,1),0) &amp; "  (" &amp; MAX(ROUND(Rounddown(Round(Round((E$34+E$35*($A53-1))*(1+(EnemyDamageSlider-1)+(EnemyDMGDanger-1)+(EnemyJackDMG-1)),0)*IF($A53&gt;20,(1+Max(0,((($A53-20)*(($A53-20)+1))/2)/100)*(2+Max(0,($A53-35)*0.2))),1),0)*IF(EnemyBuffed=TRUE,1.25,1),0)*EnemyDMGTaken,0),1) &amp; ")"</f>
        <v>16  (16)</v>
      </c>
      <c r="F53" s="414" t="str">
        <f>Rounddown(Round(Round((F$34+F$35*($A53-1))*(1+(EnemyDamageSlider-1)+(EnemyDMGDanger-1)+(EnemyJackDMG-1)),0)*IF($A53&gt;20,(1+Max(0,((($A53-20)*(($A53-20)+1))/2)/100)*(2+Max(0,($A53-35)*0.2))),1),0)*IF(EnemyBuffed=TRUE,1.25,1),0) &amp; "  (" &amp; MAX(ROUND(Rounddown(Round(Round((F$34+F$35*($A53-1))*(1+(EnemyDamageSlider-1)+(EnemyDMGDanger-1)+(EnemyJackDMG-1)),0)*IF($A53&gt;20,(1+Max(0,((($A53-20)*(($A53-20)+1))/2)/100)*(2+Max(0,($A53-35)*0.2))),1),0)*IF(EnemyBuffed=TRUE,1.25,1),0)*EnemyDMGTaken,0),1) &amp; ")"</f>
        <v>22  (22)</v>
      </c>
      <c r="G53" s="414" t="str">
        <f>Rounddown(Round(Round((G$34+G$35*($A53-1))*(1+(EnemyDamageSlider-1)+(EnemyDMGDanger-1)+(EnemyJackDMG-1)),0)*IF($A53&gt;20,(1+Max(0,((($A53-20)*(($A53-20)+1))/2)/100)*(2+Max(0,($A53-35)*0.2))),1),0)*IF(EnemyBuffed=TRUE,1.25,1),0) &amp; "  (" &amp; MAX(ROUND(Rounddown(Round(Round((G$34+G$35*($A53-1))*(1+(EnemyDamageSlider-1)+(EnemyDMGDanger-1)+(EnemyJackDMG-1)),0)*IF($A53&gt;20,(1+Max(0,((($A53-20)*(($A53-20)+1))/2)/100)*(2+Max(0,($A53-35)*0.2))),1),0)*IF(EnemyBuffed=TRUE,1.25,1),0)*EnemyDMGTaken,0),1) &amp; ")"</f>
        <v>30  (30)</v>
      </c>
      <c r="H53" s="414" t="str">
        <f>Rounddown(Round(Round((H$34+H$35*($A53-1))*(1+(EnemyDamageSlider-1)+(EnemyDMGDanger-1)+(EnemyJackDMG-1)),0)*IF($A53&gt;20,(1+Max(0,((($A53-20)*(($A53-20)+1))/2)/100)*(2+Max(0,($A53-35)*0.2))),1),0)*IF(EnemyBuffed=TRUE,1.25,1),0) &amp; "  (" &amp; MAX(ROUND(Rounddown(Round(Round((H$34+H$35*($A53-1))*(1+(EnemyDamageSlider-1)+(EnemyDMGDanger-1)+(EnemyJackDMG-1)),0)*IF($A53&gt;20,(1+Max(0,((($A53-20)*(($A53-20)+1))/2)/100)*(2+Max(0,($A53-35)*0.2))),1),0)*IF(EnemyBuffed=TRUE,1.25,1),0)*EnemyDMGTaken,0),1) &amp; ")"</f>
        <v>23  (23)</v>
      </c>
      <c r="I53" s="414" t="str">
        <f>Rounddown(Round(Round((I$34+I$35*($A53-1))*(1+(EnemyDamageSlider-1)+(EnemyDMGDanger-1)+(EnemyJackDMG-1)),0)*IF($A53&gt;20,(1+Max(0,((($A53-20)*(($A53-20)+1))/2)/100)*(2+Max(0,($A53-35)*0.2))),1),0)*IF(EnemyBuffed=TRUE,1.25,1),0) &amp; "  (" &amp; MAX(ROUND(Rounddown(Round(Round((I$34+I$35*($A53-1))*(1+(EnemyDamageSlider-1)+(EnemyDMGDanger-1)+(EnemyJackDMG-1)),0)*IF($A53&gt;20,(1+Max(0,((($A53-20)*(($A53-20)+1))/2)/100)*(2+Max(0,($A53-35)*0.2))),1),0)*IF(EnemyBuffed=TRUE,1.25,1),0)*EnemyDMGTaken,0),1) &amp; ")"</f>
        <v>16  (16)</v>
      </c>
      <c r="J53" s="414" t="str">
        <f>Rounddown(Round(Round((J$34+J$35*($A53-1))*(1+(EnemyDamageSlider-1)+(EnemyDMGDanger-1)+(EnemyJackDMG-1)),0)*IF($A53&gt;20,(1+Max(0,((($A53-20)*(($A53-20)+1))/2)/100)*(2+Max(0,($A53-35)*0.2))),1),0)*IF(EnemyBuffed=TRUE,1.25,1),0) &amp; "  (" &amp; MAX(ROUND(Rounddown(Round(Round((J$34+J$35*($A53-1))*(1+(EnemyDamageSlider-1)+(EnemyDMGDanger-1)+(EnemyJackDMG-1)),0)*IF($A53&gt;20,(1+Max(0,((($A53-20)*(($A53-20)+1))/2)/100)*(2+Max(0,($A53-35)*0.2))),1),0)*IF(EnemyBuffed=TRUE,1.25,1),0)*EnemyDMGTaken,0),1) &amp; ")"</f>
        <v>22  (22)</v>
      </c>
      <c r="K53" s="414" t="str">
        <f>Rounddown(Round(Round((K$34+K$35*($A53-1))*(1+(EnemyDamageSlider-1)+(EnemyDMGDanger-1)+(EnemyJackDMG-1)),0)*IF($A53&gt;20,(1+Max(0,((($A53-20)*(($A53-20)+1))/2)/100)*(2+Max(0,($A53-35)*0.2))),1),0)*IF(EnemyBuffed=TRUE,1.25,1),0) &amp; "  (" &amp; MAX(ROUND(Rounddown(Round(Round((K$34+K$35*($A53-1))*(1+(EnemyDamageSlider-1)+(EnemyDMGDanger-1)+(EnemyJackDMG-1)),0)*IF($A53&gt;20,(1+Max(0,((($A53-20)*(($A53-20)+1))/2)/100)*(2+Max(0,($A53-35)*0.2))),1),0)*IF(EnemyBuffed=TRUE,1.25,1),0)*EnemyDMGTaken,0),1) &amp; ")"</f>
        <v>22  (22)</v>
      </c>
      <c r="L53" s="414" t="str">
        <f>Rounddown(Round(Round((L$34+L$35*($A53-1))*(1+(EnemyDamageSlider-1)+(EnemyDMGDanger-1)+(EnemyJackDMG-1)),0)*IF($A53&gt;20,(1+Max(0,((($A53-20)*(($A53-20)+1))/2)/100)*(2+Max(0,($A53-35)*0.2))),1),0)*IF(EnemyBuffed=TRUE,1.25,1),0) &amp; "  (" &amp; MAX(ROUND(Rounddown(Round(Round((L$34+L$35*($A53-1))*(1+(EnemyDamageSlider-1)+(EnemyDMGDanger-1)+(EnemyJackDMG-1)),0)*IF($A53&gt;20,(1+Max(0,((($A53-20)*(($A53-20)+1))/2)/100)*(2+Max(0,($A53-35)*0.2))),1),0)*IF(EnemyBuffed=TRUE,1.25,1),0)*EnemyDMGTaken,0),1) &amp; ")"</f>
        <v>22  (22)</v>
      </c>
      <c r="M53" s="414" t="str">
        <f>Rounddown(Round(Round((M$34+M$35*($A53-1))*(1+(EnemyDamageSlider-1)+(EnemyDMGDanger-1)+(EnemyJackDMG-1)),0)*IF($A53&gt;20,(1+Max(0,((($A53-20)*(($A53-20)+1))/2)/100)*(2+Max(0,($A53-35)*0.2))),1),0)*IF(EnemyBuffed=TRUE,1.25,1),0) &amp; "  (" &amp; MAX(ROUND(Rounddown(Round(Round((M$34+M$35*($A53-1))*(1+(EnemyDamageSlider-1)+(EnemyDMGDanger-1)+(EnemyJackDMG-1)),0)*IF($A53&gt;20,(1+Max(0,((($A53-20)*(($A53-20)+1))/2)/100)*(2+Max(0,($A53-35)*0.2))),1),0)*IF(EnemyBuffed=TRUE,1.25,1),0)*EnemyDMGTaken,0),1) &amp; ")"</f>
        <v>25  (25)</v>
      </c>
      <c r="N53" s="414" t="str">
        <f>Rounddown(Round(Round((N$34+N$35*($A53-1))*(1+(EnemyDamageSlider-1)+(EnemyDMGDanger-1)+(EnemyJackDMG-1)),0)*IF($A53&gt;20,(1+Max(0,((($A53-20)*(($A53-20)+1))/2)/100)*(2+Max(0,($A53-35)*0.2))),1),0)*IF(EnemyBuffed=TRUE,1.25,1),0) &amp; "  (" &amp; MAX(ROUND(Rounddown(Round(Round((N$34+N$35*($A53-1))*(1+(EnemyDamageSlider-1)+(EnemyDMGDanger-1)+(EnemyJackDMG-1)),0)*IF($A53&gt;20,(1+Max(0,((($A53-20)*(($A53-20)+1))/2)/100)*(2+Max(0,($A53-35)*0.2))),1),0)*IF(EnemyBuffed=TRUE,1.25,1),0)*EnemyDMGTaken,0),1) &amp; ")"</f>
        <v>25  (25)</v>
      </c>
      <c r="O53" s="414" t="str">
        <f>Rounddown(Round(Round((O$34+O$35*($A53-1))*(1+(EnemyDamageSlider-1)+(EnemyDMGDanger-1)+(EnemyJackDMG-1)),0)*IF($A53&gt;20,(1+Max(0,((($A53-20)*(($A53-20)+1))/2)/100)*(2+Max(0,($A53-35)*0.2))),1),0)*IF(EnemyBuffed=TRUE,1.25,1),0) &amp; "  (" &amp; MAX(ROUND(Rounddown(Round(Round((O$34+O$35*($A53-1))*(1+(EnemyDamageSlider-1)+(EnemyDMGDanger-1)+(EnemyJackDMG-1)),0)*IF($A53&gt;20,(1+Max(0,((($A53-20)*(($A53-20)+1))/2)/100)*(2+Max(0,($A53-35)*0.2))),1),0)*IF(EnemyBuffed=TRUE,1.25,1),0)*EnemyDMGTaken,0),1) &amp; ")"</f>
        <v>22  (22)</v>
      </c>
      <c r="P53" s="414" t="str">
        <f>Rounddown(Round(Round((P$34+P$35*($A53-1))*(1+(EnemyDamageSlider-1)+(EnemyDMGDanger-1)+(EnemyJackDMG-1)),0)*IF($A53&gt;20,(1+Max(0,((($A53-20)*(($A53-20)+1))/2)/100)*(2+Max(0,($A53-35)*0.2))),1),0)*IF(EnemyBuffed=TRUE,1.25,1),0) &amp; "  (" &amp; MAX(ROUND(Rounddown(Round(Round((P$34+P$35*($A53-1))*(1+(EnemyDamageSlider-1)+(EnemyDMGDanger-1)+(EnemyJackDMG-1)),0)*IF($A53&gt;20,(1+Max(0,((($A53-20)*(($A53-20)+1))/2)/100)*(2+Max(0,($A53-35)*0.2))),1),0)*IF(EnemyBuffed=TRUE,1.25,1),0)*EnemyDMGTaken,0),1) &amp; ")"</f>
        <v>25  (25)</v>
      </c>
      <c r="Q53" s="414" t="str">
        <f>Rounddown(Round(Round((Q$34+Q$35*($A53-1))*(1+(EnemyDamageSlider-1)+(EnemyDMGDanger-1)+(EnemyJackDMG-1)),0)*IF($A53&gt;20,(1+Max(0,((($A53-20)*(($A53-20)+1))/2)/100)*(2+Max(0,($A53-35)*0.2))),1),0)*IF(EnemyBuffed=TRUE,1.25,1),0) &amp; "  (" &amp; MAX(ROUND(Rounddown(Round(Round((Q$34+Q$35*($A53-1))*(1+(EnemyDamageSlider-1)+(EnemyDMGDanger-1)+(EnemyJackDMG-1)),0)*IF($A53&gt;20,(1+Max(0,((($A53-20)*(($A53-20)+1))/2)/100)*(2+Max(0,($A53-35)*0.2))),1),0)*IF(EnemyBuffed=TRUE,1.25,1),0)*EnemyDMGTaken,0),1) &amp; ")"</f>
        <v>29  (29)</v>
      </c>
      <c r="R53" s="414" t="str">
        <f>Rounddown(Round(Round((R$34+R$35*($A53-1))*(1+(EnemyDamageSlider-1)+(EnemyDMGDanger-1)+(EnemyJackDMG-1)),0)*IF($A53&gt;20,(1+Max(0,((($A53-20)*(($A53-20)+1))/2)/100)*(2+Max(0,($A53-35)*0.2))),1),0)*IF(EnemyBuffed=TRUE,1.25,1),0) &amp; "  (" &amp; MAX(ROUND(Rounddown(Round(Round((R$34+R$35*($A53-1))*(1+(EnemyDamageSlider-1)+(EnemyDMGDanger-1)+(EnemyJackDMG-1)),0)*IF($A53&gt;20,(1+Max(0,((($A53-20)*(($A53-20)+1))/2)/100)*(2+Max(0,($A53-35)*0.2))),1),0)*IF(EnemyBuffed=TRUE,1.25,1),0)*EnemyDMGTaken,0),1) &amp; ")"</f>
        <v>28  (28)</v>
      </c>
      <c r="S53" s="414" t="str">
        <f>Rounddown(Round(Round((S$34+S$35*($A53-1))*(1+(EnemyDamageSlider-1)+(EnemyDMGDanger-1)+(EnemyJackDMG-1)),0)*IF($A53&gt;20,(1+Max(0,((($A53-20)*(($A53-20)+1))/2)/100)*(2+Max(0,($A53-35)*0.2))),1),0)*IF(EnemyBuffed=TRUE,1.25,1),0) &amp; "  (" &amp; MAX(ROUND(Rounddown(Round(Round((S$34+S$35*($A53-1))*(1+(EnemyDamageSlider-1)+(EnemyDMGDanger-1)+(EnemyJackDMG-1)),0)*IF($A53&gt;20,(1+Max(0,((($A53-20)*(($A53-20)+1))/2)/100)*(2+Max(0,($A53-35)*0.2))),1),0)*IF(EnemyBuffed=TRUE,1.25,1),0)*EnemyDMGTaken,0),1) &amp; ")"</f>
        <v>16  (16)</v>
      </c>
      <c r="T53" s="414" t="str">
        <f>Rounddown(Round(Round((T$34+T$35*($A53-1))*(1+(EnemyDamageSlider-1)+(EnemyDMGDanger-1)+(EnemyJackDMG-1)),0)*IF($A53&gt;20,(1+Max(0,((($A53-20)*(($A53-20)+1))/2)/100)*(2+Max(0,($A53-35)*0.2))),1),0)*IF(EnemyBuffed=TRUE,1.25,1),0) &amp; "  (" &amp; MAX(ROUND(Rounddown(Round(Round((T$34+T$35*($A53-1))*(1+(EnemyDamageSlider-1)+(EnemyDMGDanger-1)+(EnemyJackDMG-1)),0)*IF($A53&gt;20,(1+Max(0,((($A53-20)*(($A53-20)+1))/2)/100)*(2+Max(0,($A53-35)*0.2))),1),0)*IF(EnemyBuffed=TRUE,1.25,1),0)*EnemyDMGTaken,0),1) &amp; ")"</f>
        <v>29  (29)</v>
      </c>
      <c r="U53" s="414" t="str">
        <f>Rounddown(Round(Round((U$34+U$35*($A53-1))*(1+(EnemyDamageSlider-1)+(EnemyDMGDanger-1)+(EnemyJackDMG-1)),0)*IF($A53&gt;20,(1+Max(0,((($A53-20)*(($A53-20)+1))/2)/100)*(2+Max(0,($A53-35)*0.2))),1),0)*IF(EnemyBuffed=TRUE,1.25,1),0) &amp; "  (" &amp; MAX(ROUND(Rounddown(Round(Round((U$34+U$35*($A53-1))*(1+(EnemyDamageSlider-1)+(EnemyDMGDanger-1)+(EnemyJackDMG-1)),0)*IF($A53&gt;20,(1+Max(0,((($A53-20)*(($A53-20)+1))/2)/100)*(2+Max(0,($A53-35)*0.2))),1),0)*IF(EnemyBuffed=TRUE,1.25,1),0)*EnemyDMGTaken,0),1) &amp; ")"</f>
        <v>25  (25)</v>
      </c>
      <c r="V53" s="414" t="str">
        <f>Rounddown(Round(Round((V$34+V$35*($A53-1))*(1+(EnemyDamageSlider-1)+(EnemyDMGDanger-1)+(EnemyJackDMG-1)),0)*IF($A53&gt;20,(1+Max(0,((($A53-20)*(($A53-20)+1))/2)/100)*(2+Max(0,($A53-35)*0.2))),1),0)*IF(EnemyBuffed=TRUE,1.25,1),0) &amp; "  (" &amp; MAX(ROUND(Rounddown(Round(Round((V$34+V$35*($A53-1))*(1+(EnemyDamageSlider-1)+(EnemyDMGDanger-1)+(EnemyJackDMG-1)),0)*IF($A53&gt;20,(1+Max(0,((($A53-20)*(($A53-20)+1))/2)/100)*(2+Max(0,($A53-35)*0.2))),1),0)*IF(EnemyBuffed=TRUE,1.25,1),0)*EnemyDMGTaken,0),1) &amp; ")"</f>
        <v>37  (37)</v>
      </c>
      <c r="W53" s="414" t="str">
        <f>Rounddown(Round(Round((W$34+W$35*($A53-1))*(1+(EnemyDamageSlider-1)+(EnemyDMGDanger-1)+(EnemyJackDMG-1)),0)*IF($A53&gt;20,(1+Max(0,((($A53-20)*(($A53-20)+1))/2)/100)*(2+Max(0,($A53-35)*0.2))),1),0)*IF(EnemyBuffed=TRUE,1.25,1),0) &amp; "  (" &amp; MAX(ROUND(Rounddown(Round(Round((W$34+W$35*($A53-1))*(1+(EnemyDamageSlider-1)+(EnemyDMGDanger-1)+(EnemyJackDMG-1)),0)*IF($A53&gt;20,(1+Max(0,((($A53-20)*(($A53-20)+1))/2)/100)*(2+Max(0,($A53-35)*0.2))),1),0)*IF(EnemyBuffed=TRUE,1.25,1),0)*EnemyDMGTaken,0),1) &amp; ")"</f>
        <v>37  (37)</v>
      </c>
      <c r="X53" s="414" t="str">
        <f>Rounddown(Round(Round((X$34+X$35*($A53-1))*(1+(EnemyDamageSlider-1)+(EnemyDMGDanger-1)+(EnemyJackDMG-1)),0)*IF($A53&gt;20,(1+Max(0,((($A53-20)*(($A53-20)+1))/2)/100)*(2+Max(0,($A53-35)*0.2))),1),0)*IF(EnemyBuffed=TRUE,1.25,1),0) &amp; "  (" &amp; MAX(ROUND(Rounddown(Round(Round((X$34+X$35*($A53-1))*(1+(EnemyDamageSlider-1)+(EnemyDMGDanger-1)+(EnemyJackDMG-1)),0)*IF($A53&gt;20,(1+Max(0,((($A53-20)*(($A53-20)+1))/2)/100)*(2+Max(0,($A53-35)*0.2))),1),0)*IF(EnemyBuffed=TRUE,1.25,1),0)*EnemyDMGTaken,0),1) &amp; ")"</f>
        <v>37  (37)</v>
      </c>
      <c r="Y53" s="414" t="str">
        <f>Rounddown(Round(Round((Y$34+Y$35*($A53-1))*(1+(EnemyDamageSlider-1)+(EnemyDMGDanger-1)+(EnemyJackDMG-1)),0)*IF($A53&gt;20,(1+Max(0,((($A53-20)*(($A53-20)+1))/2)/100)*(2+Max(0,($A53-35)*0.2))),1),0)*IF(EnemyBuffed=TRUE,1.25,1),0) &amp; "  (" &amp; MAX(ROUND(Rounddown(Round(Round((Y$34+Y$35*($A53-1))*(1+(EnemyDamageSlider-1)+(EnemyDMGDanger-1)+(EnemyJackDMG-1)),0)*IF($A53&gt;20,(1+Max(0,((($A53-20)*(($A53-20)+1))/2)/100)*(2+Max(0,($A53-35)*0.2))),1),0)*IF(EnemyBuffed=TRUE,1.25,1),0)*EnemyDMGTaken,0),1) &amp; ")"</f>
        <v>37  (37)</v>
      </c>
      <c r="Z53" s="414" t="str">
        <f>Rounddown(Round(Round((Z$34+Z$35*($A53-1))*(1+(EnemyDamageSlider-1)+(EnemyDMGDanger-1)+(EnemyJackDMG-1)),0)*IF($A53&gt;20,(1+Max(0,((($A53-20)*(($A53-20)+1))/2)/100)*(2+Max(0,($A53-35)*0.2))),1),0)*IF(EnemyBuffed=TRUE,1.25,1),0) &amp; "  (" &amp; MAX(ROUND(Rounddown(Round(Round((Z$34+Z$35*($A53-1))*(1+(EnemyDamageSlider-1)+(EnemyDMGDanger-1)+(EnemyJackDMG-1)),0)*IF($A53&gt;20,(1+Max(0,((($A53-20)*(($A53-20)+1))/2)/100)*(2+Max(0,($A53-35)*0.2))),1),0)*IF(EnemyBuffed=TRUE,1.25,1),0)*EnemyDMGTaken,0),1) &amp; ")"</f>
        <v>37  (37)</v>
      </c>
      <c r="AA53" s="414" t="str">
        <f>Rounddown(Round(Round((AA$34+AA$35*($A53-1))*(1+(EnemyDamageSlider-1)+(EnemyDMGDanger-1)+(EnemyJackDMG-1)),0)*IF($A53&gt;20,(1+Max(0,((($A53-20)*(($A53-20)+1))/2)/100)*(2+Max(0,($A53-35)*0.2))),1),0)*IF(EnemyBuffed=TRUE,1.25,1),0) &amp; "  (" &amp; MAX(ROUND(Rounddown(Round(Round((AA$34+AA$35*($A53-1))*(1+(EnemyDamageSlider-1)+(EnemyDMGDanger-1)+(EnemyJackDMG-1)),0)*IF($A53&gt;20,(1+Max(0,((($A53-20)*(($A53-20)+1))/2)/100)*(2+Max(0,($A53-35)*0.2))),1),0)*IF(EnemyBuffed=TRUE,1.25,1),0)*EnemyDMGTaken,0),1) &amp; ")"</f>
        <v>19  (19)</v>
      </c>
    </row>
    <row r="54">
      <c r="A54" s="150">
        <v>19.0</v>
      </c>
      <c r="B54" s="415">
        <v>0.0</v>
      </c>
      <c r="C54" s="414" t="str">
        <f>Rounddown(Round(Round((C$34+C$35*($A54-1))*(1+(EnemyDamageSlider-1)+(EnemyDMGDanger-1)+(EnemyJackDMG-1)),0)*IF($A54&gt;20,(1+Max(0,((($A54-20)*(($A54-20)+1))/2)/100)*(2+Max(0,($A54-35)*0.2))),1),0)*IF(EnemyBuffed=TRUE,1.25,1),0) &amp; "  (" &amp; MAX(ROUND(Rounddown(Round(Round((C$34+C$35*($A54-1))*(1+(EnemyDamageSlider-1)+(EnemyDMGDanger-1)+(EnemyJackDMG-1)),0)*IF($A54&gt;20,(1+Max(0,((($A54-20)*(($A54-20)+1))/2)/100)*(2+Max(0,($A54-35)*0.2))),1),0)*IF(EnemyBuffed=TRUE,1.25,1),0)*EnemyDMGTaken,0),1) &amp; ")"</f>
        <v>17  (17)</v>
      </c>
      <c r="D54" s="414" t="str">
        <f>Rounddown(Round(Round((D$34+D$35*($A54-1))*(1+(EnemyDamageSlider-1)+(EnemyDMGDanger-1)+(EnemyJackDMG-1)),0)*IF($A54&gt;20,(1+Max(0,((($A54-20)*(($A54-20)+1))/2)/100)*(2+Max(0,($A54-35)*0.2))),1),0)*IF(EnemyBuffed=TRUE,1.25,1),0) &amp; "  (" &amp; MAX(ROUND(Rounddown(Round(Round((D$34+D$35*($A54-1))*(1+(EnemyDamageSlider-1)+(EnemyDMGDanger-1)+(EnemyJackDMG-1)),0)*IF($A54&gt;20,(1+Max(0,((($A54-20)*(($A54-20)+1))/2)/100)*(2+Max(0,($A54-35)*0.2))),1),0)*IF(EnemyBuffed=TRUE,1.25,1),0)*EnemyDMGTaken,0),1) &amp; ")"</f>
        <v>17  (17)</v>
      </c>
      <c r="E54" s="414" t="str">
        <f>Rounddown(Round(Round((E$34+E$35*($A54-1))*(1+(EnemyDamageSlider-1)+(EnemyDMGDanger-1)+(EnemyJackDMG-1)),0)*IF($A54&gt;20,(1+Max(0,((($A54-20)*(($A54-20)+1))/2)/100)*(2+Max(0,($A54-35)*0.2))),1),0)*IF(EnemyBuffed=TRUE,1.25,1),0) &amp; "  (" &amp; MAX(ROUND(Rounddown(Round(Round((E$34+E$35*($A54-1))*(1+(EnemyDamageSlider-1)+(EnemyDMGDanger-1)+(EnemyJackDMG-1)),0)*IF($A54&gt;20,(1+Max(0,((($A54-20)*(($A54-20)+1))/2)/100)*(2+Max(0,($A54-35)*0.2))),1),0)*IF(EnemyBuffed=TRUE,1.25,1),0)*EnemyDMGTaken,0),1) &amp; ")"</f>
        <v>17  (17)</v>
      </c>
      <c r="F54" s="414" t="str">
        <f>Rounddown(Round(Round((F$34+F$35*($A54-1))*(1+(EnemyDamageSlider-1)+(EnemyDMGDanger-1)+(EnemyJackDMG-1)),0)*IF($A54&gt;20,(1+Max(0,((($A54-20)*(($A54-20)+1))/2)/100)*(2+Max(0,($A54-35)*0.2))),1),0)*IF(EnemyBuffed=TRUE,1.25,1),0) &amp; "  (" &amp; MAX(ROUND(Rounddown(Round(Round((F$34+F$35*($A54-1))*(1+(EnemyDamageSlider-1)+(EnemyDMGDanger-1)+(EnemyJackDMG-1)),0)*IF($A54&gt;20,(1+Max(0,((($A54-20)*(($A54-20)+1))/2)/100)*(2+Max(0,($A54-35)*0.2))),1),0)*IF(EnemyBuffed=TRUE,1.25,1),0)*EnemyDMGTaken,0),1) &amp; ")"</f>
        <v>23  (23)</v>
      </c>
      <c r="G54" s="414" t="str">
        <f>Rounddown(Round(Round((G$34+G$35*($A54-1))*(1+(EnemyDamageSlider-1)+(EnemyDMGDanger-1)+(EnemyJackDMG-1)),0)*IF($A54&gt;20,(1+Max(0,((($A54-20)*(($A54-20)+1))/2)/100)*(2+Max(0,($A54-35)*0.2))),1),0)*IF(EnemyBuffed=TRUE,1.25,1),0) &amp; "  (" &amp; MAX(ROUND(Rounddown(Round(Round((G$34+G$35*($A54-1))*(1+(EnemyDamageSlider-1)+(EnemyDMGDanger-1)+(EnemyJackDMG-1)),0)*IF($A54&gt;20,(1+Max(0,((($A54-20)*(($A54-20)+1))/2)/100)*(2+Max(0,($A54-35)*0.2))),1),0)*IF(EnemyBuffed=TRUE,1.25,1),0)*EnemyDMGTaken,0),1) &amp; ")"</f>
        <v>32  (32)</v>
      </c>
      <c r="H54" s="414" t="str">
        <f>Rounddown(Round(Round((H$34+H$35*($A54-1))*(1+(EnemyDamageSlider-1)+(EnemyDMGDanger-1)+(EnemyJackDMG-1)),0)*IF($A54&gt;20,(1+Max(0,((($A54-20)*(($A54-20)+1))/2)/100)*(2+Max(0,($A54-35)*0.2))),1),0)*IF(EnemyBuffed=TRUE,1.25,1),0) &amp; "  (" &amp; MAX(ROUND(Rounddown(Round(Round((H$34+H$35*($A54-1))*(1+(EnemyDamageSlider-1)+(EnemyDMGDanger-1)+(EnemyJackDMG-1)),0)*IF($A54&gt;20,(1+Max(0,((($A54-20)*(($A54-20)+1))/2)/100)*(2+Max(0,($A54-35)*0.2))),1),0)*IF(EnemyBuffed=TRUE,1.25,1),0)*EnemyDMGTaken,0),1) &amp; ")"</f>
        <v>24  (24)</v>
      </c>
      <c r="I54" s="414" t="str">
        <f>Rounddown(Round(Round((I$34+I$35*($A54-1))*(1+(EnemyDamageSlider-1)+(EnemyDMGDanger-1)+(EnemyJackDMG-1)),0)*IF($A54&gt;20,(1+Max(0,((($A54-20)*(($A54-20)+1))/2)/100)*(2+Max(0,($A54-35)*0.2))),1),0)*IF(EnemyBuffed=TRUE,1.25,1),0) &amp; "  (" &amp; MAX(ROUND(Rounddown(Round(Round((I$34+I$35*($A54-1))*(1+(EnemyDamageSlider-1)+(EnemyDMGDanger-1)+(EnemyJackDMG-1)),0)*IF($A54&gt;20,(1+Max(0,((($A54-20)*(($A54-20)+1))/2)/100)*(2+Max(0,($A54-35)*0.2))),1),0)*IF(EnemyBuffed=TRUE,1.25,1),0)*EnemyDMGTaken,0),1) &amp; ")"</f>
        <v>17  (17)</v>
      </c>
      <c r="J54" s="414" t="str">
        <f>Rounddown(Round(Round((J$34+J$35*($A54-1))*(1+(EnemyDamageSlider-1)+(EnemyDMGDanger-1)+(EnemyJackDMG-1)),0)*IF($A54&gt;20,(1+Max(0,((($A54-20)*(($A54-20)+1))/2)/100)*(2+Max(0,($A54-35)*0.2))),1),0)*IF(EnemyBuffed=TRUE,1.25,1),0) &amp; "  (" &amp; MAX(ROUND(Rounddown(Round(Round((J$34+J$35*($A54-1))*(1+(EnemyDamageSlider-1)+(EnemyDMGDanger-1)+(EnemyJackDMG-1)),0)*IF($A54&gt;20,(1+Max(0,((($A54-20)*(($A54-20)+1))/2)/100)*(2+Max(0,($A54-35)*0.2))),1),0)*IF(EnemyBuffed=TRUE,1.25,1),0)*EnemyDMGTaken,0),1) &amp; ")"</f>
        <v>23  (23)</v>
      </c>
      <c r="K54" s="414" t="str">
        <f>Rounddown(Round(Round((K$34+K$35*($A54-1))*(1+(EnemyDamageSlider-1)+(EnemyDMGDanger-1)+(EnemyJackDMG-1)),0)*IF($A54&gt;20,(1+Max(0,((($A54-20)*(($A54-20)+1))/2)/100)*(2+Max(0,($A54-35)*0.2))),1),0)*IF(EnemyBuffed=TRUE,1.25,1),0) &amp; "  (" &amp; MAX(ROUND(Rounddown(Round(Round((K$34+K$35*($A54-1))*(1+(EnemyDamageSlider-1)+(EnemyDMGDanger-1)+(EnemyJackDMG-1)),0)*IF($A54&gt;20,(1+Max(0,((($A54-20)*(($A54-20)+1))/2)/100)*(2+Max(0,($A54-35)*0.2))),1),0)*IF(EnemyBuffed=TRUE,1.25,1),0)*EnemyDMGTaken,0),1) &amp; ")"</f>
        <v>23  (23)</v>
      </c>
      <c r="L54" s="414" t="str">
        <f>Rounddown(Round(Round((L$34+L$35*($A54-1))*(1+(EnemyDamageSlider-1)+(EnemyDMGDanger-1)+(EnemyJackDMG-1)),0)*IF($A54&gt;20,(1+Max(0,((($A54-20)*(($A54-20)+1))/2)/100)*(2+Max(0,($A54-35)*0.2))),1),0)*IF(EnemyBuffed=TRUE,1.25,1),0) &amp; "  (" &amp; MAX(ROUND(Rounddown(Round(Round((L$34+L$35*($A54-1))*(1+(EnemyDamageSlider-1)+(EnemyDMGDanger-1)+(EnemyJackDMG-1)),0)*IF($A54&gt;20,(1+Max(0,((($A54-20)*(($A54-20)+1))/2)/100)*(2+Max(0,($A54-35)*0.2))),1),0)*IF(EnemyBuffed=TRUE,1.25,1),0)*EnemyDMGTaken,0),1) &amp; ")"</f>
        <v>23  (23)</v>
      </c>
      <c r="M54" s="414" t="str">
        <f>Rounddown(Round(Round((M$34+M$35*($A54-1))*(1+(EnemyDamageSlider-1)+(EnemyDMGDanger-1)+(EnemyJackDMG-1)),0)*IF($A54&gt;20,(1+Max(0,((($A54-20)*(($A54-20)+1))/2)/100)*(2+Max(0,($A54-35)*0.2))),1),0)*IF(EnemyBuffed=TRUE,1.25,1),0) &amp; "  (" &amp; MAX(ROUND(Rounddown(Round(Round((M$34+M$35*($A54-1))*(1+(EnemyDamageSlider-1)+(EnemyDMGDanger-1)+(EnemyJackDMG-1)),0)*IF($A54&gt;20,(1+Max(0,((($A54-20)*(($A54-20)+1))/2)/100)*(2+Max(0,($A54-35)*0.2))),1),0)*IF(EnemyBuffed=TRUE,1.25,1),0)*EnemyDMGTaken,0),1) &amp; ")"</f>
        <v>27  (27)</v>
      </c>
      <c r="N54" s="414" t="str">
        <f>Rounddown(Round(Round((N$34+N$35*($A54-1))*(1+(EnemyDamageSlider-1)+(EnemyDMGDanger-1)+(EnemyJackDMG-1)),0)*IF($A54&gt;20,(1+Max(0,((($A54-20)*(($A54-20)+1))/2)/100)*(2+Max(0,($A54-35)*0.2))),1),0)*IF(EnemyBuffed=TRUE,1.25,1),0) &amp; "  (" &amp; MAX(ROUND(Rounddown(Round(Round((N$34+N$35*($A54-1))*(1+(EnemyDamageSlider-1)+(EnemyDMGDanger-1)+(EnemyJackDMG-1)),0)*IF($A54&gt;20,(1+Max(0,((($A54-20)*(($A54-20)+1))/2)/100)*(2+Max(0,($A54-35)*0.2))),1),0)*IF(EnemyBuffed=TRUE,1.25,1),0)*EnemyDMGTaken,0),1) &amp; ")"</f>
        <v>27  (27)</v>
      </c>
      <c r="O54" s="414" t="str">
        <f>Rounddown(Round(Round((O$34+O$35*($A54-1))*(1+(EnemyDamageSlider-1)+(EnemyDMGDanger-1)+(EnemyJackDMG-1)),0)*IF($A54&gt;20,(1+Max(0,((($A54-20)*(($A54-20)+1))/2)/100)*(2+Max(0,($A54-35)*0.2))),1),0)*IF(EnemyBuffed=TRUE,1.25,1),0) &amp; "  (" &amp; MAX(ROUND(Rounddown(Round(Round((O$34+O$35*($A54-1))*(1+(EnemyDamageSlider-1)+(EnemyDMGDanger-1)+(EnemyJackDMG-1)),0)*IF($A54&gt;20,(1+Max(0,((($A54-20)*(($A54-20)+1))/2)/100)*(2+Max(0,($A54-35)*0.2))),1),0)*IF(EnemyBuffed=TRUE,1.25,1),0)*EnemyDMGTaken,0),1) &amp; ")"</f>
        <v>23  (23)</v>
      </c>
      <c r="P54" s="414" t="str">
        <f>Rounddown(Round(Round((P$34+P$35*($A54-1))*(1+(EnemyDamageSlider-1)+(EnemyDMGDanger-1)+(EnemyJackDMG-1)),0)*IF($A54&gt;20,(1+Max(0,((($A54-20)*(($A54-20)+1))/2)/100)*(2+Max(0,($A54-35)*0.2))),1),0)*IF(EnemyBuffed=TRUE,1.25,1),0) &amp; "  (" &amp; MAX(ROUND(Rounddown(Round(Round((P$34+P$35*($A54-1))*(1+(EnemyDamageSlider-1)+(EnemyDMGDanger-1)+(EnemyJackDMG-1)),0)*IF($A54&gt;20,(1+Max(0,((($A54-20)*(($A54-20)+1))/2)/100)*(2+Max(0,($A54-35)*0.2))),1),0)*IF(EnemyBuffed=TRUE,1.25,1),0)*EnemyDMGTaken,0),1) &amp; ")"</f>
        <v>27  (27)</v>
      </c>
      <c r="Q54" s="414" t="str">
        <f>Rounddown(Round(Round((Q$34+Q$35*($A54-1))*(1+(EnemyDamageSlider-1)+(EnemyDMGDanger-1)+(EnemyJackDMG-1)),0)*IF($A54&gt;20,(1+Max(0,((($A54-20)*(($A54-20)+1))/2)/100)*(2+Max(0,($A54-35)*0.2))),1),0)*IF(EnemyBuffed=TRUE,1.25,1),0) &amp; "  (" &amp; MAX(ROUND(Rounddown(Round(Round((Q$34+Q$35*($A54-1))*(1+(EnemyDamageSlider-1)+(EnemyDMGDanger-1)+(EnemyJackDMG-1)),0)*IF($A54&gt;20,(1+Max(0,((($A54-20)*(($A54-20)+1))/2)/100)*(2+Max(0,($A54-35)*0.2))),1),0)*IF(EnemyBuffed=TRUE,1.25,1),0)*EnemyDMGTaken,0),1) &amp; ")"</f>
        <v>30  (30)</v>
      </c>
      <c r="R54" s="414" t="str">
        <f>Rounddown(Round(Round((R$34+R$35*($A54-1))*(1+(EnemyDamageSlider-1)+(EnemyDMGDanger-1)+(EnemyJackDMG-1)),0)*IF($A54&gt;20,(1+Max(0,((($A54-20)*(($A54-20)+1))/2)/100)*(2+Max(0,($A54-35)*0.2))),1),0)*IF(EnemyBuffed=TRUE,1.25,1),0) &amp; "  (" &amp; MAX(ROUND(Rounddown(Round(Round((R$34+R$35*($A54-1))*(1+(EnemyDamageSlider-1)+(EnemyDMGDanger-1)+(EnemyJackDMG-1)),0)*IF($A54&gt;20,(1+Max(0,((($A54-20)*(($A54-20)+1))/2)/100)*(2+Max(0,($A54-35)*0.2))),1),0)*IF(EnemyBuffed=TRUE,1.25,1),0)*EnemyDMGTaken,0),1) &amp; ")"</f>
        <v>29  (29)</v>
      </c>
      <c r="S54" s="414" t="str">
        <f>Rounddown(Round(Round((S$34+S$35*($A54-1))*(1+(EnemyDamageSlider-1)+(EnemyDMGDanger-1)+(EnemyJackDMG-1)),0)*IF($A54&gt;20,(1+Max(0,((($A54-20)*(($A54-20)+1))/2)/100)*(2+Max(0,($A54-35)*0.2))),1),0)*IF(EnemyBuffed=TRUE,1.25,1),0) &amp; "  (" &amp; MAX(ROUND(Rounddown(Round(Round((S$34+S$35*($A54-1))*(1+(EnemyDamageSlider-1)+(EnemyDMGDanger-1)+(EnemyJackDMG-1)),0)*IF($A54&gt;20,(1+Max(0,((($A54-20)*(($A54-20)+1))/2)/100)*(2+Max(0,($A54-35)*0.2))),1),0)*IF(EnemyBuffed=TRUE,1.25,1),0)*EnemyDMGTaken,0),1) &amp; ")"</f>
        <v>17  (17)</v>
      </c>
      <c r="T54" s="414" t="str">
        <f>Rounddown(Round(Round((T$34+T$35*($A54-1))*(1+(EnemyDamageSlider-1)+(EnemyDMGDanger-1)+(EnemyJackDMG-1)),0)*IF($A54&gt;20,(1+Max(0,((($A54-20)*(($A54-20)+1))/2)/100)*(2+Max(0,($A54-35)*0.2))),1),0)*IF(EnemyBuffed=TRUE,1.25,1),0) &amp; "  (" &amp; MAX(ROUND(Rounddown(Round(Round((T$34+T$35*($A54-1))*(1+(EnemyDamageSlider-1)+(EnemyDMGDanger-1)+(EnemyJackDMG-1)),0)*IF($A54&gt;20,(1+Max(0,((($A54-20)*(($A54-20)+1))/2)/100)*(2+Max(0,($A54-35)*0.2))),1),0)*IF(EnemyBuffed=TRUE,1.25,1),0)*EnemyDMGTaken,0),1) &amp; ")"</f>
        <v>30  (30)</v>
      </c>
      <c r="U54" s="414" t="str">
        <f>Rounddown(Round(Round((U$34+U$35*($A54-1))*(1+(EnemyDamageSlider-1)+(EnemyDMGDanger-1)+(EnemyJackDMG-1)),0)*IF($A54&gt;20,(1+Max(0,((($A54-20)*(($A54-20)+1))/2)/100)*(2+Max(0,($A54-35)*0.2))),1),0)*IF(EnemyBuffed=TRUE,1.25,1),0) &amp; "  (" &amp; MAX(ROUND(Rounddown(Round(Round((U$34+U$35*($A54-1))*(1+(EnemyDamageSlider-1)+(EnemyDMGDanger-1)+(EnemyJackDMG-1)),0)*IF($A54&gt;20,(1+Max(0,((($A54-20)*(($A54-20)+1))/2)/100)*(2+Max(0,($A54-35)*0.2))),1),0)*IF(EnemyBuffed=TRUE,1.25,1),0)*EnemyDMGTaken,0),1) &amp; ")"</f>
        <v>27  (27)</v>
      </c>
      <c r="V54" s="414" t="str">
        <f>Rounddown(Round(Round((V$34+V$35*($A54-1))*(1+(EnemyDamageSlider-1)+(EnemyDMGDanger-1)+(EnemyJackDMG-1)),0)*IF($A54&gt;20,(1+Max(0,((($A54-20)*(($A54-20)+1))/2)/100)*(2+Max(0,($A54-35)*0.2))),1),0)*IF(EnemyBuffed=TRUE,1.25,1),0) &amp; "  (" &amp; MAX(ROUND(Rounddown(Round(Round((V$34+V$35*($A54-1))*(1+(EnemyDamageSlider-1)+(EnemyDMGDanger-1)+(EnemyJackDMG-1)),0)*IF($A54&gt;20,(1+Max(0,((($A54-20)*(($A54-20)+1))/2)/100)*(2+Max(0,($A54-35)*0.2))),1),0)*IF(EnemyBuffed=TRUE,1.25,1),0)*EnemyDMGTaken,0),1) &amp; ")"</f>
        <v>39  (39)</v>
      </c>
      <c r="W54" s="414" t="str">
        <f>Rounddown(Round(Round((W$34+W$35*($A54-1))*(1+(EnemyDamageSlider-1)+(EnemyDMGDanger-1)+(EnemyJackDMG-1)),0)*IF($A54&gt;20,(1+Max(0,((($A54-20)*(($A54-20)+1))/2)/100)*(2+Max(0,($A54-35)*0.2))),1),0)*IF(EnemyBuffed=TRUE,1.25,1),0) &amp; "  (" &amp; MAX(ROUND(Rounddown(Round(Round((W$34+W$35*($A54-1))*(1+(EnemyDamageSlider-1)+(EnemyDMGDanger-1)+(EnemyJackDMG-1)),0)*IF($A54&gt;20,(1+Max(0,((($A54-20)*(($A54-20)+1))/2)/100)*(2+Max(0,($A54-35)*0.2))),1),0)*IF(EnemyBuffed=TRUE,1.25,1),0)*EnemyDMGTaken,0),1) &amp; ")"</f>
        <v>39  (39)</v>
      </c>
      <c r="X54" s="414" t="str">
        <f>Rounddown(Round(Round((X$34+X$35*($A54-1))*(1+(EnemyDamageSlider-1)+(EnemyDMGDanger-1)+(EnemyJackDMG-1)),0)*IF($A54&gt;20,(1+Max(0,((($A54-20)*(($A54-20)+1))/2)/100)*(2+Max(0,($A54-35)*0.2))),1),0)*IF(EnemyBuffed=TRUE,1.25,1),0) &amp; "  (" &amp; MAX(ROUND(Rounddown(Round(Round((X$34+X$35*($A54-1))*(1+(EnemyDamageSlider-1)+(EnemyDMGDanger-1)+(EnemyJackDMG-1)),0)*IF($A54&gt;20,(1+Max(0,((($A54-20)*(($A54-20)+1))/2)/100)*(2+Max(0,($A54-35)*0.2))),1),0)*IF(EnemyBuffed=TRUE,1.25,1),0)*EnemyDMGTaken,0),1) &amp; ")"</f>
        <v>39  (39)</v>
      </c>
      <c r="Y54" s="414" t="str">
        <f>Rounddown(Round(Round((Y$34+Y$35*($A54-1))*(1+(EnemyDamageSlider-1)+(EnemyDMGDanger-1)+(EnemyJackDMG-1)),0)*IF($A54&gt;20,(1+Max(0,((($A54-20)*(($A54-20)+1))/2)/100)*(2+Max(0,($A54-35)*0.2))),1),0)*IF(EnemyBuffed=TRUE,1.25,1),0) &amp; "  (" &amp; MAX(ROUND(Rounddown(Round(Round((Y$34+Y$35*($A54-1))*(1+(EnemyDamageSlider-1)+(EnemyDMGDanger-1)+(EnemyJackDMG-1)),0)*IF($A54&gt;20,(1+Max(0,((($A54-20)*(($A54-20)+1))/2)/100)*(2+Max(0,($A54-35)*0.2))),1),0)*IF(EnemyBuffed=TRUE,1.25,1),0)*EnemyDMGTaken,0),1) &amp; ")"</f>
        <v>39  (39)</v>
      </c>
      <c r="Z54" s="414" t="str">
        <f>Rounddown(Round(Round((Z$34+Z$35*($A54-1))*(1+(EnemyDamageSlider-1)+(EnemyDMGDanger-1)+(EnemyJackDMG-1)),0)*IF($A54&gt;20,(1+Max(0,((($A54-20)*(($A54-20)+1))/2)/100)*(2+Max(0,($A54-35)*0.2))),1),0)*IF(EnemyBuffed=TRUE,1.25,1),0) &amp; "  (" &amp; MAX(ROUND(Rounddown(Round(Round((Z$34+Z$35*($A54-1))*(1+(EnemyDamageSlider-1)+(EnemyDMGDanger-1)+(EnemyJackDMG-1)),0)*IF($A54&gt;20,(1+Max(0,((($A54-20)*(($A54-20)+1))/2)/100)*(2+Max(0,($A54-35)*0.2))),1),0)*IF(EnemyBuffed=TRUE,1.25,1),0)*EnemyDMGTaken,0),1) &amp; ")"</f>
        <v>39  (39)</v>
      </c>
      <c r="AA54" s="414" t="str">
        <f>Rounddown(Round(Round((AA$34+AA$35*($A54-1))*(1+(EnemyDamageSlider-1)+(EnemyDMGDanger-1)+(EnemyJackDMG-1)),0)*IF($A54&gt;20,(1+Max(0,((($A54-20)*(($A54-20)+1))/2)/100)*(2+Max(0,($A54-35)*0.2))),1),0)*IF(EnemyBuffed=TRUE,1.25,1),0) &amp; "  (" &amp; MAX(ROUND(Rounddown(Round(Round((AA$34+AA$35*($A54-1))*(1+(EnemyDamageSlider-1)+(EnemyDMGDanger-1)+(EnemyJackDMG-1)),0)*IF($A54&gt;20,(1+Max(0,((($A54-20)*(($A54-20)+1))/2)/100)*(2+Max(0,($A54-35)*0.2))),1),0)*IF(EnemyBuffed=TRUE,1.25,1),0)*EnemyDMGTaken,0),1) &amp; ")"</f>
        <v>20  (20)</v>
      </c>
    </row>
    <row r="55">
      <c r="A55" s="150">
        <v>20.0</v>
      </c>
      <c r="B55" s="415">
        <v>0.0</v>
      </c>
      <c r="C55" s="414" t="str">
        <f>Rounddown(Round(Round((C$34+C$35*($A55-1))*(1+(EnemyDamageSlider-1)+(EnemyDMGDanger-1)+(EnemyJackDMG-1)),0)*IF($A55&gt;20,(1+Max(0,((($A55-20)*(($A55-20)+1))/2)/100)*(2+Max(0,($A55-35)*0.2))),1),0)*IF(EnemyBuffed=TRUE,1.25,1),0) &amp; "  (" &amp; MAX(ROUND(Rounddown(Round(Round((C$34+C$35*($A55-1))*(1+(EnemyDamageSlider-1)+(EnemyDMGDanger-1)+(EnemyJackDMG-1)),0)*IF($A55&gt;20,(1+Max(0,((($A55-20)*(($A55-20)+1))/2)/100)*(2+Max(0,($A55-35)*0.2))),1),0)*IF(EnemyBuffed=TRUE,1.25,1),0)*EnemyDMGTaken,0),1) &amp; ")"</f>
        <v>17  (17)</v>
      </c>
      <c r="D55" s="414" t="str">
        <f>Rounddown(Round(Round((D$34+D$35*($A55-1))*(1+(EnemyDamageSlider-1)+(EnemyDMGDanger-1)+(EnemyJackDMG-1)),0)*IF($A55&gt;20,(1+Max(0,((($A55-20)*(($A55-20)+1))/2)/100)*(2+Max(0,($A55-35)*0.2))),1),0)*IF(EnemyBuffed=TRUE,1.25,1),0) &amp; "  (" &amp; MAX(ROUND(Rounddown(Round(Round((D$34+D$35*($A55-1))*(1+(EnemyDamageSlider-1)+(EnemyDMGDanger-1)+(EnemyJackDMG-1)),0)*IF($A55&gt;20,(1+Max(0,((($A55-20)*(($A55-20)+1))/2)/100)*(2+Max(0,($A55-35)*0.2))),1),0)*IF(EnemyBuffed=TRUE,1.25,1),0)*EnemyDMGTaken,0),1) &amp; ")"</f>
        <v>17  (17)</v>
      </c>
      <c r="E55" s="414" t="str">
        <f>Rounddown(Round(Round((E$34+E$35*($A55-1))*(1+(EnemyDamageSlider-1)+(EnemyDMGDanger-1)+(EnemyJackDMG-1)),0)*IF($A55&gt;20,(1+Max(0,((($A55-20)*(($A55-20)+1))/2)/100)*(2+Max(0,($A55-35)*0.2))),1),0)*IF(EnemyBuffed=TRUE,1.25,1),0) &amp; "  (" &amp; MAX(ROUND(Rounddown(Round(Round((E$34+E$35*($A55-1))*(1+(EnemyDamageSlider-1)+(EnemyDMGDanger-1)+(EnemyJackDMG-1)),0)*IF($A55&gt;20,(1+Max(0,((($A55-20)*(($A55-20)+1))/2)/100)*(2+Max(0,($A55-35)*0.2))),1),0)*IF(EnemyBuffed=TRUE,1.25,1),0)*EnemyDMGTaken,0),1) &amp; ")"</f>
        <v>17  (17)</v>
      </c>
      <c r="F55" s="414" t="str">
        <f>Rounddown(Round(Round((F$34+F$35*($A55-1))*(1+(EnemyDamageSlider-1)+(EnemyDMGDanger-1)+(EnemyJackDMG-1)),0)*IF($A55&gt;20,(1+Max(0,((($A55-20)*(($A55-20)+1))/2)/100)*(2+Max(0,($A55-35)*0.2))),1),0)*IF(EnemyBuffed=TRUE,1.25,1),0) &amp; "  (" &amp; MAX(ROUND(Rounddown(Round(Round((F$34+F$35*($A55-1))*(1+(EnemyDamageSlider-1)+(EnemyDMGDanger-1)+(EnemyJackDMG-1)),0)*IF($A55&gt;20,(1+Max(0,((($A55-20)*(($A55-20)+1))/2)/100)*(2+Max(0,($A55-35)*0.2))),1),0)*IF(EnemyBuffed=TRUE,1.25,1),0)*EnemyDMGTaken,0),1) &amp; ")"</f>
        <v>24  (24)</v>
      </c>
      <c r="G55" s="414" t="str">
        <f>Rounddown(Round(Round((G$34+G$35*($A55-1))*(1+(EnemyDamageSlider-1)+(EnemyDMGDanger-1)+(EnemyJackDMG-1)),0)*IF($A55&gt;20,(1+Max(0,((($A55-20)*(($A55-20)+1))/2)/100)*(2+Max(0,($A55-35)*0.2))),1),0)*IF(EnemyBuffed=TRUE,1.25,1),0) &amp; "  (" &amp; MAX(ROUND(Rounddown(Round(Round((G$34+G$35*($A55-1))*(1+(EnemyDamageSlider-1)+(EnemyDMGDanger-1)+(EnemyJackDMG-1)),0)*IF($A55&gt;20,(1+Max(0,((($A55-20)*(($A55-20)+1))/2)/100)*(2+Max(0,($A55-35)*0.2))),1),0)*IF(EnemyBuffed=TRUE,1.25,1),0)*EnemyDMGTaken,0),1) &amp; ")"</f>
        <v>33  (33)</v>
      </c>
      <c r="H55" s="414" t="str">
        <f>Rounddown(Round(Round((H$34+H$35*($A55-1))*(1+(EnemyDamageSlider-1)+(EnemyDMGDanger-1)+(EnemyJackDMG-1)),0)*IF($A55&gt;20,(1+Max(0,((($A55-20)*(($A55-20)+1))/2)/100)*(2+Max(0,($A55-35)*0.2))),1),0)*IF(EnemyBuffed=TRUE,1.25,1),0) &amp; "  (" &amp; MAX(ROUND(Rounddown(Round(Round((H$34+H$35*($A55-1))*(1+(EnemyDamageSlider-1)+(EnemyDMGDanger-1)+(EnemyJackDMG-1)),0)*IF($A55&gt;20,(1+Max(0,((($A55-20)*(($A55-20)+1))/2)/100)*(2+Max(0,($A55-35)*0.2))),1),0)*IF(EnemyBuffed=TRUE,1.25,1),0)*EnemyDMGTaken,0),1) &amp; ")"</f>
        <v>25  (25)</v>
      </c>
      <c r="I55" s="414" t="str">
        <f>Rounddown(Round(Round((I$34+I$35*($A55-1))*(1+(EnemyDamageSlider-1)+(EnemyDMGDanger-1)+(EnemyJackDMG-1)),0)*IF($A55&gt;20,(1+Max(0,((($A55-20)*(($A55-20)+1))/2)/100)*(2+Max(0,($A55-35)*0.2))),1),0)*IF(EnemyBuffed=TRUE,1.25,1),0) &amp; "  (" &amp; MAX(ROUND(Rounddown(Round(Round((I$34+I$35*($A55-1))*(1+(EnemyDamageSlider-1)+(EnemyDMGDanger-1)+(EnemyJackDMG-1)),0)*IF($A55&gt;20,(1+Max(0,((($A55-20)*(($A55-20)+1))/2)/100)*(2+Max(0,($A55-35)*0.2))),1),0)*IF(EnemyBuffed=TRUE,1.25,1),0)*EnemyDMGTaken,0),1) &amp; ")"</f>
        <v>17  (17)</v>
      </c>
      <c r="J55" s="414" t="str">
        <f>Rounddown(Round(Round((J$34+J$35*($A55-1))*(1+(EnemyDamageSlider-1)+(EnemyDMGDanger-1)+(EnemyJackDMG-1)),0)*IF($A55&gt;20,(1+Max(0,((($A55-20)*(($A55-20)+1))/2)/100)*(2+Max(0,($A55-35)*0.2))),1),0)*IF(EnemyBuffed=TRUE,1.25,1),0) &amp; "  (" &amp; MAX(ROUND(Rounddown(Round(Round((J$34+J$35*($A55-1))*(1+(EnemyDamageSlider-1)+(EnemyDMGDanger-1)+(EnemyJackDMG-1)),0)*IF($A55&gt;20,(1+Max(0,((($A55-20)*(($A55-20)+1))/2)/100)*(2+Max(0,($A55-35)*0.2))),1),0)*IF(EnemyBuffed=TRUE,1.25,1),0)*EnemyDMGTaken,0),1) &amp; ")"</f>
        <v>24  (24)</v>
      </c>
      <c r="K55" s="414" t="str">
        <f>Rounddown(Round(Round((K$34+K$35*($A55-1))*(1+(EnemyDamageSlider-1)+(EnemyDMGDanger-1)+(EnemyJackDMG-1)),0)*IF($A55&gt;20,(1+Max(0,((($A55-20)*(($A55-20)+1))/2)/100)*(2+Max(0,($A55-35)*0.2))),1),0)*IF(EnemyBuffed=TRUE,1.25,1),0) &amp; "  (" &amp; MAX(ROUND(Rounddown(Round(Round((K$34+K$35*($A55-1))*(1+(EnemyDamageSlider-1)+(EnemyDMGDanger-1)+(EnemyJackDMG-1)),0)*IF($A55&gt;20,(1+Max(0,((($A55-20)*(($A55-20)+1))/2)/100)*(2+Max(0,($A55-35)*0.2))),1),0)*IF(EnemyBuffed=TRUE,1.25,1),0)*EnemyDMGTaken,0),1) &amp; ")"</f>
        <v>24  (24)</v>
      </c>
      <c r="L55" s="414" t="str">
        <f>Rounddown(Round(Round((L$34+L$35*($A55-1))*(1+(EnemyDamageSlider-1)+(EnemyDMGDanger-1)+(EnemyJackDMG-1)),0)*IF($A55&gt;20,(1+Max(0,((($A55-20)*(($A55-20)+1))/2)/100)*(2+Max(0,($A55-35)*0.2))),1),0)*IF(EnemyBuffed=TRUE,1.25,1),0) &amp; "  (" &amp; MAX(ROUND(Rounddown(Round(Round((L$34+L$35*($A55-1))*(1+(EnemyDamageSlider-1)+(EnemyDMGDanger-1)+(EnemyJackDMG-1)),0)*IF($A55&gt;20,(1+Max(0,((($A55-20)*(($A55-20)+1))/2)/100)*(2+Max(0,($A55-35)*0.2))),1),0)*IF(EnemyBuffed=TRUE,1.25,1),0)*EnemyDMGTaken,0),1) &amp; ")"</f>
        <v>24  (24)</v>
      </c>
      <c r="M55" s="414" t="str">
        <f>Rounddown(Round(Round((M$34+M$35*($A55-1))*(1+(EnemyDamageSlider-1)+(EnemyDMGDanger-1)+(EnemyJackDMG-1)),0)*IF($A55&gt;20,(1+Max(0,((($A55-20)*(($A55-20)+1))/2)/100)*(2+Max(0,($A55-35)*0.2))),1),0)*IF(EnemyBuffed=TRUE,1.25,1),0) &amp; "  (" &amp; MAX(ROUND(Rounddown(Round(Round((M$34+M$35*($A55-1))*(1+(EnemyDamageSlider-1)+(EnemyDMGDanger-1)+(EnemyJackDMG-1)),0)*IF($A55&gt;20,(1+Max(0,((($A55-20)*(($A55-20)+1))/2)/100)*(2+Max(0,($A55-35)*0.2))),1),0)*IF(EnemyBuffed=TRUE,1.25,1),0)*EnemyDMGTaken,0),1) &amp; ")"</f>
        <v>28  (28)</v>
      </c>
      <c r="N55" s="414" t="str">
        <f>Rounddown(Round(Round((N$34+N$35*($A55-1))*(1+(EnemyDamageSlider-1)+(EnemyDMGDanger-1)+(EnemyJackDMG-1)),0)*IF($A55&gt;20,(1+Max(0,((($A55-20)*(($A55-20)+1))/2)/100)*(2+Max(0,($A55-35)*0.2))),1),0)*IF(EnemyBuffed=TRUE,1.25,1),0) &amp; "  (" &amp; MAX(ROUND(Rounddown(Round(Round((N$34+N$35*($A55-1))*(1+(EnemyDamageSlider-1)+(EnemyDMGDanger-1)+(EnemyJackDMG-1)),0)*IF($A55&gt;20,(1+Max(0,((($A55-20)*(($A55-20)+1))/2)/100)*(2+Max(0,($A55-35)*0.2))),1),0)*IF(EnemyBuffed=TRUE,1.25,1),0)*EnemyDMGTaken,0),1) &amp; ")"</f>
        <v>28  (28)</v>
      </c>
      <c r="O55" s="414" t="str">
        <f>Rounddown(Round(Round((O$34+O$35*($A55-1))*(1+(EnemyDamageSlider-1)+(EnemyDMGDanger-1)+(EnemyJackDMG-1)),0)*IF($A55&gt;20,(1+Max(0,((($A55-20)*(($A55-20)+1))/2)/100)*(2+Max(0,($A55-35)*0.2))),1),0)*IF(EnemyBuffed=TRUE,1.25,1),0) &amp; "  (" &amp; MAX(ROUND(Rounddown(Round(Round((O$34+O$35*($A55-1))*(1+(EnemyDamageSlider-1)+(EnemyDMGDanger-1)+(EnemyJackDMG-1)),0)*IF($A55&gt;20,(1+Max(0,((($A55-20)*(($A55-20)+1))/2)/100)*(2+Max(0,($A55-35)*0.2))),1),0)*IF(EnemyBuffed=TRUE,1.25,1),0)*EnemyDMGTaken,0),1) &amp; ")"</f>
        <v>24  (24)</v>
      </c>
      <c r="P55" s="414" t="str">
        <f>Rounddown(Round(Round((P$34+P$35*($A55-1))*(1+(EnemyDamageSlider-1)+(EnemyDMGDanger-1)+(EnemyJackDMG-1)),0)*IF($A55&gt;20,(1+Max(0,((($A55-20)*(($A55-20)+1))/2)/100)*(2+Max(0,($A55-35)*0.2))),1),0)*IF(EnemyBuffed=TRUE,1.25,1),0) &amp; "  (" &amp; MAX(ROUND(Rounddown(Round(Round((P$34+P$35*($A55-1))*(1+(EnemyDamageSlider-1)+(EnemyDMGDanger-1)+(EnemyJackDMG-1)),0)*IF($A55&gt;20,(1+Max(0,((($A55-20)*(($A55-20)+1))/2)/100)*(2+Max(0,($A55-35)*0.2))),1),0)*IF(EnemyBuffed=TRUE,1.25,1),0)*EnemyDMGTaken,0),1) &amp; ")"</f>
        <v>28  (28)</v>
      </c>
      <c r="Q55" s="414" t="str">
        <f>Rounddown(Round(Round((Q$34+Q$35*($A55-1))*(1+(EnemyDamageSlider-1)+(EnemyDMGDanger-1)+(EnemyJackDMG-1)),0)*IF($A55&gt;20,(1+Max(0,((($A55-20)*(($A55-20)+1))/2)/100)*(2+Max(0,($A55-35)*0.2))),1),0)*IF(EnemyBuffed=TRUE,1.25,1),0) &amp; "  (" &amp; MAX(ROUND(Rounddown(Round(Round((Q$34+Q$35*($A55-1))*(1+(EnemyDamageSlider-1)+(EnemyDMGDanger-1)+(EnemyJackDMG-1)),0)*IF($A55&gt;20,(1+Max(0,((($A55-20)*(($A55-20)+1))/2)/100)*(2+Max(0,($A55-35)*0.2))),1),0)*IF(EnemyBuffed=TRUE,1.25,1),0)*EnemyDMGTaken,0),1) &amp; ")"</f>
        <v>32  (32)</v>
      </c>
      <c r="R55" s="414" t="str">
        <f>Rounddown(Round(Round((R$34+R$35*($A55-1))*(1+(EnemyDamageSlider-1)+(EnemyDMGDanger-1)+(EnemyJackDMG-1)),0)*IF($A55&gt;20,(1+Max(0,((($A55-20)*(($A55-20)+1))/2)/100)*(2+Max(0,($A55-35)*0.2))),1),0)*IF(EnemyBuffed=TRUE,1.25,1),0) &amp; "  (" &amp; MAX(ROUND(Rounddown(Round(Round((R$34+R$35*($A55-1))*(1+(EnemyDamageSlider-1)+(EnemyDMGDanger-1)+(EnemyJackDMG-1)),0)*IF($A55&gt;20,(1+Max(0,((($A55-20)*(($A55-20)+1))/2)/100)*(2+Max(0,($A55-35)*0.2))),1),0)*IF(EnemyBuffed=TRUE,1.25,1),0)*EnemyDMGTaken,0),1) &amp; ")"</f>
        <v>31  (31)</v>
      </c>
      <c r="S55" s="414" t="str">
        <f>Rounddown(Round(Round((S$34+S$35*($A55-1))*(1+(EnemyDamageSlider-1)+(EnemyDMGDanger-1)+(EnemyJackDMG-1)),0)*IF($A55&gt;20,(1+Max(0,((($A55-20)*(($A55-20)+1))/2)/100)*(2+Max(0,($A55-35)*0.2))),1),0)*IF(EnemyBuffed=TRUE,1.25,1),0) &amp; "  (" &amp; MAX(ROUND(Rounddown(Round(Round((S$34+S$35*($A55-1))*(1+(EnemyDamageSlider-1)+(EnemyDMGDanger-1)+(EnemyJackDMG-1)),0)*IF($A55&gt;20,(1+Max(0,((($A55-20)*(($A55-20)+1))/2)/100)*(2+Max(0,($A55-35)*0.2))),1),0)*IF(EnemyBuffed=TRUE,1.25,1),0)*EnemyDMGTaken,0),1) &amp; ")"</f>
        <v>17  (17)</v>
      </c>
      <c r="T55" s="414" t="str">
        <f>Rounddown(Round(Round((T$34+T$35*($A55-1))*(1+(EnemyDamageSlider-1)+(EnemyDMGDanger-1)+(EnemyJackDMG-1)),0)*IF($A55&gt;20,(1+Max(0,((($A55-20)*(($A55-20)+1))/2)/100)*(2+Max(0,($A55-35)*0.2))),1),0)*IF(EnemyBuffed=TRUE,1.25,1),0) &amp; "  (" &amp; MAX(ROUND(Rounddown(Round(Round((T$34+T$35*($A55-1))*(1+(EnemyDamageSlider-1)+(EnemyDMGDanger-1)+(EnemyJackDMG-1)),0)*IF($A55&gt;20,(1+Max(0,((($A55-20)*(($A55-20)+1))/2)/100)*(2+Max(0,($A55-35)*0.2))),1),0)*IF(EnemyBuffed=TRUE,1.25,1),0)*EnemyDMGTaken,0),1) &amp; ")"</f>
        <v>32  (32)</v>
      </c>
      <c r="U55" s="414" t="str">
        <f>Rounddown(Round(Round((U$34+U$35*($A55-1))*(1+(EnemyDamageSlider-1)+(EnemyDMGDanger-1)+(EnemyJackDMG-1)),0)*IF($A55&gt;20,(1+Max(0,((($A55-20)*(($A55-20)+1))/2)/100)*(2+Max(0,($A55-35)*0.2))),1),0)*IF(EnemyBuffed=TRUE,1.25,1),0) &amp; "  (" &amp; MAX(ROUND(Rounddown(Round(Round((U$34+U$35*($A55-1))*(1+(EnemyDamageSlider-1)+(EnemyDMGDanger-1)+(EnemyJackDMG-1)),0)*IF($A55&gt;20,(1+Max(0,((($A55-20)*(($A55-20)+1))/2)/100)*(2+Max(0,($A55-35)*0.2))),1),0)*IF(EnemyBuffed=TRUE,1.25,1),0)*EnemyDMGTaken,0),1) &amp; ")"</f>
        <v>28  (28)</v>
      </c>
      <c r="V55" s="414" t="str">
        <f>Rounddown(Round(Round((V$34+V$35*($A55-1))*(1+(EnemyDamageSlider-1)+(EnemyDMGDanger-1)+(EnemyJackDMG-1)),0)*IF($A55&gt;20,(1+Max(0,((($A55-20)*(($A55-20)+1))/2)/100)*(2+Max(0,($A55-35)*0.2))),1),0)*IF(EnemyBuffed=TRUE,1.25,1),0) &amp; "  (" &amp; MAX(ROUND(Rounddown(Round(Round((V$34+V$35*($A55-1))*(1+(EnemyDamageSlider-1)+(EnemyDMGDanger-1)+(EnemyJackDMG-1)),0)*IF($A55&gt;20,(1+Max(0,((($A55-20)*(($A55-20)+1))/2)/100)*(2+Max(0,($A55-35)*0.2))),1),0)*IF(EnemyBuffed=TRUE,1.25,1),0)*EnemyDMGTaken,0),1) &amp; ")"</f>
        <v>41  (41)</v>
      </c>
      <c r="W55" s="414" t="str">
        <f>Rounddown(Round(Round((W$34+W$35*($A55-1))*(1+(EnemyDamageSlider-1)+(EnemyDMGDanger-1)+(EnemyJackDMG-1)),0)*IF($A55&gt;20,(1+Max(0,((($A55-20)*(($A55-20)+1))/2)/100)*(2+Max(0,($A55-35)*0.2))),1),0)*IF(EnemyBuffed=TRUE,1.25,1),0) &amp; "  (" &amp; MAX(ROUND(Rounddown(Round(Round((W$34+W$35*($A55-1))*(1+(EnemyDamageSlider-1)+(EnemyDMGDanger-1)+(EnemyJackDMG-1)),0)*IF($A55&gt;20,(1+Max(0,((($A55-20)*(($A55-20)+1))/2)/100)*(2+Max(0,($A55-35)*0.2))),1),0)*IF(EnemyBuffed=TRUE,1.25,1),0)*EnemyDMGTaken,0),1) &amp; ")"</f>
        <v>41  (41)</v>
      </c>
      <c r="X55" s="414" t="str">
        <f>Rounddown(Round(Round((X$34+X$35*($A55-1))*(1+(EnemyDamageSlider-1)+(EnemyDMGDanger-1)+(EnemyJackDMG-1)),0)*IF($A55&gt;20,(1+Max(0,((($A55-20)*(($A55-20)+1))/2)/100)*(2+Max(0,($A55-35)*0.2))),1),0)*IF(EnemyBuffed=TRUE,1.25,1),0) &amp; "  (" &amp; MAX(ROUND(Rounddown(Round(Round((X$34+X$35*($A55-1))*(1+(EnemyDamageSlider-1)+(EnemyDMGDanger-1)+(EnemyJackDMG-1)),0)*IF($A55&gt;20,(1+Max(0,((($A55-20)*(($A55-20)+1))/2)/100)*(2+Max(0,($A55-35)*0.2))),1),0)*IF(EnemyBuffed=TRUE,1.25,1),0)*EnemyDMGTaken,0),1) &amp; ")"</f>
        <v>41  (41)</v>
      </c>
      <c r="Y55" s="414" t="str">
        <f>Rounddown(Round(Round((Y$34+Y$35*($A55-1))*(1+(EnemyDamageSlider-1)+(EnemyDMGDanger-1)+(EnemyJackDMG-1)),0)*IF($A55&gt;20,(1+Max(0,((($A55-20)*(($A55-20)+1))/2)/100)*(2+Max(0,($A55-35)*0.2))),1),0)*IF(EnemyBuffed=TRUE,1.25,1),0) &amp; "  (" &amp; MAX(ROUND(Rounddown(Round(Round((Y$34+Y$35*($A55-1))*(1+(EnemyDamageSlider-1)+(EnemyDMGDanger-1)+(EnemyJackDMG-1)),0)*IF($A55&gt;20,(1+Max(0,((($A55-20)*(($A55-20)+1))/2)/100)*(2+Max(0,($A55-35)*0.2))),1),0)*IF(EnemyBuffed=TRUE,1.25,1),0)*EnemyDMGTaken,0),1) &amp; ")"</f>
        <v>41  (41)</v>
      </c>
      <c r="Z55" s="414" t="str">
        <f>Rounddown(Round(Round((Z$34+Z$35*($A55-1))*(1+(EnemyDamageSlider-1)+(EnemyDMGDanger-1)+(EnemyJackDMG-1)),0)*IF($A55&gt;20,(1+Max(0,((($A55-20)*(($A55-20)+1))/2)/100)*(2+Max(0,($A55-35)*0.2))),1),0)*IF(EnemyBuffed=TRUE,1.25,1),0) &amp; "  (" &amp; MAX(ROUND(Rounddown(Round(Round((Z$34+Z$35*($A55-1))*(1+(EnemyDamageSlider-1)+(EnemyDMGDanger-1)+(EnemyJackDMG-1)),0)*IF($A55&gt;20,(1+Max(0,((($A55-20)*(($A55-20)+1))/2)/100)*(2+Max(0,($A55-35)*0.2))),1),0)*IF(EnemyBuffed=TRUE,1.25,1),0)*EnemyDMGTaken,0),1) &amp; ")"</f>
        <v>41  (41)</v>
      </c>
      <c r="AA55" s="414" t="str">
        <f>Rounddown(Round(Round((AA$34+AA$35*($A55-1))*(1+(EnemyDamageSlider-1)+(EnemyDMGDanger-1)+(EnemyJackDMG-1)),0)*IF($A55&gt;20,(1+Max(0,((($A55-20)*(($A55-20)+1))/2)/100)*(2+Max(0,($A55-35)*0.2))),1),0)*IF(EnemyBuffed=TRUE,1.25,1),0) &amp; "  (" &amp; MAX(ROUND(Rounddown(Round(Round((AA$34+AA$35*($A55-1))*(1+(EnemyDamageSlider-1)+(EnemyDMGDanger-1)+(EnemyJackDMG-1)),0)*IF($A55&gt;20,(1+Max(0,((($A55-20)*(($A55-20)+1))/2)/100)*(2+Max(0,($A55-35)*0.2))),1),0)*IF(EnemyBuffed=TRUE,1.25,1),0)*EnemyDMGTaken,0),1) &amp; ")"</f>
        <v>21  (21)</v>
      </c>
    </row>
    <row r="56">
      <c r="A56" s="362">
        <f> $G$2</f>
        <v>400</v>
      </c>
      <c r="B56" s="415">
        <v>0.0</v>
      </c>
      <c r="C56" s="414" t="str">
        <f>Rounddown(Round(Round((C$34+C$35*($A56-1))*(1+(EnemyDamageSlider-1)+(EnemyDMGDanger-1)+(EnemyJackDMG-1)),0)*IF($A56&gt;20,(1+Max(0,((($A56-20)*(($A56-20)+1))/2)/100)*(2+Max(0,($A56-35)*0.2))),1),0)*IF(EnemyBuffed=TRUE,1.25,1),0) &amp; "  (" &amp; MAX(ROUND(Rounddown(Round(Round((C$34+C$35*($A56-1))*(1+(EnemyDamageSlider-1)+(EnemyDMGDanger-1)+(EnemyJackDMG-1)),0)*IF($A56&gt;20,(1+Max(0,((($A56-20)*(($A56-20)+1))/2)/100)*(2+Max(0,($A56-35)*0.2))),1),0)*IF(EnemyBuffed=TRUE,1.25,1),0)*EnemyDMGTaken,0),1) &amp; ")"</f>
        <v>18296910  (18296910)</v>
      </c>
      <c r="D56" s="414" t="str">
        <f>Rounddown(Round(Round((D$34+D$35*($A56-1))*(1+(EnemyDamageSlider-1)+(EnemyDMGDanger-1)+(EnemyJackDMG-1)),0)*IF($A56&gt;20,(1+Max(0,((($A56-20)*(($A56-20)+1))/2)/100)*(2+Max(0,($A56-35)*0.2))),1),0)*IF(EnemyBuffed=TRUE,1.25,1),0) &amp; "  (" &amp; MAX(ROUND(Rounddown(Round(Round((D$34+D$35*($A56-1))*(1+(EnemyDamageSlider-1)+(EnemyDMGDanger-1)+(EnemyJackDMG-1)),0)*IF($A56&gt;20,(1+Max(0,((($A56-20)*(($A56-20)+1))/2)/100)*(2+Max(0,($A56-35)*0.2))),1),0)*IF(EnemyBuffed=TRUE,1.25,1),0)*EnemyDMGTaken,0),1) &amp; ")"</f>
        <v>18296910  (18296910)</v>
      </c>
      <c r="E56" s="414" t="str">
        <f>Rounddown(Round(Round((E$34+E$35*($A56-1))*(1+(EnemyDamageSlider-1)+(EnemyDMGDanger-1)+(EnemyJackDMG-1)),0)*IF($A56&gt;20,(1+Max(0,((($A56-20)*(($A56-20)+1))/2)/100)*(2+Max(0,($A56-35)*0.2))),1),0)*IF(EnemyBuffed=TRUE,1.25,1),0) &amp; "  (" &amp; MAX(ROUND(Rounddown(Round(Round((E$34+E$35*($A56-1))*(1+(EnemyDamageSlider-1)+(EnemyDMGDanger-1)+(EnemyJackDMG-1)),0)*IF($A56&gt;20,(1+Max(0,((($A56-20)*(($A56-20)+1))/2)/100)*(2+Max(0,($A56-35)*0.2))),1),0)*IF(EnemyBuffed=TRUE,1.25,1),0)*EnemyDMGTaken,0),1) &amp; ")"</f>
        <v>18296910  (18296910)</v>
      </c>
      <c r="F56" s="414" t="str">
        <f>Rounddown(Round(Round((F$34+F$35*($A56-1))*(1+(EnemyDamageSlider-1)+(EnemyDMGDanger-1)+(EnemyJackDMG-1)),0)*IF($A56&gt;20,(1+Max(0,((($A56-20)*(($A56-20)+1))/2)/100)*(2+Max(0,($A56-35)*0.2))),1),0)*IF(EnemyBuffed=TRUE,1.25,1),0) &amp; "  (" &amp; MAX(ROUND(Rounddown(Round(Round((F$34+F$35*($A56-1))*(1+(EnemyDamageSlider-1)+(EnemyDMGDanger-1)+(EnemyJackDMG-1)),0)*IF($A56&gt;20,(1+Max(0,((($A56-20)*(($A56-20)+1))/2)/100)*(2+Max(0,($A56-35)*0.2))),1),0)*IF(EnemyBuffed=TRUE,1.25,1),0)*EnemyDMGTaken,0),1) &amp; ")"</f>
        <v>25843706  (25843706)</v>
      </c>
      <c r="G56" s="414" t="str">
        <f>Rounddown(Round(Round((G$34+G$35*($A56-1))*(1+(EnemyDamageSlider-1)+(EnemyDMGDanger-1)+(EnemyJackDMG-1)),0)*IF($A56&gt;20,(1+Max(0,((($A56-20)*(($A56-20)+1))/2)/100)*(2+Max(0,($A56-35)*0.2))),1),0)*IF(EnemyBuffed=TRUE,1.25,1),0) &amp; "  (" &amp; MAX(ROUND(Rounddown(Round(Round((G$34+G$35*($A56-1))*(1+(EnemyDamageSlider-1)+(EnemyDMGDanger-1)+(EnemyJackDMG-1)),0)*IF($A56&gt;20,(1+Max(0,((($A56-20)*(($A56-20)+1))/2)/100)*(2+Max(0,($A56-35)*0.2))),1),0)*IF(EnemyBuffed=TRUE,1.25,1),0)*EnemyDMGTaken,0),1) &amp; ")"</f>
        <v>36485232  (36485232)</v>
      </c>
      <c r="H56" s="414" t="str">
        <f>Rounddown(Round(Round((H$34+H$35*($A56-1))*(1+(EnemyDamageSlider-1)+(EnemyDMGDanger-1)+(EnemyJackDMG-1)),0)*IF($A56&gt;20,(1+Max(0,((($A56-20)*(($A56-20)+1))/2)/100)*(2+Max(0,($A56-35)*0.2))),1),0)*IF(EnemyBuffed=TRUE,1.25,1),0) &amp; "  (" &amp; MAX(ROUND(Rounddown(Round(Round((H$34+H$35*($A56-1))*(1+(EnemyDamageSlider-1)+(EnemyDMGDanger-1)+(EnemyJackDMG-1)),0)*IF($A56&gt;20,(1+Max(0,((($A56-20)*(($A56-20)+1))/2)/100)*(2+Max(0,($A56-35)*0.2))),1),0)*IF(EnemyBuffed=TRUE,1.25,1),0)*EnemyDMGTaken,0),1) &amp; ")"</f>
        <v>25952293  (25952293)</v>
      </c>
      <c r="I56" s="414" t="str">
        <f>Rounddown(Round(Round((I$34+I$35*($A56-1))*(1+(EnemyDamageSlider-1)+(EnemyDMGDanger-1)+(EnemyJackDMG-1)),0)*IF($A56&gt;20,(1+Max(0,((($A56-20)*(($A56-20)+1))/2)/100)*(2+Max(0,($A56-35)*0.2))),1),0)*IF(EnemyBuffed=TRUE,1.25,1),0) &amp; "  (" &amp; MAX(ROUND(Rounddown(Round(Round((I$34+I$35*($A56-1))*(1+(EnemyDamageSlider-1)+(EnemyDMGDanger-1)+(EnemyJackDMG-1)),0)*IF($A56&gt;20,(1+Max(0,((($A56-20)*(($A56-20)+1))/2)/100)*(2+Max(0,($A56-35)*0.2))),1),0)*IF(EnemyBuffed=TRUE,1.25,1),0)*EnemyDMGTaken,0),1) &amp; ")"</f>
        <v>18296910  (18296910)</v>
      </c>
      <c r="J56" s="414" t="str">
        <f>Rounddown(Round(Round((J$34+J$35*($A56-1))*(1+(EnemyDamageSlider-1)+(EnemyDMGDanger-1)+(EnemyJackDMG-1)),0)*IF($A56&gt;20,(1+Max(0,((($A56-20)*(($A56-20)+1))/2)/100)*(2+Max(0,($A56-35)*0.2))),1),0)*IF(EnemyBuffed=TRUE,1.25,1),0) &amp; "  (" &amp; MAX(ROUND(Rounddown(Round(Round((J$34+J$35*($A56-1))*(1+(EnemyDamageSlider-1)+(EnemyDMGDanger-1)+(EnemyJackDMG-1)),0)*IF($A56&gt;20,(1+Max(0,((($A56-20)*(($A56-20)+1))/2)/100)*(2+Max(0,($A56-35)*0.2))),1),0)*IF(EnemyBuffed=TRUE,1.25,1),0)*EnemyDMGTaken,0),1) &amp; ")"</f>
        <v>25843706  (25843706)</v>
      </c>
      <c r="K56" s="414" t="str">
        <f>Rounddown(Round(Round((K$34+K$35*($A56-1))*(1+(EnemyDamageSlider-1)+(EnemyDMGDanger-1)+(EnemyJackDMG-1)),0)*IF($A56&gt;20,(1+Max(0,((($A56-20)*(($A56-20)+1))/2)/100)*(2+Max(0,($A56-35)*0.2))),1),0)*IF(EnemyBuffed=TRUE,1.25,1),0) &amp; "  (" &amp; MAX(ROUND(Rounddown(Round(Round((K$34+K$35*($A56-1))*(1+(EnemyDamageSlider-1)+(EnemyDMGDanger-1)+(EnemyJackDMG-1)),0)*IF($A56&gt;20,(1+Max(0,((($A56-20)*(($A56-20)+1))/2)/100)*(2+Max(0,($A56-35)*0.2))),1),0)*IF(EnemyBuffed=TRUE,1.25,1),0)*EnemyDMGTaken,0),1) &amp; ")"</f>
        <v>25843706  (25843706)</v>
      </c>
      <c r="L56" s="414" t="str">
        <f>Rounddown(Round(Round((L$34+L$35*($A56-1))*(1+(EnemyDamageSlider-1)+(EnemyDMGDanger-1)+(EnemyJackDMG-1)),0)*IF($A56&gt;20,(1+Max(0,((($A56-20)*(($A56-20)+1))/2)/100)*(2+Max(0,($A56-35)*0.2))),1),0)*IF(EnemyBuffed=TRUE,1.25,1),0) &amp; "  (" &amp; MAX(ROUND(Rounddown(Round(Round((L$34+L$35*($A56-1))*(1+(EnemyDamageSlider-1)+(EnemyDMGDanger-1)+(EnemyJackDMG-1)),0)*IF($A56&gt;20,(1+Max(0,((($A56-20)*(($A56-20)+1))/2)/100)*(2+Max(0,($A56-35)*0.2))),1),0)*IF(EnemyBuffed=TRUE,1.25,1),0)*EnemyDMGTaken,0),1) &amp; ")"</f>
        <v>25843706  (25843706)</v>
      </c>
      <c r="M56" s="414" t="str">
        <f>Rounddown(Round(Round((M$34+M$35*($A56-1))*(1+(EnemyDamageSlider-1)+(EnemyDMGDanger-1)+(EnemyJackDMG-1)),0)*IF($A56&gt;20,(1+Max(0,((($A56-20)*(($A56-20)+1))/2)/100)*(2+Max(0,($A56-35)*0.2))),1),0)*IF(EnemyBuffed=TRUE,1.25,1),0) &amp; "  (" &amp; MAX(ROUND(Rounddown(Round(Round((M$34+M$35*($A56-1))*(1+(EnemyDamageSlider-1)+(EnemyDMGDanger-1)+(EnemyJackDMG-1)),0)*IF($A56&gt;20,(1+Max(0,((($A56-20)*(($A56-20)+1))/2)/100)*(2+Max(0,($A56-35)*0.2))),1),0)*IF(EnemyBuffed=TRUE,1.25,1),0)*EnemyDMGTaken,0),1) &amp; ")"</f>
        <v>30404360  (30404360)</v>
      </c>
      <c r="N56" s="414" t="str">
        <f>Rounddown(Round(Round((N$34+N$35*($A56-1))*(1+(EnemyDamageSlider-1)+(EnemyDMGDanger-1)+(EnemyJackDMG-1)),0)*IF($A56&gt;20,(1+Max(0,((($A56-20)*(($A56-20)+1))/2)/100)*(2+Max(0,($A56-35)*0.2))),1),0)*IF(EnemyBuffed=TRUE,1.25,1),0) &amp; "  (" &amp; MAX(ROUND(Rounddown(Round(Round((N$34+N$35*($A56-1))*(1+(EnemyDamageSlider-1)+(EnemyDMGDanger-1)+(EnemyJackDMG-1)),0)*IF($A56&gt;20,(1+Max(0,((($A56-20)*(($A56-20)+1))/2)/100)*(2+Max(0,($A56-35)*0.2))),1),0)*IF(EnemyBuffed=TRUE,1.25,1),0)*EnemyDMGTaken,0),1) &amp; ")"</f>
        <v>30404360  (30404360)</v>
      </c>
      <c r="O56" s="414" t="str">
        <f>Rounddown(Round(Round((O$34+O$35*($A56-1))*(1+(EnemyDamageSlider-1)+(EnemyDMGDanger-1)+(EnemyJackDMG-1)),0)*IF($A56&gt;20,(1+Max(0,((($A56-20)*(($A56-20)+1))/2)/100)*(2+Max(0,($A56-35)*0.2))),1),0)*IF(EnemyBuffed=TRUE,1.25,1),0) &amp; "  (" &amp; MAX(ROUND(Rounddown(Round(Round((O$34+O$35*($A56-1))*(1+(EnemyDamageSlider-1)+(EnemyDMGDanger-1)+(EnemyJackDMG-1)),0)*IF($A56&gt;20,(1+Max(0,((($A56-20)*(($A56-20)+1))/2)/100)*(2+Max(0,($A56-35)*0.2))),1),0)*IF(EnemyBuffed=TRUE,1.25,1),0)*EnemyDMGTaken,0),1) &amp; ")"</f>
        <v>25843706  (25843706)</v>
      </c>
      <c r="P56" s="414" t="str">
        <f>Rounddown(Round(Round((P$34+P$35*($A56-1))*(1+(EnemyDamageSlider-1)+(EnemyDMGDanger-1)+(EnemyJackDMG-1)),0)*IF($A56&gt;20,(1+Max(0,((($A56-20)*(($A56-20)+1))/2)/100)*(2+Max(0,($A56-35)*0.2))),1),0)*IF(EnemyBuffed=TRUE,1.25,1),0) &amp; "  (" &amp; MAX(ROUND(Rounddown(Round(Round((P$34+P$35*($A56-1))*(1+(EnemyDamageSlider-1)+(EnemyDMGDanger-1)+(EnemyJackDMG-1)),0)*IF($A56&gt;20,(1+Max(0,((($A56-20)*(($A56-20)+1))/2)/100)*(2+Max(0,($A56-35)*0.2))),1),0)*IF(EnemyBuffed=TRUE,1.25,1),0)*EnemyDMGTaken,0),1) &amp; ")"</f>
        <v>30404360  (30404360)</v>
      </c>
      <c r="Q56" s="414" t="str">
        <f>Rounddown(Round(Round((Q$34+Q$35*($A56-1))*(1+(EnemyDamageSlider-1)+(EnemyDMGDanger-1)+(EnemyJackDMG-1)),0)*IF($A56&gt;20,(1+Max(0,((($A56-20)*(($A56-20)+1))/2)/100)*(2+Max(0,($A56-35)*0.2))),1),0)*IF(EnemyBuffed=TRUE,1.25,1),0) &amp; "  (" &amp; MAX(ROUND(Rounddown(Round(Round((Q$34+Q$35*($A56-1))*(1+(EnemyDamageSlider-1)+(EnemyDMGDanger-1)+(EnemyJackDMG-1)),0)*IF($A56&gt;20,(1+Max(0,((($A56-20)*(($A56-20)+1))/2)/100)*(2+Max(0,($A56-35)*0.2))),1),0)*IF(EnemyBuffed=TRUE,1.25,1),0)*EnemyDMGTaken,0),1) &amp; ")"</f>
        <v>34965014  (34965014)</v>
      </c>
      <c r="R56" s="414" t="str">
        <f>Rounddown(Round(Round((R$34+R$35*($A56-1))*(1+(EnemyDamageSlider-1)+(EnemyDMGDanger-1)+(EnemyJackDMG-1)),0)*IF($A56&gt;20,(1+Max(0,((($A56-20)*(($A56-20)+1))/2)/100)*(2+Max(0,($A56-35)*0.2))),1),0)*IF(EnemyBuffed=TRUE,1.25,1),0) &amp; "  (" &amp; MAX(ROUND(Rounddown(Round(Round((R$34+R$35*($A56-1))*(1+(EnemyDamageSlider-1)+(EnemyDMGDanger-1)+(EnemyJackDMG-1)),0)*IF($A56&gt;20,(1+Max(0,((($A56-20)*(($A56-20)+1))/2)/100)*(2+Max(0,($A56-35)*0.2))),1),0)*IF(EnemyBuffed=TRUE,1.25,1),0)*EnemyDMGTaken,0),1) &amp; ")"</f>
        <v>33444796  (33444796)</v>
      </c>
      <c r="S56" s="414" t="str">
        <f>Rounddown(Round(Round((S$34+S$35*($A56-1))*(1+(EnemyDamageSlider-1)+(EnemyDMGDanger-1)+(EnemyJackDMG-1)),0)*IF($A56&gt;20,(1+Max(0,((($A56-20)*(($A56-20)+1))/2)/100)*(2+Max(0,($A56-35)*0.2))),1),0)*IF(EnemyBuffed=TRUE,1.25,1),0) &amp; "  (" &amp; MAX(ROUND(Rounddown(Round(Round((S$34+S$35*($A56-1))*(1+(EnemyDamageSlider-1)+(EnemyDMGDanger-1)+(EnemyJackDMG-1)),0)*IF($A56&gt;20,(1+Max(0,((($A56-20)*(($A56-20)+1))/2)/100)*(2+Max(0,($A56-35)*0.2))),1),0)*IF(EnemyBuffed=TRUE,1.25,1),0)*EnemyDMGTaken,0),1) &amp; ")"</f>
        <v>18296910  (18296910)</v>
      </c>
      <c r="T56" s="414" t="str">
        <f>Rounddown(Round(Round((T$34+T$35*($A56-1))*(1+(EnemyDamageSlider-1)+(EnemyDMGDanger-1)+(EnemyJackDMG-1)),0)*IF($A56&gt;20,(1+Max(0,((($A56-20)*(($A56-20)+1))/2)/100)*(2+Max(0,($A56-35)*0.2))),1),0)*IF(EnemyBuffed=TRUE,1.25,1),0) &amp; "  (" &amp; MAX(ROUND(Rounddown(Round(Round((T$34+T$35*($A56-1))*(1+(EnemyDamageSlider-1)+(EnemyDMGDanger-1)+(EnemyJackDMG-1)),0)*IF($A56&gt;20,(1+Max(0,((($A56-20)*(($A56-20)+1))/2)/100)*(2+Max(0,($A56-35)*0.2))),1),0)*IF(EnemyBuffed=TRUE,1.25,1),0)*EnemyDMGTaken,0),1) &amp; ")"</f>
        <v>34965014  (34965014)</v>
      </c>
      <c r="U56" s="414" t="str">
        <f>Rounddown(Round(Round((U$34+U$35*($A56-1))*(1+(EnemyDamageSlider-1)+(EnemyDMGDanger-1)+(EnemyJackDMG-1)),0)*IF($A56&gt;20,(1+Max(0,((($A56-20)*(($A56-20)+1))/2)/100)*(2+Max(0,($A56-35)*0.2))),1),0)*IF(EnemyBuffed=TRUE,1.25,1),0) &amp; "  (" &amp; MAX(ROUND(Rounddown(Round(Round((U$34+U$35*($A56-1))*(1+(EnemyDamageSlider-1)+(EnemyDMGDanger-1)+(EnemyJackDMG-1)),0)*IF($A56&gt;20,(1+Max(0,((($A56-20)*(($A56-20)+1))/2)/100)*(2+Max(0,($A56-35)*0.2))),1),0)*IF(EnemyBuffed=TRUE,1.25,1),0)*EnemyDMGTaken,0),1) &amp; ")"</f>
        <v>30404360  (30404360)</v>
      </c>
      <c r="V56" s="414" t="str">
        <f>Rounddown(Round(Round((V$34+V$35*($A56-1))*(1+(EnemyDamageSlider-1)+(EnemyDMGDanger-1)+(EnemyJackDMG-1)),0)*IF($A56&gt;20,(1+Max(0,((($A56-20)*(($A56-20)+1))/2)/100)*(2+Max(0,($A56-35)*0.2))),1),0)*IF(EnemyBuffed=TRUE,1.25,1),0) &amp; "  (" &amp; MAX(ROUND(Rounddown(Round(Round((V$34+V$35*($A56-1))*(1+(EnemyDamageSlider-1)+(EnemyDMGDanger-1)+(EnemyJackDMG-1)),0)*IF($A56&gt;20,(1+Max(0,((($A56-20)*(($A56-20)+1))/2)/100)*(2+Max(0,($A56-35)*0.2))),1),0)*IF(EnemyBuffed=TRUE,1.25,1),0)*EnemyDMGTaken,0),1) &amp; ")"</f>
        <v>45552247  (45552247)</v>
      </c>
      <c r="W56" s="414" t="str">
        <f>Rounddown(Round(Round((W$34+W$35*($A56-1))*(1+(EnemyDamageSlider-1)+(EnemyDMGDanger-1)+(EnemyJackDMG-1)),0)*IF($A56&gt;20,(1+Max(0,((($A56-20)*(($A56-20)+1))/2)/100)*(2+Max(0,($A56-35)*0.2))),1),0)*IF(EnemyBuffed=TRUE,1.25,1),0) &amp; "  (" &amp; MAX(ROUND(Rounddown(Round(Round((W$34+W$35*($A56-1))*(1+(EnemyDamageSlider-1)+(EnemyDMGDanger-1)+(EnemyJackDMG-1)),0)*IF($A56&gt;20,(1+Max(0,((($A56-20)*(($A56-20)+1))/2)/100)*(2+Max(0,($A56-35)*0.2))),1),0)*IF(EnemyBuffed=TRUE,1.25,1),0)*EnemyDMGTaken,0),1) &amp; ")"</f>
        <v>45552247  (45552247)</v>
      </c>
      <c r="X56" s="414" t="str">
        <f>Rounddown(Round(Round((X$34+X$35*($A56-1))*(1+(EnemyDamageSlider-1)+(EnemyDMGDanger-1)+(EnemyJackDMG-1)),0)*IF($A56&gt;20,(1+Max(0,((($A56-20)*(($A56-20)+1))/2)/100)*(2+Max(0,($A56-35)*0.2))),1),0)*IF(EnemyBuffed=TRUE,1.25,1),0) &amp; "  (" &amp; MAX(ROUND(Rounddown(Round(Round((X$34+X$35*($A56-1))*(1+(EnemyDamageSlider-1)+(EnemyDMGDanger-1)+(EnemyJackDMG-1)),0)*IF($A56&gt;20,(1+Max(0,((($A56-20)*(($A56-20)+1))/2)/100)*(2+Max(0,($A56-35)*0.2))),1),0)*IF(EnemyBuffed=TRUE,1.25,1),0)*EnemyDMGTaken,0),1) &amp; ")"</f>
        <v>45552247  (45552247)</v>
      </c>
      <c r="Y56" s="414" t="str">
        <f>Rounddown(Round(Round((Y$34+Y$35*($A56-1))*(1+(EnemyDamageSlider-1)+(EnemyDMGDanger-1)+(EnemyJackDMG-1)),0)*IF($A56&gt;20,(1+Max(0,((($A56-20)*(($A56-20)+1))/2)/100)*(2+Max(0,($A56-35)*0.2))),1),0)*IF(EnemyBuffed=TRUE,1.25,1),0) &amp; "  (" &amp; MAX(ROUND(Rounddown(Round(Round((Y$34+Y$35*($A56-1))*(1+(EnemyDamageSlider-1)+(EnemyDMGDanger-1)+(EnemyJackDMG-1)),0)*IF($A56&gt;20,(1+Max(0,((($A56-20)*(($A56-20)+1))/2)/100)*(2+Max(0,($A56-35)*0.2))),1),0)*IF(EnemyBuffed=TRUE,1.25,1),0)*EnemyDMGTaken,0),1) &amp; ")"</f>
        <v>45552247  (45552247)</v>
      </c>
      <c r="Z56" s="414" t="str">
        <f>Rounddown(Round(Round((Z$34+Z$35*($A56-1))*(1+(EnemyDamageSlider-1)+(EnemyDMGDanger-1)+(EnemyJackDMG-1)),0)*IF($A56&gt;20,(1+Max(0,((($A56-20)*(($A56-20)+1))/2)/100)*(2+Max(0,($A56-35)*0.2))),1),0)*IF(EnemyBuffed=TRUE,1.25,1),0) &amp; "  (" &amp; MAX(ROUND(Rounddown(Round(Round((Z$34+Z$35*($A56-1))*(1+(EnemyDamageSlider-1)+(EnemyDMGDanger-1)+(EnemyJackDMG-1)),0)*IF($A56&gt;20,(1+Max(0,((($A56-20)*(($A56-20)+1))/2)/100)*(2+Max(0,($A56-35)*0.2))),1),0)*IF(EnemyBuffed=TRUE,1.25,1),0)*EnemyDMGTaken,0),1) &amp; ")"</f>
        <v>45552247  (45552247)</v>
      </c>
      <c r="AA56" s="414" t="str">
        <f>Rounddown(Round(Round((AA$34+AA$35*($A56-1))*(1+(EnemyDamageSlider-1)+(EnemyDMGDanger-1)+(EnemyJackDMG-1)),0)*IF($A56&gt;20,(1+Max(0,((($A56-20)*(($A56-20)+1))/2)/100)*(2+Max(0,($A56-35)*0.2))),1),0)*IF(EnemyBuffed=TRUE,1.25,1),0) &amp; "  (" &amp; MAX(ROUND(Rounddown(Round(Round((AA$34+AA$35*($A56-1))*(1+(EnemyDamageSlider-1)+(EnemyDMGDanger-1)+(EnemyJackDMG-1)),0)*IF($A56&gt;20,(1+Max(0,((($A56-20)*(($A56-20)+1))/2)/100)*(2+Max(0,($A56-35)*0.2))),1),0)*IF(EnemyBuffed=TRUE,1.25,1),0)*EnemyDMGTaken,0),1) &amp; ")"</f>
        <v>22803270  (22803270)</v>
      </c>
    </row>
    <row r="57">
      <c r="A57" s="429" t="s">
        <v>1280</v>
      </c>
      <c r="B57" s="429" t="s">
        <v>1375</v>
      </c>
    </row>
    <row r="58">
      <c r="A58" s="150" t="s">
        <v>107</v>
      </c>
      <c r="B58" s="313" t="s">
        <v>476</v>
      </c>
      <c r="C58" s="313" t="s">
        <v>478</v>
      </c>
      <c r="D58" s="313" t="s">
        <v>479</v>
      </c>
      <c r="E58" s="313" t="s">
        <v>480</v>
      </c>
      <c r="F58" s="313" t="s">
        <v>481</v>
      </c>
      <c r="G58" s="313" t="s">
        <v>482</v>
      </c>
      <c r="H58" s="313" t="s">
        <v>483</v>
      </c>
      <c r="I58" s="313" t="s">
        <v>484</v>
      </c>
      <c r="J58" s="313" t="s">
        <v>485</v>
      </c>
      <c r="K58" s="313" t="s">
        <v>486</v>
      </c>
      <c r="L58" s="313" t="s">
        <v>488</v>
      </c>
      <c r="M58" s="313" t="s">
        <v>489</v>
      </c>
      <c r="N58" s="313" t="s">
        <v>490</v>
      </c>
      <c r="O58" s="313" t="s">
        <v>491</v>
      </c>
      <c r="P58" s="313" t="s">
        <v>492</v>
      </c>
      <c r="Q58" s="313" t="s">
        <v>1292</v>
      </c>
      <c r="R58" s="313" t="s">
        <v>494</v>
      </c>
      <c r="S58" s="313" t="s">
        <v>495</v>
      </c>
      <c r="T58" s="313" t="s">
        <v>496</v>
      </c>
      <c r="U58" s="313" t="s">
        <v>497</v>
      </c>
      <c r="V58" s="313" t="s">
        <v>498</v>
      </c>
      <c r="W58" s="313" t="s">
        <v>499</v>
      </c>
      <c r="X58" s="313" t="s">
        <v>500</v>
      </c>
      <c r="Y58" s="313" t="s">
        <v>501</v>
      </c>
      <c r="Z58" s="313" t="s">
        <v>502</v>
      </c>
      <c r="AA58" s="316" t="s">
        <v>503</v>
      </c>
    </row>
    <row r="59">
      <c r="A59" s="430" t="s">
        <v>1373</v>
      </c>
      <c r="B59" s="317">
        <v>0.0</v>
      </c>
      <c r="C59" s="317">
        <v>0.0</v>
      </c>
      <c r="D59" s="317">
        <v>0.0</v>
      </c>
      <c r="E59" s="317">
        <v>1.0</v>
      </c>
      <c r="F59" s="317">
        <v>0.0</v>
      </c>
      <c r="G59" s="317">
        <v>0.0</v>
      </c>
      <c r="H59" s="317">
        <v>0.0</v>
      </c>
      <c r="I59" s="317">
        <v>0.0</v>
      </c>
      <c r="J59" s="317">
        <v>1.0</v>
      </c>
      <c r="K59" s="317">
        <v>0.0</v>
      </c>
      <c r="L59" s="317">
        <v>0.0</v>
      </c>
      <c r="M59" s="317">
        <v>0.0</v>
      </c>
      <c r="N59" s="317">
        <v>0.0</v>
      </c>
      <c r="O59" s="317">
        <v>0.0</v>
      </c>
      <c r="P59" s="317">
        <v>1.0</v>
      </c>
      <c r="Q59" s="317">
        <v>0.0</v>
      </c>
      <c r="R59" s="317">
        <v>0.0</v>
      </c>
      <c r="S59" s="317">
        <v>0.0</v>
      </c>
      <c r="T59" s="317">
        <v>1.0</v>
      </c>
      <c r="U59" s="317">
        <v>1.0</v>
      </c>
      <c r="V59" s="317">
        <v>1.0</v>
      </c>
      <c r="W59" s="317">
        <v>1.0</v>
      </c>
      <c r="X59" s="317">
        <v>1.0</v>
      </c>
      <c r="Y59" s="317">
        <v>1.0</v>
      </c>
      <c r="Z59" s="317">
        <v>1.0</v>
      </c>
      <c r="AA59" s="317">
        <v>1.0</v>
      </c>
    </row>
    <row r="60">
      <c r="A60" s="430" t="s">
        <v>1374</v>
      </c>
      <c r="B60" s="317">
        <v>0.0</v>
      </c>
      <c r="C60" s="317">
        <v>0.0</v>
      </c>
      <c r="D60" s="317">
        <v>0.0</v>
      </c>
      <c r="E60" s="317">
        <v>0.75</v>
      </c>
      <c r="F60" s="317">
        <v>0.0</v>
      </c>
      <c r="G60" s="317">
        <v>0.0</v>
      </c>
      <c r="H60" s="317">
        <v>0.0</v>
      </c>
      <c r="I60" s="317">
        <v>0.0</v>
      </c>
      <c r="J60" s="317">
        <v>1.0</v>
      </c>
      <c r="K60" s="317">
        <v>0.0</v>
      </c>
      <c r="L60" s="317">
        <v>0.0</v>
      </c>
      <c r="M60" s="317">
        <v>0.0</v>
      </c>
      <c r="N60" s="317">
        <v>0.0</v>
      </c>
      <c r="O60" s="317">
        <v>0.0</v>
      </c>
      <c r="P60" s="317">
        <v>1.0</v>
      </c>
      <c r="Q60" s="317">
        <v>0.0</v>
      </c>
      <c r="R60" s="317">
        <v>0.0</v>
      </c>
      <c r="S60" s="317">
        <v>0.0</v>
      </c>
      <c r="T60" s="317">
        <v>1.0</v>
      </c>
      <c r="U60" s="317">
        <v>1.0</v>
      </c>
      <c r="V60" s="317">
        <v>1.15</v>
      </c>
      <c r="W60" s="317">
        <v>1.15</v>
      </c>
      <c r="X60" s="317">
        <v>1.15</v>
      </c>
      <c r="Y60" s="317">
        <v>1.15</v>
      </c>
      <c r="Z60" s="317">
        <v>1.15</v>
      </c>
      <c r="AA60" s="317">
        <v>0.75</v>
      </c>
    </row>
    <row r="61">
      <c r="A61" s="150">
        <v>1.0</v>
      </c>
      <c r="B61" s="414"/>
      <c r="C61" s="414"/>
      <c r="D61" s="414"/>
      <c r="E61" s="414" t="str">
        <f>Rounddown(Rounddown(Rounddown(Rounddown((E$59+E$60*($A61-1)),0)*(1+(EnemyDamageSlider-1)+(EnemyDMGDanger-1)+(EnemyJackDMG-1)),0)*IF($A61&gt;20,(1+Max(0,((($A61-20)*(($A61-20)+1))/2)/100)*(2+Max(0,($A61-35)*0.2))),1),0)*IF(EnemyBuffed=TRUE,1.25,1),0) &amp; "  (" &amp; MAX(ROUND(Rounddown(Rounddown(Rounddown(Rounddown((E$59+E$60*($A61-1)),0)*(1+(EnemyDamageSlider-1)+(EnemyDMGDanger-1)+(EnemyJackDMG-1)),0)*IF($A61&gt;20,(1+Max(0,((($A61-20)*(($A61-20)+1))/2)/100)*(2+Max(0,($A61-35)*0.2))),1),0)*IF(EnemyBuffed=TRUE,1.25,1),0)*EnemyDMGTaken,0),1) &amp; ")"</f>
        <v>1  (1)</v>
      </c>
      <c r="F61" s="414"/>
      <c r="G61" s="414"/>
      <c r="H61" s="414"/>
      <c r="I61" s="414"/>
      <c r="J61" s="414" t="str">
        <f>Rounddown(Rounddown(Rounddown(Rounddown((J$59+J$60*($A61-1)),0)*(1+(EnemyDamageSlider-1)+(EnemyDMGDanger-1)+(EnemyJackDMG-1)),0)*IF($A61&gt;20,(1+Max(0,((($A61-20)*(($A61-20)+1))/2)/100)*(2+Max(0,($A61-35)*0.2))),1),0)*IF(EnemyBuffed=TRUE,1.25,1),0) &amp; "  (" &amp; MAX(ROUND(Rounddown(Rounddown(Rounddown(Rounddown((J$59+J$60*($A61-1)),0)*(1+(EnemyDamageSlider-1)+(EnemyDMGDanger-1)+(EnemyJackDMG-1)),0)*IF($A61&gt;20,(1+Max(0,((($A61-20)*(($A61-20)+1))/2)/100)*(2+Max(0,($A61-35)*0.2))),1),0)*IF(EnemyBuffed=TRUE,1.25,1),0)*EnemyDMGTaken,0),1) &amp; ")"</f>
        <v>1  (1)</v>
      </c>
      <c r="K61" s="414"/>
      <c r="L61" s="414"/>
      <c r="M61" s="414"/>
      <c r="N61" s="414"/>
      <c r="O61" s="414"/>
      <c r="P61" s="414" t="str">
        <f>Rounddown(Rounddown(Rounddown(Rounddown((P$59+P$60*($A61-1)),0)*(1+(EnemyDamageSlider-1)+(EnemyDMGDanger-1)+(EnemyJackDMG-1)),0)*IF($A61&gt;20,(1+Max(0,((($A61-20)*(($A61-20)+1))/2)/100)*(2+Max(0,($A61-35)*0.2))),1),0)*IF(EnemyBuffed=TRUE,1.25,1),0) &amp; "  (" &amp; MAX(ROUND(Rounddown(Rounddown(Rounddown(Rounddown((P$59+P$60*($A61-1)),0)*(1+(EnemyDamageSlider-1)+(EnemyDMGDanger-1)+(EnemyJackDMG-1)),0)*IF($A61&gt;20,(1+Max(0,((($A61-20)*(($A61-20)+1))/2)/100)*(2+Max(0,($A61-35)*0.2))),1),0)*IF(EnemyBuffed=TRUE,1.25,1),0)*EnemyDMGTaken,0),1) &amp; ")"</f>
        <v>1  (1)</v>
      </c>
      <c r="Q61" s="414"/>
      <c r="R61" s="414"/>
      <c r="S61" s="414"/>
      <c r="T61" s="414" t="str">
        <f>Rounddown(Rounddown(Rounddown(Rounddown((T$59+T$60*($A61-1)),0)*(1+(EnemyDamageSlider-1)+(EnemyDMGDanger-1)+(EnemyJackDMG-1)),0)*IF($A61&gt;20,(1+Max(0,((($A61-20)*(($A61-20)+1))/2)/100)*(2+Max(0,($A61-35)*0.2))),1),0)*IF(EnemyBuffed=TRUE,1.25,1),0) &amp; "  (" &amp; MAX(ROUND(Rounddown(Rounddown(Rounddown(Rounddown((T$59+T$60*($A61-1)),0)*(1+(EnemyDamageSlider-1)+(EnemyDMGDanger-1)+(EnemyJackDMG-1)),0)*IF($A61&gt;20,(1+Max(0,((($A61-20)*(($A61-20)+1))/2)/100)*(2+Max(0,($A61-35)*0.2))),1),0)*IF(EnemyBuffed=TRUE,1.25,1),0)*EnemyDMGTaken,0),1) &amp; ")"</f>
        <v>1  (1)</v>
      </c>
      <c r="U61" s="414" t="str">
        <f>Rounddown(Rounddown(Rounddown(Rounddown((U$59+U$60*($A61-1)),0)*(1+(EnemyDamageSlider-1)+(EnemyDMGDanger-1)+(EnemyJackDMG-1)),0)*IF($A61&gt;20,(1+Max(0,((($A61-20)*(($A61-20)+1))/2)/100)*(2+Max(0,($A61-35)*0.2))),1),0)*IF(EnemyBuffed=TRUE,1.25,1),0) &amp; "  (" &amp; MAX(ROUND(Rounddown(Rounddown(Rounddown(Rounddown((U$59+U$60*($A61-1)),0)*(1+(EnemyDamageSlider-1)+(EnemyDMGDanger-1)+(EnemyJackDMG-1)),0)*IF($A61&gt;20,(1+Max(0,((($A61-20)*(($A61-20)+1))/2)/100)*(2+Max(0,($A61-35)*0.2))),1),0)*IF(EnemyBuffed=TRUE,1.25,1),0)*EnemyDMGTaken,0),1) &amp; ")"</f>
        <v>1  (1)</v>
      </c>
      <c r="V61" s="414" t="str">
        <f>Rounddown(Rounddown(Rounddown(Rounddown((V$59+V$60*($A61-1)),0)*(1+(EnemyDamageSlider-1)+(EnemyDMGDanger-1)+(EnemyJackDMG-1)),0)*IF($A61&gt;20,(1+Max(0,((($A61-20)*(($A61-20)+1))/2)/100)*(2+Max(0,($A61-35)*0.2))),1),0)*IF(EnemyBuffed=TRUE,1.25,1),0) &amp; "  (" &amp; MAX(ROUND(Rounddown(Rounddown(Rounddown(Rounddown((V$59+V$60*($A61-1)),0)*(1+(EnemyDamageSlider-1)+(EnemyDMGDanger-1)+(EnemyJackDMG-1)),0)*IF($A61&gt;20,(1+Max(0,((($A61-20)*(($A61-20)+1))/2)/100)*(2+Max(0,($A61-35)*0.2))),1),0)*IF(EnemyBuffed=TRUE,1.25,1),0)*EnemyDMGTaken,0),1) &amp; ")"</f>
        <v>1  (1)</v>
      </c>
      <c r="W61" s="414" t="str">
        <f>Rounddown(Rounddown(Rounddown(Rounddown((W$59+W$60*($A61-1)),0)*(1+(EnemyDamageSlider-1)+(EnemyDMGDanger-1)+(EnemyJackDMG-1)),0)*IF($A61&gt;20,(1+Max(0,((($A61-20)*(($A61-20)+1))/2)/100)*(2+Max(0,($A61-35)*0.2))),1),0)*IF(EnemyBuffed=TRUE,1.25,1),0) &amp; "  (" &amp; MAX(ROUND(Rounddown(Rounddown(Rounddown(Rounddown((W$59+W$60*($A61-1)),0)*(1+(EnemyDamageSlider-1)+(EnemyDMGDanger-1)+(EnemyJackDMG-1)),0)*IF($A61&gt;20,(1+Max(0,((($A61-20)*(($A61-20)+1))/2)/100)*(2+Max(0,($A61-35)*0.2))),1),0)*IF(EnemyBuffed=TRUE,1.25,1),0)*EnemyDMGTaken,0),1) &amp; ")"</f>
        <v>1  (1)</v>
      </c>
      <c r="X61" s="414" t="str">
        <f>Rounddown(Rounddown(Rounddown(Rounddown((X$59+X$60*($A61-1)),0)*(1+(EnemyDamageSlider-1)+(EnemyDMGDanger-1)+(EnemyJackDMG-1)),0)*IF($A61&gt;20,(1+Max(0,((($A61-20)*(($A61-20)+1))/2)/100)*(2+Max(0,($A61-35)*0.2))),1),0)*IF(EnemyBuffed=TRUE,1.25,1),0) &amp; "  (" &amp; MAX(ROUND(Rounddown(Rounddown(Rounddown(Rounddown((X$59+X$60*($A61-1)),0)*(1+(EnemyDamageSlider-1)+(EnemyDMGDanger-1)+(EnemyJackDMG-1)),0)*IF($A61&gt;20,(1+Max(0,((($A61-20)*(($A61-20)+1))/2)/100)*(2+Max(0,($A61-35)*0.2))),1),0)*IF(EnemyBuffed=TRUE,1.25,1),0)*EnemyDMGTaken,0),1) &amp; ")"</f>
        <v>1  (1)</v>
      </c>
      <c r="Y61" s="414" t="str">
        <f>Rounddown(Rounddown(Rounddown(Rounddown((Y$59+Y$60*($A61-1)),0)*(1+(EnemyDamageSlider-1)+(EnemyDMGDanger-1)+(EnemyJackDMG-1)),0)*IF($A61&gt;20,(1+Max(0,((($A61-20)*(($A61-20)+1))/2)/100)*(2+Max(0,($A61-35)*0.2))),1),0)*IF(EnemyBuffed=TRUE,1.25,1),0) &amp; "  (" &amp; MAX(ROUND(Rounddown(Rounddown(Rounddown(Rounddown((Y$59+Y$60*($A61-1)),0)*(1+(EnemyDamageSlider-1)+(EnemyDMGDanger-1)+(EnemyJackDMG-1)),0)*IF($A61&gt;20,(1+Max(0,((($A61-20)*(($A61-20)+1))/2)/100)*(2+Max(0,($A61-35)*0.2))),1),0)*IF(EnemyBuffed=TRUE,1.25,1),0)*EnemyDMGTaken,0),1) &amp; ")"</f>
        <v>1  (1)</v>
      </c>
      <c r="Z61" s="414" t="str">
        <f>Rounddown(Rounddown(Rounddown(Rounddown((Z$59+Z$60*($A61-1)),0)*(1+(EnemyDamageSlider-1)+(EnemyDMGDanger-1)+(EnemyJackDMG-1)),0)*IF($A61&gt;20,(1+Max(0,((($A61-20)*(($A61-20)+1))/2)/100)*(2+Max(0,($A61-35)*0.2))),1),0)*IF(EnemyBuffed=TRUE,1.25,1),0) &amp; "  (" &amp; MAX(ROUND(Rounddown(Rounddown(Rounddown(Rounddown((Z$59+Z$60*($A61-1)),0)*(1+(EnemyDamageSlider-1)+(EnemyDMGDanger-1)+(EnemyJackDMG-1)),0)*IF($A61&gt;20,(1+Max(0,((($A61-20)*(($A61-20)+1))/2)/100)*(2+Max(0,($A61-35)*0.2))),1),0)*IF(EnemyBuffed=TRUE,1.25,1),0)*EnemyDMGTaken,0),1) &amp; ")"</f>
        <v>1  (1)</v>
      </c>
      <c r="AA61" s="414" t="str">
        <f>Rounddown(Rounddown(Rounddown(Rounddown((AA$59+AA$60*($A61-1)),0)*(1+(EnemyDamageSlider-1)+(EnemyDMGDanger-1)+(EnemyJackDMG-1)),0)*IF($A61&gt;20,(1+Max(0,((($A61-20)*(($A61-20)+1))/2)/100)*(2+Max(0,($A61-35)*0.2))),1),0)*IF(EnemyBuffed=TRUE,1.25,1),0) &amp; "  (" &amp; MAX(ROUND(Rounddown(Rounddown(Rounddown(Rounddown((AA$59+AA$60*($A61-1)),0)*(1+(EnemyDamageSlider-1)+(EnemyDMGDanger-1)+(EnemyJackDMG-1)),0)*IF($A61&gt;20,(1+Max(0,((($A61-20)*(($A61-20)+1))/2)/100)*(2+Max(0,($A61-35)*0.2))),1),0)*IF(EnemyBuffed=TRUE,1.25,1),0)*EnemyDMGTaken,0),1) &amp; ")"</f>
        <v>1  (1)</v>
      </c>
    </row>
    <row r="62">
      <c r="A62" s="150">
        <v>2.0</v>
      </c>
      <c r="B62" s="414"/>
      <c r="C62" s="414"/>
      <c r="D62" s="414"/>
      <c r="E62" s="414" t="str">
        <f>Rounddown(Rounddown(Rounddown(Rounddown((E$59+E$60*($A62-1)),0)*(1+(EnemyDamageSlider-1)+(EnemyDMGDanger-1)+(EnemyJackDMG-1)),0)*IF($A62&gt;20,(1+Max(0,((($A62-20)*(($A62-20)+1))/2)/100)*(2+Max(0,($A62-35)*0.2))),1),0)*IF(EnemyBuffed=TRUE,1.25,1),0) &amp; "  (" &amp; MAX(ROUND(Rounddown(Rounddown(Rounddown(Rounddown((E$59+E$60*($A62-1)),0)*(1+(EnemyDamageSlider-1)+(EnemyDMGDanger-1)+(EnemyJackDMG-1)),0)*IF($A62&gt;20,(1+Max(0,((($A62-20)*(($A62-20)+1))/2)/100)*(2+Max(0,($A62-35)*0.2))),1),0)*IF(EnemyBuffed=TRUE,1.25,1),0)*EnemyDMGTaken,0),1) &amp; ")"</f>
        <v>1  (1)</v>
      </c>
      <c r="F62" s="414"/>
      <c r="G62" s="414"/>
      <c r="H62" s="414"/>
      <c r="I62" s="414"/>
      <c r="J62" s="414" t="str">
        <f>Rounddown(Rounddown(Rounddown(Rounddown((J$59+J$60*($A62-1)),0)*(1+(EnemyDamageSlider-1)+(EnemyDMGDanger-1)+(EnemyJackDMG-1)),0)*IF($A62&gt;20,(1+Max(0,((($A62-20)*(($A62-20)+1))/2)/100)*(2+Max(0,($A62-35)*0.2))),1),0)*IF(EnemyBuffed=TRUE,1.25,1),0) &amp; "  (" &amp; MAX(ROUND(Rounddown(Rounddown(Rounddown(Rounddown((J$59+J$60*($A62-1)),0)*(1+(EnemyDamageSlider-1)+(EnemyDMGDanger-1)+(EnemyJackDMG-1)),0)*IF($A62&gt;20,(1+Max(0,((($A62-20)*(($A62-20)+1))/2)/100)*(2+Max(0,($A62-35)*0.2))),1),0)*IF(EnemyBuffed=TRUE,1.25,1),0)*EnemyDMGTaken,0),1) &amp; ")"</f>
        <v>2  (2)</v>
      </c>
      <c r="K62" s="414"/>
      <c r="L62" s="414"/>
      <c r="M62" s="414"/>
      <c r="N62" s="414"/>
      <c r="O62" s="414"/>
      <c r="P62" s="414" t="str">
        <f>Rounddown(Rounddown(Rounddown(Rounddown((P$59+P$60*($A62-1)),0)*(1+(EnemyDamageSlider-1)+(EnemyDMGDanger-1)+(EnemyJackDMG-1)),0)*IF($A62&gt;20,(1+Max(0,((($A62-20)*(($A62-20)+1))/2)/100)*(2+Max(0,($A62-35)*0.2))),1),0)*IF(EnemyBuffed=TRUE,1.25,1),0) &amp; "  (" &amp; MAX(ROUND(Rounddown(Rounddown(Rounddown(Rounddown((P$59+P$60*($A62-1)),0)*(1+(EnemyDamageSlider-1)+(EnemyDMGDanger-1)+(EnemyJackDMG-1)),0)*IF($A62&gt;20,(1+Max(0,((($A62-20)*(($A62-20)+1))/2)/100)*(2+Max(0,($A62-35)*0.2))),1),0)*IF(EnemyBuffed=TRUE,1.25,1),0)*EnemyDMGTaken,0),1) &amp; ")"</f>
        <v>2  (2)</v>
      </c>
      <c r="Q62" s="414"/>
      <c r="R62" s="414"/>
      <c r="S62" s="414"/>
      <c r="T62" s="414" t="str">
        <f>Rounddown(Rounddown(Rounddown(Rounddown((T$59+T$60*($A62-1)),0)*(1+(EnemyDamageSlider-1)+(EnemyDMGDanger-1)+(EnemyJackDMG-1)),0)*IF($A62&gt;20,(1+Max(0,((($A62-20)*(($A62-20)+1))/2)/100)*(2+Max(0,($A62-35)*0.2))),1),0)*IF(EnemyBuffed=TRUE,1.25,1),0) &amp; "  (" &amp; MAX(ROUND(Rounddown(Rounddown(Rounddown(Rounddown((T$59+T$60*($A62-1)),0)*(1+(EnemyDamageSlider-1)+(EnemyDMGDanger-1)+(EnemyJackDMG-1)),0)*IF($A62&gt;20,(1+Max(0,((($A62-20)*(($A62-20)+1))/2)/100)*(2+Max(0,($A62-35)*0.2))),1),0)*IF(EnemyBuffed=TRUE,1.25,1),0)*EnemyDMGTaken,0),1) &amp; ")"</f>
        <v>2  (2)</v>
      </c>
      <c r="U62" s="414" t="str">
        <f>Rounddown(Rounddown(Rounddown(Rounddown((U$59+U$60*($A62-1)),0)*(1+(EnemyDamageSlider-1)+(EnemyDMGDanger-1)+(EnemyJackDMG-1)),0)*IF($A62&gt;20,(1+Max(0,((($A62-20)*(($A62-20)+1))/2)/100)*(2+Max(0,($A62-35)*0.2))),1),0)*IF(EnemyBuffed=TRUE,1.25,1),0) &amp; "  (" &amp; MAX(ROUND(Rounddown(Rounddown(Rounddown(Rounddown((U$59+U$60*($A62-1)),0)*(1+(EnemyDamageSlider-1)+(EnemyDMGDanger-1)+(EnemyJackDMG-1)),0)*IF($A62&gt;20,(1+Max(0,((($A62-20)*(($A62-20)+1))/2)/100)*(2+Max(0,($A62-35)*0.2))),1),0)*IF(EnemyBuffed=TRUE,1.25,1),0)*EnemyDMGTaken,0),1) &amp; ")"</f>
        <v>2  (2)</v>
      </c>
      <c r="V62" s="414" t="str">
        <f>Rounddown(Rounddown(Rounddown(Rounddown((V$59+V$60*($A62-1)),0)*(1+(EnemyDamageSlider-1)+(EnemyDMGDanger-1)+(EnemyJackDMG-1)),0)*IF($A62&gt;20,(1+Max(0,((($A62-20)*(($A62-20)+1))/2)/100)*(2+Max(0,($A62-35)*0.2))),1),0)*IF(EnemyBuffed=TRUE,1.25,1),0) &amp; "  (" &amp; MAX(ROUND(Rounddown(Rounddown(Rounddown(Rounddown((V$59+V$60*($A62-1)),0)*(1+(EnemyDamageSlider-1)+(EnemyDMGDanger-1)+(EnemyJackDMG-1)),0)*IF($A62&gt;20,(1+Max(0,((($A62-20)*(($A62-20)+1))/2)/100)*(2+Max(0,($A62-35)*0.2))),1),0)*IF(EnemyBuffed=TRUE,1.25,1),0)*EnemyDMGTaken,0),1) &amp; ")"</f>
        <v>2  (2)</v>
      </c>
      <c r="W62" s="414" t="str">
        <f>Rounddown(Rounddown(Rounddown(Rounddown((W$59+W$60*($A62-1)),0)*(1+(EnemyDamageSlider-1)+(EnemyDMGDanger-1)+(EnemyJackDMG-1)),0)*IF($A62&gt;20,(1+Max(0,((($A62-20)*(($A62-20)+1))/2)/100)*(2+Max(0,($A62-35)*0.2))),1),0)*IF(EnemyBuffed=TRUE,1.25,1),0) &amp; "  (" &amp; MAX(ROUND(Rounddown(Rounddown(Rounddown(Rounddown((W$59+W$60*($A62-1)),0)*(1+(EnemyDamageSlider-1)+(EnemyDMGDanger-1)+(EnemyJackDMG-1)),0)*IF($A62&gt;20,(1+Max(0,((($A62-20)*(($A62-20)+1))/2)/100)*(2+Max(0,($A62-35)*0.2))),1),0)*IF(EnemyBuffed=TRUE,1.25,1),0)*EnemyDMGTaken,0),1) &amp; ")"</f>
        <v>2  (2)</v>
      </c>
      <c r="X62" s="414" t="str">
        <f>Rounddown(Rounddown(Rounddown(Rounddown((X$59+X$60*($A62-1)),0)*(1+(EnemyDamageSlider-1)+(EnemyDMGDanger-1)+(EnemyJackDMG-1)),0)*IF($A62&gt;20,(1+Max(0,((($A62-20)*(($A62-20)+1))/2)/100)*(2+Max(0,($A62-35)*0.2))),1),0)*IF(EnemyBuffed=TRUE,1.25,1),0) &amp; "  (" &amp; MAX(ROUND(Rounddown(Rounddown(Rounddown(Rounddown((X$59+X$60*($A62-1)),0)*(1+(EnemyDamageSlider-1)+(EnemyDMGDanger-1)+(EnemyJackDMG-1)),0)*IF($A62&gt;20,(1+Max(0,((($A62-20)*(($A62-20)+1))/2)/100)*(2+Max(0,($A62-35)*0.2))),1),0)*IF(EnemyBuffed=TRUE,1.25,1),0)*EnemyDMGTaken,0),1) &amp; ")"</f>
        <v>2  (2)</v>
      </c>
      <c r="Y62" s="414" t="str">
        <f>Rounddown(Rounddown(Rounddown(Rounddown((Y$59+Y$60*($A62-1)),0)*(1+(EnemyDamageSlider-1)+(EnemyDMGDanger-1)+(EnemyJackDMG-1)),0)*IF($A62&gt;20,(1+Max(0,((($A62-20)*(($A62-20)+1))/2)/100)*(2+Max(0,($A62-35)*0.2))),1),0)*IF(EnemyBuffed=TRUE,1.25,1),0) &amp; "  (" &amp; MAX(ROUND(Rounddown(Rounddown(Rounddown(Rounddown((Y$59+Y$60*($A62-1)),0)*(1+(EnemyDamageSlider-1)+(EnemyDMGDanger-1)+(EnemyJackDMG-1)),0)*IF($A62&gt;20,(1+Max(0,((($A62-20)*(($A62-20)+1))/2)/100)*(2+Max(0,($A62-35)*0.2))),1),0)*IF(EnemyBuffed=TRUE,1.25,1),0)*EnemyDMGTaken,0),1) &amp; ")"</f>
        <v>2  (2)</v>
      </c>
      <c r="Z62" s="414" t="str">
        <f>Rounddown(Rounddown(Rounddown(Rounddown((Z$59+Z$60*($A62-1)),0)*(1+(EnemyDamageSlider-1)+(EnemyDMGDanger-1)+(EnemyJackDMG-1)),0)*IF($A62&gt;20,(1+Max(0,((($A62-20)*(($A62-20)+1))/2)/100)*(2+Max(0,($A62-35)*0.2))),1),0)*IF(EnemyBuffed=TRUE,1.25,1),0) &amp; "  (" &amp; MAX(ROUND(Rounddown(Rounddown(Rounddown(Rounddown((Z$59+Z$60*($A62-1)),0)*(1+(EnemyDamageSlider-1)+(EnemyDMGDanger-1)+(EnemyJackDMG-1)),0)*IF($A62&gt;20,(1+Max(0,((($A62-20)*(($A62-20)+1))/2)/100)*(2+Max(0,($A62-35)*0.2))),1),0)*IF(EnemyBuffed=TRUE,1.25,1),0)*EnemyDMGTaken,0),1) &amp; ")"</f>
        <v>2  (2)</v>
      </c>
      <c r="AA62" s="414" t="str">
        <f>Rounddown(Rounddown(Rounddown(Rounddown((AA$59+AA$60*($A62-1)),0)*(1+(EnemyDamageSlider-1)+(EnemyDMGDanger-1)+(EnemyJackDMG-1)),0)*IF($A62&gt;20,(1+Max(0,((($A62-20)*(($A62-20)+1))/2)/100)*(2+Max(0,($A62-35)*0.2))),1),0)*IF(EnemyBuffed=TRUE,1.25,1),0) &amp; "  (" &amp; MAX(ROUND(Rounddown(Rounddown(Rounddown(Rounddown((AA$59+AA$60*($A62-1)),0)*(1+(EnemyDamageSlider-1)+(EnemyDMGDanger-1)+(EnemyJackDMG-1)),0)*IF($A62&gt;20,(1+Max(0,((($A62-20)*(($A62-20)+1))/2)/100)*(2+Max(0,($A62-35)*0.2))),1),0)*IF(EnemyBuffed=TRUE,1.25,1),0)*EnemyDMGTaken,0),1) &amp; ")"</f>
        <v>1  (1)</v>
      </c>
    </row>
    <row r="63">
      <c r="A63" s="150">
        <v>3.0</v>
      </c>
      <c r="B63" s="414"/>
      <c r="C63" s="414"/>
      <c r="D63" s="414"/>
      <c r="E63" s="414" t="str">
        <f>Rounddown(Rounddown(Rounddown(Rounddown((E$59+E$60*($A63-1)),0)*(1+(EnemyDamageSlider-1)+(EnemyDMGDanger-1)+(EnemyJackDMG-1)),0)*IF($A63&gt;20,(1+Max(0,((($A63-20)*(($A63-20)+1))/2)/100)*(2+Max(0,($A63-35)*0.2))),1),0)*IF(EnemyBuffed=TRUE,1.25,1),0) &amp; "  (" &amp; MAX(ROUND(Rounddown(Rounddown(Rounddown(Rounddown((E$59+E$60*($A63-1)),0)*(1+(EnemyDamageSlider-1)+(EnemyDMGDanger-1)+(EnemyJackDMG-1)),0)*IF($A63&gt;20,(1+Max(0,((($A63-20)*(($A63-20)+1))/2)/100)*(2+Max(0,($A63-35)*0.2))),1),0)*IF(EnemyBuffed=TRUE,1.25,1),0)*EnemyDMGTaken,0),1) &amp; ")"</f>
        <v>2  (2)</v>
      </c>
      <c r="F63" s="414"/>
      <c r="G63" s="414"/>
      <c r="H63" s="414"/>
      <c r="I63" s="414"/>
      <c r="J63" s="414" t="str">
        <f>Rounddown(Rounddown(Rounddown(Rounddown((J$59+J$60*($A63-1)),0)*(1+(EnemyDamageSlider-1)+(EnemyDMGDanger-1)+(EnemyJackDMG-1)),0)*IF($A63&gt;20,(1+Max(0,((($A63-20)*(($A63-20)+1))/2)/100)*(2+Max(0,($A63-35)*0.2))),1),0)*IF(EnemyBuffed=TRUE,1.25,1),0) &amp; "  (" &amp; MAX(ROUND(Rounddown(Rounddown(Rounddown(Rounddown((J$59+J$60*($A63-1)),0)*(1+(EnemyDamageSlider-1)+(EnemyDMGDanger-1)+(EnemyJackDMG-1)),0)*IF($A63&gt;20,(1+Max(0,((($A63-20)*(($A63-20)+1))/2)/100)*(2+Max(0,($A63-35)*0.2))),1),0)*IF(EnemyBuffed=TRUE,1.25,1),0)*EnemyDMGTaken,0),1) &amp; ")"</f>
        <v>4  (4)</v>
      </c>
      <c r="K63" s="414"/>
      <c r="L63" s="414"/>
      <c r="M63" s="414"/>
      <c r="N63" s="414"/>
      <c r="O63" s="414"/>
      <c r="P63" s="414" t="str">
        <f>Rounddown(Rounddown(Rounddown(Rounddown((P$59+P$60*($A63-1)),0)*(1+(EnemyDamageSlider-1)+(EnemyDMGDanger-1)+(EnemyJackDMG-1)),0)*IF($A63&gt;20,(1+Max(0,((($A63-20)*(($A63-20)+1))/2)/100)*(2+Max(0,($A63-35)*0.2))),1),0)*IF(EnemyBuffed=TRUE,1.25,1),0) &amp; "  (" &amp; MAX(ROUND(Rounddown(Rounddown(Rounddown(Rounddown((P$59+P$60*($A63-1)),0)*(1+(EnemyDamageSlider-1)+(EnemyDMGDanger-1)+(EnemyJackDMG-1)),0)*IF($A63&gt;20,(1+Max(0,((($A63-20)*(($A63-20)+1))/2)/100)*(2+Max(0,($A63-35)*0.2))),1),0)*IF(EnemyBuffed=TRUE,1.25,1),0)*EnemyDMGTaken,0),1) &amp; ")"</f>
        <v>4  (4)</v>
      </c>
      <c r="Q63" s="414"/>
      <c r="R63" s="414"/>
      <c r="S63" s="414"/>
      <c r="T63" s="414" t="str">
        <f>Rounddown(Rounddown(Rounddown(Rounddown((T$59+T$60*($A63-1)),0)*(1+(EnemyDamageSlider-1)+(EnemyDMGDanger-1)+(EnemyJackDMG-1)),0)*IF($A63&gt;20,(1+Max(0,((($A63-20)*(($A63-20)+1))/2)/100)*(2+Max(0,($A63-35)*0.2))),1),0)*IF(EnemyBuffed=TRUE,1.25,1),0) &amp; "  (" &amp; MAX(ROUND(Rounddown(Rounddown(Rounddown(Rounddown((T$59+T$60*($A63-1)),0)*(1+(EnemyDamageSlider-1)+(EnemyDMGDanger-1)+(EnemyJackDMG-1)),0)*IF($A63&gt;20,(1+Max(0,((($A63-20)*(($A63-20)+1))/2)/100)*(2+Max(0,($A63-35)*0.2))),1),0)*IF(EnemyBuffed=TRUE,1.25,1),0)*EnemyDMGTaken,0),1) &amp; ")"</f>
        <v>4  (4)</v>
      </c>
      <c r="U63" s="414" t="str">
        <f>Rounddown(Rounddown(Rounddown(Rounddown((U$59+U$60*($A63-1)),0)*(1+(EnemyDamageSlider-1)+(EnemyDMGDanger-1)+(EnemyJackDMG-1)),0)*IF($A63&gt;20,(1+Max(0,((($A63-20)*(($A63-20)+1))/2)/100)*(2+Max(0,($A63-35)*0.2))),1),0)*IF(EnemyBuffed=TRUE,1.25,1),0) &amp; "  (" &amp; MAX(ROUND(Rounddown(Rounddown(Rounddown(Rounddown((U$59+U$60*($A63-1)),0)*(1+(EnemyDamageSlider-1)+(EnemyDMGDanger-1)+(EnemyJackDMG-1)),0)*IF($A63&gt;20,(1+Max(0,((($A63-20)*(($A63-20)+1))/2)/100)*(2+Max(0,($A63-35)*0.2))),1),0)*IF(EnemyBuffed=TRUE,1.25,1),0)*EnemyDMGTaken,0),1) &amp; ")"</f>
        <v>4  (4)</v>
      </c>
      <c r="V63" s="414" t="str">
        <f>Rounddown(Rounddown(Rounddown(Rounddown((V$59+V$60*($A63-1)),0)*(1+(EnemyDamageSlider-1)+(EnemyDMGDanger-1)+(EnemyJackDMG-1)),0)*IF($A63&gt;20,(1+Max(0,((($A63-20)*(($A63-20)+1))/2)/100)*(2+Max(0,($A63-35)*0.2))),1),0)*IF(EnemyBuffed=TRUE,1.25,1),0) &amp; "  (" &amp; MAX(ROUND(Rounddown(Rounddown(Rounddown(Rounddown((V$59+V$60*($A63-1)),0)*(1+(EnemyDamageSlider-1)+(EnemyDMGDanger-1)+(EnemyJackDMG-1)),0)*IF($A63&gt;20,(1+Max(0,((($A63-20)*(($A63-20)+1))/2)/100)*(2+Max(0,($A63-35)*0.2))),1),0)*IF(EnemyBuffed=TRUE,1.25,1),0)*EnemyDMGTaken,0),1) &amp; ")"</f>
        <v>4  (4)</v>
      </c>
      <c r="W63" s="414" t="str">
        <f>Rounddown(Rounddown(Rounddown(Rounddown((W$59+W$60*($A63-1)),0)*(1+(EnemyDamageSlider-1)+(EnemyDMGDanger-1)+(EnemyJackDMG-1)),0)*IF($A63&gt;20,(1+Max(0,((($A63-20)*(($A63-20)+1))/2)/100)*(2+Max(0,($A63-35)*0.2))),1),0)*IF(EnemyBuffed=TRUE,1.25,1),0) &amp; "  (" &amp; MAX(ROUND(Rounddown(Rounddown(Rounddown(Rounddown((W$59+W$60*($A63-1)),0)*(1+(EnemyDamageSlider-1)+(EnemyDMGDanger-1)+(EnemyJackDMG-1)),0)*IF($A63&gt;20,(1+Max(0,((($A63-20)*(($A63-20)+1))/2)/100)*(2+Max(0,($A63-35)*0.2))),1),0)*IF(EnemyBuffed=TRUE,1.25,1),0)*EnemyDMGTaken,0),1) &amp; ")"</f>
        <v>4  (4)</v>
      </c>
      <c r="X63" s="414" t="str">
        <f>Rounddown(Rounddown(Rounddown(Rounddown((X$59+X$60*($A63-1)),0)*(1+(EnemyDamageSlider-1)+(EnemyDMGDanger-1)+(EnemyJackDMG-1)),0)*IF($A63&gt;20,(1+Max(0,((($A63-20)*(($A63-20)+1))/2)/100)*(2+Max(0,($A63-35)*0.2))),1),0)*IF(EnemyBuffed=TRUE,1.25,1),0) &amp; "  (" &amp; MAX(ROUND(Rounddown(Rounddown(Rounddown(Rounddown((X$59+X$60*($A63-1)),0)*(1+(EnemyDamageSlider-1)+(EnemyDMGDanger-1)+(EnemyJackDMG-1)),0)*IF($A63&gt;20,(1+Max(0,((($A63-20)*(($A63-20)+1))/2)/100)*(2+Max(0,($A63-35)*0.2))),1),0)*IF(EnemyBuffed=TRUE,1.25,1),0)*EnemyDMGTaken,0),1) &amp; ")"</f>
        <v>4  (4)</v>
      </c>
      <c r="Y63" s="414" t="str">
        <f>Rounddown(Rounddown(Rounddown(Rounddown((Y$59+Y$60*($A63-1)),0)*(1+(EnemyDamageSlider-1)+(EnemyDMGDanger-1)+(EnemyJackDMG-1)),0)*IF($A63&gt;20,(1+Max(0,((($A63-20)*(($A63-20)+1))/2)/100)*(2+Max(0,($A63-35)*0.2))),1),0)*IF(EnemyBuffed=TRUE,1.25,1),0) &amp; "  (" &amp; MAX(ROUND(Rounddown(Rounddown(Rounddown(Rounddown((Y$59+Y$60*($A63-1)),0)*(1+(EnemyDamageSlider-1)+(EnemyDMGDanger-1)+(EnemyJackDMG-1)),0)*IF($A63&gt;20,(1+Max(0,((($A63-20)*(($A63-20)+1))/2)/100)*(2+Max(0,($A63-35)*0.2))),1),0)*IF(EnemyBuffed=TRUE,1.25,1),0)*EnemyDMGTaken,0),1) &amp; ")"</f>
        <v>4  (4)</v>
      </c>
      <c r="Z63" s="414" t="str">
        <f>Rounddown(Rounddown(Rounddown(Rounddown((Z$59+Z$60*($A63-1)),0)*(1+(EnemyDamageSlider-1)+(EnemyDMGDanger-1)+(EnemyJackDMG-1)),0)*IF($A63&gt;20,(1+Max(0,((($A63-20)*(($A63-20)+1))/2)/100)*(2+Max(0,($A63-35)*0.2))),1),0)*IF(EnemyBuffed=TRUE,1.25,1),0) &amp; "  (" &amp; MAX(ROUND(Rounddown(Rounddown(Rounddown(Rounddown((Z$59+Z$60*($A63-1)),0)*(1+(EnemyDamageSlider-1)+(EnemyDMGDanger-1)+(EnemyJackDMG-1)),0)*IF($A63&gt;20,(1+Max(0,((($A63-20)*(($A63-20)+1))/2)/100)*(2+Max(0,($A63-35)*0.2))),1),0)*IF(EnemyBuffed=TRUE,1.25,1),0)*EnemyDMGTaken,0),1) &amp; ")"</f>
        <v>4  (4)</v>
      </c>
      <c r="AA63" s="414" t="str">
        <f>Rounddown(Rounddown(Rounddown(Rounddown((AA$59+AA$60*($A63-1)),0)*(1+(EnemyDamageSlider-1)+(EnemyDMGDanger-1)+(EnemyJackDMG-1)),0)*IF($A63&gt;20,(1+Max(0,((($A63-20)*(($A63-20)+1))/2)/100)*(2+Max(0,($A63-35)*0.2))),1),0)*IF(EnemyBuffed=TRUE,1.25,1),0) &amp; "  (" &amp; MAX(ROUND(Rounddown(Rounddown(Rounddown(Rounddown((AA$59+AA$60*($A63-1)),0)*(1+(EnemyDamageSlider-1)+(EnemyDMGDanger-1)+(EnemyJackDMG-1)),0)*IF($A63&gt;20,(1+Max(0,((($A63-20)*(($A63-20)+1))/2)/100)*(2+Max(0,($A63-35)*0.2))),1),0)*IF(EnemyBuffed=TRUE,1.25,1),0)*EnemyDMGTaken,0),1) &amp; ")"</f>
        <v>2  (2)</v>
      </c>
    </row>
    <row r="64">
      <c r="A64" s="150">
        <v>4.0</v>
      </c>
      <c r="B64" s="414"/>
      <c r="C64" s="414"/>
      <c r="D64" s="414"/>
      <c r="E64" s="414" t="str">
        <f>Rounddown(Rounddown(Rounddown(Rounddown((E$59+E$60*($A64-1)),0)*(1+(EnemyDamageSlider-1)+(EnemyDMGDanger-1)+(EnemyJackDMG-1)),0)*IF($A64&gt;20,(1+Max(0,((($A64-20)*(($A64-20)+1))/2)/100)*(2+Max(0,($A64-35)*0.2))),1),0)*IF(EnemyBuffed=TRUE,1.25,1),0) &amp; "  (" &amp; MAX(ROUND(Rounddown(Rounddown(Rounddown(Rounddown((E$59+E$60*($A64-1)),0)*(1+(EnemyDamageSlider-1)+(EnemyDMGDanger-1)+(EnemyJackDMG-1)),0)*IF($A64&gt;20,(1+Max(0,((($A64-20)*(($A64-20)+1))/2)/100)*(2+Max(0,($A64-35)*0.2))),1),0)*IF(EnemyBuffed=TRUE,1.25,1),0)*EnemyDMGTaken,0),1) &amp; ")"</f>
        <v>4  (4)</v>
      </c>
      <c r="F64" s="414"/>
      <c r="G64" s="414"/>
      <c r="H64" s="414"/>
      <c r="I64" s="414"/>
      <c r="J64" s="414" t="str">
        <f>Rounddown(Rounddown(Rounddown(Rounddown((J$59+J$60*($A64-1)),0)*(1+(EnemyDamageSlider-1)+(EnemyDMGDanger-1)+(EnemyJackDMG-1)),0)*IF($A64&gt;20,(1+Max(0,((($A64-20)*(($A64-20)+1))/2)/100)*(2+Max(0,($A64-35)*0.2))),1),0)*IF(EnemyBuffed=TRUE,1.25,1),0) &amp; "  (" &amp; MAX(ROUND(Rounddown(Rounddown(Rounddown(Rounddown((J$59+J$60*($A64-1)),0)*(1+(EnemyDamageSlider-1)+(EnemyDMGDanger-1)+(EnemyJackDMG-1)),0)*IF($A64&gt;20,(1+Max(0,((($A64-20)*(($A64-20)+1))/2)/100)*(2+Max(0,($A64-35)*0.2))),1),0)*IF(EnemyBuffed=TRUE,1.25,1),0)*EnemyDMGTaken,0),1) &amp; ")"</f>
        <v>5  (5)</v>
      </c>
      <c r="K64" s="414"/>
      <c r="L64" s="414"/>
      <c r="M64" s="414"/>
      <c r="N64" s="414"/>
      <c r="O64" s="414"/>
      <c r="P64" s="414" t="str">
        <f>Rounddown(Rounddown(Rounddown(Rounddown((P$59+P$60*($A64-1)),0)*(1+(EnemyDamageSlider-1)+(EnemyDMGDanger-1)+(EnemyJackDMG-1)),0)*IF($A64&gt;20,(1+Max(0,((($A64-20)*(($A64-20)+1))/2)/100)*(2+Max(0,($A64-35)*0.2))),1),0)*IF(EnemyBuffed=TRUE,1.25,1),0) &amp; "  (" &amp; MAX(ROUND(Rounddown(Rounddown(Rounddown(Rounddown((P$59+P$60*($A64-1)),0)*(1+(EnemyDamageSlider-1)+(EnemyDMGDanger-1)+(EnemyJackDMG-1)),0)*IF($A64&gt;20,(1+Max(0,((($A64-20)*(($A64-20)+1))/2)/100)*(2+Max(0,($A64-35)*0.2))),1),0)*IF(EnemyBuffed=TRUE,1.25,1),0)*EnemyDMGTaken,0),1) &amp; ")"</f>
        <v>5  (5)</v>
      </c>
      <c r="Q64" s="414"/>
      <c r="R64" s="414"/>
      <c r="S64" s="414"/>
      <c r="T64" s="414" t="str">
        <f>Rounddown(Rounddown(Rounddown(Rounddown((T$59+T$60*($A64-1)),0)*(1+(EnemyDamageSlider-1)+(EnemyDMGDanger-1)+(EnemyJackDMG-1)),0)*IF($A64&gt;20,(1+Max(0,((($A64-20)*(($A64-20)+1))/2)/100)*(2+Max(0,($A64-35)*0.2))),1),0)*IF(EnemyBuffed=TRUE,1.25,1),0) &amp; "  (" &amp; MAX(ROUND(Rounddown(Rounddown(Rounddown(Rounddown((T$59+T$60*($A64-1)),0)*(1+(EnemyDamageSlider-1)+(EnemyDMGDanger-1)+(EnemyJackDMG-1)),0)*IF($A64&gt;20,(1+Max(0,((($A64-20)*(($A64-20)+1))/2)/100)*(2+Max(0,($A64-35)*0.2))),1),0)*IF(EnemyBuffed=TRUE,1.25,1),0)*EnemyDMGTaken,0),1) &amp; ")"</f>
        <v>5  (5)</v>
      </c>
      <c r="U64" s="414" t="str">
        <f>Rounddown(Rounddown(Rounddown(Rounddown((U$59+U$60*($A64-1)),0)*(1+(EnemyDamageSlider-1)+(EnemyDMGDanger-1)+(EnemyJackDMG-1)),0)*IF($A64&gt;20,(1+Max(0,((($A64-20)*(($A64-20)+1))/2)/100)*(2+Max(0,($A64-35)*0.2))),1),0)*IF(EnemyBuffed=TRUE,1.25,1),0) &amp; "  (" &amp; MAX(ROUND(Rounddown(Rounddown(Rounddown(Rounddown((U$59+U$60*($A64-1)),0)*(1+(EnemyDamageSlider-1)+(EnemyDMGDanger-1)+(EnemyJackDMG-1)),0)*IF($A64&gt;20,(1+Max(0,((($A64-20)*(($A64-20)+1))/2)/100)*(2+Max(0,($A64-35)*0.2))),1),0)*IF(EnemyBuffed=TRUE,1.25,1),0)*EnemyDMGTaken,0),1) &amp; ")"</f>
        <v>5  (5)</v>
      </c>
      <c r="V64" s="414" t="str">
        <f>Rounddown(Rounddown(Rounddown(Rounddown((V$59+V$60*($A64-1)),0)*(1+(EnemyDamageSlider-1)+(EnemyDMGDanger-1)+(EnemyJackDMG-1)),0)*IF($A64&gt;20,(1+Max(0,((($A64-20)*(($A64-20)+1))/2)/100)*(2+Max(0,($A64-35)*0.2))),1),0)*IF(EnemyBuffed=TRUE,1.25,1),0) &amp; "  (" &amp; MAX(ROUND(Rounddown(Rounddown(Rounddown(Rounddown((V$59+V$60*($A64-1)),0)*(1+(EnemyDamageSlider-1)+(EnemyDMGDanger-1)+(EnemyJackDMG-1)),0)*IF($A64&gt;20,(1+Max(0,((($A64-20)*(($A64-20)+1))/2)/100)*(2+Max(0,($A64-35)*0.2))),1),0)*IF(EnemyBuffed=TRUE,1.25,1),0)*EnemyDMGTaken,0),1) &amp; ")"</f>
        <v>5  (5)</v>
      </c>
      <c r="W64" s="414" t="str">
        <f>Rounddown(Rounddown(Rounddown(Rounddown((W$59+W$60*($A64-1)),0)*(1+(EnemyDamageSlider-1)+(EnemyDMGDanger-1)+(EnemyJackDMG-1)),0)*IF($A64&gt;20,(1+Max(0,((($A64-20)*(($A64-20)+1))/2)/100)*(2+Max(0,($A64-35)*0.2))),1),0)*IF(EnemyBuffed=TRUE,1.25,1),0) &amp; "  (" &amp; MAX(ROUND(Rounddown(Rounddown(Rounddown(Rounddown((W$59+W$60*($A64-1)),0)*(1+(EnemyDamageSlider-1)+(EnemyDMGDanger-1)+(EnemyJackDMG-1)),0)*IF($A64&gt;20,(1+Max(0,((($A64-20)*(($A64-20)+1))/2)/100)*(2+Max(0,($A64-35)*0.2))),1),0)*IF(EnemyBuffed=TRUE,1.25,1),0)*EnemyDMGTaken,0),1) &amp; ")"</f>
        <v>5  (5)</v>
      </c>
      <c r="X64" s="414" t="str">
        <f>Rounddown(Rounddown(Rounddown(Rounddown((X$59+X$60*($A64-1)),0)*(1+(EnemyDamageSlider-1)+(EnemyDMGDanger-1)+(EnemyJackDMG-1)),0)*IF($A64&gt;20,(1+Max(0,((($A64-20)*(($A64-20)+1))/2)/100)*(2+Max(0,($A64-35)*0.2))),1),0)*IF(EnemyBuffed=TRUE,1.25,1),0) &amp; "  (" &amp; MAX(ROUND(Rounddown(Rounddown(Rounddown(Rounddown((X$59+X$60*($A64-1)),0)*(1+(EnemyDamageSlider-1)+(EnemyDMGDanger-1)+(EnemyJackDMG-1)),0)*IF($A64&gt;20,(1+Max(0,((($A64-20)*(($A64-20)+1))/2)/100)*(2+Max(0,($A64-35)*0.2))),1),0)*IF(EnemyBuffed=TRUE,1.25,1),0)*EnemyDMGTaken,0),1) &amp; ")"</f>
        <v>5  (5)</v>
      </c>
      <c r="Y64" s="414" t="str">
        <f>Rounddown(Rounddown(Rounddown(Rounddown((Y$59+Y$60*($A64-1)),0)*(1+(EnemyDamageSlider-1)+(EnemyDMGDanger-1)+(EnemyJackDMG-1)),0)*IF($A64&gt;20,(1+Max(0,((($A64-20)*(($A64-20)+1))/2)/100)*(2+Max(0,($A64-35)*0.2))),1),0)*IF(EnemyBuffed=TRUE,1.25,1),0) &amp; "  (" &amp; MAX(ROUND(Rounddown(Rounddown(Rounddown(Rounddown((Y$59+Y$60*($A64-1)),0)*(1+(EnemyDamageSlider-1)+(EnemyDMGDanger-1)+(EnemyJackDMG-1)),0)*IF($A64&gt;20,(1+Max(0,((($A64-20)*(($A64-20)+1))/2)/100)*(2+Max(0,($A64-35)*0.2))),1),0)*IF(EnemyBuffed=TRUE,1.25,1),0)*EnemyDMGTaken,0),1) &amp; ")"</f>
        <v>5  (5)</v>
      </c>
      <c r="Z64" s="414" t="str">
        <f>Rounddown(Rounddown(Rounddown(Rounddown((Z$59+Z$60*($A64-1)),0)*(1+(EnemyDamageSlider-1)+(EnemyDMGDanger-1)+(EnemyJackDMG-1)),0)*IF($A64&gt;20,(1+Max(0,((($A64-20)*(($A64-20)+1))/2)/100)*(2+Max(0,($A64-35)*0.2))),1),0)*IF(EnemyBuffed=TRUE,1.25,1),0) &amp; "  (" &amp; MAX(ROUND(Rounddown(Rounddown(Rounddown(Rounddown((Z$59+Z$60*($A64-1)),0)*(1+(EnemyDamageSlider-1)+(EnemyDMGDanger-1)+(EnemyJackDMG-1)),0)*IF($A64&gt;20,(1+Max(0,((($A64-20)*(($A64-20)+1))/2)/100)*(2+Max(0,($A64-35)*0.2))),1),0)*IF(EnemyBuffed=TRUE,1.25,1),0)*EnemyDMGTaken,0),1) &amp; ")"</f>
        <v>5  (5)</v>
      </c>
      <c r="AA64" s="414" t="str">
        <f>Rounddown(Rounddown(Rounddown(Rounddown((AA$59+AA$60*($A64-1)),0)*(1+(EnemyDamageSlider-1)+(EnemyDMGDanger-1)+(EnemyJackDMG-1)),0)*IF($A64&gt;20,(1+Max(0,((($A64-20)*(($A64-20)+1))/2)/100)*(2+Max(0,($A64-35)*0.2))),1),0)*IF(EnemyBuffed=TRUE,1.25,1),0) &amp; "  (" &amp; MAX(ROUND(Rounddown(Rounddown(Rounddown(Rounddown((AA$59+AA$60*($A64-1)),0)*(1+(EnemyDamageSlider-1)+(EnemyDMGDanger-1)+(EnemyJackDMG-1)),0)*IF($A64&gt;20,(1+Max(0,((($A64-20)*(($A64-20)+1))/2)/100)*(2+Max(0,($A64-35)*0.2))),1),0)*IF(EnemyBuffed=TRUE,1.25,1),0)*EnemyDMGTaken,0),1) &amp; ")"</f>
        <v>4  (4)</v>
      </c>
    </row>
    <row r="65">
      <c r="A65" s="150">
        <v>5.0</v>
      </c>
      <c r="B65" s="414"/>
      <c r="C65" s="414"/>
      <c r="D65" s="414"/>
      <c r="E65" s="414" t="str">
        <f>Rounddown(Rounddown(Rounddown(Rounddown((E$59+E$60*($A65-1)),0)*(1+(EnemyDamageSlider-1)+(EnemyDMGDanger-1)+(EnemyJackDMG-1)),0)*IF($A65&gt;20,(1+Max(0,((($A65-20)*(($A65-20)+1))/2)/100)*(2+Max(0,($A65-35)*0.2))),1),0)*IF(EnemyBuffed=TRUE,1.25,1),0) &amp; "  (" &amp; MAX(ROUND(Rounddown(Rounddown(Rounddown(Rounddown((E$59+E$60*($A65-1)),0)*(1+(EnemyDamageSlider-1)+(EnemyDMGDanger-1)+(EnemyJackDMG-1)),0)*IF($A65&gt;20,(1+Max(0,((($A65-20)*(($A65-20)+1))/2)/100)*(2+Max(0,($A65-35)*0.2))),1),0)*IF(EnemyBuffed=TRUE,1.25,1),0)*EnemyDMGTaken,0),1) &amp; ")"</f>
        <v>5  (5)</v>
      </c>
      <c r="F65" s="414"/>
      <c r="G65" s="414"/>
      <c r="H65" s="414"/>
      <c r="I65" s="414"/>
      <c r="J65" s="414" t="str">
        <f>Rounddown(Rounddown(Rounddown(Rounddown((J$59+J$60*($A65-1)),0)*(1+(EnemyDamageSlider-1)+(EnemyDMGDanger-1)+(EnemyJackDMG-1)),0)*IF($A65&gt;20,(1+Max(0,((($A65-20)*(($A65-20)+1))/2)/100)*(2+Max(0,($A65-35)*0.2))),1),0)*IF(EnemyBuffed=TRUE,1.25,1),0) &amp; "  (" &amp; MAX(ROUND(Rounddown(Rounddown(Rounddown(Rounddown((J$59+J$60*($A65-1)),0)*(1+(EnemyDamageSlider-1)+(EnemyDMGDanger-1)+(EnemyJackDMG-1)),0)*IF($A65&gt;20,(1+Max(0,((($A65-20)*(($A65-20)+1))/2)/100)*(2+Max(0,($A65-35)*0.2))),1),0)*IF(EnemyBuffed=TRUE,1.25,1),0)*EnemyDMGTaken,0),1) &amp; ")"</f>
        <v>7  (7)</v>
      </c>
      <c r="K65" s="414"/>
      <c r="L65" s="414"/>
      <c r="M65" s="414"/>
      <c r="N65" s="414"/>
      <c r="O65" s="414"/>
      <c r="P65" s="414" t="str">
        <f>Rounddown(Rounddown(Rounddown(Rounddown((P$59+P$60*($A65-1)),0)*(1+(EnemyDamageSlider-1)+(EnemyDMGDanger-1)+(EnemyJackDMG-1)),0)*IF($A65&gt;20,(1+Max(0,((($A65-20)*(($A65-20)+1))/2)/100)*(2+Max(0,($A65-35)*0.2))),1),0)*IF(EnemyBuffed=TRUE,1.25,1),0) &amp; "  (" &amp; MAX(ROUND(Rounddown(Rounddown(Rounddown(Rounddown((P$59+P$60*($A65-1)),0)*(1+(EnemyDamageSlider-1)+(EnemyDMGDanger-1)+(EnemyJackDMG-1)),0)*IF($A65&gt;20,(1+Max(0,((($A65-20)*(($A65-20)+1))/2)/100)*(2+Max(0,($A65-35)*0.2))),1),0)*IF(EnemyBuffed=TRUE,1.25,1),0)*EnemyDMGTaken,0),1) &amp; ")"</f>
        <v>7  (7)</v>
      </c>
      <c r="Q65" s="414"/>
      <c r="R65" s="414"/>
      <c r="S65" s="414"/>
      <c r="T65" s="414" t="str">
        <f>Rounddown(Rounddown(Rounddown(Rounddown((T$59+T$60*($A65-1)),0)*(1+(EnemyDamageSlider-1)+(EnemyDMGDanger-1)+(EnemyJackDMG-1)),0)*IF($A65&gt;20,(1+Max(0,((($A65-20)*(($A65-20)+1))/2)/100)*(2+Max(0,($A65-35)*0.2))),1),0)*IF(EnemyBuffed=TRUE,1.25,1),0) &amp; "  (" &amp; MAX(ROUND(Rounddown(Rounddown(Rounddown(Rounddown((T$59+T$60*($A65-1)),0)*(1+(EnemyDamageSlider-1)+(EnemyDMGDanger-1)+(EnemyJackDMG-1)),0)*IF($A65&gt;20,(1+Max(0,((($A65-20)*(($A65-20)+1))/2)/100)*(2+Max(0,($A65-35)*0.2))),1),0)*IF(EnemyBuffed=TRUE,1.25,1),0)*EnemyDMGTaken,0),1) &amp; ")"</f>
        <v>7  (7)</v>
      </c>
      <c r="U65" s="414" t="str">
        <f>Rounddown(Rounddown(Rounddown(Rounddown((U$59+U$60*($A65-1)),0)*(1+(EnemyDamageSlider-1)+(EnemyDMGDanger-1)+(EnemyJackDMG-1)),0)*IF($A65&gt;20,(1+Max(0,((($A65-20)*(($A65-20)+1))/2)/100)*(2+Max(0,($A65-35)*0.2))),1),0)*IF(EnemyBuffed=TRUE,1.25,1),0) &amp; "  (" &amp; MAX(ROUND(Rounddown(Rounddown(Rounddown(Rounddown((U$59+U$60*($A65-1)),0)*(1+(EnemyDamageSlider-1)+(EnemyDMGDanger-1)+(EnemyJackDMG-1)),0)*IF($A65&gt;20,(1+Max(0,((($A65-20)*(($A65-20)+1))/2)/100)*(2+Max(0,($A65-35)*0.2))),1),0)*IF(EnemyBuffed=TRUE,1.25,1),0)*EnemyDMGTaken,0),1) &amp; ")"</f>
        <v>7  (7)</v>
      </c>
      <c r="V65" s="414" t="str">
        <f>Rounddown(Rounddown(Rounddown(Rounddown((V$59+V$60*($A65-1)),0)*(1+(EnemyDamageSlider-1)+(EnemyDMGDanger-1)+(EnemyJackDMG-1)),0)*IF($A65&gt;20,(1+Max(0,((($A65-20)*(($A65-20)+1))/2)/100)*(2+Max(0,($A65-35)*0.2))),1),0)*IF(EnemyBuffed=TRUE,1.25,1),0) &amp; "  (" &amp; MAX(ROUND(Rounddown(Rounddown(Rounddown(Rounddown((V$59+V$60*($A65-1)),0)*(1+(EnemyDamageSlider-1)+(EnemyDMGDanger-1)+(EnemyJackDMG-1)),0)*IF($A65&gt;20,(1+Max(0,((($A65-20)*(($A65-20)+1))/2)/100)*(2+Max(0,($A65-35)*0.2))),1),0)*IF(EnemyBuffed=TRUE,1.25,1),0)*EnemyDMGTaken,0),1) &amp; ")"</f>
        <v>7  (7)</v>
      </c>
      <c r="W65" s="414" t="str">
        <f>Rounddown(Rounddown(Rounddown(Rounddown((W$59+W$60*($A65-1)),0)*(1+(EnemyDamageSlider-1)+(EnemyDMGDanger-1)+(EnemyJackDMG-1)),0)*IF($A65&gt;20,(1+Max(0,((($A65-20)*(($A65-20)+1))/2)/100)*(2+Max(0,($A65-35)*0.2))),1),0)*IF(EnemyBuffed=TRUE,1.25,1),0) &amp; "  (" &amp; MAX(ROUND(Rounddown(Rounddown(Rounddown(Rounddown((W$59+W$60*($A65-1)),0)*(1+(EnemyDamageSlider-1)+(EnemyDMGDanger-1)+(EnemyJackDMG-1)),0)*IF($A65&gt;20,(1+Max(0,((($A65-20)*(($A65-20)+1))/2)/100)*(2+Max(0,($A65-35)*0.2))),1),0)*IF(EnemyBuffed=TRUE,1.25,1),0)*EnemyDMGTaken,0),1) &amp; ")"</f>
        <v>7  (7)</v>
      </c>
      <c r="X65" s="414" t="str">
        <f>Rounddown(Rounddown(Rounddown(Rounddown((X$59+X$60*($A65-1)),0)*(1+(EnemyDamageSlider-1)+(EnemyDMGDanger-1)+(EnemyJackDMG-1)),0)*IF($A65&gt;20,(1+Max(0,((($A65-20)*(($A65-20)+1))/2)/100)*(2+Max(0,($A65-35)*0.2))),1),0)*IF(EnemyBuffed=TRUE,1.25,1),0) &amp; "  (" &amp; MAX(ROUND(Rounddown(Rounddown(Rounddown(Rounddown((X$59+X$60*($A65-1)),0)*(1+(EnemyDamageSlider-1)+(EnemyDMGDanger-1)+(EnemyJackDMG-1)),0)*IF($A65&gt;20,(1+Max(0,((($A65-20)*(($A65-20)+1))/2)/100)*(2+Max(0,($A65-35)*0.2))),1),0)*IF(EnemyBuffed=TRUE,1.25,1),0)*EnemyDMGTaken,0),1) &amp; ")"</f>
        <v>7  (7)</v>
      </c>
      <c r="Y65" s="414" t="str">
        <f>Rounddown(Rounddown(Rounddown(Rounddown((Y$59+Y$60*($A65-1)),0)*(1+(EnemyDamageSlider-1)+(EnemyDMGDanger-1)+(EnemyJackDMG-1)),0)*IF($A65&gt;20,(1+Max(0,((($A65-20)*(($A65-20)+1))/2)/100)*(2+Max(0,($A65-35)*0.2))),1),0)*IF(EnemyBuffed=TRUE,1.25,1),0) &amp; "  (" &amp; MAX(ROUND(Rounddown(Rounddown(Rounddown(Rounddown((Y$59+Y$60*($A65-1)),0)*(1+(EnemyDamageSlider-1)+(EnemyDMGDanger-1)+(EnemyJackDMG-1)),0)*IF($A65&gt;20,(1+Max(0,((($A65-20)*(($A65-20)+1))/2)/100)*(2+Max(0,($A65-35)*0.2))),1),0)*IF(EnemyBuffed=TRUE,1.25,1),0)*EnemyDMGTaken,0),1) &amp; ")"</f>
        <v>7  (7)</v>
      </c>
      <c r="Z65" s="414" t="str">
        <f>Rounddown(Rounddown(Rounddown(Rounddown((Z$59+Z$60*($A65-1)),0)*(1+(EnemyDamageSlider-1)+(EnemyDMGDanger-1)+(EnemyJackDMG-1)),0)*IF($A65&gt;20,(1+Max(0,((($A65-20)*(($A65-20)+1))/2)/100)*(2+Max(0,($A65-35)*0.2))),1),0)*IF(EnemyBuffed=TRUE,1.25,1),0) &amp; "  (" &amp; MAX(ROUND(Rounddown(Rounddown(Rounddown(Rounddown((Z$59+Z$60*($A65-1)),0)*(1+(EnemyDamageSlider-1)+(EnemyDMGDanger-1)+(EnemyJackDMG-1)),0)*IF($A65&gt;20,(1+Max(0,((($A65-20)*(($A65-20)+1))/2)/100)*(2+Max(0,($A65-35)*0.2))),1),0)*IF(EnemyBuffed=TRUE,1.25,1),0)*EnemyDMGTaken,0),1) &amp; ")"</f>
        <v>7  (7)</v>
      </c>
      <c r="AA65" s="414" t="str">
        <f>Rounddown(Rounddown(Rounddown(Rounddown((AA$59+AA$60*($A65-1)),0)*(1+(EnemyDamageSlider-1)+(EnemyDMGDanger-1)+(EnemyJackDMG-1)),0)*IF($A65&gt;20,(1+Max(0,((($A65-20)*(($A65-20)+1))/2)/100)*(2+Max(0,($A65-35)*0.2))),1),0)*IF(EnemyBuffed=TRUE,1.25,1),0) &amp; "  (" &amp; MAX(ROUND(Rounddown(Rounddown(Rounddown(Rounddown((AA$59+AA$60*($A65-1)),0)*(1+(EnemyDamageSlider-1)+(EnemyDMGDanger-1)+(EnemyJackDMG-1)),0)*IF($A65&gt;20,(1+Max(0,((($A65-20)*(($A65-20)+1))/2)/100)*(2+Max(0,($A65-35)*0.2))),1),0)*IF(EnemyBuffed=TRUE,1.25,1),0)*EnemyDMGTaken,0),1) &amp; ")"</f>
        <v>5  (5)</v>
      </c>
    </row>
    <row r="66">
      <c r="A66" s="150">
        <v>6.0</v>
      </c>
      <c r="B66" s="414"/>
      <c r="C66" s="414"/>
      <c r="D66" s="414"/>
      <c r="E66" s="414" t="str">
        <f>Rounddown(Rounddown(Rounddown(Rounddown((E$59+E$60*($A66-1)),0)*(1+(EnemyDamageSlider-1)+(EnemyDMGDanger-1)+(EnemyJackDMG-1)),0)*IF($A66&gt;20,(1+Max(0,((($A66-20)*(($A66-20)+1))/2)/100)*(2+Max(0,($A66-35)*0.2))),1),0)*IF(EnemyBuffed=TRUE,1.25,1),0) &amp; "  (" &amp; MAX(ROUND(Rounddown(Rounddown(Rounddown(Rounddown((E$59+E$60*($A66-1)),0)*(1+(EnemyDamageSlider-1)+(EnemyDMGDanger-1)+(EnemyJackDMG-1)),0)*IF($A66&gt;20,(1+Max(0,((($A66-20)*(($A66-20)+1))/2)/100)*(2+Max(0,($A66-35)*0.2))),1),0)*IF(EnemyBuffed=TRUE,1.25,1),0)*EnemyDMGTaken,0),1) &amp; ")"</f>
        <v>5  (5)</v>
      </c>
      <c r="F66" s="414"/>
      <c r="G66" s="414"/>
      <c r="H66" s="414"/>
      <c r="I66" s="414"/>
      <c r="J66" s="414" t="str">
        <f>Rounddown(Rounddown(Rounddown(Rounddown((J$59+J$60*($A66-1)),0)*(1+(EnemyDamageSlider-1)+(EnemyDMGDanger-1)+(EnemyJackDMG-1)),0)*IF($A66&gt;20,(1+Max(0,((($A66-20)*(($A66-20)+1))/2)/100)*(2+Max(0,($A66-35)*0.2))),1),0)*IF(EnemyBuffed=TRUE,1.25,1),0) &amp; "  (" &amp; MAX(ROUND(Rounddown(Rounddown(Rounddown(Rounddown((J$59+J$60*($A66-1)),0)*(1+(EnemyDamageSlider-1)+(EnemyDMGDanger-1)+(EnemyJackDMG-1)),0)*IF($A66&gt;20,(1+Max(0,((($A66-20)*(($A66-20)+1))/2)/100)*(2+Max(0,($A66-35)*0.2))),1),0)*IF(EnemyBuffed=TRUE,1.25,1),0)*EnemyDMGTaken,0),1) &amp; ")"</f>
        <v>8  (8)</v>
      </c>
      <c r="K66" s="414"/>
      <c r="L66" s="414"/>
      <c r="M66" s="414"/>
      <c r="N66" s="414"/>
      <c r="O66" s="414"/>
      <c r="P66" s="414" t="str">
        <f>Rounddown(Rounddown(Rounddown(Rounddown((P$59+P$60*($A66-1)),0)*(1+(EnemyDamageSlider-1)+(EnemyDMGDanger-1)+(EnemyJackDMG-1)),0)*IF($A66&gt;20,(1+Max(0,((($A66-20)*(($A66-20)+1))/2)/100)*(2+Max(0,($A66-35)*0.2))),1),0)*IF(EnemyBuffed=TRUE,1.25,1),0) &amp; "  (" &amp; MAX(ROUND(Rounddown(Rounddown(Rounddown(Rounddown((P$59+P$60*($A66-1)),0)*(1+(EnemyDamageSlider-1)+(EnemyDMGDanger-1)+(EnemyJackDMG-1)),0)*IF($A66&gt;20,(1+Max(0,((($A66-20)*(($A66-20)+1))/2)/100)*(2+Max(0,($A66-35)*0.2))),1),0)*IF(EnemyBuffed=TRUE,1.25,1),0)*EnemyDMGTaken,0),1) &amp; ")"</f>
        <v>8  (8)</v>
      </c>
      <c r="Q66" s="414"/>
      <c r="R66" s="414"/>
      <c r="S66" s="414"/>
      <c r="T66" s="414" t="str">
        <f>Rounddown(Rounddown(Rounddown(Rounddown((T$59+T$60*($A66-1)),0)*(1+(EnemyDamageSlider-1)+(EnemyDMGDanger-1)+(EnemyJackDMG-1)),0)*IF($A66&gt;20,(1+Max(0,((($A66-20)*(($A66-20)+1))/2)/100)*(2+Max(0,($A66-35)*0.2))),1),0)*IF(EnemyBuffed=TRUE,1.25,1),0) &amp; "  (" &amp; MAX(ROUND(Rounddown(Rounddown(Rounddown(Rounddown((T$59+T$60*($A66-1)),0)*(1+(EnemyDamageSlider-1)+(EnemyDMGDanger-1)+(EnemyJackDMG-1)),0)*IF($A66&gt;20,(1+Max(0,((($A66-20)*(($A66-20)+1))/2)/100)*(2+Max(0,($A66-35)*0.2))),1),0)*IF(EnemyBuffed=TRUE,1.25,1),0)*EnemyDMGTaken,0),1) &amp; ")"</f>
        <v>8  (8)</v>
      </c>
      <c r="U66" s="414" t="str">
        <f>Rounddown(Rounddown(Rounddown(Rounddown((U$59+U$60*($A66-1)),0)*(1+(EnemyDamageSlider-1)+(EnemyDMGDanger-1)+(EnemyJackDMG-1)),0)*IF($A66&gt;20,(1+Max(0,((($A66-20)*(($A66-20)+1))/2)/100)*(2+Max(0,($A66-35)*0.2))),1),0)*IF(EnemyBuffed=TRUE,1.25,1),0) &amp; "  (" &amp; MAX(ROUND(Rounddown(Rounddown(Rounddown(Rounddown((U$59+U$60*($A66-1)),0)*(1+(EnemyDamageSlider-1)+(EnemyDMGDanger-1)+(EnemyJackDMG-1)),0)*IF($A66&gt;20,(1+Max(0,((($A66-20)*(($A66-20)+1))/2)/100)*(2+Max(0,($A66-35)*0.2))),1),0)*IF(EnemyBuffed=TRUE,1.25,1),0)*EnemyDMGTaken,0),1) &amp; ")"</f>
        <v>8  (8)</v>
      </c>
      <c r="V66" s="414" t="str">
        <f>Rounddown(Rounddown(Rounddown(Rounddown((V$59+V$60*($A66-1)),0)*(1+(EnemyDamageSlider-1)+(EnemyDMGDanger-1)+(EnemyJackDMG-1)),0)*IF($A66&gt;20,(1+Max(0,((($A66-20)*(($A66-20)+1))/2)/100)*(2+Max(0,($A66-35)*0.2))),1),0)*IF(EnemyBuffed=TRUE,1.25,1),0) &amp; "  (" &amp; MAX(ROUND(Rounddown(Rounddown(Rounddown(Rounddown((V$59+V$60*($A66-1)),0)*(1+(EnemyDamageSlider-1)+(EnemyDMGDanger-1)+(EnemyJackDMG-1)),0)*IF($A66&gt;20,(1+Max(0,((($A66-20)*(($A66-20)+1))/2)/100)*(2+Max(0,($A66-35)*0.2))),1),0)*IF(EnemyBuffed=TRUE,1.25,1),0)*EnemyDMGTaken,0),1) &amp; ")"</f>
        <v>8  (8)</v>
      </c>
      <c r="W66" s="414" t="str">
        <f>Rounddown(Rounddown(Rounddown(Rounddown((W$59+W$60*($A66-1)),0)*(1+(EnemyDamageSlider-1)+(EnemyDMGDanger-1)+(EnemyJackDMG-1)),0)*IF($A66&gt;20,(1+Max(0,((($A66-20)*(($A66-20)+1))/2)/100)*(2+Max(0,($A66-35)*0.2))),1),0)*IF(EnemyBuffed=TRUE,1.25,1),0) &amp; "  (" &amp; MAX(ROUND(Rounddown(Rounddown(Rounddown(Rounddown((W$59+W$60*($A66-1)),0)*(1+(EnemyDamageSlider-1)+(EnemyDMGDanger-1)+(EnemyJackDMG-1)),0)*IF($A66&gt;20,(1+Max(0,((($A66-20)*(($A66-20)+1))/2)/100)*(2+Max(0,($A66-35)*0.2))),1),0)*IF(EnemyBuffed=TRUE,1.25,1),0)*EnemyDMGTaken,0),1) &amp; ")"</f>
        <v>8  (8)</v>
      </c>
      <c r="X66" s="414" t="str">
        <f>Rounddown(Rounddown(Rounddown(Rounddown((X$59+X$60*($A66-1)),0)*(1+(EnemyDamageSlider-1)+(EnemyDMGDanger-1)+(EnemyJackDMG-1)),0)*IF($A66&gt;20,(1+Max(0,((($A66-20)*(($A66-20)+1))/2)/100)*(2+Max(0,($A66-35)*0.2))),1),0)*IF(EnemyBuffed=TRUE,1.25,1),0) &amp; "  (" &amp; MAX(ROUND(Rounddown(Rounddown(Rounddown(Rounddown((X$59+X$60*($A66-1)),0)*(1+(EnemyDamageSlider-1)+(EnemyDMGDanger-1)+(EnemyJackDMG-1)),0)*IF($A66&gt;20,(1+Max(0,((($A66-20)*(($A66-20)+1))/2)/100)*(2+Max(0,($A66-35)*0.2))),1),0)*IF(EnemyBuffed=TRUE,1.25,1),0)*EnemyDMGTaken,0),1) &amp; ")"</f>
        <v>8  (8)</v>
      </c>
      <c r="Y66" s="414" t="str">
        <f>Rounddown(Rounddown(Rounddown(Rounddown((Y$59+Y$60*($A66-1)),0)*(1+(EnemyDamageSlider-1)+(EnemyDMGDanger-1)+(EnemyJackDMG-1)),0)*IF($A66&gt;20,(1+Max(0,((($A66-20)*(($A66-20)+1))/2)/100)*(2+Max(0,($A66-35)*0.2))),1),0)*IF(EnemyBuffed=TRUE,1.25,1),0) &amp; "  (" &amp; MAX(ROUND(Rounddown(Rounddown(Rounddown(Rounddown((Y$59+Y$60*($A66-1)),0)*(1+(EnemyDamageSlider-1)+(EnemyDMGDanger-1)+(EnemyJackDMG-1)),0)*IF($A66&gt;20,(1+Max(0,((($A66-20)*(($A66-20)+1))/2)/100)*(2+Max(0,($A66-35)*0.2))),1),0)*IF(EnemyBuffed=TRUE,1.25,1),0)*EnemyDMGTaken,0),1) &amp; ")"</f>
        <v>8  (8)</v>
      </c>
      <c r="Z66" s="414" t="str">
        <f>Rounddown(Rounddown(Rounddown(Rounddown((Z$59+Z$60*($A66-1)),0)*(1+(EnemyDamageSlider-1)+(EnemyDMGDanger-1)+(EnemyJackDMG-1)),0)*IF($A66&gt;20,(1+Max(0,((($A66-20)*(($A66-20)+1))/2)/100)*(2+Max(0,($A66-35)*0.2))),1),0)*IF(EnemyBuffed=TRUE,1.25,1),0) &amp; "  (" &amp; MAX(ROUND(Rounddown(Rounddown(Rounddown(Rounddown((Z$59+Z$60*($A66-1)),0)*(1+(EnemyDamageSlider-1)+(EnemyDMGDanger-1)+(EnemyJackDMG-1)),0)*IF($A66&gt;20,(1+Max(0,((($A66-20)*(($A66-20)+1))/2)/100)*(2+Max(0,($A66-35)*0.2))),1),0)*IF(EnemyBuffed=TRUE,1.25,1),0)*EnemyDMGTaken,0),1) &amp; ")"</f>
        <v>8  (8)</v>
      </c>
      <c r="AA66" s="414" t="str">
        <f>Rounddown(Rounddown(Rounddown(Rounddown((AA$59+AA$60*($A66-1)),0)*(1+(EnemyDamageSlider-1)+(EnemyDMGDanger-1)+(EnemyJackDMG-1)),0)*IF($A66&gt;20,(1+Max(0,((($A66-20)*(($A66-20)+1))/2)/100)*(2+Max(0,($A66-35)*0.2))),1),0)*IF(EnemyBuffed=TRUE,1.25,1),0) &amp; "  (" &amp; MAX(ROUND(Rounddown(Rounddown(Rounddown(Rounddown((AA$59+AA$60*($A66-1)),0)*(1+(EnemyDamageSlider-1)+(EnemyDMGDanger-1)+(EnemyJackDMG-1)),0)*IF($A66&gt;20,(1+Max(0,((($A66-20)*(($A66-20)+1))/2)/100)*(2+Max(0,($A66-35)*0.2))),1),0)*IF(EnemyBuffed=TRUE,1.25,1),0)*EnemyDMGTaken,0),1) &amp; ")"</f>
        <v>5  (5)</v>
      </c>
    </row>
    <row r="67">
      <c r="A67" s="150">
        <v>7.0</v>
      </c>
      <c r="B67" s="414"/>
      <c r="C67" s="414"/>
      <c r="D67" s="414"/>
      <c r="E67" s="414" t="str">
        <f>Rounddown(Rounddown(Rounddown(Rounddown((E$59+E$60*($A67-1)),0)*(1+(EnemyDamageSlider-1)+(EnemyDMGDanger-1)+(EnemyJackDMG-1)),0)*IF($A67&gt;20,(1+Max(0,((($A67-20)*(($A67-20)+1))/2)/100)*(2+Max(0,($A67-35)*0.2))),1),0)*IF(EnemyBuffed=TRUE,1.25,1),0) &amp; "  (" &amp; MAX(ROUND(Rounddown(Rounddown(Rounddown(Rounddown((E$59+E$60*($A67-1)),0)*(1+(EnemyDamageSlider-1)+(EnemyDMGDanger-1)+(EnemyJackDMG-1)),0)*IF($A67&gt;20,(1+Max(0,((($A67-20)*(($A67-20)+1))/2)/100)*(2+Max(0,($A67-35)*0.2))),1),0)*IF(EnemyBuffed=TRUE,1.25,1),0)*EnemyDMGTaken,0),1) &amp; ")"</f>
        <v>7  (7)</v>
      </c>
      <c r="F67" s="414"/>
      <c r="G67" s="414"/>
      <c r="H67" s="414"/>
      <c r="I67" s="414"/>
      <c r="J67" s="414" t="str">
        <f>Rounddown(Rounddown(Rounddown(Rounddown((J$59+J$60*($A67-1)),0)*(1+(EnemyDamageSlider-1)+(EnemyDMGDanger-1)+(EnemyJackDMG-1)),0)*IF($A67&gt;20,(1+Max(0,((($A67-20)*(($A67-20)+1))/2)/100)*(2+Max(0,($A67-35)*0.2))),1),0)*IF(EnemyBuffed=TRUE,1.25,1),0) &amp; "  (" &amp; MAX(ROUND(Rounddown(Rounddown(Rounddown(Rounddown((J$59+J$60*($A67-1)),0)*(1+(EnemyDamageSlider-1)+(EnemyDMGDanger-1)+(EnemyJackDMG-1)),0)*IF($A67&gt;20,(1+Max(0,((($A67-20)*(($A67-20)+1))/2)/100)*(2+Max(0,($A67-35)*0.2))),1),0)*IF(EnemyBuffed=TRUE,1.25,1),0)*EnemyDMGTaken,0),1) &amp; ")"</f>
        <v>9  (9)</v>
      </c>
      <c r="K67" s="414"/>
      <c r="L67" s="414"/>
      <c r="M67" s="414"/>
      <c r="N67" s="414"/>
      <c r="O67" s="414"/>
      <c r="P67" s="414" t="str">
        <f>Rounddown(Rounddown(Rounddown(Rounddown((P$59+P$60*($A67-1)),0)*(1+(EnemyDamageSlider-1)+(EnemyDMGDanger-1)+(EnemyJackDMG-1)),0)*IF($A67&gt;20,(1+Max(0,((($A67-20)*(($A67-20)+1))/2)/100)*(2+Max(0,($A67-35)*0.2))),1),0)*IF(EnemyBuffed=TRUE,1.25,1),0) &amp; "  (" &amp; MAX(ROUND(Rounddown(Rounddown(Rounddown(Rounddown((P$59+P$60*($A67-1)),0)*(1+(EnemyDamageSlider-1)+(EnemyDMGDanger-1)+(EnemyJackDMG-1)),0)*IF($A67&gt;20,(1+Max(0,((($A67-20)*(($A67-20)+1))/2)/100)*(2+Max(0,($A67-35)*0.2))),1),0)*IF(EnemyBuffed=TRUE,1.25,1),0)*EnemyDMGTaken,0),1) &amp; ")"</f>
        <v>9  (9)</v>
      </c>
      <c r="Q67" s="414"/>
      <c r="R67" s="414"/>
      <c r="S67" s="414"/>
      <c r="T67" s="414" t="str">
        <f>Rounddown(Rounddown(Rounddown(Rounddown((T$59+T$60*($A67-1)),0)*(1+(EnemyDamageSlider-1)+(EnemyDMGDanger-1)+(EnemyJackDMG-1)),0)*IF($A67&gt;20,(1+Max(0,((($A67-20)*(($A67-20)+1))/2)/100)*(2+Max(0,($A67-35)*0.2))),1),0)*IF(EnemyBuffed=TRUE,1.25,1),0) &amp; "  (" &amp; MAX(ROUND(Rounddown(Rounddown(Rounddown(Rounddown((T$59+T$60*($A67-1)),0)*(1+(EnemyDamageSlider-1)+(EnemyDMGDanger-1)+(EnemyJackDMG-1)),0)*IF($A67&gt;20,(1+Max(0,((($A67-20)*(($A67-20)+1))/2)/100)*(2+Max(0,($A67-35)*0.2))),1),0)*IF(EnemyBuffed=TRUE,1.25,1),0)*EnemyDMGTaken,0),1) &amp; ")"</f>
        <v>9  (9)</v>
      </c>
      <c r="U67" s="414" t="str">
        <f>Rounddown(Rounddown(Rounddown(Rounddown((U$59+U$60*($A67-1)),0)*(1+(EnemyDamageSlider-1)+(EnemyDMGDanger-1)+(EnemyJackDMG-1)),0)*IF($A67&gt;20,(1+Max(0,((($A67-20)*(($A67-20)+1))/2)/100)*(2+Max(0,($A67-35)*0.2))),1),0)*IF(EnemyBuffed=TRUE,1.25,1),0) &amp; "  (" &amp; MAX(ROUND(Rounddown(Rounddown(Rounddown(Rounddown((U$59+U$60*($A67-1)),0)*(1+(EnemyDamageSlider-1)+(EnemyDMGDanger-1)+(EnemyJackDMG-1)),0)*IF($A67&gt;20,(1+Max(0,((($A67-20)*(($A67-20)+1))/2)/100)*(2+Max(0,($A67-35)*0.2))),1),0)*IF(EnemyBuffed=TRUE,1.25,1),0)*EnemyDMGTaken,0),1) &amp; ")"</f>
        <v>9  (9)</v>
      </c>
      <c r="V67" s="414" t="str">
        <f>Rounddown(Rounddown(Rounddown(Rounddown((V$59+V$60*($A67-1)),0)*(1+(EnemyDamageSlider-1)+(EnemyDMGDanger-1)+(EnemyJackDMG-1)),0)*IF($A67&gt;20,(1+Max(0,((($A67-20)*(($A67-20)+1))/2)/100)*(2+Max(0,($A67-35)*0.2))),1),0)*IF(EnemyBuffed=TRUE,1.25,1),0) &amp; "  (" &amp; MAX(ROUND(Rounddown(Rounddown(Rounddown(Rounddown((V$59+V$60*($A67-1)),0)*(1+(EnemyDamageSlider-1)+(EnemyDMGDanger-1)+(EnemyJackDMG-1)),0)*IF($A67&gt;20,(1+Max(0,((($A67-20)*(($A67-20)+1))/2)/100)*(2+Max(0,($A67-35)*0.2))),1),0)*IF(EnemyBuffed=TRUE,1.25,1),0)*EnemyDMGTaken,0),1) &amp; ")"</f>
        <v>9  (9)</v>
      </c>
      <c r="W67" s="414" t="str">
        <f>Rounddown(Rounddown(Rounddown(Rounddown((W$59+W$60*($A67-1)),0)*(1+(EnemyDamageSlider-1)+(EnemyDMGDanger-1)+(EnemyJackDMG-1)),0)*IF($A67&gt;20,(1+Max(0,((($A67-20)*(($A67-20)+1))/2)/100)*(2+Max(0,($A67-35)*0.2))),1),0)*IF(EnemyBuffed=TRUE,1.25,1),0) &amp; "  (" &amp; MAX(ROUND(Rounddown(Rounddown(Rounddown(Rounddown((W$59+W$60*($A67-1)),0)*(1+(EnemyDamageSlider-1)+(EnemyDMGDanger-1)+(EnemyJackDMG-1)),0)*IF($A67&gt;20,(1+Max(0,((($A67-20)*(($A67-20)+1))/2)/100)*(2+Max(0,($A67-35)*0.2))),1),0)*IF(EnemyBuffed=TRUE,1.25,1),0)*EnemyDMGTaken,0),1) &amp; ")"</f>
        <v>9  (9)</v>
      </c>
      <c r="X67" s="414" t="str">
        <f>Rounddown(Rounddown(Rounddown(Rounddown((X$59+X$60*($A67-1)),0)*(1+(EnemyDamageSlider-1)+(EnemyDMGDanger-1)+(EnemyJackDMG-1)),0)*IF($A67&gt;20,(1+Max(0,((($A67-20)*(($A67-20)+1))/2)/100)*(2+Max(0,($A67-35)*0.2))),1),0)*IF(EnemyBuffed=TRUE,1.25,1),0) &amp; "  (" &amp; MAX(ROUND(Rounddown(Rounddown(Rounddown(Rounddown((X$59+X$60*($A67-1)),0)*(1+(EnemyDamageSlider-1)+(EnemyDMGDanger-1)+(EnemyJackDMG-1)),0)*IF($A67&gt;20,(1+Max(0,((($A67-20)*(($A67-20)+1))/2)/100)*(2+Max(0,($A67-35)*0.2))),1),0)*IF(EnemyBuffed=TRUE,1.25,1),0)*EnemyDMGTaken,0),1) &amp; ")"</f>
        <v>9  (9)</v>
      </c>
      <c r="Y67" s="414" t="str">
        <f>Rounddown(Rounddown(Rounddown(Rounddown((Y$59+Y$60*($A67-1)),0)*(1+(EnemyDamageSlider-1)+(EnemyDMGDanger-1)+(EnemyJackDMG-1)),0)*IF($A67&gt;20,(1+Max(0,((($A67-20)*(($A67-20)+1))/2)/100)*(2+Max(0,($A67-35)*0.2))),1),0)*IF(EnemyBuffed=TRUE,1.25,1),0) &amp; "  (" &amp; MAX(ROUND(Rounddown(Rounddown(Rounddown(Rounddown((Y$59+Y$60*($A67-1)),0)*(1+(EnemyDamageSlider-1)+(EnemyDMGDanger-1)+(EnemyJackDMG-1)),0)*IF($A67&gt;20,(1+Max(0,((($A67-20)*(($A67-20)+1))/2)/100)*(2+Max(0,($A67-35)*0.2))),1),0)*IF(EnemyBuffed=TRUE,1.25,1),0)*EnemyDMGTaken,0),1) &amp; ")"</f>
        <v>9  (9)</v>
      </c>
      <c r="Z67" s="414" t="str">
        <f>Rounddown(Rounddown(Rounddown(Rounddown((Z$59+Z$60*($A67-1)),0)*(1+(EnemyDamageSlider-1)+(EnemyDMGDanger-1)+(EnemyJackDMG-1)),0)*IF($A67&gt;20,(1+Max(0,((($A67-20)*(($A67-20)+1))/2)/100)*(2+Max(0,($A67-35)*0.2))),1),0)*IF(EnemyBuffed=TRUE,1.25,1),0) &amp; "  (" &amp; MAX(ROUND(Rounddown(Rounddown(Rounddown(Rounddown((Z$59+Z$60*($A67-1)),0)*(1+(EnemyDamageSlider-1)+(EnemyDMGDanger-1)+(EnemyJackDMG-1)),0)*IF($A67&gt;20,(1+Max(0,((($A67-20)*(($A67-20)+1))/2)/100)*(2+Max(0,($A67-35)*0.2))),1),0)*IF(EnemyBuffed=TRUE,1.25,1),0)*EnemyDMGTaken,0),1) &amp; ")"</f>
        <v>9  (9)</v>
      </c>
      <c r="AA67" s="414" t="str">
        <f>Rounddown(Rounddown(Rounddown(Rounddown((AA$59+AA$60*($A67-1)),0)*(1+(EnemyDamageSlider-1)+(EnemyDMGDanger-1)+(EnemyJackDMG-1)),0)*IF($A67&gt;20,(1+Max(0,((($A67-20)*(($A67-20)+1))/2)/100)*(2+Max(0,($A67-35)*0.2))),1),0)*IF(EnemyBuffed=TRUE,1.25,1),0) &amp; "  (" &amp; MAX(ROUND(Rounddown(Rounddown(Rounddown(Rounddown((AA$59+AA$60*($A67-1)),0)*(1+(EnemyDamageSlider-1)+(EnemyDMGDanger-1)+(EnemyJackDMG-1)),0)*IF($A67&gt;20,(1+Max(0,((($A67-20)*(($A67-20)+1))/2)/100)*(2+Max(0,($A67-35)*0.2))),1),0)*IF(EnemyBuffed=TRUE,1.25,1),0)*EnemyDMGTaken,0),1) &amp; ")"</f>
        <v>7  (7)</v>
      </c>
    </row>
    <row r="68">
      <c r="A68" s="150">
        <v>8.0</v>
      </c>
      <c r="B68" s="414"/>
      <c r="C68" s="414"/>
      <c r="D68" s="414"/>
      <c r="E68" s="414" t="str">
        <f>Rounddown(Rounddown(Rounddown(Rounddown((E$59+E$60*($A68-1)),0)*(1+(EnemyDamageSlider-1)+(EnemyDMGDanger-1)+(EnemyJackDMG-1)),0)*IF($A68&gt;20,(1+Max(0,((($A68-20)*(($A68-20)+1))/2)/100)*(2+Max(0,($A68-35)*0.2))),1),0)*IF(EnemyBuffed=TRUE,1.25,1),0) &amp; "  (" &amp; MAX(ROUND(Rounddown(Rounddown(Rounddown(Rounddown((E$59+E$60*($A68-1)),0)*(1+(EnemyDamageSlider-1)+(EnemyDMGDanger-1)+(EnemyJackDMG-1)),0)*IF($A68&gt;20,(1+Max(0,((($A68-20)*(($A68-20)+1))/2)/100)*(2+Max(0,($A68-35)*0.2))),1),0)*IF(EnemyBuffed=TRUE,1.25,1),0)*EnemyDMGTaken,0),1) &amp; ")"</f>
        <v>8  (8)</v>
      </c>
      <c r="F68" s="414"/>
      <c r="G68" s="414"/>
      <c r="H68" s="414"/>
      <c r="I68" s="414"/>
      <c r="J68" s="414" t="str">
        <f>Rounddown(Rounddown(Rounddown(Rounddown((J$59+J$60*($A68-1)),0)*(1+(EnemyDamageSlider-1)+(EnemyDMGDanger-1)+(EnemyJackDMG-1)),0)*IF($A68&gt;20,(1+Max(0,((($A68-20)*(($A68-20)+1))/2)/100)*(2+Max(0,($A68-35)*0.2))),1),0)*IF(EnemyBuffed=TRUE,1.25,1),0) &amp; "  (" &amp; MAX(ROUND(Rounddown(Rounddown(Rounddown(Rounddown((J$59+J$60*($A68-1)),0)*(1+(EnemyDamageSlider-1)+(EnemyDMGDanger-1)+(EnemyJackDMG-1)),0)*IF($A68&gt;20,(1+Max(0,((($A68-20)*(($A68-20)+1))/2)/100)*(2+Max(0,($A68-35)*0.2))),1),0)*IF(EnemyBuffed=TRUE,1.25,1),0)*EnemyDMGTaken,0),1) &amp; ")"</f>
        <v>11  (11)</v>
      </c>
      <c r="K68" s="414"/>
      <c r="L68" s="414"/>
      <c r="M68" s="414"/>
      <c r="N68" s="414"/>
      <c r="O68" s="414"/>
      <c r="P68" s="414" t="str">
        <f>Rounddown(Rounddown(Rounddown(Rounddown((P$59+P$60*($A68-1)),0)*(1+(EnemyDamageSlider-1)+(EnemyDMGDanger-1)+(EnemyJackDMG-1)),0)*IF($A68&gt;20,(1+Max(0,((($A68-20)*(($A68-20)+1))/2)/100)*(2+Max(0,($A68-35)*0.2))),1),0)*IF(EnemyBuffed=TRUE,1.25,1),0) &amp; "  (" &amp; MAX(ROUND(Rounddown(Rounddown(Rounddown(Rounddown((P$59+P$60*($A68-1)),0)*(1+(EnemyDamageSlider-1)+(EnemyDMGDanger-1)+(EnemyJackDMG-1)),0)*IF($A68&gt;20,(1+Max(0,((($A68-20)*(($A68-20)+1))/2)/100)*(2+Max(0,($A68-35)*0.2))),1),0)*IF(EnemyBuffed=TRUE,1.25,1),0)*EnemyDMGTaken,0),1) &amp; ")"</f>
        <v>11  (11)</v>
      </c>
      <c r="Q68" s="414"/>
      <c r="R68" s="414"/>
      <c r="S68" s="414"/>
      <c r="T68" s="414" t="str">
        <f>Rounddown(Rounddown(Rounddown(Rounddown((T$59+T$60*($A68-1)),0)*(1+(EnemyDamageSlider-1)+(EnemyDMGDanger-1)+(EnemyJackDMG-1)),0)*IF($A68&gt;20,(1+Max(0,((($A68-20)*(($A68-20)+1))/2)/100)*(2+Max(0,($A68-35)*0.2))),1),0)*IF(EnemyBuffed=TRUE,1.25,1),0) &amp; "  (" &amp; MAX(ROUND(Rounddown(Rounddown(Rounddown(Rounddown((T$59+T$60*($A68-1)),0)*(1+(EnemyDamageSlider-1)+(EnemyDMGDanger-1)+(EnemyJackDMG-1)),0)*IF($A68&gt;20,(1+Max(0,((($A68-20)*(($A68-20)+1))/2)/100)*(2+Max(0,($A68-35)*0.2))),1),0)*IF(EnemyBuffed=TRUE,1.25,1),0)*EnemyDMGTaken,0),1) &amp; ")"</f>
        <v>11  (11)</v>
      </c>
      <c r="U68" s="414" t="str">
        <f>Rounddown(Rounddown(Rounddown(Rounddown((U$59+U$60*($A68-1)),0)*(1+(EnemyDamageSlider-1)+(EnemyDMGDanger-1)+(EnemyJackDMG-1)),0)*IF($A68&gt;20,(1+Max(0,((($A68-20)*(($A68-20)+1))/2)/100)*(2+Max(0,($A68-35)*0.2))),1),0)*IF(EnemyBuffed=TRUE,1.25,1),0) &amp; "  (" &amp; MAX(ROUND(Rounddown(Rounddown(Rounddown(Rounddown((U$59+U$60*($A68-1)),0)*(1+(EnemyDamageSlider-1)+(EnemyDMGDanger-1)+(EnemyJackDMG-1)),0)*IF($A68&gt;20,(1+Max(0,((($A68-20)*(($A68-20)+1))/2)/100)*(2+Max(0,($A68-35)*0.2))),1),0)*IF(EnemyBuffed=TRUE,1.25,1),0)*EnemyDMGTaken,0),1) &amp; ")"</f>
        <v>11  (11)</v>
      </c>
      <c r="V68" s="414" t="str">
        <f>Rounddown(Rounddown(Rounddown(Rounddown((V$59+V$60*($A68-1)),0)*(1+(EnemyDamageSlider-1)+(EnemyDMGDanger-1)+(EnemyJackDMG-1)),0)*IF($A68&gt;20,(1+Max(0,((($A68-20)*(($A68-20)+1))/2)/100)*(2+Max(0,($A68-35)*0.2))),1),0)*IF(EnemyBuffed=TRUE,1.25,1),0) &amp; "  (" &amp; MAX(ROUND(Rounddown(Rounddown(Rounddown(Rounddown((V$59+V$60*($A68-1)),0)*(1+(EnemyDamageSlider-1)+(EnemyDMGDanger-1)+(EnemyJackDMG-1)),0)*IF($A68&gt;20,(1+Max(0,((($A68-20)*(($A68-20)+1))/2)/100)*(2+Max(0,($A68-35)*0.2))),1),0)*IF(EnemyBuffed=TRUE,1.25,1),0)*EnemyDMGTaken,0),1) &amp; ")"</f>
        <v>12  (12)</v>
      </c>
      <c r="W68" s="414" t="str">
        <f>Rounddown(Rounddown(Rounddown(Rounddown((W$59+W$60*($A68-1)),0)*(1+(EnemyDamageSlider-1)+(EnemyDMGDanger-1)+(EnemyJackDMG-1)),0)*IF($A68&gt;20,(1+Max(0,((($A68-20)*(($A68-20)+1))/2)/100)*(2+Max(0,($A68-35)*0.2))),1),0)*IF(EnemyBuffed=TRUE,1.25,1),0) &amp; "  (" &amp; MAX(ROUND(Rounddown(Rounddown(Rounddown(Rounddown((W$59+W$60*($A68-1)),0)*(1+(EnemyDamageSlider-1)+(EnemyDMGDanger-1)+(EnemyJackDMG-1)),0)*IF($A68&gt;20,(1+Max(0,((($A68-20)*(($A68-20)+1))/2)/100)*(2+Max(0,($A68-35)*0.2))),1),0)*IF(EnemyBuffed=TRUE,1.25,1),0)*EnemyDMGTaken,0),1) &amp; ")"</f>
        <v>12  (12)</v>
      </c>
      <c r="X68" s="414" t="str">
        <f>Rounddown(Rounddown(Rounddown(Rounddown((X$59+X$60*($A68-1)),0)*(1+(EnemyDamageSlider-1)+(EnemyDMGDanger-1)+(EnemyJackDMG-1)),0)*IF($A68&gt;20,(1+Max(0,((($A68-20)*(($A68-20)+1))/2)/100)*(2+Max(0,($A68-35)*0.2))),1),0)*IF(EnemyBuffed=TRUE,1.25,1),0) &amp; "  (" &amp; MAX(ROUND(Rounddown(Rounddown(Rounddown(Rounddown((X$59+X$60*($A68-1)),0)*(1+(EnemyDamageSlider-1)+(EnemyDMGDanger-1)+(EnemyJackDMG-1)),0)*IF($A68&gt;20,(1+Max(0,((($A68-20)*(($A68-20)+1))/2)/100)*(2+Max(0,($A68-35)*0.2))),1),0)*IF(EnemyBuffed=TRUE,1.25,1),0)*EnemyDMGTaken,0),1) &amp; ")"</f>
        <v>12  (12)</v>
      </c>
      <c r="Y68" s="414" t="str">
        <f>Rounddown(Rounddown(Rounddown(Rounddown((Y$59+Y$60*($A68-1)),0)*(1+(EnemyDamageSlider-1)+(EnemyDMGDanger-1)+(EnemyJackDMG-1)),0)*IF($A68&gt;20,(1+Max(0,((($A68-20)*(($A68-20)+1))/2)/100)*(2+Max(0,($A68-35)*0.2))),1),0)*IF(EnemyBuffed=TRUE,1.25,1),0) &amp; "  (" &amp; MAX(ROUND(Rounddown(Rounddown(Rounddown(Rounddown((Y$59+Y$60*($A68-1)),0)*(1+(EnemyDamageSlider-1)+(EnemyDMGDanger-1)+(EnemyJackDMG-1)),0)*IF($A68&gt;20,(1+Max(0,((($A68-20)*(($A68-20)+1))/2)/100)*(2+Max(0,($A68-35)*0.2))),1),0)*IF(EnemyBuffed=TRUE,1.25,1),0)*EnemyDMGTaken,0),1) &amp; ")"</f>
        <v>12  (12)</v>
      </c>
      <c r="Z68" s="414" t="str">
        <f>Rounddown(Rounddown(Rounddown(Rounddown((Z$59+Z$60*($A68-1)),0)*(1+(EnemyDamageSlider-1)+(EnemyDMGDanger-1)+(EnemyJackDMG-1)),0)*IF($A68&gt;20,(1+Max(0,((($A68-20)*(($A68-20)+1))/2)/100)*(2+Max(0,($A68-35)*0.2))),1),0)*IF(EnemyBuffed=TRUE,1.25,1),0) &amp; "  (" &amp; MAX(ROUND(Rounddown(Rounddown(Rounddown(Rounddown((Z$59+Z$60*($A68-1)),0)*(1+(EnemyDamageSlider-1)+(EnemyDMGDanger-1)+(EnemyJackDMG-1)),0)*IF($A68&gt;20,(1+Max(0,((($A68-20)*(($A68-20)+1))/2)/100)*(2+Max(0,($A68-35)*0.2))),1),0)*IF(EnemyBuffed=TRUE,1.25,1),0)*EnemyDMGTaken,0),1) &amp; ")"</f>
        <v>12  (12)</v>
      </c>
      <c r="AA68" s="414" t="str">
        <f>Rounddown(Rounddown(Rounddown(Rounddown((AA$59+AA$60*($A68-1)),0)*(1+(EnemyDamageSlider-1)+(EnemyDMGDanger-1)+(EnemyJackDMG-1)),0)*IF($A68&gt;20,(1+Max(0,((($A68-20)*(($A68-20)+1))/2)/100)*(2+Max(0,($A68-35)*0.2))),1),0)*IF(EnemyBuffed=TRUE,1.25,1),0) &amp; "  (" &amp; MAX(ROUND(Rounddown(Rounddown(Rounddown(Rounddown((AA$59+AA$60*($A68-1)),0)*(1+(EnemyDamageSlider-1)+(EnemyDMGDanger-1)+(EnemyJackDMG-1)),0)*IF($A68&gt;20,(1+Max(0,((($A68-20)*(($A68-20)+1))/2)/100)*(2+Max(0,($A68-35)*0.2))),1),0)*IF(EnemyBuffed=TRUE,1.25,1),0)*EnemyDMGTaken,0),1) &amp; ")"</f>
        <v>8  (8)</v>
      </c>
    </row>
    <row r="69">
      <c r="A69" s="150">
        <v>9.0</v>
      </c>
      <c r="B69" s="414"/>
      <c r="C69" s="414"/>
      <c r="D69" s="414"/>
      <c r="E69" s="414" t="str">
        <f>Rounddown(Rounddown(Rounddown(Rounddown((E$59+E$60*($A69-1)),0)*(1+(EnemyDamageSlider-1)+(EnemyDMGDanger-1)+(EnemyJackDMG-1)),0)*IF($A69&gt;20,(1+Max(0,((($A69-20)*(($A69-20)+1))/2)/100)*(2+Max(0,($A69-35)*0.2))),1),0)*IF(EnemyBuffed=TRUE,1.25,1),0) &amp; "  (" &amp; MAX(ROUND(Rounddown(Rounddown(Rounddown(Rounddown((E$59+E$60*($A69-1)),0)*(1+(EnemyDamageSlider-1)+(EnemyDMGDanger-1)+(EnemyJackDMG-1)),0)*IF($A69&gt;20,(1+Max(0,((($A69-20)*(($A69-20)+1))/2)/100)*(2+Max(0,($A69-35)*0.2))),1),0)*IF(EnemyBuffed=TRUE,1.25,1),0)*EnemyDMGTaken,0),1) &amp; ")"</f>
        <v>9  (9)</v>
      </c>
      <c r="F69" s="414"/>
      <c r="G69" s="414"/>
      <c r="H69" s="414"/>
      <c r="I69" s="414"/>
      <c r="J69" s="414" t="str">
        <f>Rounddown(Rounddown(Rounddown(Rounddown((J$59+J$60*($A69-1)),0)*(1+(EnemyDamageSlider-1)+(EnemyDMGDanger-1)+(EnemyJackDMG-1)),0)*IF($A69&gt;20,(1+Max(0,((($A69-20)*(($A69-20)+1))/2)/100)*(2+Max(0,($A69-35)*0.2))),1),0)*IF(EnemyBuffed=TRUE,1.25,1),0) &amp; "  (" &amp; MAX(ROUND(Rounddown(Rounddown(Rounddown(Rounddown((J$59+J$60*($A69-1)),0)*(1+(EnemyDamageSlider-1)+(EnemyDMGDanger-1)+(EnemyJackDMG-1)),0)*IF($A69&gt;20,(1+Max(0,((($A69-20)*(($A69-20)+1))/2)/100)*(2+Max(0,($A69-35)*0.2))),1),0)*IF(EnemyBuffed=TRUE,1.25,1),0)*EnemyDMGTaken,0),1) &amp; ")"</f>
        <v>12  (12)</v>
      </c>
      <c r="K69" s="414"/>
      <c r="L69" s="414"/>
      <c r="M69" s="414"/>
      <c r="N69" s="414"/>
      <c r="O69" s="414"/>
      <c r="P69" s="414" t="str">
        <f>Rounddown(Rounddown(Rounddown(Rounddown((P$59+P$60*($A69-1)),0)*(1+(EnemyDamageSlider-1)+(EnemyDMGDanger-1)+(EnemyJackDMG-1)),0)*IF($A69&gt;20,(1+Max(0,((($A69-20)*(($A69-20)+1))/2)/100)*(2+Max(0,($A69-35)*0.2))),1),0)*IF(EnemyBuffed=TRUE,1.25,1),0) &amp; "  (" &amp; MAX(ROUND(Rounddown(Rounddown(Rounddown(Rounddown((P$59+P$60*($A69-1)),0)*(1+(EnemyDamageSlider-1)+(EnemyDMGDanger-1)+(EnemyJackDMG-1)),0)*IF($A69&gt;20,(1+Max(0,((($A69-20)*(($A69-20)+1))/2)/100)*(2+Max(0,($A69-35)*0.2))),1),0)*IF(EnemyBuffed=TRUE,1.25,1),0)*EnemyDMGTaken,0),1) &amp; ")"</f>
        <v>12  (12)</v>
      </c>
      <c r="Q69" s="414"/>
      <c r="R69" s="414"/>
      <c r="S69" s="414"/>
      <c r="T69" s="414" t="str">
        <f>Rounddown(Rounddown(Rounddown(Rounddown((T$59+T$60*($A69-1)),0)*(1+(EnemyDamageSlider-1)+(EnemyDMGDanger-1)+(EnemyJackDMG-1)),0)*IF($A69&gt;20,(1+Max(0,((($A69-20)*(($A69-20)+1))/2)/100)*(2+Max(0,($A69-35)*0.2))),1),0)*IF(EnemyBuffed=TRUE,1.25,1),0) &amp; "  (" &amp; MAX(ROUND(Rounddown(Rounddown(Rounddown(Rounddown((T$59+T$60*($A69-1)),0)*(1+(EnemyDamageSlider-1)+(EnemyDMGDanger-1)+(EnemyJackDMG-1)),0)*IF($A69&gt;20,(1+Max(0,((($A69-20)*(($A69-20)+1))/2)/100)*(2+Max(0,($A69-35)*0.2))),1),0)*IF(EnemyBuffed=TRUE,1.25,1),0)*EnemyDMGTaken,0),1) &amp; ")"</f>
        <v>12  (12)</v>
      </c>
      <c r="U69" s="414" t="str">
        <f>Rounddown(Rounddown(Rounddown(Rounddown((U$59+U$60*($A69-1)),0)*(1+(EnemyDamageSlider-1)+(EnemyDMGDanger-1)+(EnemyJackDMG-1)),0)*IF($A69&gt;20,(1+Max(0,((($A69-20)*(($A69-20)+1))/2)/100)*(2+Max(0,($A69-35)*0.2))),1),0)*IF(EnemyBuffed=TRUE,1.25,1),0) &amp; "  (" &amp; MAX(ROUND(Rounddown(Rounddown(Rounddown(Rounddown((U$59+U$60*($A69-1)),0)*(1+(EnemyDamageSlider-1)+(EnemyDMGDanger-1)+(EnemyJackDMG-1)),0)*IF($A69&gt;20,(1+Max(0,((($A69-20)*(($A69-20)+1))/2)/100)*(2+Max(0,($A69-35)*0.2))),1),0)*IF(EnemyBuffed=TRUE,1.25,1),0)*EnemyDMGTaken,0),1) &amp; ")"</f>
        <v>12  (12)</v>
      </c>
      <c r="V69" s="414" t="str">
        <f>Rounddown(Rounddown(Rounddown(Rounddown((V$59+V$60*($A69-1)),0)*(1+(EnemyDamageSlider-1)+(EnemyDMGDanger-1)+(EnemyJackDMG-1)),0)*IF($A69&gt;20,(1+Max(0,((($A69-20)*(($A69-20)+1))/2)/100)*(2+Max(0,($A69-35)*0.2))),1),0)*IF(EnemyBuffed=TRUE,1.25,1),0) &amp; "  (" &amp; MAX(ROUND(Rounddown(Rounddown(Rounddown(Rounddown((V$59+V$60*($A69-1)),0)*(1+(EnemyDamageSlider-1)+(EnemyDMGDanger-1)+(EnemyJackDMG-1)),0)*IF($A69&gt;20,(1+Max(0,((($A69-20)*(($A69-20)+1))/2)/100)*(2+Max(0,($A69-35)*0.2))),1),0)*IF(EnemyBuffed=TRUE,1.25,1),0)*EnemyDMGTaken,0),1) &amp; ")"</f>
        <v>14  (14)</v>
      </c>
      <c r="W69" s="414" t="str">
        <f>Rounddown(Rounddown(Rounddown(Rounddown((W$59+W$60*($A69-1)),0)*(1+(EnemyDamageSlider-1)+(EnemyDMGDanger-1)+(EnemyJackDMG-1)),0)*IF($A69&gt;20,(1+Max(0,((($A69-20)*(($A69-20)+1))/2)/100)*(2+Max(0,($A69-35)*0.2))),1),0)*IF(EnemyBuffed=TRUE,1.25,1),0) &amp; "  (" &amp; MAX(ROUND(Rounddown(Rounddown(Rounddown(Rounddown((W$59+W$60*($A69-1)),0)*(1+(EnemyDamageSlider-1)+(EnemyDMGDanger-1)+(EnemyJackDMG-1)),0)*IF($A69&gt;20,(1+Max(0,((($A69-20)*(($A69-20)+1))/2)/100)*(2+Max(0,($A69-35)*0.2))),1),0)*IF(EnemyBuffed=TRUE,1.25,1),0)*EnemyDMGTaken,0),1) &amp; ")"</f>
        <v>14  (14)</v>
      </c>
      <c r="X69" s="414" t="str">
        <f>Rounddown(Rounddown(Rounddown(Rounddown((X$59+X$60*($A69-1)),0)*(1+(EnemyDamageSlider-1)+(EnemyDMGDanger-1)+(EnemyJackDMG-1)),0)*IF($A69&gt;20,(1+Max(0,((($A69-20)*(($A69-20)+1))/2)/100)*(2+Max(0,($A69-35)*0.2))),1),0)*IF(EnemyBuffed=TRUE,1.25,1),0) &amp; "  (" &amp; MAX(ROUND(Rounddown(Rounddown(Rounddown(Rounddown((X$59+X$60*($A69-1)),0)*(1+(EnemyDamageSlider-1)+(EnemyDMGDanger-1)+(EnemyJackDMG-1)),0)*IF($A69&gt;20,(1+Max(0,((($A69-20)*(($A69-20)+1))/2)/100)*(2+Max(0,($A69-35)*0.2))),1),0)*IF(EnemyBuffed=TRUE,1.25,1),0)*EnemyDMGTaken,0),1) &amp; ")"</f>
        <v>14  (14)</v>
      </c>
      <c r="Y69" s="414" t="str">
        <f>Rounddown(Rounddown(Rounddown(Rounddown((Y$59+Y$60*($A69-1)),0)*(1+(EnemyDamageSlider-1)+(EnemyDMGDanger-1)+(EnemyJackDMG-1)),0)*IF($A69&gt;20,(1+Max(0,((($A69-20)*(($A69-20)+1))/2)/100)*(2+Max(0,($A69-35)*0.2))),1),0)*IF(EnemyBuffed=TRUE,1.25,1),0) &amp; "  (" &amp; MAX(ROUND(Rounddown(Rounddown(Rounddown(Rounddown((Y$59+Y$60*($A69-1)),0)*(1+(EnemyDamageSlider-1)+(EnemyDMGDanger-1)+(EnemyJackDMG-1)),0)*IF($A69&gt;20,(1+Max(0,((($A69-20)*(($A69-20)+1))/2)/100)*(2+Max(0,($A69-35)*0.2))),1),0)*IF(EnemyBuffed=TRUE,1.25,1),0)*EnemyDMGTaken,0),1) &amp; ")"</f>
        <v>14  (14)</v>
      </c>
      <c r="Z69" s="414" t="str">
        <f>Rounddown(Rounddown(Rounddown(Rounddown((Z$59+Z$60*($A69-1)),0)*(1+(EnemyDamageSlider-1)+(EnemyDMGDanger-1)+(EnemyJackDMG-1)),0)*IF($A69&gt;20,(1+Max(0,((($A69-20)*(($A69-20)+1))/2)/100)*(2+Max(0,($A69-35)*0.2))),1),0)*IF(EnemyBuffed=TRUE,1.25,1),0) &amp; "  (" &amp; MAX(ROUND(Rounddown(Rounddown(Rounddown(Rounddown((Z$59+Z$60*($A69-1)),0)*(1+(EnemyDamageSlider-1)+(EnemyDMGDanger-1)+(EnemyJackDMG-1)),0)*IF($A69&gt;20,(1+Max(0,((($A69-20)*(($A69-20)+1))/2)/100)*(2+Max(0,($A69-35)*0.2))),1),0)*IF(EnemyBuffed=TRUE,1.25,1),0)*EnemyDMGTaken,0),1) &amp; ")"</f>
        <v>14  (14)</v>
      </c>
      <c r="AA69" s="414" t="str">
        <f>Rounddown(Rounddown(Rounddown(Rounddown((AA$59+AA$60*($A69-1)),0)*(1+(EnemyDamageSlider-1)+(EnemyDMGDanger-1)+(EnemyJackDMG-1)),0)*IF($A69&gt;20,(1+Max(0,((($A69-20)*(($A69-20)+1))/2)/100)*(2+Max(0,($A69-35)*0.2))),1),0)*IF(EnemyBuffed=TRUE,1.25,1),0) &amp; "  (" &amp; MAX(ROUND(Rounddown(Rounddown(Rounddown(Rounddown((AA$59+AA$60*($A69-1)),0)*(1+(EnemyDamageSlider-1)+(EnemyDMGDanger-1)+(EnemyJackDMG-1)),0)*IF($A69&gt;20,(1+Max(0,((($A69-20)*(($A69-20)+1))/2)/100)*(2+Max(0,($A69-35)*0.2))),1),0)*IF(EnemyBuffed=TRUE,1.25,1),0)*EnemyDMGTaken,0),1) &amp; ")"</f>
        <v>9  (9)</v>
      </c>
    </row>
    <row r="70">
      <c r="A70" s="150">
        <v>10.0</v>
      </c>
      <c r="B70" s="414"/>
      <c r="C70" s="414"/>
      <c r="D70" s="414"/>
      <c r="E70" s="414" t="str">
        <f>Rounddown(Rounddown(Rounddown(Rounddown((E$59+E$60*($A70-1)),0)*(1+(EnemyDamageSlider-1)+(EnemyDMGDanger-1)+(EnemyJackDMG-1)),0)*IF($A70&gt;20,(1+Max(0,((($A70-20)*(($A70-20)+1))/2)/100)*(2+Max(0,($A70-35)*0.2))),1),0)*IF(EnemyBuffed=TRUE,1.25,1),0) &amp; "  (" &amp; MAX(ROUND(Rounddown(Rounddown(Rounddown(Rounddown((E$59+E$60*($A70-1)),0)*(1+(EnemyDamageSlider-1)+(EnemyDMGDanger-1)+(EnemyJackDMG-1)),0)*IF($A70&gt;20,(1+Max(0,((($A70-20)*(($A70-20)+1))/2)/100)*(2+Max(0,($A70-35)*0.2))),1),0)*IF(EnemyBuffed=TRUE,1.25,1),0)*EnemyDMGTaken,0),1) &amp; ")"</f>
        <v>9  (9)</v>
      </c>
      <c r="F70" s="414"/>
      <c r="G70" s="414"/>
      <c r="H70" s="414"/>
      <c r="I70" s="414"/>
      <c r="J70" s="414" t="str">
        <f>Rounddown(Rounddown(Rounddown(Rounddown((J$59+J$60*($A70-1)),0)*(1+(EnemyDamageSlider-1)+(EnemyDMGDanger-1)+(EnemyJackDMG-1)),0)*IF($A70&gt;20,(1+Max(0,((($A70-20)*(($A70-20)+1))/2)/100)*(2+Max(0,($A70-35)*0.2))),1),0)*IF(EnemyBuffed=TRUE,1.25,1),0) &amp; "  (" &amp; MAX(ROUND(Rounddown(Rounddown(Rounddown(Rounddown((J$59+J$60*($A70-1)),0)*(1+(EnemyDamageSlider-1)+(EnemyDMGDanger-1)+(EnemyJackDMG-1)),0)*IF($A70&gt;20,(1+Max(0,((($A70-20)*(($A70-20)+1))/2)/100)*(2+Max(0,($A70-35)*0.2))),1),0)*IF(EnemyBuffed=TRUE,1.25,1),0)*EnemyDMGTaken,0),1) &amp; ")"</f>
        <v>14  (14)</v>
      </c>
      <c r="K70" s="414"/>
      <c r="L70" s="414"/>
      <c r="M70" s="414"/>
      <c r="N70" s="414"/>
      <c r="O70" s="414"/>
      <c r="P70" s="414" t="str">
        <f>Rounddown(Rounddown(Rounddown(Rounddown((P$59+P$60*($A70-1)),0)*(1+(EnemyDamageSlider-1)+(EnemyDMGDanger-1)+(EnemyJackDMG-1)),0)*IF($A70&gt;20,(1+Max(0,((($A70-20)*(($A70-20)+1))/2)/100)*(2+Max(0,($A70-35)*0.2))),1),0)*IF(EnemyBuffed=TRUE,1.25,1),0) &amp; "  (" &amp; MAX(ROUND(Rounddown(Rounddown(Rounddown(Rounddown((P$59+P$60*($A70-1)),0)*(1+(EnemyDamageSlider-1)+(EnemyDMGDanger-1)+(EnemyJackDMG-1)),0)*IF($A70&gt;20,(1+Max(0,((($A70-20)*(($A70-20)+1))/2)/100)*(2+Max(0,($A70-35)*0.2))),1),0)*IF(EnemyBuffed=TRUE,1.25,1),0)*EnemyDMGTaken,0),1) &amp; ")"</f>
        <v>14  (14)</v>
      </c>
      <c r="Q70" s="414"/>
      <c r="R70" s="414"/>
      <c r="S70" s="414"/>
      <c r="T70" s="414" t="str">
        <f>Rounddown(Rounddown(Rounddown(Rounddown((T$59+T$60*($A70-1)),0)*(1+(EnemyDamageSlider-1)+(EnemyDMGDanger-1)+(EnemyJackDMG-1)),0)*IF($A70&gt;20,(1+Max(0,((($A70-20)*(($A70-20)+1))/2)/100)*(2+Max(0,($A70-35)*0.2))),1),0)*IF(EnemyBuffed=TRUE,1.25,1),0) &amp; "  (" &amp; MAX(ROUND(Rounddown(Rounddown(Rounddown(Rounddown((T$59+T$60*($A70-1)),0)*(1+(EnemyDamageSlider-1)+(EnemyDMGDanger-1)+(EnemyJackDMG-1)),0)*IF($A70&gt;20,(1+Max(0,((($A70-20)*(($A70-20)+1))/2)/100)*(2+Max(0,($A70-35)*0.2))),1),0)*IF(EnemyBuffed=TRUE,1.25,1),0)*EnemyDMGTaken,0),1) &amp; ")"</f>
        <v>14  (14)</v>
      </c>
      <c r="U70" s="414" t="str">
        <f>Rounddown(Rounddown(Rounddown(Rounddown((U$59+U$60*($A70-1)),0)*(1+(EnemyDamageSlider-1)+(EnemyDMGDanger-1)+(EnemyJackDMG-1)),0)*IF($A70&gt;20,(1+Max(0,((($A70-20)*(($A70-20)+1))/2)/100)*(2+Max(0,($A70-35)*0.2))),1),0)*IF(EnemyBuffed=TRUE,1.25,1),0) &amp; "  (" &amp; MAX(ROUND(Rounddown(Rounddown(Rounddown(Rounddown((U$59+U$60*($A70-1)),0)*(1+(EnemyDamageSlider-1)+(EnemyDMGDanger-1)+(EnemyJackDMG-1)),0)*IF($A70&gt;20,(1+Max(0,((($A70-20)*(($A70-20)+1))/2)/100)*(2+Max(0,($A70-35)*0.2))),1),0)*IF(EnemyBuffed=TRUE,1.25,1),0)*EnemyDMGTaken,0),1) &amp; ")"</f>
        <v>14  (14)</v>
      </c>
      <c r="V70" s="414" t="str">
        <f>Rounddown(Rounddown(Rounddown(Rounddown((V$59+V$60*($A70-1)),0)*(1+(EnemyDamageSlider-1)+(EnemyDMGDanger-1)+(EnemyJackDMG-1)),0)*IF($A70&gt;20,(1+Max(0,((($A70-20)*(($A70-20)+1))/2)/100)*(2+Max(0,($A70-35)*0.2))),1),0)*IF(EnemyBuffed=TRUE,1.25,1),0) &amp; "  (" &amp; MAX(ROUND(Rounddown(Rounddown(Rounddown(Rounddown((V$59+V$60*($A70-1)),0)*(1+(EnemyDamageSlider-1)+(EnemyDMGDanger-1)+(EnemyJackDMG-1)),0)*IF($A70&gt;20,(1+Max(0,((($A70-20)*(($A70-20)+1))/2)/100)*(2+Max(0,($A70-35)*0.2))),1),0)*IF(EnemyBuffed=TRUE,1.25,1),0)*EnemyDMGTaken,0),1) &amp; ")"</f>
        <v>15  (15)</v>
      </c>
      <c r="W70" s="414" t="str">
        <f>Rounddown(Rounddown(Rounddown(Rounddown((W$59+W$60*($A70-1)),0)*(1+(EnemyDamageSlider-1)+(EnemyDMGDanger-1)+(EnemyJackDMG-1)),0)*IF($A70&gt;20,(1+Max(0,((($A70-20)*(($A70-20)+1))/2)/100)*(2+Max(0,($A70-35)*0.2))),1),0)*IF(EnemyBuffed=TRUE,1.25,1),0) &amp; "  (" &amp; MAX(ROUND(Rounddown(Rounddown(Rounddown(Rounddown((W$59+W$60*($A70-1)),0)*(1+(EnemyDamageSlider-1)+(EnemyDMGDanger-1)+(EnemyJackDMG-1)),0)*IF($A70&gt;20,(1+Max(0,((($A70-20)*(($A70-20)+1))/2)/100)*(2+Max(0,($A70-35)*0.2))),1),0)*IF(EnemyBuffed=TRUE,1.25,1),0)*EnemyDMGTaken,0),1) &amp; ")"</f>
        <v>15  (15)</v>
      </c>
      <c r="X70" s="414" t="str">
        <f>Rounddown(Rounddown(Rounddown(Rounddown((X$59+X$60*($A70-1)),0)*(1+(EnemyDamageSlider-1)+(EnemyDMGDanger-1)+(EnemyJackDMG-1)),0)*IF($A70&gt;20,(1+Max(0,((($A70-20)*(($A70-20)+1))/2)/100)*(2+Max(0,($A70-35)*0.2))),1),0)*IF(EnemyBuffed=TRUE,1.25,1),0) &amp; "  (" &amp; MAX(ROUND(Rounddown(Rounddown(Rounddown(Rounddown((X$59+X$60*($A70-1)),0)*(1+(EnemyDamageSlider-1)+(EnemyDMGDanger-1)+(EnemyJackDMG-1)),0)*IF($A70&gt;20,(1+Max(0,((($A70-20)*(($A70-20)+1))/2)/100)*(2+Max(0,($A70-35)*0.2))),1),0)*IF(EnemyBuffed=TRUE,1.25,1),0)*EnemyDMGTaken,0),1) &amp; ")"</f>
        <v>15  (15)</v>
      </c>
      <c r="Y70" s="414" t="str">
        <f>Rounddown(Rounddown(Rounddown(Rounddown((Y$59+Y$60*($A70-1)),0)*(1+(EnemyDamageSlider-1)+(EnemyDMGDanger-1)+(EnemyJackDMG-1)),0)*IF($A70&gt;20,(1+Max(0,((($A70-20)*(($A70-20)+1))/2)/100)*(2+Max(0,($A70-35)*0.2))),1),0)*IF(EnemyBuffed=TRUE,1.25,1),0) &amp; "  (" &amp; MAX(ROUND(Rounddown(Rounddown(Rounddown(Rounddown((Y$59+Y$60*($A70-1)),0)*(1+(EnemyDamageSlider-1)+(EnemyDMGDanger-1)+(EnemyJackDMG-1)),0)*IF($A70&gt;20,(1+Max(0,((($A70-20)*(($A70-20)+1))/2)/100)*(2+Max(0,($A70-35)*0.2))),1),0)*IF(EnemyBuffed=TRUE,1.25,1),0)*EnemyDMGTaken,0),1) &amp; ")"</f>
        <v>15  (15)</v>
      </c>
      <c r="Z70" s="414" t="str">
        <f>Rounddown(Rounddown(Rounddown(Rounddown((Z$59+Z$60*($A70-1)),0)*(1+(EnemyDamageSlider-1)+(EnemyDMGDanger-1)+(EnemyJackDMG-1)),0)*IF($A70&gt;20,(1+Max(0,((($A70-20)*(($A70-20)+1))/2)/100)*(2+Max(0,($A70-35)*0.2))),1),0)*IF(EnemyBuffed=TRUE,1.25,1),0) &amp; "  (" &amp; MAX(ROUND(Rounddown(Rounddown(Rounddown(Rounddown((Z$59+Z$60*($A70-1)),0)*(1+(EnemyDamageSlider-1)+(EnemyDMGDanger-1)+(EnemyJackDMG-1)),0)*IF($A70&gt;20,(1+Max(0,((($A70-20)*(($A70-20)+1))/2)/100)*(2+Max(0,($A70-35)*0.2))),1),0)*IF(EnemyBuffed=TRUE,1.25,1),0)*EnemyDMGTaken,0),1) &amp; ")"</f>
        <v>15  (15)</v>
      </c>
      <c r="AA70" s="414" t="str">
        <f>Rounddown(Rounddown(Rounddown(Rounddown((AA$59+AA$60*($A70-1)),0)*(1+(EnemyDamageSlider-1)+(EnemyDMGDanger-1)+(EnemyJackDMG-1)),0)*IF($A70&gt;20,(1+Max(0,((($A70-20)*(($A70-20)+1))/2)/100)*(2+Max(0,($A70-35)*0.2))),1),0)*IF(EnemyBuffed=TRUE,1.25,1),0) &amp; "  (" &amp; MAX(ROUND(Rounddown(Rounddown(Rounddown(Rounddown((AA$59+AA$60*($A70-1)),0)*(1+(EnemyDamageSlider-1)+(EnemyDMGDanger-1)+(EnemyJackDMG-1)),0)*IF($A70&gt;20,(1+Max(0,((($A70-20)*(($A70-20)+1))/2)/100)*(2+Max(0,($A70-35)*0.2))),1),0)*IF(EnemyBuffed=TRUE,1.25,1),0)*EnemyDMGTaken,0),1) &amp; ")"</f>
        <v>9  (9)</v>
      </c>
    </row>
    <row r="71">
      <c r="A71" s="150">
        <v>11.0</v>
      </c>
      <c r="B71" s="414"/>
      <c r="C71" s="414"/>
      <c r="D71" s="414"/>
      <c r="E71" s="414" t="str">
        <f>Rounddown(Rounddown(Rounddown(Rounddown((E$59+E$60*($A71-1)),0)*(1+(EnemyDamageSlider-1)+(EnemyDMGDanger-1)+(EnemyJackDMG-1)),0)*IF($A71&gt;20,(1+Max(0,((($A71-20)*(($A71-20)+1))/2)/100)*(2+Max(0,($A71-35)*0.2))),1),0)*IF(EnemyBuffed=TRUE,1.25,1),0) &amp; "  (" &amp; MAX(ROUND(Rounddown(Rounddown(Rounddown(Rounddown((E$59+E$60*($A71-1)),0)*(1+(EnemyDamageSlider-1)+(EnemyDMGDanger-1)+(EnemyJackDMG-1)),0)*IF($A71&gt;20,(1+Max(0,((($A71-20)*(($A71-20)+1))/2)/100)*(2+Max(0,($A71-35)*0.2))),1),0)*IF(EnemyBuffed=TRUE,1.25,1),0)*EnemyDMGTaken,0),1) &amp; ")"</f>
        <v>11  (11)</v>
      </c>
      <c r="F71" s="414"/>
      <c r="G71" s="414"/>
      <c r="H71" s="414"/>
      <c r="I71" s="414"/>
      <c r="J71" s="414" t="str">
        <f>Rounddown(Rounddown(Rounddown(Rounddown((J$59+J$60*($A71-1)),0)*(1+(EnemyDamageSlider-1)+(EnemyDMGDanger-1)+(EnemyJackDMG-1)),0)*IF($A71&gt;20,(1+Max(0,((($A71-20)*(($A71-20)+1))/2)/100)*(2+Max(0,($A71-35)*0.2))),1),0)*IF(EnemyBuffed=TRUE,1.25,1),0) &amp; "  (" &amp; MAX(ROUND(Rounddown(Rounddown(Rounddown(Rounddown((J$59+J$60*($A71-1)),0)*(1+(EnemyDamageSlider-1)+(EnemyDMGDanger-1)+(EnemyJackDMG-1)),0)*IF($A71&gt;20,(1+Max(0,((($A71-20)*(($A71-20)+1))/2)/100)*(2+Max(0,($A71-35)*0.2))),1),0)*IF(EnemyBuffed=TRUE,1.25,1),0)*EnemyDMGTaken,0),1) &amp; ")"</f>
        <v>15  (15)</v>
      </c>
      <c r="K71" s="414"/>
      <c r="L71" s="414"/>
      <c r="M71" s="414"/>
      <c r="N71" s="414"/>
      <c r="O71" s="414"/>
      <c r="P71" s="414" t="str">
        <f>Rounddown(Rounddown(Rounddown(Rounddown((P$59+P$60*($A71-1)),0)*(1+(EnemyDamageSlider-1)+(EnemyDMGDanger-1)+(EnemyJackDMG-1)),0)*IF($A71&gt;20,(1+Max(0,((($A71-20)*(($A71-20)+1))/2)/100)*(2+Max(0,($A71-35)*0.2))),1),0)*IF(EnemyBuffed=TRUE,1.25,1),0) &amp; "  (" &amp; MAX(ROUND(Rounddown(Rounddown(Rounddown(Rounddown((P$59+P$60*($A71-1)),0)*(1+(EnemyDamageSlider-1)+(EnemyDMGDanger-1)+(EnemyJackDMG-1)),0)*IF($A71&gt;20,(1+Max(0,((($A71-20)*(($A71-20)+1))/2)/100)*(2+Max(0,($A71-35)*0.2))),1),0)*IF(EnemyBuffed=TRUE,1.25,1),0)*EnemyDMGTaken,0),1) &amp; ")"</f>
        <v>15  (15)</v>
      </c>
      <c r="Q71" s="414"/>
      <c r="R71" s="414"/>
      <c r="S71" s="414"/>
      <c r="T71" s="414" t="str">
        <f>Rounddown(Rounddown(Rounddown(Rounddown((T$59+T$60*($A71-1)),0)*(1+(EnemyDamageSlider-1)+(EnemyDMGDanger-1)+(EnemyJackDMG-1)),0)*IF($A71&gt;20,(1+Max(0,((($A71-20)*(($A71-20)+1))/2)/100)*(2+Max(0,($A71-35)*0.2))),1),0)*IF(EnemyBuffed=TRUE,1.25,1),0) &amp; "  (" &amp; MAX(ROUND(Rounddown(Rounddown(Rounddown(Rounddown((T$59+T$60*($A71-1)),0)*(1+(EnemyDamageSlider-1)+(EnemyDMGDanger-1)+(EnemyJackDMG-1)),0)*IF($A71&gt;20,(1+Max(0,((($A71-20)*(($A71-20)+1))/2)/100)*(2+Max(0,($A71-35)*0.2))),1),0)*IF(EnemyBuffed=TRUE,1.25,1),0)*EnemyDMGTaken,0),1) &amp; ")"</f>
        <v>15  (15)</v>
      </c>
      <c r="U71" s="414" t="str">
        <f>Rounddown(Rounddown(Rounddown(Rounddown((U$59+U$60*($A71-1)),0)*(1+(EnemyDamageSlider-1)+(EnemyDMGDanger-1)+(EnemyJackDMG-1)),0)*IF($A71&gt;20,(1+Max(0,((($A71-20)*(($A71-20)+1))/2)/100)*(2+Max(0,($A71-35)*0.2))),1),0)*IF(EnemyBuffed=TRUE,1.25,1),0) &amp; "  (" &amp; MAX(ROUND(Rounddown(Rounddown(Rounddown(Rounddown((U$59+U$60*($A71-1)),0)*(1+(EnemyDamageSlider-1)+(EnemyDMGDanger-1)+(EnemyJackDMG-1)),0)*IF($A71&gt;20,(1+Max(0,((($A71-20)*(($A71-20)+1))/2)/100)*(2+Max(0,($A71-35)*0.2))),1),0)*IF(EnemyBuffed=TRUE,1.25,1),0)*EnemyDMGTaken,0),1) &amp; ")"</f>
        <v>15  (15)</v>
      </c>
      <c r="V71" s="414" t="str">
        <f>Rounddown(Rounddown(Rounddown(Rounddown((V$59+V$60*($A71-1)),0)*(1+(EnemyDamageSlider-1)+(EnemyDMGDanger-1)+(EnemyJackDMG-1)),0)*IF($A71&gt;20,(1+Max(0,((($A71-20)*(($A71-20)+1))/2)/100)*(2+Max(0,($A71-35)*0.2))),1),0)*IF(EnemyBuffed=TRUE,1.25,1),0) &amp; "  (" &amp; MAX(ROUND(Rounddown(Rounddown(Rounddown(Rounddown((V$59+V$60*($A71-1)),0)*(1+(EnemyDamageSlider-1)+(EnemyDMGDanger-1)+(EnemyJackDMG-1)),0)*IF($A71&gt;20,(1+Max(0,((($A71-20)*(($A71-20)+1))/2)/100)*(2+Max(0,($A71-35)*0.2))),1),0)*IF(EnemyBuffed=TRUE,1.25,1),0)*EnemyDMGTaken,0),1) &amp; ")"</f>
        <v>16  (16)</v>
      </c>
      <c r="W71" s="414" t="str">
        <f>Rounddown(Rounddown(Rounddown(Rounddown((W$59+W$60*($A71-1)),0)*(1+(EnemyDamageSlider-1)+(EnemyDMGDanger-1)+(EnemyJackDMG-1)),0)*IF($A71&gt;20,(1+Max(0,((($A71-20)*(($A71-20)+1))/2)/100)*(2+Max(0,($A71-35)*0.2))),1),0)*IF(EnemyBuffed=TRUE,1.25,1),0) &amp; "  (" &amp; MAX(ROUND(Rounddown(Rounddown(Rounddown(Rounddown((W$59+W$60*($A71-1)),0)*(1+(EnemyDamageSlider-1)+(EnemyDMGDanger-1)+(EnemyJackDMG-1)),0)*IF($A71&gt;20,(1+Max(0,((($A71-20)*(($A71-20)+1))/2)/100)*(2+Max(0,($A71-35)*0.2))),1),0)*IF(EnemyBuffed=TRUE,1.25,1),0)*EnemyDMGTaken,0),1) &amp; ")"</f>
        <v>16  (16)</v>
      </c>
      <c r="X71" s="414" t="str">
        <f>Rounddown(Rounddown(Rounddown(Rounddown((X$59+X$60*($A71-1)),0)*(1+(EnemyDamageSlider-1)+(EnemyDMGDanger-1)+(EnemyJackDMG-1)),0)*IF($A71&gt;20,(1+Max(0,((($A71-20)*(($A71-20)+1))/2)/100)*(2+Max(0,($A71-35)*0.2))),1),0)*IF(EnemyBuffed=TRUE,1.25,1),0) &amp; "  (" &amp; MAX(ROUND(Rounddown(Rounddown(Rounddown(Rounddown((X$59+X$60*($A71-1)),0)*(1+(EnemyDamageSlider-1)+(EnemyDMGDanger-1)+(EnemyJackDMG-1)),0)*IF($A71&gt;20,(1+Max(0,((($A71-20)*(($A71-20)+1))/2)/100)*(2+Max(0,($A71-35)*0.2))),1),0)*IF(EnemyBuffed=TRUE,1.25,1),0)*EnemyDMGTaken,0),1) &amp; ")"</f>
        <v>16  (16)</v>
      </c>
      <c r="Y71" s="414" t="str">
        <f>Rounddown(Rounddown(Rounddown(Rounddown((Y$59+Y$60*($A71-1)),0)*(1+(EnemyDamageSlider-1)+(EnemyDMGDanger-1)+(EnemyJackDMG-1)),0)*IF($A71&gt;20,(1+Max(0,((($A71-20)*(($A71-20)+1))/2)/100)*(2+Max(0,($A71-35)*0.2))),1),0)*IF(EnemyBuffed=TRUE,1.25,1),0) &amp; "  (" &amp; MAX(ROUND(Rounddown(Rounddown(Rounddown(Rounddown((Y$59+Y$60*($A71-1)),0)*(1+(EnemyDamageSlider-1)+(EnemyDMGDanger-1)+(EnemyJackDMG-1)),0)*IF($A71&gt;20,(1+Max(0,((($A71-20)*(($A71-20)+1))/2)/100)*(2+Max(0,($A71-35)*0.2))),1),0)*IF(EnemyBuffed=TRUE,1.25,1),0)*EnemyDMGTaken,0),1) &amp; ")"</f>
        <v>16  (16)</v>
      </c>
      <c r="Z71" s="414" t="str">
        <f>Rounddown(Rounddown(Rounddown(Rounddown((Z$59+Z$60*($A71-1)),0)*(1+(EnemyDamageSlider-1)+(EnemyDMGDanger-1)+(EnemyJackDMG-1)),0)*IF($A71&gt;20,(1+Max(0,((($A71-20)*(($A71-20)+1))/2)/100)*(2+Max(0,($A71-35)*0.2))),1),0)*IF(EnemyBuffed=TRUE,1.25,1),0) &amp; "  (" &amp; MAX(ROUND(Rounddown(Rounddown(Rounddown(Rounddown((Z$59+Z$60*($A71-1)),0)*(1+(EnemyDamageSlider-1)+(EnemyDMGDanger-1)+(EnemyJackDMG-1)),0)*IF($A71&gt;20,(1+Max(0,((($A71-20)*(($A71-20)+1))/2)/100)*(2+Max(0,($A71-35)*0.2))),1),0)*IF(EnemyBuffed=TRUE,1.25,1),0)*EnemyDMGTaken,0),1) &amp; ")"</f>
        <v>16  (16)</v>
      </c>
      <c r="AA71" s="414" t="str">
        <f>Rounddown(Rounddown(Rounddown(Rounddown((AA$59+AA$60*($A71-1)),0)*(1+(EnemyDamageSlider-1)+(EnemyDMGDanger-1)+(EnemyJackDMG-1)),0)*IF($A71&gt;20,(1+Max(0,((($A71-20)*(($A71-20)+1))/2)/100)*(2+Max(0,($A71-35)*0.2))),1),0)*IF(EnemyBuffed=TRUE,1.25,1),0) &amp; "  (" &amp; MAX(ROUND(Rounddown(Rounddown(Rounddown(Rounddown((AA$59+AA$60*($A71-1)),0)*(1+(EnemyDamageSlider-1)+(EnemyDMGDanger-1)+(EnemyJackDMG-1)),0)*IF($A71&gt;20,(1+Max(0,((($A71-20)*(($A71-20)+1))/2)/100)*(2+Max(0,($A71-35)*0.2))),1),0)*IF(EnemyBuffed=TRUE,1.25,1),0)*EnemyDMGTaken,0),1) &amp; ")"</f>
        <v>11  (11)</v>
      </c>
    </row>
    <row r="72">
      <c r="A72" s="150">
        <v>12.0</v>
      </c>
      <c r="B72" s="414"/>
      <c r="C72" s="414"/>
      <c r="D72" s="414"/>
      <c r="E72" s="414" t="str">
        <f>Rounddown(Rounddown(Rounddown(Rounddown((E$59+E$60*($A72-1)),0)*(1+(EnemyDamageSlider-1)+(EnemyDMGDanger-1)+(EnemyJackDMG-1)),0)*IF($A72&gt;20,(1+Max(0,((($A72-20)*(($A72-20)+1))/2)/100)*(2+Max(0,($A72-35)*0.2))),1),0)*IF(EnemyBuffed=TRUE,1.25,1),0) &amp; "  (" &amp; MAX(ROUND(Rounddown(Rounddown(Rounddown(Rounddown((E$59+E$60*($A72-1)),0)*(1+(EnemyDamageSlider-1)+(EnemyDMGDanger-1)+(EnemyJackDMG-1)),0)*IF($A72&gt;20,(1+Max(0,((($A72-20)*(($A72-20)+1))/2)/100)*(2+Max(0,($A72-35)*0.2))),1),0)*IF(EnemyBuffed=TRUE,1.25,1),0)*EnemyDMGTaken,0),1) &amp; ")"</f>
        <v>12  (12)</v>
      </c>
      <c r="F72" s="414"/>
      <c r="G72" s="414"/>
      <c r="H72" s="414"/>
      <c r="I72" s="414"/>
      <c r="J72" s="414" t="str">
        <f>Rounddown(Rounddown(Rounddown(Rounddown((J$59+J$60*($A72-1)),0)*(1+(EnemyDamageSlider-1)+(EnemyDMGDanger-1)+(EnemyJackDMG-1)),0)*IF($A72&gt;20,(1+Max(0,((($A72-20)*(($A72-20)+1))/2)/100)*(2+Max(0,($A72-35)*0.2))),1),0)*IF(EnemyBuffed=TRUE,1.25,1),0) &amp; "  (" &amp; MAX(ROUND(Rounddown(Rounddown(Rounddown(Rounddown((J$59+J$60*($A72-1)),0)*(1+(EnemyDamageSlider-1)+(EnemyDMGDanger-1)+(EnemyJackDMG-1)),0)*IF($A72&gt;20,(1+Max(0,((($A72-20)*(($A72-20)+1))/2)/100)*(2+Max(0,($A72-35)*0.2))),1),0)*IF(EnemyBuffed=TRUE,1.25,1),0)*EnemyDMGTaken,0),1) &amp; ")"</f>
        <v>16  (16)</v>
      </c>
      <c r="K72" s="414"/>
      <c r="L72" s="414"/>
      <c r="M72" s="414"/>
      <c r="N72" s="414"/>
      <c r="O72" s="414"/>
      <c r="P72" s="414" t="str">
        <f>Rounddown(Rounddown(Rounddown(Rounddown((P$59+P$60*($A72-1)),0)*(1+(EnemyDamageSlider-1)+(EnemyDMGDanger-1)+(EnemyJackDMG-1)),0)*IF($A72&gt;20,(1+Max(0,((($A72-20)*(($A72-20)+1))/2)/100)*(2+Max(0,($A72-35)*0.2))),1),0)*IF(EnemyBuffed=TRUE,1.25,1),0) &amp; "  (" &amp; MAX(ROUND(Rounddown(Rounddown(Rounddown(Rounddown((P$59+P$60*($A72-1)),0)*(1+(EnemyDamageSlider-1)+(EnemyDMGDanger-1)+(EnemyJackDMG-1)),0)*IF($A72&gt;20,(1+Max(0,((($A72-20)*(($A72-20)+1))/2)/100)*(2+Max(0,($A72-35)*0.2))),1),0)*IF(EnemyBuffed=TRUE,1.25,1),0)*EnemyDMGTaken,0),1) &amp; ")"</f>
        <v>16  (16)</v>
      </c>
      <c r="Q72" s="414"/>
      <c r="R72" s="414"/>
      <c r="S72" s="414"/>
      <c r="T72" s="414" t="str">
        <f>Rounddown(Rounddown(Rounddown(Rounddown((T$59+T$60*($A72-1)),0)*(1+(EnemyDamageSlider-1)+(EnemyDMGDanger-1)+(EnemyJackDMG-1)),0)*IF($A72&gt;20,(1+Max(0,((($A72-20)*(($A72-20)+1))/2)/100)*(2+Max(0,($A72-35)*0.2))),1),0)*IF(EnemyBuffed=TRUE,1.25,1),0) &amp; "  (" &amp; MAX(ROUND(Rounddown(Rounddown(Rounddown(Rounddown((T$59+T$60*($A72-1)),0)*(1+(EnemyDamageSlider-1)+(EnemyDMGDanger-1)+(EnemyJackDMG-1)),0)*IF($A72&gt;20,(1+Max(0,((($A72-20)*(($A72-20)+1))/2)/100)*(2+Max(0,($A72-35)*0.2))),1),0)*IF(EnemyBuffed=TRUE,1.25,1),0)*EnemyDMGTaken,0),1) &amp; ")"</f>
        <v>16  (16)</v>
      </c>
      <c r="U72" s="414" t="str">
        <f>Rounddown(Rounddown(Rounddown(Rounddown((U$59+U$60*($A72-1)),0)*(1+(EnemyDamageSlider-1)+(EnemyDMGDanger-1)+(EnemyJackDMG-1)),0)*IF($A72&gt;20,(1+Max(0,((($A72-20)*(($A72-20)+1))/2)/100)*(2+Max(0,($A72-35)*0.2))),1),0)*IF(EnemyBuffed=TRUE,1.25,1),0) &amp; "  (" &amp; MAX(ROUND(Rounddown(Rounddown(Rounddown(Rounddown((U$59+U$60*($A72-1)),0)*(1+(EnemyDamageSlider-1)+(EnemyDMGDanger-1)+(EnemyJackDMG-1)),0)*IF($A72&gt;20,(1+Max(0,((($A72-20)*(($A72-20)+1))/2)/100)*(2+Max(0,($A72-35)*0.2))),1),0)*IF(EnemyBuffed=TRUE,1.25,1),0)*EnemyDMGTaken,0),1) &amp; ")"</f>
        <v>16  (16)</v>
      </c>
      <c r="V72" s="414" t="str">
        <f>Rounddown(Rounddown(Rounddown(Rounddown((V$59+V$60*($A72-1)),0)*(1+(EnemyDamageSlider-1)+(EnemyDMGDanger-1)+(EnemyJackDMG-1)),0)*IF($A72&gt;20,(1+Max(0,((($A72-20)*(($A72-20)+1))/2)/100)*(2+Max(0,($A72-35)*0.2))),1),0)*IF(EnemyBuffed=TRUE,1.25,1),0) &amp; "  (" &amp; MAX(ROUND(Rounddown(Rounddown(Rounddown(Rounddown((V$59+V$60*($A72-1)),0)*(1+(EnemyDamageSlider-1)+(EnemyDMGDanger-1)+(EnemyJackDMG-1)),0)*IF($A72&gt;20,(1+Max(0,((($A72-20)*(($A72-20)+1))/2)/100)*(2+Max(0,($A72-35)*0.2))),1),0)*IF(EnemyBuffed=TRUE,1.25,1),0)*EnemyDMGTaken,0),1) &amp; ")"</f>
        <v>18  (18)</v>
      </c>
      <c r="W72" s="414" t="str">
        <f>Rounddown(Rounddown(Rounddown(Rounddown((W$59+W$60*($A72-1)),0)*(1+(EnemyDamageSlider-1)+(EnemyDMGDanger-1)+(EnemyJackDMG-1)),0)*IF($A72&gt;20,(1+Max(0,((($A72-20)*(($A72-20)+1))/2)/100)*(2+Max(0,($A72-35)*0.2))),1),0)*IF(EnemyBuffed=TRUE,1.25,1),0) &amp; "  (" &amp; MAX(ROUND(Rounddown(Rounddown(Rounddown(Rounddown((W$59+W$60*($A72-1)),0)*(1+(EnemyDamageSlider-1)+(EnemyDMGDanger-1)+(EnemyJackDMG-1)),0)*IF($A72&gt;20,(1+Max(0,((($A72-20)*(($A72-20)+1))/2)/100)*(2+Max(0,($A72-35)*0.2))),1),0)*IF(EnemyBuffed=TRUE,1.25,1),0)*EnemyDMGTaken,0),1) &amp; ")"</f>
        <v>18  (18)</v>
      </c>
      <c r="X72" s="414" t="str">
        <f>Rounddown(Rounddown(Rounddown(Rounddown((X$59+X$60*($A72-1)),0)*(1+(EnemyDamageSlider-1)+(EnemyDMGDanger-1)+(EnemyJackDMG-1)),0)*IF($A72&gt;20,(1+Max(0,((($A72-20)*(($A72-20)+1))/2)/100)*(2+Max(0,($A72-35)*0.2))),1),0)*IF(EnemyBuffed=TRUE,1.25,1),0) &amp; "  (" &amp; MAX(ROUND(Rounddown(Rounddown(Rounddown(Rounddown((X$59+X$60*($A72-1)),0)*(1+(EnemyDamageSlider-1)+(EnemyDMGDanger-1)+(EnemyJackDMG-1)),0)*IF($A72&gt;20,(1+Max(0,((($A72-20)*(($A72-20)+1))/2)/100)*(2+Max(0,($A72-35)*0.2))),1),0)*IF(EnemyBuffed=TRUE,1.25,1),0)*EnemyDMGTaken,0),1) &amp; ")"</f>
        <v>18  (18)</v>
      </c>
      <c r="Y72" s="414" t="str">
        <f>Rounddown(Rounddown(Rounddown(Rounddown((Y$59+Y$60*($A72-1)),0)*(1+(EnemyDamageSlider-1)+(EnemyDMGDanger-1)+(EnemyJackDMG-1)),0)*IF($A72&gt;20,(1+Max(0,((($A72-20)*(($A72-20)+1))/2)/100)*(2+Max(0,($A72-35)*0.2))),1),0)*IF(EnemyBuffed=TRUE,1.25,1),0) &amp; "  (" &amp; MAX(ROUND(Rounddown(Rounddown(Rounddown(Rounddown((Y$59+Y$60*($A72-1)),0)*(1+(EnemyDamageSlider-1)+(EnemyDMGDanger-1)+(EnemyJackDMG-1)),0)*IF($A72&gt;20,(1+Max(0,((($A72-20)*(($A72-20)+1))/2)/100)*(2+Max(0,($A72-35)*0.2))),1),0)*IF(EnemyBuffed=TRUE,1.25,1),0)*EnemyDMGTaken,0),1) &amp; ")"</f>
        <v>18  (18)</v>
      </c>
      <c r="Z72" s="414" t="str">
        <f>Rounddown(Rounddown(Rounddown(Rounddown((Z$59+Z$60*($A72-1)),0)*(1+(EnemyDamageSlider-1)+(EnemyDMGDanger-1)+(EnemyJackDMG-1)),0)*IF($A72&gt;20,(1+Max(0,((($A72-20)*(($A72-20)+1))/2)/100)*(2+Max(0,($A72-35)*0.2))),1),0)*IF(EnemyBuffed=TRUE,1.25,1),0) &amp; "  (" &amp; MAX(ROUND(Rounddown(Rounddown(Rounddown(Rounddown((Z$59+Z$60*($A72-1)),0)*(1+(EnemyDamageSlider-1)+(EnemyDMGDanger-1)+(EnemyJackDMG-1)),0)*IF($A72&gt;20,(1+Max(0,((($A72-20)*(($A72-20)+1))/2)/100)*(2+Max(0,($A72-35)*0.2))),1),0)*IF(EnemyBuffed=TRUE,1.25,1),0)*EnemyDMGTaken,0),1) &amp; ")"</f>
        <v>18  (18)</v>
      </c>
      <c r="AA72" s="414" t="str">
        <f>Rounddown(Rounddown(Rounddown(Rounddown((AA$59+AA$60*($A72-1)),0)*(1+(EnemyDamageSlider-1)+(EnemyDMGDanger-1)+(EnemyJackDMG-1)),0)*IF($A72&gt;20,(1+Max(0,((($A72-20)*(($A72-20)+1))/2)/100)*(2+Max(0,($A72-35)*0.2))),1),0)*IF(EnemyBuffed=TRUE,1.25,1),0) &amp; "  (" &amp; MAX(ROUND(Rounddown(Rounddown(Rounddown(Rounddown((AA$59+AA$60*($A72-1)),0)*(1+(EnemyDamageSlider-1)+(EnemyDMGDanger-1)+(EnemyJackDMG-1)),0)*IF($A72&gt;20,(1+Max(0,((($A72-20)*(($A72-20)+1))/2)/100)*(2+Max(0,($A72-35)*0.2))),1),0)*IF(EnemyBuffed=TRUE,1.25,1),0)*EnemyDMGTaken,0),1) &amp; ")"</f>
        <v>12  (12)</v>
      </c>
    </row>
    <row r="73">
      <c r="A73" s="150">
        <v>13.0</v>
      </c>
      <c r="B73" s="414"/>
      <c r="C73" s="414"/>
      <c r="D73" s="414"/>
      <c r="E73" s="414" t="str">
        <f>Rounddown(Rounddown(Rounddown(Rounddown((E$59+E$60*($A73-1)),0)*(1+(EnemyDamageSlider-1)+(EnemyDMGDanger-1)+(EnemyJackDMG-1)),0)*IF($A73&gt;20,(1+Max(0,((($A73-20)*(($A73-20)+1))/2)/100)*(2+Max(0,($A73-35)*0.2))),1),0)*IF(EnemyBuffed=TRUE,1.25,1),0) &amp; "  (" &amp; MAX(ROUND(Rounddown(Rounddown(Rounddown(Rounddown((E$59+E$60*($A73-1)),0)*(1+(EnemyDamageSlider-1)+(EnemyDMGDanger-1)+(EnemyJackDMG-1)),0)*IF($A73&gt;20,(1+Max(0,((($A73-20)*(($A73-20)+1))/2)/100)*(2+Max(0,($A73-35)*0.2))),1),0)*IF(EnemyBuffed=TRUE,1.25,1),0)*EnemyDMGTaken,0),1) &amp; ")"</f>
        <v>14  (14)</v>
      </c>
      <c r="F73" s="414"/>
      <c r="G73" s="414"/>
      <c r="H73" s="414"/>
      <c r="I73" s="414"/>
      <c r="J73" s="414" t="str">
        <f>Rounddown(Rounddown(Rounddown(Rounddown((J$59+J$60*($A73-1)),0)*(1+(EnemyDamageSlider-1)+(EnemyDMGDanger-1)+(EnemyJackDMG-1)),0)*IF($A73&gt;20,(1+Max(0,((($A73-20)*(($A73-20)+1))/2)/100)*(2+Max(0,($A73-35)*0.2))),1),0)*IF(EnemyBuffed=TRUE,1.25,1),0) &amp; "  (" &amp; MAX(ROUND(Rounddown(Rounddown(Rounddown(Rounddown((J$59+J$60*($A73-1)),0)*(1+(EnemyDamageSlider-1)+(EnemyDMGDanger-1)+(EnemyJackDMG-1)),0)*IF($A73&gt;20,(1+Max(0,((($A73-20)*(($A73-20)+1))/2)/100)*(2+Max(0,($A73-35)*0.2))),1),0)*IF(EnemyBuffed=TRUE,1.25,1),0)*EnemyDMGTaken,0),1) &amp; ")"</f>
        <v>18  (18)</v>
      </c>
      <c r="K73" s="414"/>
      <c r="L73" s="414"/>
      <c r="M73" s="414"/>
      <c r="N73" s="414"/>
      <c r="O73" s="414"/>
      <c r="P73" s="414" t="str">
        <f>Rounddown(Rounddown(Rounddown(Rounddown((P$59+P$60*($A73-1)),0)*(1+(EnemyDamageSlider-1)+(EnemyDMGDanger-1)+(EnemyJackDMG-1)),0)*IF($A73&gt;20,(1+Max(0,((($A73-20)*(($A73-20)+1))/2)/100)*(2+Max(0,($A73-35)*0.2))),1),0)*IF(EnemyBuffed=TRUE,1.25,1),0) &amp; "  (" &amp; MAX(ROUND(Rounddown(Rounddown(Rounddown(Rounddown((P$59+P$60*($A73-1)),0)*(1+(EnemyDamageSlider-1)+(EnemyDMGDanger-1)+(EnemyJackDMG-1)),0)*IF($A73&gt;20,(1+Max(0,((($A73-20)*(($A73-20)+1))/2)/100)*(2+Max(0,($A73-35)*0.2))),1),0)*IF(EnemyBuffed=TRUE,1.25,1),0)*EnemyDMGTaken,0),1) &amp; ")"</f>
        <v>18  (18)</v>
      </c>
      <c r="Q73" s="414"/>
      <c r="R73" s="414"/>
      <c r="S73" s="414"/>
      <c r="T73" s="414" t="str">
        <f>Rounddown(Rounddown(Rounddown(Rounddown((T$59+T$60*($A73-1)),0)*(1+(EnemyDamageSlider-1)+(EnemyDMGDanger-1)+(EnemyJackDMG-1)),0)*IF($A73&gt;20,(1+Max(0,((($A73-20)*(($A73-20)+1))/2)/100)*(2+Max(0,($A73-35)*0.2))),1),0)*IF(EnemyBuffed=TRUE,1.25,1),0) &amp; "  (" &amp; MAX(ROUND(Rounddown(Rounddown(Rounddown(Rounddown((T$59+T$60*($A73-1)),0)*(1+(EnemyDamageSlider-1)+(EnemyDMGDanger-1)+(EnemyJackDMG-1)),0)*IF($A73&gt;20,(1+Max(0,((($A73-20)*(($A73-20)+1))/2)/100)*(2+Max(0,($A73-35)*0.2))),1),0)*IF(EnemyBuffed=TRUE,1.25,1),0)*EnemyDMGTaken,0),1) &amp; ")"</f>
        <v>18  (18)</v>
      </c>
      <c r="U73" s="414" t="str">
        <f>Rounddown(Rounddown(Rounddown(Rounddown((U$59+U$60*($A73-1)),0)*(1+(EnemyDamageSlider-1)+(EnemyDMGDanger-1)+(EnemyJackDMG-1)),0)*IF($A73&gt;20,(1+Max(0,((($A73-20)*(($A73-20)+1))/2)/100)*(2+Max(0,($A73-35)*0.2))),1),0)*IF(EnemyBuffed=TRUE,1.25,1),0) &amp; "  (" &amp; MAX(ROUND(Rounddown(Rounddown(Rounddown(Rounddown((U$59+U$60*($A73-1)),0)*(1+(EnemyDamageSlider-1)+(EnemyDMGDanger-1)+(EnemyJackDMG-1)),0)*IF($A73&gt;20,(1+Max(0,((($A73-20)*(($A73-20)+1))/2)/100)*(2+Max(0,($A73-35)*0.2))),1),0)*IF(EnemyBuffed=TRUE,1.25,1),0)*EnemyDMGTaken,0),1) &amp; ")"</f>
        <v>18  (18)</v>
      </c>
      <c r="V73" s="414" t="str">
        <f>Rounddown(Rounddown(Rounddown(Rounddown((V$59+V$60*($A73-1)),0)*(1+(EnemyDamageSlider-1)+(EnemyDMGDanger-1)+(EnemyJackDMG-1)),0)*IF($A73&gt;20,(1+Max(0,((($A73-20)*(($A73-20)+1))/2)/100)*(2+Max(0,($A73-35)*0.2))),1),0)*IF(EnemyBuffed=TRUE,1.25,1),0) &amp; "  (" &amp; MAX(ROUND(Rounddown(Rounddown(Rounddown(Rounddown((V$59+V$60*($A73-1)),0)*(1+(EnemyDamageSlider-1)+(EnemyDMGDanger-1)+(EnemyJackDMG-1)),0)*IF($A73&gt;20,(1+Max(0,((($A73-20)*(($A73-20)+1))/2)/100)*(2+Max(0,($A73-35)*0.2))),1),0)*IF(EnemyBuffed=TRUE,1.25,1),0)*EnemyDMGTaken,0),1) &amp; ")"</f>
        <v>19  (19)</v>
      </c>
      <c r="W73" s="414" t="str">
        <f>Rounddown(Rounddown(Rounddown(Rounddown((W$59+W$60*($A73-1)),0)*(1+(EnemyDamageSlider-1)+(EnemyDMGDanger-1)+(EnemyJackDMG-1)),0)*IF($A73&gt;20,(1+Max(0,((($A73-20)*(($A73-20)+1))/2)/100)*(2+Max(0,($A73-35)*0.2))),1),0)*IF(EnemyBuffed=TRUE,1.25,1),0) &amp; "  (" &amp; MAX(ROUND(Rounddown(Rounddown(Rounddown(Rounddown((W$59+W$60*($A73-1)),0)*(1+(EnemyDamageSlider-1)+(EnemyDMGDanger-1)+(EnemyJackDMG-1)),0)*IF($A73&gt;20,(1+Max(0,((($A73-20)*(($A73-20)+1))/2)/100)*(2+Max(0,($A73-35)*0.2))),1),0)*IF(EnemyBuffed=TRUE,1.25,1),0)*EnemyDMGTaken,0),1) &amp; ")"</f>
        <v>19  (19)</v>
      </c>
      <c r="X73" s="414" t="str">
        <f>Rounddown(Rounddown(Rounddown(Rounddown((X$59+X$60*($A73-1)),0)*(1+(EnemyDamageSlider-1)+(EnemyDMGDanger-1)+(EnemyJackDMG-1)),0)*IF($A73&gt;20,(1+Max(0,((($A73-20)*(($A73-20)+1))/2)/100)*(2+Max(0,($A73-35)*0.2))),1),0)*IF(EnemyBuffed=TRUE,1.25,1),0) &amp; "  (" &amp; MAX(ROUND(Rounddown(Rounddown(Rounddown(Rounddown((X$59+X$60*($A73-1)),0)*(1+(EnemyDamageSlider-1)+(EnemyDMGDanger-1)+(EnemyJackDMG-1)),0)*IF($A73&gt;20,(1+Max(0,((($A73-20)*(($A73-20)+1))/2)/100)*(2+Max(0,($A73-35)*0.2))),1),0)*IF(EnemyBuffed=TRUE,1.25,1),0)*EnemyDMGTaken,0),1) &amp; ")"</f>
        <v>19  (19)</v>
      </c>
      <c r="Y73" s="414" t="str">
        <f>Rounddown(Rounddown(Rounddown(Rounddown((Y$59+Y$60*($A73-1)),0)*(1+(EnemyDamageSlider-1)+(EnemyDMGDanger-1)+(EnemyJackDMG-1)),0)*IF($A73&gt;20,(1+Max(0,((($A73-20)*(($A73-20)+1))/2)/100)*(2+Max(0,($A73-35)*0.2))),1),0)*IF(EnemyBuffed=TRUE,1.25,1),0) &amp; "  (" &amp; MAX(ROUND(Rounddown(Rounddown(Rounddown(Rounddown((Y$59+Y$60*($A73-1)),0)*(1+(EnemyDamageSlider-1)+(EnemyDMGDanger-1)+(EnemyJackDMG-1)),0)*IF($A73&gt;20,(1+Max(0,((($A73-20)*(($A73-20)+1))/2)/100)*(2+Max(0,($A73-35)*0.2))),1),0)*IF(EnemyBuffed=TRUE,1.25,1),0)*EnemyDMGTaken,0),1) &amp; ")"</f>
        <v>19  (19)</v>
      </c>
      <c r="Z73" s="414" t="str">
        <f>Rounddown(Rounddown(Rounddown(Rounddown((Z$59+Z$60*($A73-1)),0)*(1+(EnemyDamageSlider-1)+(EnemyDMGDanger-1)+(EnemyJackDMG-1)),0)*IF($A73&gt;20,(1+Max(0,((($A73-20)*(($A73-20)+1))/2)/100)*(2+Max(0,($A73-35)*0.2))),1),0)*IF(EnemyBuffed=TRUE,1.25,1),0) &amp; "  (" &amp; MAX(ROUND(Rounddown(Rounddown(Rounddown(Rounddown((Z$59+Z$60*($A73-1)),0)*(1+(EnemyDamageSlider-1)+(EnemyDMGDanger-1)+(EnemyJackDMG-1)),0)*IF($A73&gt;20,(1+Max(0,((($A73-20)*(($A73-20)+1))/2)/100)*(2+Max(0,($A73-35)*0.2))),1),0)*IF(EnemyBuffed=TRUE,1.25,1),0)*EnemyDMGTaken,0),1) &amp; ")"</f>
        <v>19  (19)</v>
      </c>
      <c r="AA73" s="414" t="str">
        <f>Rounddown(Rounddown(Rounddown(Rounddown((AA$59+AA$60*($A73-1)),0)*(1+(EnemyDamageSlider-1)+(EnemyDMGDanger-1)+(EnemyJackDMG-1)),0)*IF($A73&gt;20,(1+Max(0,((($A73-20)*(($A73-20)+1))/2)/100)*(2+Max(0,($A73-35)*0.2))),1),0)*IF(EnemyBuffed=TRUE,1.25,1),0) &amp; "  (" &amp; MAX(ROUND(Rounddown(Rounddown(Rounddown(Rounddown((AA$59+AA$60*($A73-1)),0)*(1+(EnemyDamageSlider-1)+(EnemyDMGDanger-1)+(EnemyJackDMG-1)),0)*IF($A73&gt;20,(1+Max(0,((($A73-20)*(($A73-20)+1))/2)/100)*(2+Max(0,($A73-35)*0.2))),1),0)*IF(EnemyBuffed=TRUE,1.25,1),0)*EnemyDMGTaken,0),1) &amp; ")"</f>
        <v>14  (14)</v>
      </c>
    </row>
    <row r="74">
      <c r="A74" s="150">
        <v>14.0</v>
      </c>
      <c r="B74" s="414"/>
      <c r="C74" s="414"/>
      <c r="D74" s="414"/>
      <c r="E74" s="414" t="str">
        <f>Rounddown(Rounddown(Rounddown(Rounddown((E$59+E$60*($A74-1)),0)*(1+(EnemyDamageSlider-1)+(EnemyDMGDanger-1)+(EnemyJackDMG-1)),0)*IF($A74&gt;20,(1+Max(0,((($A74-20)*(($A74-20)+1))/2)/100)*(2+Max(0,($A74-35)*0.2))),1),0)*IF(EnemyBuffed=TRUE,1.25,1),0) &amp; "  (" &amp; MAX(ROUND(Rounddown(Rounddown(Rounddown(Rounddown((E$59+E$60*($A74-1)),0)*(1+(EnemyDamageSlider-1)+(EnemyDMGDanger-1)+(EnemyJackDMG-1)),0)*IF($A74&gt;20,(1+Max(0,((($A74-20)*(($A74-20)+1))/2)/100)*(2+Max(0,($A74-35)*0.2))),1),0)*IF(EnemyBuffed=TRUE,1.25,1),0)*EnemyDMGTaken,0),1) &amp; ")"</f>
        <v>14  (14)</v>
      </c>
      <c r="F74" s="414"/>
      <c r="G74" s="414"/>
      <c r="H74" s="414"/>
      <c r="I74" s="414"/>
      <c r="J74" s="414" t="str">
        <f>Rounddown(Rounddown(Rounddown(Rounddown((J$59+J$60*($A74-1)),0)*(1+(EnemyDamageSlider-1)+(EnemyDMGDanger-1)+(EnemyJackDMG-1)),0)*IF($A74&gt;20,(1+Max(0,((($A74-20)*(($A74-20)+1))/2)/100)*(2+Max(0,($A74-35)*0.2))),1),0)*IF(EnemyBuffed=TRUE,1.25,1),0) &amp; "  (" &amp; MAX(ROUND(Rounddown(Rounddown(Rounddown(Rounddown((J$59+J$60*($A74-1)),0)*(1+(EnemyDamageSlider-1)+(EnemyDMGDanger-1)+(EnemyJackDMG-1)),0)*IF($A74&gt;20,(1+Max(0,((($A74-20)*(($A74-20)+1))/2)/100)*(2+Max(0,($A74-35)*0.2))),1),0)*IF(EnemyBuffed=TRUE,1.25,1),0)*EnemyDMGTaken,0),1) &amp; ")"</f>
        <v>19  (19)</v>
      </c>
      <c r="K74" s="414"/>
      <c r="L74" s="414"/>
      <c r="M74" s="414"/>
      <c r="N74" s="414"/>
      <c r="O74" s="414"/>
      <c r="P74" s="414" t="str">
        <f>Rounddown(Rounddown(Rounddown(Rounddown((P$59+P$60*($A74-1)),0)*(1+(EnemyDamageSlider-1)+(EnemyDMGDanger-1)+(EnemyJackDMG-1)),0)*IF($A74&gt;20,(1+Max(0,((($A74-20)*(($A74-20)+1))/2)/100)*(2+Max(0,($A74-35)*0.2))),1),0)*IF(EnemyBuffed=TRUE,1.25,1),0) &amp; "  (" &amp; MAX(ROUND(Rounddown(Rounddown(Rounddown(Rounddown((P$59+P$60*($A74-1)),0)*(1+(EnemyDamageSlider-1)+(EnemyDMGDanger-1)+(EnemyJackDMG-1)),0)*IF($A74&gt;20,(1+Max(0,((($A74-20)*(($A74-20)+1))/2)/100)*(2+Max(0,($A74-35)*0.2))),1),0)*IF(EnemyBuffed=TRUE,1.25,1),0)*EnemyDMGTaken,0),1) &amp; ")"</f>
        <v>19  (19)</v>
      </c>
      <c r="Q74" s="414"/>
      <c r="R74" s="414"/>
      <c r="S74" s="414"/>
      <c r="T74" s="414" t="str">
        <f>Rounddown(Rounddown(Rounddown(Rounddown((T$59+T$60*($A74-1)),0)*(1+(EnemyDamageSlider-1)+(EnemyDMGDanger-1)+(EnemyJackDMG-1)),0)*IF($A74&gt;20,(1+Max(0,((($A74-20)*(($A74-20)+1))/2)/100)*(2+Max(0,($A74-35)*0.2))),1),0)*IF(EnemyBuffed=TRUE,1.25,1),0) &amp; "  (" &amp; MAX(ROUND(Rounddown(Rounddown(Rounddown(Rounddown((T$59+T$60*($A74-1)),0)*(1+(EnemyDamageSlider-1)+(EnemyDMGDanger-1)+(EnemyJackDMG-1)),0)*IF($A74&gt;20,(1+Max(0,((($A74-20)*(($A74-20)+1))/2)/100)*(2+Max(0,($A74-35)*0.2))),1),0)*IF(EnemyBuffed=TRUE,1.25,1),0)*EnemyDMGTaken,0),1) &amp; ")"</f>
        <v>19  (19)</v>
      </c>
      <c r="U74" s="414" t="str">
        <f>Rounddown(Rounddown(Rounddown(Rounddown((U$59+U$60*($A74-1)),0)*(1+(EnemyDamageSlider-1)+(EnemyDMGDanger-1)+(EnemyJackDMG-1)),0)*IF($A74&gt;20,(1+Max(0,((($A74-20)*(($A74-20)+1))/2)/100)*(2+Max(0,($A74-35)*0.2))),1),0)*IF(EnemyBuffed=TRUE,1.25,1),0) &amp; "  (" &amp; MAX(ROUND(Rounddown(Rounddown(Rounddown(Rounddown((U$59+U$60*($A74-1)),0)*(1+(EnemyDamageSlider-1)+(EnemyDMGDanger-1)+(EnemyJackDMG-1)),0)*IF($A74&gt;20,(1+Max(0,((($A74-20)*(($A74-20)+1))/2)/100)*(2+Max(0,($A74-35)*0.2))),1),0)*IF(EnemyBuffed=TRUE,1.25,1),0)*EnemyDMGTaken,0),1) &amp; ")"</f>
        <v>19  (19)</v>
      </c>
      <c r="V74" s="414" t="str">
        <f>Rounddown(Rounddown(Rounddown(Rounddown((V$59+V$60*($A74-1)),0)*(1+(EnemyDamageSlider-1)+(EnemyDMGDanger-1)+(EnemyJackDMG-1)),0)*IF($A74&gt;20,(1+Max(0,((($A74-20)*(($A74-20)+1))/2)/100)*(2+Max(0,($A74-35)*0.2))),1),0)*IF(EnemyBuffed=TRUE,1.25,1),0) &amp; "  (" &amp; MAX(ROUND(Rounddown(Rounddown(Rounddown(Rounddown((V$59+V$60*($A74-1)),0)*(1+(EnemyDamageSlider-1)+(EnemyDMGDanger-1)+(EnemyJackDMG-1)),0)*IF($A74&gt;20,(1+Max(0,((($A74-20)*(($A74-20)+1))/2)/100)*(2+Max(0,($A74-35)*0.2))),1),0)*IF(EnemyBuffed=TRUE,1.25,1),0)*EnemyDMGTaken,0),1) &amp; ")"</f>
        <v>21  (21)</v>
      </c>
      <c r="W74" s="414" t="str">
        <f>Rounddown(Rounddown(Rounddown(Rounddown((W$59+W$60*($A74-1)),0)*(1+(EnemyDamageSlider-1)+(EnemyDMGDanger-1)+(EnemyJackDMG-1)),0)*IF($A74&gt;20,(1+Max(0,((($A74-20)*(($A74-20)+1))/2)/100)*(2+Max(0,($A74-35)*0.2))),1),0)*IF(EnemyBuffed=TRUE,1.25,1),0) &amp; "  (" &amp; MAX(ROUND(Rounddown(Rounddown(Rounddown(Rounddown((W$59+W$60*($A74-1)),0)*(1+(EnemyDamageSlider-1)+(EnemyDMGDanger-1)+(EnemyJackDMG-1)),0)*IF($A74&gt;20,(1+Max(0,((($A74-20)*(($A74-20)+1))/2)/100)*(2+Max(0,($A74-35)*0.2))),1),0)*IF(EnemyBuffed=TRUE,1.25,1),0)*EnemyDMGTaken,0),1) &amp; ")"</f>
        <v>21  (21)</v>
      </c>
      <c r="X74" s="414" t="str">
        <f>Rounddown(Rounddown(Rounddown(Rounddown((X$59+X$60*($A74-1)),0)*(1+(EnemyDamageSlider-1)+(EnemyDMGDanger-1)+(EnemyJackDMG-1)),0)*IF($A74&gt;20,(1+Max(0,((($A74-20)*(($A74-20)+1))/2)/100)*(2+Max(0,($A74-35)*0.2))),1),0)*IF(EnemyBuffed=TRUE,1.25,1),0) &amp; "  (" &amp; MAX(ROUND(Rounddown(Rounddown(Rounddown(Rounddown((X$59+X$60*($A74-1)),0)*(1+(EnemyDamageSlider-1)+(EnemyDMGDanger-1)+(EnemyJackDMG-1)),0)*IF($A74&gt;20,(1+Max(0,((($A74-20)*(($A74-20)+1))/2)/100)*(2+Max(0,($A74-35)*0.2))),1),0)*IF(EnemyBuffed=TRUE,1.25,1),0)*EnemyDMGTaken,0),1) &amp; ")"</f>
        <v>21  (21)</v>
      </c>
      <c r="Y74" s="414" t="str">
        <f>Rounddown(Rounddown(Rounddown(Rounddown((Y$59+Y$60*($A74-1)),0)*(1+(EnemyDamageSlider-1)+(EnemyDMGDanger-1)+(EnemyJackDMG-1)),0)*IF($A74&gt;20,(1+Max(0,((($A74-20)*(($A74-20)+1))/2)/100)*(2+Max(0,($A74-35)*0.2))),1),0)*IF(EnemyBuffed=TRUE,1.25,1),0) &amp; "  (" &amp; MAX(ROUND(Rounddown(Rounddown(Rounddown(Rounddown((Y$59+Y$60*($A74-1)),0)*(1+(EnemyDamageSlider-1)+(EnemyDMGDanger-1)+(EnemyJackDMG-1)),0)*IF($A74&gt;20,(1+Max(0,((($A74-20)*(($A74-20)+1))/2)/100)*(2+Max(0,($A74-35)*0.2))),1),0)*IF(EnemyBuffed=TRUE,1.25,1),0)*EnemyDMGTaken,0),1) &amp; ")"</f>
        <v>21  (21)</v>
      </c>
      <c r="Z74" s="414" t="str">
        <f>Rounddown(Rounddown(Rounddown(Rounddown((Z$59+Z$60*($A74-1)),0)*(1+(EnemyDamageSlider-1)+(EnemyDMGDanger-1)+(EnemyJackDMG-1)),0)*IF($A74&gt;20,(1+Max(0,((($A74-20)*(($A74-20)+1))/2)/100)*(2+Max(0,($A74-35)*0.2))),1),0)*IF(EnemyBuffed=TRUE,1.25,1),0) &amp; "  (" &amp; MAX(ROUND(Rounddown(Rounddown(Rounddown(Rounddown((Z$59+Z$60*($A74-1)),0)*(1+(EnemyDamageSlider-1)+(EnemyDMGDanger-1)+(EnemyJackDMG-1)),0)*IF($A74&gt;20,(1+Max(0,((($A74-20)*(($A74-20)+1))/2)/100)*(2+Max(0,($A74-35)*0.2))),1),0)*IF(EnemyBuffed=TRUE,1.25,1),0)*EnemyDMGTaken,0),1) &amp; ")"</f>
        <v>21  (21)</v>
      </c>
      <c r="AA74" s="414" t="str">
        <f>Rounddown(Rounddown(Rounddown(Rounddown((AA$59+AA$60*($A74-1)),0)*(1+(EnemyDamageSlider-1)+(EnemyDMGDanger-1)+(EnemyJackDMG-1)),0)*IF($A74&gt;20,(1+Max(0,((($A74-20)*(($A74-20)+1))/2)/100)*(2+Max(0,($A74-35)*0.2))),1),0)*IF(EnemyBuffed=TRUE,1.25,1),0) &amp; "  (" &amp; MAX(ROUND(Rounddown(Rounddown(Rounddown(Rounddown((AA$59+AA$60*($A74-1)),0)*(1+(EnemyDamageSlider-1)+(EnemyDMGDanger-1)+(EnemyJackDMG-1)),0)*IF($A74&gt;20,(1+Max(0,((($A74-20)*(($A74-20)+1))/2)/100)*(2+Max(0,($A74-35)*0.2))),1),0)*IF(EnemyBuffed=TRUE,1.25,1),0)*EnemyDMGTaken,0),1) &amp; ")"</f>
        <v>14  (14)</v>
      </c>
    </row>
    <row r="75">
      <c r="A75" s="150">
        <v>15.0</v>
      </c>
      <c r="B75" s="414"/>
      <c r="C75" s="414"/>
      <c r="D75" s="414"/>
      <c r="E75" s="414" t="str">
        <f>Rounddown(Rounddown(Rounddown(Rounddown((E$59+E$60*($A75-1)),0)*(1+(EnemyDamageSlider-1)+(EnemyDMGDanger-1)+(EnemyJackDMG-1)),0)*IF($A75&gt;20,(1+Max(0,((($A75-20)*(($A75-20)+1))/2)/100)*(2+Max(0,($A75-35)*0.2))),1),0)*IF(EnemyBuffed=TRUE,1.25,1),0) &amp; "  (" &amp; MAX(ROUND(Rounddown(Rounddown(Rounddown(Rounddown((E$59+E$60*($A75-1)),0)*(1+(EnemyDamageSlider-1)+(EnemyDMGDanger-1)+(EnemyJackDMG-1)),0)*IF($A75&gt;20,(1+Max(0,((($A75-20)*(($A75-20)+1))/2)/100)*(2+Max(0,($A75-35)*0.2))),1),0)*IF(EnemyBuffed=TRUE,1.25,1),0)*EnemyDMGTaken,0),1) &amp; ")"</f>
        <v>15  (15)</v>
      </c>
      <c r="F75" s="414"/>
      <c r="G75" s="414"/>
      <c r="H75" s="414"/>
      <c r="I75" s="414"/>
      <c r="J75" s="414" t="str">
        <f>Rounddown(Rounddown(Rounddown(Rounddown((J$59+J$60*($A75-1)),0)*(1+(EnemyDamageSlider-1)+(EnemyDMGDanger-1)+(EnemyJackDMG-1)),0)*IF($A75&gt;20,(1+Max(0,((($A75-20)*(($A75-20)+1))/2)/100)*(2+Max(0,($A75-35)*0.2))),1),0)*IF(EnemyBuffed=TRUE,1.25,1),0) &amp; "  (" &amp; MAX(ROUND(Rounddown(Rounddown(Rounddown(Rounddown((J$59+J$60*($A75-1)),0)*(1+(EnemyDamageSlider-1)+(EnemyDMGDanger-1)+(EnemyJackDMG-1)),0)*IF($A75&gt;20,(1+Max(0,((($A75-20)*(($A75-20)+1))/2)/100)*(2+Max(0,($A75-35)*0.2))),1),0)*IF(EnemyBuffed=TRUE,1.25,1),0)*EnemyDMGTaken,0),1) &amp; ")"</f>
        <v>21  (21)</v>
      </c>
      <c r="K75" s="414"/>
      <c r="L75" s="414"/>
      <c r="M75" s="414"/>
      <c r="N75" s="414"/>
      <c r="O75" s="414"/>
      <c r="P75" s="414" t="str">
        <f>Rounddown(Rounddown(Rounddown(Rounddown((P$59+P$60*($A75-1)),0)*(1+(EnemyDamageSlider-1)+(EnemyDMGDanger-1)+(EnemyJackDMG-1)),0)*IF($A75&gt;20,(1+Max(0,((($A75-20)*(($A75-20)+1))/2)/100)*(2+Max(0,($A75-35)*0.2))),1),0)*IF(EnemyBuffed=TRUE,1.25,1),0) &amp; "  (" &amp; MAX(ROUND(Rounddown(Rounddown(Rounddown(Rounddown((P$59+P$60*($A75-1)),0)*(1+(EnemyDamageSlider-1)+(EnemyDMGDanger-1)+(EnemyJackDMG-1)),0)*IF($A75&gt;20,(1+Max(0,((($A75-20)*(($A75-20)+1))/2)/100)*(2+Max(0,($A75-35)*0.2))),1),0)*IF(EnemyBuffed=TRUE,1.25,1),0)*EnemyDMGTaken,0),1) &amp; ")"</f>
        <v>21  (21)</v>
      </c>
      <c r="Q75" s="414"/>
      <c r="R75" s="414"/>
      <c r="S75" s="414"/>
      <c r="T75" s="414" t="str">
        <f>Rounddown(Rounddown(Rounddown(Rounddown((T$59+T$60*($A75-1)),0)*(1+(EnemyDamageSlider-1)+(EnemyDMGDanger-1)+(EnemyJackDMG-1)),0)*IF($A75&gt;20,(1+Max(0,((($A75-20)*(($A75-20)+1))/2)/100)*(2+Max(0,($A75-35)*0.2))),1),0)*IF(EnemyBuffed=TRUE,1.25,1),0) &amp; "  (" &amp; MAX(ROUND(Rounddown(Rounddown(Rounddown(Rounddown((T$59+T$60*($A75-1)),0)*(1+(EnemyDamageSlider-1)+(EnemyDMGDanger-1)+(EnemyJackDMG-1)),0)*IF($A75&gt;20,(1+Max(0,((($A75-20)*(($A75-20)+1))/2)/100)*(2+Max(0,($A75-35)*0.2))),1),0)*IF(EnemyBuffed=TRUE,1.25,1),0)*EnemyDMGTaken,0),1) &amp; ")"</f>
        <v>21  (21)</v>
      </c>
      <c r="U75" s="414" t="str">
        <f>Rounddown(Rounddown(Rounddown(Rounddown((U$59+U$60*($A75-1)),0)*(1+(EnemyDamageSlider-1)+(EnemyDMGDanger-1)+(EnemyJackDMG-1)),0)*IF($A75&gt;20,(1+Max(0,((($A75-20)*(($A75-20)+1))/2)/100)*(2+Max(0,($A75-35)*0.2))),1),0)*IF(EnemyBuffed=TRUE,1.25,1),0) &amp; "  (" &amp; MAX(ROUND(Rounddown(Rounddown(Rounddown(Rounddown((U$59+U$60*($A75-1)),0)*(1+(EnemyDamageSlider-1)+(EnemyDMGDanger-1)+(EnemyJackDMG-1)),0)*IF($A75&gt;20,(1+Max(0,((($A75-20)*(($A75-20)+1))/2)/100)*(2+Max(0,($A75-35)*0.2))),1),0)*IF(EnemyBuffed=TRUE,1.25,1),0)*EnemyDMGTaken,0),1) &amp; ")"</f>
        <v>21  (21)</v>
      </c>
      <c r="V75" s="414" t="str">
        <f>Rounddown(Rounddown(Rounddown(Rounddown((V$59+V$60*($A75-1)),0)*(1+(EnemyDamageSlider-1)+(EnemyDMGDanger-1)+(EnemyJackDMG-1)),0)*IF($A75&gt;20,(1+Max(0,((($A75-20)*(($A75-20)+1))/2)/100)*(2+Max(0,($A75-35)*0.2))),1),0)*IF(EnemyBuffed=TRUE,1.25,1),0) &amp; "  (" &amp; MAX(ROUND(Rounddown(Rounddown(Rounddown(Rounddown((V$59+V$60*($A75-1)),0)*(1+(EnemyDamageSlider-1)+(EnemyDMGDanger-1)+(EnemyJackDMG-1)),0)*IF($A75&gt;20,(1+Max(0,((($A75-20)*(($A75-20)+1))/2)/100)*(2+Max(0,($A75-35)*0.2))),1),0)*IF(EnemyBuffed=TRUE,1.25,1),0)*EnemyDMGTaken,0),1) &amp; ")"</f>
        <v>23  (23)</v>
      </c>
      <c r="W75" s="414" t="str">
        <f>Rounddown(Rounddown(Rounddown(Rounddown((W$59+W$60*($A75-1)),0)*(1+(EnemyDamageSlider-1)+(EnemyDMGDanger-1)+(EnemyJackDMG-1)),0)*IF($A75&gt;20,(1+Max(0,((($A75-20)*(($A75-20)+1))/2)/100)*(2+Max(0,($A75-35)*0.2))),1),0)*IF(EnemyBuffed=TRUE,1.25,1),0) &amp; "  (" &amp; MAX(ROUND(Rounddown(Rounddown(Rounddown(Rounddown((W$59+W$60*($A75-1)),0)*(1+(EnemyDamageSlider-1)+(EnemyDMGDanger-1)+(EnemyJackDMG-1)),0)*IF($A75&gt;20,(1+Max(0,((($A75-20)*(($A75-20)+1))/2)/100)*(2+Max(0,($A75-35)*0.2))),1),0)*IF(EnemyBuffed=TRUE,1.25,1),0)*EnemyDMGTaken,0),1) &amp; ")"</f>
        <v>23  (23)</v>
      </c>
      <c r="X75" s="414" t="str">
        <f>Rounddown(Rounddown(Rounddown(Rounddown((X$59+X$60*($A75-1)),0)*(1+(EnemyDamageSlider-1)+(EnemyDMGDanger-1)+(EnemyJackDMG-1)),0)*IF($A75&gt;20,(1+Max(0,((($A75-20)*(($A75-20)+1))/2)/100)*(2+Max(0,($A75-35)*0.2))),1),0)*IF(EnemyBuffed=TRUE,1.25,1),0) &amp; "  (" &amp; MAX(ROUND(Rounddown(Rounddown(Rounddown(Rounddown((X$59+X$60*($A75-1)),0)*(1+(EnemyDamageSlider-1)+(EnemyDMGDanger-1)+(EnemyJackDMG-1)),0)*IF($A75&gt;20,(1+Max(0,((($A75-20)*(($A75-20)+1))/2)/100)*(2+Max(0,($A75-35)*0.2))),1),0)*IF(EnemyBuffed=TRUE,1.25,1),0)*EnemyDMGTaken,0),1) &amp; ")"</f>
        <v>23  (23)</v>
      </c>
      <c r="Y75" s="414" t="str">
        <f>Rounddown(Rounddown(Rounddown(Rounddown((Y$59+Y$60*($A75-1)),0)*(1+(EnemyDamageSlider-1)+(EnemyDMGDanger-1)+(EnemyJackDMG-1)),0)*IF($A75&gt;20,(1+Max(0,((($A75-20)*(($A75-20)+1))/2)/100)*(2+Max(0,($A75-35)*0.2))),1),0)*IF(EnemyBuffed=TRUE,1.25,1),0) &amp; "  (" &amp; MAX(ROUND(Rounddown(Rounddown(Rounddown(Rounddown((Y$59+Y$60*($A75-1)),0)*(1+(EnemyDamageSlider-1)+(EnemyDMGDanger-1)+(EnemyJackDMG-1)),0)*IF($A75&gt;20,(1+Max(0,((($A75-20)*(($A75-20)+1))/2)/100)*(2+Max(0,($A75-35)*0.2))),1),0)*IF(EnemyBuffed=TRUE,1.25,1),0)*EnemyDMGTaken,0),1) &amp; ")"</f>
        <v>23  (23)</v>
      </c>
      <c r="Z75" s="414" t="str">
        <f>Rounddown(Rounddown(Rounddown(Rounddown((Z$59+Z$60*($A75-1)),0)*(1+(EnemyDamageSlider-1)+(EnemyDMGDanger-1)+(EnemyJackDMG-1)),0)*IF($A75&gt;20,(1+Max(0,((($A75-20)*(($A75-20)+1))/2)/100)*(2+Max(0,($A75-35)*0.2))),1),0)*IF(EnemyBuffed=TRUE,1.25,1),0) &amp; "  (" &amp; MAX(ROUND(Rounddown(Rounddown(Rounddown(Rounddown((Z$59+Z$60*($A75-1)),0)*(1+(EnemyDamageSlider-1)+(EnemyDMGDanger-1)+(EnemyJackDMG-1)),0)*IF($A75&gt;20,(1+Max(0,((($A75-20)*(($A75-20)+1))/2)/100)*(2+Max(0,($A75-35)*0.2))),1),0)*IF(EnemyBuffed=TRUE,1.25,1),0)*EnemyDMGTaken,0),1) &amp; ")"</f>
        <v>23  (23)</v>
      </c>
      <c r="AA75" s="414" t="str">
        <f>Rounddown(Rounddown(Rounddown(Rounddown((AA$59+AA$60*($A75-1)),0)*(1+(EnemyDamageSlider-1)+(EnemyDMGDanger-1)+(EnemyJackDMG-1)),0)*IF($A75&gt;20,(1+Max(0,((($A75-20)*(($A75-20)+1))/2)/100)*(2+Max(0,($A75-35)*0.2))),1),0)*IF(EnemyBuffed=TRUE,1.25,1),0) &amp; "  (" &amp; MAX(ROUND(Rounddown(Rounddown(Rounddown(Rounddown((AA$59+AA$60*($A75-1)),0)*(1+(EnemyDamageSlider-1)+(EnemyDMGDanger-1)+(EnemyJackDMG-1)),0)*IF($A75&gt;20,(1+Max(0,((($A75-20)*(($A75-20)+1))/2)/100)*(2+Max(0,($A75-35)*0.2))),1),0)*IF(EnemyBuffed=TRUE,1.25,1),0)*EnemyDMGTaken,0),1) &amp; ")"</f>
        <v>15  (15)</v>
      </c>
    </row>
    <row r="76">
      <c r="A76" s="150">
        <v>16.0</v>
      </c>
      <c r="B76" s="414"/>
      <c r="C76" s="414"/>
      <c r="D76" s="414"/>
      <c r="E76" s="414" t="str">
        <f>Rounddown(Rounddown(Rounddown(Rounddown((E$59+E$60*($A76-1)),0)*(1+(EnemyDamageSlider-1)+(EnemyDMGDanger-1)+(EnemyJackDMG-1)),0)*IF($A76&gt;20,(1+Max(0,((($A76-20)*(($A76-20)+1))/2)/100)*(2+Max(0,($A76-35)*0.2))),1),0)*IF(EnemyBuffed=TRUE,1.25,1),0) &amp; "  (" &amp; MAX(ROUND(Rounddown(Rounddown(Rounddown(Rounddown((E$59+E$60*($A76-1)),0)*(1+(EnemyDamageSlider-1)+(EnemyDMGDanger-1)+(EnemyJackDMG-1)),0)*IF($A76&gt;20,(1+Max(0,((($A76-20)*(($A76-20)+1))/2)/100)*(2+Max(0,($A76-35)*0.2))),1),0)*IF(EnemyBuffed=TRUE,1.25,1),0)*EnemyDMGTaken,0),1) &amp; ")"</f>
        <v>16  (16)</v>
      </c>
      <c r="F76" s="414"/>
      <c r="G76" s="414"/>
      <c r="H76" s="414"/>
      <c r="I76" s="414"/>
      <c r="J76" s="414" t="str">
        <f>Rounddown(Rounddown(Rounddown(Rounddown((J$59+J$60*($A76-1)),0)*(1+(EnemyDamageSlider-1)+(EnemyDMGDanger-1)+(EnemyJackDMG-1)),0)*IF($A76&gt;20,(1+Max(0,((($A76-20)*(($A76-20)+1))/2)/100)*(2+Max(0,($A76-35)*0.2))),1),0)*IF(EnemyBuffed=TRUE,1.25,1),0) &amp; "  (" &amp; MAX(ROUND(Rounddown(Rounddown(Rounddown(Rounddown((J$59+J$60*($A76-1)),0)*(1+(EnemyDamageSlider-1)+(EnemyDMGDanger-1)+(EnemyJackDMG-1)),0)*IF($A76&gt;20,(1+Max(0,((($A76-20)*(($A76-20)+1))/2)/100)*(2+Max(0,($A76-35)*0.2))),1),0)*IF(EnemyBuffed=TRUE,1.25,1),0)*EnemyDMGTaken,0),1) &amp; ")"</f>
        <v>22  (22)</v>
      </c>
      <c r="K76" s="414"/>
      <c r="L76" s="414"/>
      <c r="M76" s="414"/>
      <c r="N76" s="414"/>
      <c r="O76" s="414"/>
      <c r="P76" s="414" t="str">
        <f>Rounddown(Rounddown(Rounddown(Rounddown((P$59+P$60*($A76-1)),0)*(1+(EnemyDamageSlider-1)+(EnemyDMGDanger-1)+(EnemyJackDMG-1)),0)*IF($A76&gt;20,(1+Max(0,((($A76-20)*(($A76-20)+1))/2)/100)*(2+Max(0,($A76-35)*0.2))),1),0)*IF(EnemyBuffed=TRUE,1.25,1),0) &amp; "  (" &amp; MAX(ROUND(Rounddown(Rounddown(Rounddown(Rounddown((P$59+P$60*($A76-1)),0)*(1+(EnemyDamageSlider-1)+(EnemyDMGDanger-1)+(EnemyJackDMG-1)),0)*IF($A76&gt;20,(1+Max(0,((($A76-20)*(($A76-20)+1))/2)/100)*(2+Max(0,($A76-35)*0.2))),1),0)*IF(EnemyBuffed=TRUE,1.25,1),0)*EnemyDMGTaken,0),1) &amp; ")"</f>
        <v>22  (22)</v>
      </c>
      <c r="Q76" s="414"/>
      <c r="R76" s="414"/>
      <c r="S76" s="414"/>
      <c r="T76" s="414" t="str">
        <f>Rounddown(Rounddown(Rounddown(Rounddown((T$59+T$60*($A76-1)),0)*(1+(EnemyDamageSlider-1)+(EnemyDMGDanger-1)+(EnemyJackDMG-1)),0)*IF($A76&gt;20,(1+Max(0,((($A76-20)*(($A76-20)+1))/2)/100)*(2+Max(0,($A76-35)*0.2))),1),0)*IF(EnemyBuffed=TRUE,1.25,1),0) &amp; "  (" &amp; MAX(ROUND(Rounddown(Rounddown(Rounddown(Rounddown((T$59+T$60*($A76-1)),0)*(1+(EnemyDamageSlider-1)+(EnemyDMGDanger-1)+(EnemyJackDMG-1)),0)*IF($A76&gt;20,(1+Max(0,((($A76-20)*(($A76-20)+1))/2)/100)*(2+Max(0,($A76-35)*0.2))),1),0)*IF(EnemyBuffed=TRUE,1.25,1),0)*EnemyDMGTaken,0),1) &amp; ")"</f>
        <v>22  (22)</v>
      </c>
      <c r="U76" s="414" t="str">
        <f>Rounddown(Rounddown(Rounddown(Rounddown((U$59+U$60*($A76-1)),0)*(1+(EnemyDamageSlider-1)+(EnemyDMGDanger-1)+(EnemyJackDMG-1)),0)*IF($A76&gt;20,(1+Max(0,((($A76-20)*(($A76-20)+1))/2)/100)*(2+Max(0,($A76-35)*0.2))),1),0)*IF(EnemyBuffed=TRUE,1.25,1),0) &amp; "  (" &amp; MAX(ROUND(Rounddown(Rounddown(Rounddown(Rounddown((U$59+U$60*($A76-1)),0)*(1+(EnemyDamageSlider-1)+(EnemyDMGDanger-1)+(EnemyJackDMG-1)),0)*IF($A76&gt;20,(1+Max(0,((($A76-20)*(($A76-20)+1))/2)/100)*(2+Max(0,($A76-35)*0.2))),1),0)*IF(EnemyBuffed=TRUE,1.25,1),0)*EnemyDMGTaken,0),1) &amp; ")"</f>
        <v>22  (22)</v>
      </c>
      <c r="V76" s="414" t="str">
        <f>Rounddown(Rounddown(Rounddown(Rounddown((V$59+V$60*($A76-1)),0)*(1+(EnemyDamageSlider-1)+(EnemyDMGDanger-1)+(EnemyJackDMG-1)),0)*IF($A76&gt;20,(1+Max(0,((($A76-20)*(($A76-20)+1))/2)/100)*(2+Max(0,($A76-35)*0.2))),1),0)*IF(EnemyBuffed=TRUE,1.25,1),0) &amp; "  (" &amp; MAX(ROUND(Rounddown(Rounddown(Rounddown(Rounddown((V$59+V$60*($A76-1)),0)*(1+(EnemyDamageSlider-1)+(EnemyDMGDanger-1)+(EnemyJackDMG-1)),0)*IF($A76&gt;20,(1+Max(0,((($A76-20)*(($A76-20)+1))/2)/100)*(2+Max(0,($A76-35)*0.2))),1),0)*IF(EnemyBuffed=TRUE,1.25,1),0)*EnemyDMGTaken,0),1) &amp; ")"</f>
        <v>25  (25)</v>
      </c>
      <c r="W76" s="414" t="str">
        <f>Rounddown(Rounddown(Rounddown(Rounddown((W$59+W$60*($A76-1)),0)*(1+(EnemyDamageSlider-1)+(EnemyDMGDanger-1)+(EnemyJackDMG-1)),0)*IF($A76&gt;20,(1+Max(0,((($A76-20)*(($A76-20)+1))/2)/100)*(2+Max(0,($A76-35)*0.2))),1),0)*IF(EnemyBuffed=TRUE,1.25,1),0) &amp; "  (" &amp; MAX(ROUND(Rounddown(Rounddown(Rounddown(Rounddown((W$59+W$60*($A76-1)),0)*(1+(EnemyDamageSlider-1)+(EnemyDMGDanger-1)+(EnemyJackDMG-1)),0)*IF($A76&gt;20,(1+Max(0,((($A76-20)*(($A76-20)+1))/2)/100)*(2+Max(0,($A76-35)*0.2))),1),0)*IF(EnemyBuffed=TRUE,1.25,1),0)*EnemyDMGTaken,0),1) &amp; ")"</f>
        <v>25  (25)</v>
      </c>
      <c r="X76" s="414" t="str">
        <f>Rounddown(Rounddown(Rounddown(Rounddown((X$59+X$60*($A76-1)),0)*(1+(EnemyDamageSlider-1)+(EnemyDMGDanger-1)+(EnemyJackDMG-1)),0)*IF($A76&gt;20,(1+Max(0,((($A76-20)*(($A76-20)+1))/2)/100)*(2+Max(0,($A76-35)*0.2))),1),0)*IF(EnemyBuffed=TRUE,1.25,1),0) &amp; "  (" &amp; MAX(ROUND(Rounddown(Rounddown(Rounddown(Rounddown((X$59+X$60*($A76-1)),0)*(1+(EnemyDamageSlider-1)+(EnemyDMGDanger-1)+(EnemyJackDMG-1)),0)*IF($A76&gt;20,(1+Max(0,((($A76-20)*(($A76-20)+1))/2)/100)*(2+Max(0,($A76-35)*0.2))),1),0)*IF(EnemyBuffed=TRUE,1.25,1),0)*EnemyDMGTaken,0),1) &amp; ")"</f>
        <v>25  (25)</v>
      </c>
      <c r="Y76" s="414" t="str">
        <f>Rounddown(Rounddown(Rounddown(Rounddown((Y$59+Y$60*($A76-1)),0)*(1+(EnemyDamageSlider-1)+(EnemyDMGDanger-1)+(EnemyJackDMG-1)),0)*IF($A76&gt;20,(1+Max(0,((($A76-20)*(($A76-20)+1))/2)/100)*(2+Max(0,($A76-35)*0.2))),1),0)*IF(EnemyBuffed=TRUE,1.25,1),0) &amp; "  (" &amp; MAX(ROUND(Rounddown(Rounddown(Rounddown(Rounddown((Y$59+Y$60*($A76-1)),0)*(1+(EnemyDamageSlider-1)+(EnemyDMGDanger-1)+(EnemyJackDMG-1)),0)*IF($A76&gt;20,(1+Max(0,((($A76-20)*(($A76-20)+1))/2)/100)*(2+Max(0,($A76-35)*0.2))),1),0)*IF(EnemyBuffed=TRUE,1.25,1),0)*EnemyDMGTaken,0),1) &amp; ")"</f>
        <v>25  (25)</v>
      </c>
      <c r="Z76" s="414" t="str">
        <f>Rounddown(Rounddown(Rounddown(Rounddown((Z$59+Z$60*($A76-1)),0)*(1+(EnemyDamageSlider-1)+(EnemyDMGDanger-1)+(EnemyJackDMG-1)),0)*IF($A76&gt;20,(1+Max(0,((($A76-20)*(($A76-20)+1))/2)/100)*(2+Max(0,($A76-35)*0.2))),1),0)*IF(EnemyBuffed=TRUE,1.25,1),0) &amp; "  (" &amp; MAX(ROUND(Rounddown(Rounddown(Rounddown(Rounddown((Z$59+Z$60*($A76-1)),0)*(1+(EnemyDamageSlider-1)+(EnemyDMGDanger-1)+(EnemyJackDMG-1)),0)*IF($A76&gt;20,(1+Max(0,((($A76-20)*(($A76-20)+1))/2)/100)*(2+Max(0,($A76-35)*0.2))),1),0)*IF(EnemyBuffed=TRUE,1.25,1),0)*EnemyDMGTaken,0),1) &amp; ")"</f>
        <v>25  (25)</v>
      </c>
      <c r="AA76" s="414" t="str">
        <f>Rounddown(Rounddown(Rounddown(Rounddown((AA$59+AA$60*($A76-1)),0)*(1+(EnemyDamageSlider-1)+(EnemyDMGDanger-1)+(EnemyJackDMG-1)),0)*IF($A76&gt;20,(1+Max(0,((($A76-20)*(($A76-20)+1))/2)/100)*(2+Max(0,($A76-35)*0.2))),1),0)*IF(EnemyBuffed=TRUE,1.25,1),0) &amp; "  (" &amp; MAX(ROUND(Rounddown(Rounddown(Rounddown(Rounddown((AA$59+AA$60*($A76-1)),0)*(1+(EnemyDamageSlider-1)+(EnemyDMGDanger-1)+(EnemyJackDMG-1)),0)*IF($A76&gt;20,(1+Max(0,((($A76-20)*(($A76-20)+1))/2)/100)*(2+Max(0,($A76-35)*0.2))),1),0)*IF(EnemyBuffed=TRUE,1.25,1),0)*EnemyDMGTaken,0),1) &amp; ")"</f>
        <v>16  (16)</v>
      </c>
    </row>
    <row r="77">
      <c r="A77" s="150">
        <v>17.0</v>
      </c>
      <c r="B77" s="414"/>
      <c r="C77" s="414"/>
      <c r="D77" s="414"/>
      <c r="E77" s="414" t="str">
        <f>Rounddown(Rounddown(Rounddown(Rounddown((E$59+E$60*($A77-1)),0)*(1+(EnemyDamageSlider-1)+(EnemyDMGDanger-1)+(EnemyJackDMG-1)),0)*IF($A77&gt;20,(1+Max(0,((($A77-20)*(($A77-20)+1))/2)/100)*(2+Max(0,($A77-35)*0.2))),1),0)*IF(EnemyBuffed=TRUE,1.25,1),0) &amp; "  (" &amp; MAX(ROUND(Rounddown(Rounddown(Rounddown(Rounddown((E$59+E$60*($A77-1)),0)*(1+(EnemyDamageSlider-1)+(EnemyDMGDanger-1)+(EnemyJackDMG-1)),0)*IF($A77&gt;20,(1+Max(0,((($A77-20)*(($A77-20)+1))/2)/100)*(2+Max(0,($A77-35)*0.2))),1),0)*IF(EnemyBuffed=TRUE,1.25,1),0)*EnemyDMGTaken,0),1) &amp; ")"</f>
        <v>18  (18)</v>
      </c>
      <c r="F77" s="414"/>
      <c r="G77" s="414"/>
      <c r="H77" s="414"/>
      <c r="I77" s="414"/>
      <c r="J77" s="414" t="str">
        <f>Rounddown(Rounddown(Rounddown(Rounddown((J$59+J$60*($A77-1)),0)*(1+(EnemyDamageSlider-1)+(EnemyDMGDanger-1)+(EnemyJackDMG-1)),0)*IF($A77&gt;20,(1+Max(0,((($A77-20)*(($A77-20)+1))/2)/100)*(2+Max(0,($A77-35)*0.2))),1),0)*IF(EnemyBuffed=TRUE,1.25,1),0) &amp; "  (" &amp; MAX(ROUND(Rounddown(Rounddown(Rounddown(Rounddown((J$59+J$60*($A77-1)),0)*(1+(EnemyDamageSlider-1)+(EnemyDMGDanger-1)+(EnemyJackDMG-1)),0)*IF($A77&gt;20,(1+Max(0,((($A77-20)*(($A77-20)+1))/2)/100)*(2+Max(0,($A77-35)*0.2))),1),0)*IF(EnemyBuffed=TRUE,1.25,1),0)*EnemyDMGTaken,0),1) &amp; ")"</f>
        <v>23  (23)</v>
      </c>
      <c r="K77" s="414"/>
      <c r="L77" s="414"/>
      <c r="M77" s="414"/>
      <c r="N77" s="414"/>
      <c r="O77" s="414"/>
      <c r="P77" s="414" t="str">
        <f>Rounddown(Rounddown(Rounddown(Rounddown((P$59+P$60*($A77-1)),0)*(1+(EnemyDamageSlider-1)+(EnemyDMGDanger-1)+(EnemyJackDMG-1)),0)*IF($A77&gt;20,(1+Max(0,((($A77-20)*(($A77-20)+1))/2)/100)*(2+Max(0,($A77-35)*0.2))),1),0)*IF(EnemyBuffed=TRUE,1.25,1),0) &amp; "  (" &amp; MAX(ROUND(Rounddown(Rounddown(Rounddown(Rounddown((P$59+P$60*($A77-1)),0)*(1+(EnemyDamageSlider-1)+(EnemyDMGDanger-1)+(EnemyJackDMG-1)),0)*IF($A77&gt;20,(1+Max(0,((($A77-20)*(($A77-20)+1))/2)/100)*(2+Max(0,($A77-35)*0.2))),1),0)*IF(EnemyBuffed=TRUE,1.25,1),0)*EnemyDMGTaken,0),1) &amp; ")"</f>
        <v>23  (23)</v>
      </c>
      <c r="Q77" s="414"/>
      <c r="R77" s="414"/>
      <c r="S77" s="414"/>
      <c r="T77" s="414" t="str">
        <f>Rounddown(Rounddown(Rounddown(Rounddown((T$59+T$60*($A77-1)),0)*(1+(EnemyDamageSlider-1)+(EnemyDMGDanger-1)+(EnemyJackDMG-1)),0)*IF($A77&gt;20,(1+Max(0,((($A77-20)*(($A77-20)+1))/2)/100)*(2+Max(0,($A77-35)*0.2))),1),0)*IF(EnemyBuffed=TRUE,1.25,1),0) &amp; "  (" &amp; MAX(ROUND(Rounddown(Rounddown(Rounddown(Rounddown((T$59+T$60*($A77-1)),0)*(1+(EnemyDamageSlider-1)+(EnemyDMGDanger-1)+(EnemyJackDMG-1)),0)*IF($A77&gt;20,(1+Max(0,((($A77-20)*(($A77-20)+1))/2)/100)*(2+Max(0,($A77-35)*0.2))),1),0)*IF(EnemyBuffed=TRUE,1.25,1),0)*EnemyDMGTaken,0),1) &amp; ")"</f>
        <v>23  (23)</v>
      </c>
      <c r="U77" s="414" t="str">
        <f>Rounddown(Rounddown(Rounddown(Rounddown((U$59+U$60*($A77-1)),0)*(1+(EnemyDamageSlider-1)+(EnemyDMGDanger-1)+(EnemyJackDMG-1)),0)*IF($A77&gt;20,(1+Max(0,((($A77-20)*(($A77-20)+1))/2)/100)*(2+Max(0,($A77-35)*0.2))),1),0)*IF(EnemyBuffed=TRUE,1.25,1),0) &amp; "  (" &amp; MAX(ROUND(Rounddown(Rounddown(Rounddown(Rounddown((U$59+U$60*($A77-1)),0)*(1+(EnemyDamageSlider-1)+(EnemyDMGDanger-1)+(EnemyJackDMG-1)),0)*IF($A77&gt;20,(1+Max(0,((($A77-20)*(($A77-20)+1))/2)/100)*(2+Max(0,($A77-35)*0.2))),1),0)*IF(EnemyBuffed=TRUE,1.25,1),0)*EnemyDMGTaken,0),1) &amp; ")"</f>
        <v>23  (23)</v>
      </c>
      <c r="V77" s="414" t="str">
        <f>Rounddown(Rounddown(Rounddown(Rounddown((V$59+V$60*($A77-1)),0)*(1+(EnemyDamageSlider-1)+(EnemyDMGDanger-1)+(EnemyJackDMG-1)),0)*IF($A77&gt;20,(1+Max(0,((($A77-20)*(($A77-20)+1))/2)/100)*(2+Max(0,($A77-35)*0.2))),1),0)*IF(EnemyBuffed=TRUE,1.25,1),0) &amp; "  (" &amp; MAX(ROUND(Rounddown(Rounddown(Rounddown(Rounddown((V$59+V$60*($A77-1)),0)*(1+(EnemyDamageSlider-1)+(EnemyDMGDanger-1)+(EnemyJackDMG-1)),0)*IF($A77&gt;20,(1+Max(0,((($A77-20)*(($A77-20)+1))/2)/100)*(2+Max(0,($A77-35)*0.2))),1),0)*IF(EnemyBuffed=TRUE,1.25,1),0)*EnemyDMGTaken,0),1) &amp; ")"</f>
        <v>26  (26)</v>
      </c>
      <c r="W77" s="414" t="str">
        <f>Rounddown(Rounddown(Rounddown(Rounddown((W$59+W$60*($A77-1)),0)*(1+(EnemyDamageSlider-1)+(EnemyDMGDanger-1)+(EnemyJackDMG-1)),0)*IF($A77&gt;20,(1+Max(0,((($A77-20)*(($A77-20)+1))/2)/100)*(2+Max(0,($A77-35)*0.2))),1),0)*IF(EnemyBuffed=TRUE,1.25,1),0) &amp; "  (" &amp; MAX(ROUND(Rounddown(Rounddown(Rounddown(Rounddown((W$59+W$60*($A77-1)),0)*(1+(EnemyDamageSlider-1)+(EnemyDMGDanger-1)+(EnemyJackDMG-1)),0)*IF($A77&gt;20,(1+Max(0,((($A77-20)*(($A77-20)+1))/2)/100)*(2+Max(0,($A77-35)*0.2))),1),0)*IF(EnemyBuffed=TRUE,1.25,1),0)*EnemyDMGTaken,0),1) &amp; ")"</f>
        <v>26  (26)</v>
      </c>
      <c r="X77" s="414" t="str">
        <f>Rounddown(Rounddown(Rounddown(Rounddown((X$59+X$60*($A77-1)),0)*(1+(EnemyDamageSlider-1)+(EnemyDMGDanger-1)+(EnemyJackDMG-1)),0)*IF($A77&gt;20,(1+Max(0,((($A77-20)*(($A77-20)+1))/2)/100)*(2+Max(0,($A77-35)*0.2))),1),0)*IF(EnemyBuffed=TRUE,1.25,1),0) &amp; "  (" &amp; MAX(ROUND(Rounddown(Rounddown(Rounddown(Rounddown((X$59+X$60*($A77-1)),0)*(1+(EnemyDamageSlider-1)+(EnemyDMGDanger-1)+(EnemyJackDMG-1)),0)*IF($A77&gt;20,(1+Max(0,((($A77-20)*(($A77-20)+1))/2)/100)*(2+Max(0,($A77-35)*0.2))),1),0)*IF(EnemyBuffed=TRUE,1.25,1),0)*EnemyDMGTaken,0),1) &amp; ")"</f>
        <v>26  (26)</v>
      </c>
      <c r="Y77" s="414" t="str">
        <f>Rounddown(Rounddown(Rounddown(Rounddown((Y$59+Y$60*($A77-1)),0)*(1+(EnemyDamageSlider-1)+(EnemyDMGDanger-1)+(EnemyJackDMG-1)),0)*IF($A77&gt;20,(1+Max(0,((($A77-20)*(($A77-20)+1))/2)/100)*(2+Max(0,($A77-35)*0.2))),1),0)*IF(EnemyBuffed=TRUE,1.25,1),0) &amp; "  (" &amp; MAX(ROUND(Rounddown(Rounddown(Rounddown(Rounddown((Y$59+Y$60*($A77-1)),0)*(1+(EnemyDamageSlider-1)+(EnemyDMGDanger-1)+(EnemyJackDMG-1)),0)*IF($A77&gt;20,(1+Max(0,((($A77-20)*(($A77-20)+1))/2)/100)*(2+Max(0,($A77-35)*0.2))),1),0)*IF(EnemyBuffed=TRUE,1.25,1),0)*EnemyDMGTaken,0),1) &amp; ")"</f>
        <v>26  (26)</v>
      </c>
      <c r="Z77" s="414" t="str">
        <f>Rounddown(Rounddown(Rounddown(Rounddown((Z$59+Z$60*($A77-1)),0)*(1+(EnemyDamageSlider-1)+(EnemyDMGDanger-1)+(EnemyJackDMG-1)),0)*IF($A77&gt;20,(1+Max(0,((($A77-20)*(($A77-20)+1))/2)/100)*(2+Max(0,($A77-35)*0.2))),1),0)*IF(EnemyBuffed=TRUE,1.25,1),0) &amp; "  (" &amp; MAX(ROUND(Rounddown(Rounddown(Rounddown(Rounddown((Z$59+Z$60*($A77-1)),0)*(1+(EnemyDamageSlider-1)+(EnemyDMGDanger-1)+(EnemyJackDMG-1)),0)*IF($A77&gt;20,(1+Max(0,((($A77-20)*(($A77-20)+1))/2)/100)*(2+Max(0,($A77-35)*0.2))),1),0)*IF(EnemyBuffed=TRUE,1.25,1),0)*EnemyDMGTaken,0),1) &amp; ")"</f>
        <v>26  (26)</v>
      </c>
      <c r="AA77" s="414" t="str">
        <f>Rounddown(Rounddown(Rounddown(Rounddown((AA$59+AA$60*($A77-1)),0)*(1+(EnemyDamageSlider-1)+(EnemyDMGDanger-1)+(EnemyJackDMG-1)),0)*IF($A77&gt;20,(1+Max(0,((($A77-20)*(($A77-20)+1))/2)/100)*(2+Max(0,($A77-35)*0.2))),1),0)*IF(EnemyBuffed=TRUE,1.25,1),0) &amp; "  (" &amp; MAX(ROUND(Rounddown(Rounddown(Rounddown(Rounddown((AA$59+AA$60*($A77-1)),0)*(1+(EnemyDamageSlider-1)+(EnemyDMGDanger-1)+(EnemyJackDMG-1)),0)*IF($A77&gt;20,(1+Max(0,((($A77-20)*(($A77-20)+1))/2)/100)*(2+Max(0,($A77-35)*0.2))),1),0)*IF(EnemyBuffed=TRUE,1.25,1),0)*EnemyDMGTaken,0),1) &amp; ")"</f>
        <v>18  (18)</v>
      </c>
    </row>
    <row r="78">
      <c r="A78" s="150">
        <v>18.0</v>
      </c>
      <c r="B78" s="414"/>
      <c r="C78" s="414"/>
      <c r="D78" s="414"/>
      <c r="E78" s="414" t="str">
        <f>Rounddown(Rounddown(Rounddown(Rounddown((E$59+E$60*($A78-1)),0)*(1+(EnemyDamageSlider-1)+(EnemyDMGDanger-1)+(EnemyJackDMG-1)),0)*IF($A78&gt;20,(1+Max(0,((($A78-20)*(($A78-20)+1))/2)/100)*(2+Max(0,($A78-35)*0.2))),1),0)*IF(EnemyBuffed=TRUE,1.25,1),0) &amp; "  (" &amp; MAX(ROUND(Rounddown(Rounddown(Rounddown(Rounddown((E$59+E$60*($A78-1)),0)*(1+(EnemyDamageSlider-1)+(EnemyDMGDanger-1)+(EnemyJackDMG-1)),0)*IF($A78&gt;20,(1+Max(0,((($A78-20)*(($A78-20)+1))/2)/100)*(2+Max(0,($A78-35)*0.2))),1),0)*IF(EnemyBuffed=TRUE,1.25,1),0)*EnemyDMGTaken,0),1) &amp; ")"</f>
        <v>18  (18)</v>
      </c>
      <c r="F78" s="414"/>
      <c r="G78" s="414"/>
      <c r="H78" s="414"/>
      <c r="I78" s="414"/>
      <c r="J78" s="414" t="str">
        <f>Rounddown(Rounddown(Rounddown(Rounddown((J$59+J$60*($A78-1)),0)*(1+(EnemyDamageSlider-1)+(EnemyDMGDanger-1)+(EnemyJackDMG-1)),0)*IF($A78&gt;20,(1+Max(0,((($A78-20)*(($A78-20)+1))/2)/100)*(2+Max(0,($A78-35)*0.2))),1),0)*IF(EnemyBuffed=TRUE,1.25,1),0) &amp; "  (" &amp; MAX(ROUND(Rounddown(Rounddown(Rounddown(Rounddown((J$59+J$60*($A78-1)),0)*(1+(EnemyDamageSlider-1)+(EnemyDMGDanger-1)+(EnemyJackDMG-1)),0)*IF($A78&gt;20,(1+Max(0,((($A78-20)*(($A78-20)+1))/2)/100)*(2+Max(0,($A78-35)*0.2))),1),0)*IF(EnemyBuffed=TRUE,1.25,1),0)*EnemyDMGTaken,0),1) &amp; ")"</f>
        <v>25  (25)</v>
      </c>
      <c r="K78" s="414"/>
      <c r="L78" s="414"/>
      <c r="M78" s="414"/>
      <c r="N78" s="414"/>
      <c r="O78" s="414"/>
      <c r="P78" s="414" t="str">
        <f>Rounddown(Rounddown(Rounddown(Rounddown((P$59+P$60*($A78-1)),0)*(1+(EnemyDamageSlider-1)+(EnemyDMGDanger-1)+(EnemyJackDMG-1)),0)*IF($A78&gt;20,(1+Max(0,((($A78-20)*(($A78-20)+1))/2)/100)*(2+Max(0,($A78-35)*0.2))),1),0)*IF(EnemyBuffed=TRUE,1.25,1),0) &amp; "  (" &amp; MAX(ROUND(Rounddown(Rounddown(Rounddown(Rounddown((P$59+P$60*($A78-1)),0)*(1+(EnemyDamageSlider-1)+(EnemyDMGDanger-1)+(EnemyJackDMG-1)),0)*IF($A78&gt;20,(1+Max(0,((($A78-20)*(($A78-20)+1))/2)/100)*(2+Max(0,($A78-35)*0.2))),1),0)*IF(EnemyBuffed=TRUE,1.25,1),0)*EnemyDMGTaken,0),1) &amp; ")"</f>
        <v>25  (25)</v>
      </c>
      <c r="Q78" s="414"/>
      <c r="R78" s="414"/>
      <c r="S78" s="414"/>
      <c r="T78" s="414" t="str">
        <f>Rounddown(Rounddown(Rounddown(Rounddown((T$59+T$60*($A78-1)),0)*(1+(EnemyDamageSlider-1)+(EnemyDMGDanger-1)+(EnemyJackDMG-1)),0)*IF($A78&gt;20,(1+Max(0,((($A78-20)*(($A78-20)+1))/2)/100)*(2+Max(0,($A78-35)*0.2))),1),0)*IF(EnemyBuffed=TRUE,1.25,1),0) &amp; "  (" &amp; MAX(ROUND(Rounddown(Rounddown(Rounddown(Rounddown((T$59+T$60*($A78-1)),0)*(1+(EnemyDamageSlider-1)+(EnemyDMGDanger-1)+(EnemyJackDMG-1)),0)*IF($A78&gt;20,(1+Max(0,((($A78-20)*(($A78-20)+1))/2)/100)*(2+Max(0,($A78-35)*0.2))),1),0)*IF(EnemyBuffed=TRUE,1.25,1),0)*EnemyDMGTaken,0),1) &amp; ")"</f>
        <v>25  (25)</v>
      </c>
      <c r="U78" s="414" t="str">
        <f>Rounddown(Rounddown(Rounddown(Rounddown((U$59+U$60*($A78-1)),0)*(1+(EnemyDamageSlider-1)+(EnemyDMGDanger-1)+(EnemyJackDMG-1)),0)*IF($A78&gt;20,(1+Max(0,((($A78-20)*(($A78-20)+1))/2)/100)*(2+Max(0,($A78-35)*0.2))),1),0)*IF(EnemyBuffed=TRUE,1.25,1),0) &amp; "  (" &amp; MAX(ROUND(Rounddown(Rounddown(Rounddown(Rounddown((U$59+U$60*($A78-1)),0)*(1+(EnemyDamageSlider-1)+(EnemyDMGDanger-1)+(EnemyJackDMG-1)),0)*IF($A78&gt;20,(1+Max(0,((($A78-20)*(($A78-20)+1))/2)/100)*(2+Max(0,($A78-35)*0.2))),1),0)*IF(EnemyBuffed=TRUE,1.25,1),0)*EnemyDMGTaken,0),1) &amp; ")"</f>
        <v>25  (25)</v>
      </c>
      <c r="V78" s="414" t="str">
        <f>Rounddown(Rounddown(Rounddown(Rounddown((V$59+V$60*($A78-1)),0)*(1+(EnemyDamageSlider-1)+(EnemyDMGDanger-1)+(EnemyJackDMG-1)),0)*IF($A78&gt;20,(1+Max(0,((($A78-20)*(($A78-20)+1))/2)/100)*(2+Max(0,($A78-35)*0.2))),1),0)*IF(EnemyBuffed=TRUE,1.25,1),0) &amp; "  (" &amp; MAX(ROUND(Rounddown(Rounddown(Rounddown(Rounddown((V$59+V$60*($A78-1)),0)*(1+(EnemyDamageSlider-1)+(EnemyDMGDanger-1)+(EnemyJackDMG-1)),0)*IF($A78&gt;20,(1+Max(0,((($A78-20)*(($A78-20)+1))/2)/100)*(2+Max(0,($A78-35)*0.2))),1),0)*IF(EnemyBuffed=TRUE,1.25,1),0)*EnemyDMGTaken,0),1) &amp; ")"</f>
        <v>28  (28)</v>
      </c>
      <c r="W78" s="414" t="str">
        <f>Rounddown(Rounddown(Rounddown(Rounddown((W$59+W$60*($A78-1)),0)*(1+(EnemyDamageSlider-1)+(EnemyDMGDanger-1)+(EnemyJackDMG-1)),0)*IF($A78&gt;20,(1+Max(0,((($A78-20)*(($A78-20)+1))/2)/100)*(2+Max(0,($A78-35)*0.2))),1),0)*IF(EnemyBuffed=TRUE,1.25,1),0) &amp; "  (" &amp; MAX(ROUND(Rounddown(Rounddown(Rounddown(Rounddown((W$59+W$60*($A78-1)),0)*(1+(EnemyDamageSlider-1)+(EnemyDMGDanger-1)+(EnemyJackDMG-1)),0)*IF($A78&gt;20,(1+Max(0,((($A78-20)*(($A78-20)+1))/2)/100)*(2+Max(0,($A78-35)*0.2))),1),0)*IF(EnemyBuffed=TRUE,1.25,1),0)*EnemyDMGTaken,0),1) &amp; ")"</f>
        <v>28  (28)</v>
      </c>
      <c r="X78" s="414" t="str">
        <f>Rounddown(Rounddown(Rounddown(Rounddown((X$59+X$60*($A78-1)),0)*(1+(EnemyDamageSlider-1)+(EnemyDMGDanger-1)+(EnemyJackDMG-1)),0)*IF($A78&gt;20,(1+Max(0,((($A78-20)*(($A78-20)+1))/2)/100)*(2+Max(0,($A78-35)*0.2))),1),0)*IF(EnemyBuffed=TRUE,1.25,1),0) &amp; "  (" &amp; MAX(ROUND(Rounddown(Rounddown(Rounddown(Rounddown((X$59+X$60*($A78-1)),0)*(1+(EnemyDamageSlider-1)+(EnemyDMGDanger-1)+(EnemyJackDMG-1)),0)*IF($A78&gt;20,(1+Max(0,((($A78-20)*(($A78-20)+1))/2)/100)*(2+Max(0,($A78-35)*0.2))),1),0)*IF(EnemyBuffed=TRUE,1.25,1),0)*EnemyDMGTaken,0),1) &amp; ")"</f>
        <v>28  (28)</v>
      </c>
      <c r="Y78" s="414" t="str">
        <f>Rounddown(Rounddown(Rounddown(Rounddown((Y$59+Y$60*($A78-1)),0)*(1+(EnemyDamageSlider-1)+(EnemyDMGDanger-1)+(EnemyJackDMG-1)),0)*IF($A78&gt;20,(1+Max(0,((($A78-20)*(($A78-20)+1))/2)/100)*(2+Max(0,($A78-35)*0.2))),1),0)*IF(EnemyBuffed=TRUE,1.25,1),0) &amp; "  (" &amp; MAX(ROUND(Rounddown(Rounddown(Rounddown(Rounddown((Y$59+Y$60*($A78-1)),0)*(1+(EnemyDamageSlider-1)+(EnemyDMGDanger-1)+(EnemyJackDMG-1)),0)*IF($A78&gt;20,(1+Max(0,((($A78-20)*(($A78-20)+1))/2)/100)*(2+Max(0,($A78-35)*0.2))),1),0)*IF(EnemyBuffed=TRUE,1.25,1),0)*EnemyDMGTaken,0),1) &amp; ")"</f>
        <v>28  (28)</v>
      </c>
      <c r="Z78" s="414" t="str">
        <f>Rounddown(Rounddown(Rounddown(Rounddown((Z$59+Z$60*($A78-1)),0)*(1+(EnemyDamageSlider-1)+(EnemyDMGDanger-1)+(EnemyJackDMG-1)),0)*IF($A78&gt;20,(1+Max(0,((($A78-20)*(($A78-20)+1))/2)/100)*(2+Max(0,($A78-35)*0.2))),1),0)*IF(EnemyBuffed=TRUE,1.25,1),0) &amp; "  (" &amp; MAX(ROUND(Rounddown(Rounddown(Rounddown(Rounddown((Z$59+Z$60*($A78-1)),0)*(1+(EnemyDamageSlider-1)+(EnemyDMGDanger-1)+(EnemyJackDMG-1)),0)*IF($A78&gt;20,(1+Max(0,((($A78-20)*(($A78-20)+1))/2)/100)*(2+Max(0,($A78-35)*0.2))),1),0)*IF(EnemyBuffed=TRUE,1.25,1),0)*EnemyDMGTaken,0),1) &amp; ")"</f>
        <v>28  (28)</v>
      </c>
      <c r="AA78" s="414" t="str">
        <f>Rounddown(Rounddown(Rounddown(Rounddown((AA$59+AA$60*($A78-1)),0)*(1+(EnemyDamageSlider-1)+(EnemyDMGDanger-1)+(EnemyJackDMG-1)),0)*IF($A78&gt;20,(1+Max(0,((($A78-20)*(($A78-20)+1))/2)/100)*(2+Max(0,($A78-35)*0.2))),1),0)*IF(EnemyBuffed=TRUE,1.25,1),0) &amp; "  (" &amp; MAX(ROUND(Rounddown(Rounddown(Rounddown(Rounddown((AA$59+AA$60*($A78-1)),0)*(1+(EnemyDamageSlider-1)+(EnemyDMGDanger-1)+(EnemyJackDMG-1)),0)*IF($A78&gt;20,(1+Max(0,((($A78-20)*(($A78-20)+1))/2)/100)*(2+Max(0,($A78-35)*0.2))),1),0)*IF(EnemyBuffed=TRUE,1.25,1),0)*EnemyDMGTaken,0),1) &amp; ")"</f>
        <v>18  (18)</v>
      </c>
    </row>
    <row r="79">
      <c r="A79" s="150">
        <v>19.0</v>
      </c>
      <c r="B79" s="414"/>
      <c r="C79" s="414"/>
      <c r="D79" s="414"/>
      <c r="E79" s="414" t="str">
        <f>Rounddown(Rounddown(Rounddown(Rounddown((E$59+E$60*($A79-1)),0)*(1+(EnemyDamageSlider-1)+(EnemyDMGDanger-1)+(EnemyJackDMG-1)),0)*IF($A79&gt;20,(1+Max(0,((($A79-20)*(($A79-20)+1))/2)/100)*(2+Max(0,($A79-35)*0.2))),1),0)*IF(EnemyBuffed=TRUE,1.25,1),0) &amp; "  (" &amp; MAX(ROUND(Rounddown(Rounddown(Rounddown(Rounddown((E$59+E$60*($A79-1)),0)*(1+(EnemyDamageSlider-1)+(EnemyDMGDanger-1)+(EnemyJackDMG-1)),0)*IF($A79&gt;20,(1+Max(0,((($A79-20)*(($A79-20)+1))/2)/100)*(2+Max(0,($A79-35)*0.2))),1),0)*IF(EnemyBuffed=TRUE,1.25,1),0)*EnemyDMGTaken,0),1) &amp; ")"</f>
        <v>19  (19)</v>
      </c>
      <c r="F79" s="414"/>
      <c r="G79" s="414"/>
      <c r="H79" s="414"/>
      <c r="I79" s="414"/>
      <c r="J79" s="414" t="str">
        <f>Rounddown(Rounddown(Rounddown(Rounddown((J$59+J$60*($A79-1)),0)*(1+(EnemyDamageSlider-1)+(EnemyDMGDanger-1)+(EnemyJackDMG-1)),0)*IF($A79&gt;20,(1+Max(0,((($A79-20)*(($A79-20)+1))/2)/100)*(2+Max(0,($A79-35)*0.2))),1),0)*IF(EnemyBuffed=TRUE,1.25,1),0) &amp; "  (" &amp; MAX(ROUND(Rounddown(Rounddown(Rounddown(Rounddown((J$59+J$60*($A79-1)),0)*(1+(EnemyDamageSlider-1)+(EnemyDMGDanger-1)+(EnemyJackDMG-1)),0)*IF($A79&gt;20,(1+Max(0,((($A79-20)*(($A79-20)+1))/2)/100)*(2+Max(0,($A79-35)*0.2))),1),0)*IF(EnemyBuffed=TRUE,1.25,1),0)*EnemyDMGTaken,0),1) &amp; ")"</f>
        <v>26  (26)</v>
      </c>
      <c r="K79" s="414"/>
      <c r="L79" s="414"/>
      <c r="M79" s="414"/>
      <c r="N79" s="414"/>
      <c r="O79" s="414"/>
      <c r="P79" s="414" t="str">
        <f>Rounddown(Rounddown(Rounddown(Rounddown((P$59+P$60*($A79-1)),0)*(1+(EnemyDamageSlider-1)+(EnemyDMGDanger-1)+(EnemyJackDMG-1)),0)*IF($A79&gt;20,(1+Max(0,((($A79-20)*(($A79-20)+1))/2)/100)*(2+Max(0,($A79-35)*0.2))),1),0)*IF(EnemyBuffed=TRUE,1.25,1),0) &amp; "  (" &amp; MAX(ROUND(Rounddown(Rounddown(Rounddown(Rounddown((P$59+P$60*($A79-1)),0)*(1+(EnemyDamageSlider-1)+(EnemyDMGDanger-1)+(EnemyJackDMG-1)),0)*IF($A79&gt;20,(1+Max(0,((($A79-20)*(($A79-20)+1))/2)/100)*(2+Max(0,($A79-35)*0.2))),1),0)*IF(EnemyBuffed=TRUE,1.25,1),0)*EnemyDMGTaken,0),1) &amp; ")"</f>
        <v>26  (26)</v>
      </c>
      <c r="Q79" s="414"/>
      <c r="R79" s="414"/>
      <c r="S79" s="414"/>
      <c r="T79" s="414" t="str">
        <f>Rounddown(Rounddown(Rounddown(Rounddown((T$59+T$60*($A79-1)),0)*(1+(EnemyDamageSlider-1)+(EnemyDMGDanger-1)+(EnemyJackDMG-1)),0)*IF($A79&gt;20,(1+Max(0,((($A79-20)*(($A79-20)+1))/2)/100)*(2+Max(0,($A79-35)*0.2))),1),0)*IF(EnemyBuffed=TRUE,1.25,1),0) &amp; "  (" &amp; MAX(ROUND(Rounddown(Rounddown(Rounddown(Rounddown((T$59+T$60*($A79-1)),0)*(1+(EnemyDamageSlider-1)+(EnemyDMGDanger-1)+(EnemyJackDMG-1)),0)*IF($A79&gt;20,(1+Max(0,((($A79-20)*(($A79-20)+1))/2)/100)*(2+Max(0,($A79-35)*0.2))),1),0)*IF(EnemyBuffed=TRUE,1.25,1),0)*EnemyDMGTaken,0),1) &amp; ")"</f>
        <v>26  (26)</v>
      </c>
      <c r="U79" s="414" t="str">
        <f>Rounddown(Rounddown(Rounddown(Rounddown((U$59+U$60*($A79-1)),0)*(1+(EnemyDamageSlider-1)+(EnemyDMGDanger-1)+(EnemyJackDMG-1)),0)*IF($A79&gt;20,(1+Max(0,((($A79-20)*(($A79-20)+1))/2)/100)*(2+Max(0,($A79-35)*0.2))),1),0)*IF(EnemyBuffed=TRUE,1.25,1),0) &amp; "  (" &amp; MAX(ROUND(Rounddown(Rounddown(Rounddown(Rounddown((U$59+U$60*($A79-1)),0)*(1+(EnemyDamageSlider-1)+(EnemyDMGDanger-1)+(EnemyJackDMG-1)),0)*IF($A79&gt;20,(1+Max(0,((($A79-20)*(($A79-20)+1))/2)/100)*(2+Max(0,($A79-35)*0.2))),1),0)*IF(EnemyBuffed=TRUE,1.25,1),0)*EnemyDMGTaken,0),1) &amp; ")"</f>
        <v>26  (26)</v>
      </c>
      <c r="V79" s="414" t="str">
        <f>Rounddown(Rounddown(Rounddown(Rounddown((V$59+V$60*($A79-1)),0)*(1+(EnemyDamageSlider-1)+(EnemyDMGDanger-1)+(EnemyJackDMG-1)),0)*IF($A79&gt;20,(1+Max(0,((($A79-20)*(($A79-20)+1))/2)/100)*(2+Max(0,($A79-35)*0.2))),1),0)*IF(EnemyBuffed=TRUE,1.25,1),0) &amp; "  (" &amp; MAX(ROUND(Rounddown(Rounddown(Rounddown(Rounddown((V$59+V$60*($A79-1)),0)*(1+(EnemyDamageSlider-1)+(EnemyDMGDanger-1)+(EnemyJackDMG-1)),0)*IF($A79&gt;20,(1+Max(0,((($A79-20)*(($A79-20)+1))/2)/100)*(2+Max(0,($A79-35)*0.2))),1),0)*IF(EnemyBuffed=TRUE,1.25,1),0)*EnemyDMGTaken,0),1) &amp; ")"</f>
        <v>29  (29)</v>
      </c>
      <c r="W79" s="414" t="str">
        <f>Rounddown(Rounddown(Rounddown(Rounddown((W$59+W$60*($A79-1)),0)*(1+(EnemyDamageSlider-1)+(EnemyDMGDanger-1)+(EnemyJackDMG-1)),0)*IF($A79&gt;20,(1+Max(0,((($A79-20)*(($A79-20)+1))/2)/100)*(2+Max(0,($A79-35)*0.2))),1),0)*IF(EnemyBuffed=TRUE,1.25,1),0) &amp; "  (" &amp; MAX(ROUND(Rounddown(Rounddown(Rounddown(Rounddown((W$59+W$60*($A79-1)),0)*(1+(EnemyDamageSlider-1)+(EnemyDMGDanger-1)+(EnemyJackDMG-1)),0)*IF($A79&gt;20,(1+Max(0,((($A79-20)*(($A79-20)+1))/2)/100)*(2+Max(0,($A79-35)*0.2))),1),0)*IF(EnemyBuffed=TRUE,1.25,1),0)*EnemyDMGTaken,0),1) &amp; ")"</f>
        <v>29  (29)</v>
      </c>
      <c r="X79" s="414" t="str">
        <f>Rounddown(Rounddown(Rounddown(Rounddown((X$59+X$60*($A79-1)),0)*(1+(EnemyDamageSlider-1)+(EnemyDMGDanger-1)+(EnemyJackDMG-1)),0)*IF($A79&gt;20,(1+Max(0,((($A79-20)*(($A79-20)+1))/2)/100)*(2+Max(0,($A79-35)*0.2))),1),0)*IF(EnemyBuffed=TRUE,1.25,1),0) &amp; "  (" &amp; MAX(ROUND(Rounddown(Rounddown(Rounddown(Rounddown((X$59+X$60*($A79-1)),0)*(1+(EnemyDamageSlider-1)+(EnemyDMGDanger-1)+(EnemyJackDMG-1)),0)*IF($A79&gt;20,(1+Max(0,((($A79-20)*(($A79-20)+1))/2)/100)*(2+Max(0,($A79-35)*0.2))),1),0)*IF(EnemyBuffed=TRUE,1.25,1),0)*EnemyDMGTaken,0),1) &amp; ")"</f>
        <v>29  (29)</v>
      </c>
      <c r="Y79" s="414" t="str">
        <f>Rounddown(Rounddown(Rounddown(Rounddown((Y$59+Y$60*($A79-1)),0)*(1+(EnemyDamageSlider-1)+(EnemyDMGDanger-1)+(EnemyJackDMG-1)),0)*IF($A79&gt;20,(1+Max(0,((($A79-20)*(($A79-20)+1))/2)/100)*(2+Max(0,($A79-35)*0.2))),1),0)*IF(EnemyBuffed=TRUE,1.25,1),0) &amp; "  (" &amp; MAX(ROUND(Rounddown(Rounddown(Rounddown(Rounddown((Y$59+Y$60*($A79-1)),0)*(1+(EnemyDamageSlider-1)+(EnemyDMGDanger-1)+(EnemyJackDMG-1)),0)*IF($A79&gt;20,(1+Max(0,((($A79-20)*(($A79-20)+1))/2)/100)*(2+Max(0,($A79-35)*0.2))),1),0)*IF(EnemyBuffed=TRUE,1.25,1),0)*EnemyDMGTaken,0),1) &amp; ")"</f>
        <v>29  (29)</v>
      </c>
      <c r="Z79" s="414" t="str">
        <f>Rounddown(Rounddown(Rounddown(Rounddown((Z$59+Z$60*($A79-1)),0)*(1+(EnemyDamageSlider-1)+(EnemyDMGDanger-1)+(EnemyJackDMG-1)),0)*IF($A79&gt;20,(1+Max(0,((($A79-20)*(($A79-20)+1))/2)/100)*(2+Max(0,($A79-35)*0.2))),1),0)*IF(EnemyBuffed=TRUE,1.25,1),0) &amp; "  (" &amp; MAX(ROUND(Rounddown(Rounddown(Rounddown(Rounddown((Z$59+Z$60*($A79-1)),0)*(1+(EnemyDamageSlider-1)+(EnemyDMGDanger-1)+(EnemyJackDMG-1)),0)*IF($A79&gt;20,(1+Max(0,((($A79-20)*(($A79-20)+1))/2)/100)*(2+Max(0,($A79-35)*0.2))),1),0)*IF(EnemyBuffed=TRUE,1.25,1),0)*EnemyDMGTaken,0),1) &amp; ")"</f>
        <v>29  (29)</v>
      </c>
      <c r="AA79" s="414" t="str">
        <f>Rounddown(Rounddown(Rounddown(Rounddown((AA$59+AA$60*($A79-1)),0)*(1+(EnemyDamageSlider-1)+(EnemyDMGDanger-1)+(EnemyJackDMG-1)),0)*IF($A79&gt;20,(1+Max(0,((($A79-20)*(($A79-20)+1))/2)/100)*(2+Max(0,($A79-35)*0.2))),1),0)*IF(EnemyBuffed=TRUE,1.25,1),0) &amp; "  (" &amp; MAX(ROUND(Rounddown(Rounddown(Rounddown(Rounddown((AA$59+AA$60*($A79-1)),0)*(1+(EnemyDamageSlider-1)+(EnemyDMGDanger-1)+(EnemyJackDMG-1)),0)*IF($A79&gt;20,(1+Max(0,((($A79-20)*(($A79-20)+1))/2)/100)*(2+Max(0,($A79-35)*0.2))),1),0)*IF(EnemyBuffed=TRUE,1.25,1),0)*EnemyDMGTaken,0),1) &amp; ")"</f>
        <v>19  (19)</v>
      </c>
    </row>
    <row r="80">
      <c r="A80" s="150">
        <v>20.0</v>
      </c>
      <c r="B80" s="414"/>
      <c r="C80" s="414"/>
      <c r="D80" s="414"/>
      <c r="E80" s="414" t="str">
        <f>Rounddown(Rounddown(Rounddown(Rounddown((E$59+E$60*($A80-1)),0)*(1+(EnemyDamageSlider-1)+(EnemyDMGDanger-1)+(EnemyJackDMG-1)),0)*IF($A80&gt;20,(1+Max(0,((($A80-20)*(($A80-20)+1))/2)/100)*(2+Max(0,($A80-35)*0.2))),1),0)*IF(EnemyBuffed=TRUE,1.25,1),0) &amp; "  (" &amp; MAX(ROUND(Rounddown(Rounddown(Rounddown(Rounddown((E$59+E$60*($A80-1)),0)*(1+(EnemyDamageSlider-1)+(EnemyDMGDanger-1)+(EnemyJackDMG-1)),0)*IF($A80&gt;20,(1+Max(0,((($A80-20)*(($A80-20)+1))/2)/100)*(2+Max(0,($A80-35)*0.2))),1),0)*IF(EnemyBuffed=TRUE,1.25,1),0)*EnemyDMGTaken,0),1) &amp; ")"</f>
        <v>21  (21)</v>
      </c>
      <c r="F80" s="414"/>
      <c r="G80" s="414"/>
      <c r="H80" s="414"/>
      <c r="I80" s="414"/>
      <c r="J80" s="414" t="str">
        <f>Rounddown(Rounddown(Rounddown(Rounddown((J$59+J$60*($A80-1)),0)*(1+(EnemyDamageSlider-1)+(EnemyDMGDanger-1)+(EnemyJackDMG-1)),0)*IF($A80&gt;20,(1+Max(0,((($A80-20)*(($A80-20)+1))/2)/100)*(2+Max(0,($A80-35)*0.2))),1),0)*IF(EnemyBuffed=TRUE,1.25,1),0) &amp; "  (" &amp; MAX(ROUND(Rounddown(Rounddown(Rounddown(Rounddown((J$59+J$60*($A80-1)),0)*(1+(EnemyDamageSlider-1)+(EnemyDMGDanger-1)+(EnemyJackDMG-1)),0)*IF($A80&gt;20,(1+Max(0,((($A80-20)*(($A80-20)+1))/2)/100)*(2+Max(0,($A80-35)*0.2))),1),0)*IF(EnemyBuffed=TRUE,1.25,1),0)*EnemyDMGTaken,0),1) &amp; ")"</f>
        <v>28  (28)</v>
      </c>
      <c r="K80" s="414"/>
      <c r="L80" s="414"/>
      <c r="M80" s="414"/>
      <c r="N80" s="414"/>
      <c r="O80" s="414"/>
      <c r="P80" s="414" t="str">
        <f>Rounddown(Rounddown(Rounddown(Rounddown((P$59+P$60*($A80-1)),0)*(1+(EnemyDamageSlider-1)+(EnemyDMGDanger-1)+(EnemyJackDMG-1)),0)*IF($A80&gt;20,(1+Max(0,((($A80-20)*(($A80-20)+1))/2)/100)*(2+Max(0,($A80-35)*0.2))),1),0)*IF(EnemyBuffed=TRUE,1.25,1),0) &amp; "  (" &amp; MAX(ROUND(Rounddown(Rounddown(Rounddown(Rounddown((P$59+P$60*($A80-1)),0)*(1+(EnemyDamageSlider-1)+(EnemyDMGDanger-1)+(EnemyJackDMG-1)),0)*IF($A80&gt;20,(1+Max(0,((($A80-20)*(($A80-20)+1))/2)/100)*(2+Max(0,($A80-35)*0.2))),1),0)*IF(EnemyBuffed=TRUE,1.25,1),0)*EnemyDMGTaken,0),1) &amp; ")"</f>
        <v>28  (28)</v>
      </c>
      <c r="Q80" s="414"/>
      <c r="R80" s="414"/>
      <c r="S80" s="414"/>
      <c r="T80" s="414" t="str">
        <f>Rounddown(Rounddown(Rounddown(Rounddown((T$59+T$60*($A80-1)),0)*(1+(EnemyDamageSlider-1)+(EnemyDMGDanger-1)+(EnemyJackDMG-1)),0)*IF($A80&gt;20,(1+Max(0,((($A80-20)*(($A80-20)+1))/2)/100)*(2+Max(0,($A80-35)*0.2))),1),0)*IF(EnemyBuffed=TRUE,1.25,1),0) &amp; "  (" &amp; MAX(ROUND(Rounddown(Rounddown(Rounddown(Rounddown((T$59+T$60*($A80-1)),0)*(1+(EnemyDamageSlider-1)+(EnemyDMGDanger-1)+(EnemyJackDMG-1)),0)*IF($A80&gt;20,(1+Max(0,((($A80-20)*(($A80-20)+1))/2)/100)*(2+Max(0,($A80-35)*0.2))),1),0)*IF(EnemyBuffed=TRUE,1.25,1),0)*EnemyDMGTaken,0),1) &amp; ")"</f>
        <v>28  (28)</v>
      </c>
      <c r="U80" s="414" t="str">
        <f>Rounddown(Rounddown(Rounddown(Rounddown((U$59+U$60*($A80-1)),0)*(1+(EnemyDamageSlider-1)+(EnemyDMGDanger-1)+(EnemyJackDMG-1)),0)*IF($A80&gt;20,(1+Max(0,((($A80-20)*(($A80-20)+1))/2)/100)*(2+Max(0,($A80-35)*0.2))),1),0)*IF(EnemyBuffed=TRUE,1.25,1),0) &amp; "  (" &amp; MAX(ROUND(Rounddown(Rounddown(Rounddown(Rounddown((U$59+U$60*($A80-1)),0)*(1+(EnemyDamageSlider-1)+(EnemyDMGDanger-1)+(EnemyJackDMG-1)),0)*IF($A80&gt;20,(1+Max(0,((($A80-20)*(($A80-20)+1))/2)/100)*(2+Max(0,($A80-35)*0.2))),1),0)*IF(EnemyBuffed=TRUE,1.25,1),0)*EnemyDMGTaken,0),1) &amp; ")"</f>
        <v>28  (28)</v>
      </c>
      <c r="V80" s="414" t="str">
        <f>Rounddown(Rounddown(Rounddown(Rounddown((V$59+V$60*($A80-1)),0)*(1+(EnemyDamageSlider-1)+(EnemyDMGDanger-1)+(EnemyJackDMG-1)),0)*IF($A80&gt;20,(1+Max(0,((($A80-20)*(($A80-20)+1))/2)/100)*(2+Max(0,($A80-35)*0.2))),1),0)*IF(EnemyBuffed=TRUE,1.25,1),0) &amp; "  (" &amp; MAX(ROUND(Rounddown(Rounddown(Rounddown(Rounddown((V$59+V$60*($A80-1)),0)*(1+(EnemyDamageSlider-1)+(EnemyDMGDanger-1)+(EnemyJackDMG-1)),0)*IF($A80&gt;20,(1+Max(0,((($A80-20)*(($A80-20)+1))/2)/100)*(2+Max(0,($A80-35)*0.2))),1),0)*IF(EnemyBuffed=TRUE,1.25,1),0)*EnemyDMGTaken,0),1) &amp; ")"</f>
        <v>30  (30)</v>
      </c>
      <c r="W80" s="414" t="str">
        <f>Rounddown(Rounddown(Rounddown(Rounddown((W$59+W$60*($A80-1)),0)*(1+(EnemyDamageSlider-1)+(EnemyDMGDanger-1)+(EnemyJackDMG-1)),0)*IF($A80&gt;20,(1+Max(0,((($A80-20)*(($A80-20)+1))/2)/100)*(2+Max(0,($A80-35)*0.2))),1),0)*IF(EnemyBuffed=TRUE,1.25,1),0) &amp; "  (" &amp; MAX(ROUND(Rounddown(Rounddown(Rounddown(Rounddown((W$59+W$60*($A80-1)),0)*(1+(EnemyDamageSlider-1)+(EnemyDMGDanger-1)+(EnemyJackDMG-1)),0)*IF($A80&gt;20,(1+Max(0,((($A80-20)*(($A80-20)+1))/2)/100)*(2+Max(0,($A80-35)*0.2))),1),0)*IF(EnemyBuffed=TRUE,1.25,1),0)*EnemyDMGTaken,0),1) &amp; ")"</f>
        <v>30  (30)</v>
      </c>
      <c r="X80" s="414" t="str">
        <f>Rounddown(Rounddown(Rounddown(Rounddown((X$59+X$60*($A80-1)),0)*(1+(EnemyDamageSlider-1)+(EnemyDMGDanger-1)+(EnemyJackDMG-1)),0)*IF($A80&gt;20,(1+Max(0,((($A80-20)*(($A80-20)+1))/2)/100)*(2+Max(0,($A80-35)*0.2))),1),0)*IF(EnemyBuffed=TRUE,1.25,1),0) &amp; "  (" &amp; MAX(ROUND(Rounddown(Rounddown(Rounddown(Rounddown((X$59+X$60*($A80-1)),0)*(1+(EnemyDamageSlider-1)+(EnemyDMGDanger-1)+(EnemyJackDMG-1)),0)*IF($A80&gt;20,(1+Max(0,((($A80-20)*(($A80-20)+1))/2)/100)*(2+Max(0,($A80-35)*0.2))),1),0)*IF(EnemyBuffed=TRUE,1.25,1),0)*EnemyDMGTaken,0),1) &amp; ")"</f>
        <v>30  (30)</v>
      </c>
      <c r="Y80" s="414" t="str">
        <f>Rounddown(Rounddown(Rounddown(Rounddown((Y$59+Y$60*($A80-1)),0)*(1+(EnemyDamageSlider-1)+(EnemyDMGDanger-1)+(EnemyJackDMG-1)),0)*IF($A80&gt;20,(1+Max(0,((($A80-20)*(($A80-20)+1))/2)/100)*(2+Max(0,($A80-35)*0.2))),1),0)*IF(EnemyBuffed=TRUE,1.25,1),0) &amp; "  (" &amp; MAX(ROUND(Rounddown(Rounddown(Rounddown(Rounddown((Y$59+Y$60*($A80-1)),0)*(1+(EnemyDamageSlider-1)+(EnemyDMGDanger-1)+(EnemyJackDMG-1)),0)*IF($A80&gt;20,(1+Max(0,((($A80-20)*(($A80-20)+1))/2)/100)*(2+Max(0,($A80-35)*0.2))),1),0)*IF(EnemyBuffed=TRUE,1.25,1),0)*EnemyDMGTaken,0),1) &amp; ")"</f>
        <v>30  (30)</v>
      </c>
      <c r="Z80" s="414" t="str">
        <f>Rounddown(Rounddown(Rounddown(Rounddown((Z$59+Z$60*($A80-1)),0)*(1+(EnemyDamageSlider-1)+(EnemyDMGDanger-1)+(EnemyJackDMG-1)),0)*IF($A80&gt;20,(1+Max(0,((($A80-20)*(($A80-20)+1))/2)/100)*(2+Max(0,($A80-35)*0.2))),1),0)*IF(EnemyBuffed=TRUE,1.25,1),0) &amp; "  (" &amp; MAX(ROUND(Rounddown(Rounddown(Rounddown(Rounddown((Z$59+Z$60*($A80-1)),0)*(1+(EnemyDamageSlider-1)+(EnemyDMGDanger-1)+(EnemyJackDMG-1)),0)*IF($A80&gt;20,(1+Max(0,((($A80-20)*(($A80-20)+1))/2)/100)*(2+Max(0,($A80-35)*0.2))),1),0)*IF(EnemyBuffed=TRUE,1.25,1),0)*EnemyDMGTaken,0),1) &amp; ")"</f>
        <v>30  (30)</v>
      </c>
      <c r="AA80" s="414" t="str">
        <f>Rounddown(Rounddown(Rounddown(Rounddown((AA$59+AA$60*($A80-1)),0)*(1+(EnemyDamageSlider-1)+(EnemyDMGDanger-1)+(EnemyJackDMG-1)),0)*IF($A80&gt;20,(1+Max(0,((($A80-20)*(($A80-20)+1))/2)/100)*(2+Max(0,($A80-35)*0.2))),1),0)*IF(EnemyBuffed=TRUE,1.25,1),0) &amp; "  (" &amp; MAX(ROUND(Rounddown(Rounddown(Rounddown(Rounddown((AA$59+AA$60*($A80-1)),0)*(1+(EnemyDamageSlider-1)+(EnemyDMGDanger-1)+(EnemyJackDMG-1)),0)*IF($A80&gt;20,(1+Max(0,((($A80-20)*(($A80-20)+1))/2)/100)*(2+Max(0,($A80-35)*0.2))),1),0)*IF(EnemyBuffed=TRUE,1.25,1),0)*EnemyDMGTaken,0),1) &amp; ")"</f>
        <v>21  (21)</v>
      </c>
    </row>
    <row r="81">
      <c r="A81" s="362">
        <f> $G$2</f>
        <v>400</v>
      </c>
      <c r="B81" s="414"/>
      <c r="C81" s="414"/>
      <c r="D81" s="414"/>
      <c r="E81" s="414" t="str">
        <f>Rounddown(Rounddown(Rounddown(Rounddown((E$59+E$60*($A81-1)),0)*(1+(EnemyDamageSlider-1)+(EnemyDMGDanger-1)+(EnemyJackDMG-1)),0)*IF($A81&gt;20,(1+Max(0,((($A81-20)*(($A81-20)+1))/2)/100)*(2+Max(0,($A81-35)*0.2))),1),0)*IF(EnemyBuffed=TRUE,1.25,1),0) &amp; "  (" &amp; MAX(ROUND(Rounddown(Rounddown(Rounddown(Rounddown((E$59+E$60*($A81-1)),0)*(1+(EnemyDamageSlider-1)+(EnemyDMGDanger-1)+(EnemyJackDMG-1)),0)*IF($A81&gt;20,(1+Max(0,((($A81-20)*(($A81-20)+1))/2)/100)*(2+Max(0,($A81-35)*0.2))),1),0)*IF(EnemyBuffed=TRUE,1.25,1),0)*EnemyDMGTaken,0),1) &amp; ")"</f>
        <v>22803270  (22803270)</v>
      </c>
      <c r="F81" s="414"/>
      <c r="G81" s="414"/>
      <c r="H81" s="414"/>
      <c r="I81" s="414"/>
      <c r="J81" s="414" t="str">
        <f>Rounddown(Rounddown(Rounddown(Rounddown((J$59+J$60*($A81-1)),0)*(1+(EnemyDamageSlider-1)+(EnemyDMGDanger-1)+(EnemyJackDMG-1)),0)*IF($A81&gt;20,(1+Max(0,((($A81-20)*(($A81-20)+1))/2)/100)*(2+Max(0,($A81-35)*0.2))),1),0)*IF(EnemyBuffed=TRUE,1.25,1),0) &amp; "  (" &amp; MAX(ROUND(Rounddown(Rounddown(Rounddown(Rounddown((J$59+J$60*($A81-1)),0)*(1+(EnemyDamageSlider-1)+(EnemyDMGDanger-1)+(EnemyJackDMG-1)),0)*IF($A81&gt;20,(1+Max(0,((($A81-20)*(($A81-20)+1))/2)/100)*(2+Max(0,($A81-35)*0.2))),1),0)*IF(EnemyBuffed=TRUE,1.25,1),0)*EnemyDMGTaken,0),1) &amp; ")"</f>
        <v>30404360  (30404360)</v>
      </c>
      <c r="K81" s="414"/>
      <c r="L81" s="414"/>
      <c r="M81" s="414"/>
      <c r="N81" s="414"/>
      <c r="O81" s="414"/>
      <c r="P81" s="414" t="str">
        <f>Rounddown(Rounddown(Rounddown(Rounddown((P$59+P$60*($A81-1)),0)*(1+(EnemyDamageSlider-1)+(EnemyDMGDanger-1)+(EnemyJackDMG-1)),0)*IF($A81&gt;20,(1+Max(0,((($A81-20)*(($A81-20)+1))/2)/100)*(2+Max(0,($A81-35)*0.2))),1),0)*IF(EnemyBuffed=TRUE,1.25,1),0) &amp; "  (" &amp; MAX(ROUND(Rounddown(Rounddown(Rounddown(Rounddown((P$59+P$60*($A81-1)),0)*(1+(EnemyDamageSlider-1)+(EnemyDMGDanger-1)+(EnemyJackDMG-1)),0)*IF($A81&gt;20,(1+Max(0,((($A81-20)*(($A81-20)+1))/2)/100)*(2+Max(0,($A81-35)*0.2))),1),0)*IF(EnemyBuffed=TRUE,1.25,1),0)*EnemyDMGTaken,0),1) &amp; ")"</f>
        <v>30404360  (30404360)</v>
      </c>
      <c r="Q81" s="414"/>
      <c r="R81" s="414"/>
      <c r="S81" s="414"/>
      <c r="T81" s="414" t="str">
        <f>Rounddown(Rounddown(Rounddown(Rounddown((T$59+T$60*($A81-1)),0)*(1+(EnemyDamageSlider-1)+(EnemyDMGDanger-1)+(EnemyJackDMG-1)),0)*IF($A81&gt;20,(1+Max(0,((($A81-20)*(($A81-20)+1))/2)/100)*(2+Max(0,($A81-35)*0.2))),1),0)*IF(EnemyBuffed=TRUE,1.25,1),0) &amp; "  (" &amp; MAX(ROUND(Rounddown(Rounddown(Rounddown(Rounddown((T$59+T$60*($A81-1)),0)*(1+(EnemyDamageSlider-1)+(EnemyDMGDanger-1)+(EnemyJackDMG-1)),0)*IF($A81&gt;20,(1+Max(0,((($A81-20)*(($A81-20)+1))/2)/100)*(2+Max(0,($A81-35)*0.2))),1),0)*IF(EnemyBuffed=TRUE,1.25,1),0)*EnemyDMGTaken,0),1) &amp; ")"</f>
        <v>30404360  (30404360)</v>
      </c>
      <c r="U81" s="414" t="str">
        <f>Rounddown(Rounddown(Rounddown(Rounddown((U$59+U$60*($A81-1)),0)*(1+(EnemyDamageSlider-1)+(EnemyDMGDanger-1)+(EnemyJackDMG-1)),0)*IF($A81&gt;20,(1+Max(0,((($A81-20)*(($A81-20)+1))/2)/100)*(2+Max(0,($A81-35)*0.2))),1),0)*IF(EnemyBuffed=TRUE,1.25,1),0) &amp; "  (" &amp; MAX(ROUND(Rounddown(Rounddown(Rounddown(Rounddown((U$59+U$60*($A81-1)),0)*(1+(EnemyDamageSlider-1)+(EnemyDMGDanger-1)+(EnemyJackDMG-1)),0)*IF($A81&gt;20,(1+Max(0,((($A81-20)*(($A81-20)+1))/2)/100)*(2+Max(0,($A81-35)*0.2))),1),0)*IF(EnemyBuffed=TRUE,1.25,1),0)*EnemyDMGTaken,0),1) &amp; ")"</f>
        <v>30404360  (30404360)</v>
      </c>
      <c r="V81" s="414" t="str">
        <f>Rounddown(Rounddown(Rounddown(Rounddown((V$59+V$60*($A81-1)),0)*(1+(EnemyDamageSlider-1)+(EnemyDMGDanger-1)+(EnemyJackDMG-1)),0)*IF($A81&gt;20,(1+Max(0,((($A81-20)*(($A81-20)+1))/2)/100)*(2+Max(0,($A81-35)*0.2))),1),0)*IF(EnemyBuffed=TRUE,1.25,1),0) &amp; "  (" &amp; MAX(ROUND(Rounddown(Rounddown(Rounddown(Rounddown((V$59+V$60*($A81-1)),0)*(1+(EnemyDamageSlider-1)+(EnemyDMGDanger-1)+(EnemyJackDMG-1)),0)*IF($A81&gt;20,(1+Max(0,((($A81-20)*(($A81-20)+1))/2)/100)*(2+Max(0,($A81-35)*0.2))),1),0)*IF(EnemyBuffed=TRUE,1.25,1),0)*EnemyDMGTaken,0),1) &amp; ")"</f>
        <v>34856427  (34856427)</v>
      </c>
      <c r="W81" s="414" t="str">
        <f>Rounddown(Rounddown(Rounddown(Rounddown((W$59+W$60*($A81-1)),0)*(1+(EnemyDamageSlider-1)+(EnemyDMGDanger-1)+(EnemyJackDMG-1)),0)*IF($A81&gt;20,(1+Max(0,((($A81-20)*(($A81-20)+1))/2)/100)*(2+Max(0,($A81-35)*0.2))),1),0)*IF(EnemyBuffed=TRUE,1.25,1),0) &amp; "  (" &amp; MAX(ROUND(Rounddown(Rounddown(Rounddown(Rounddown((W$59+W$60*($A81-1)),0)*(1+(EnemyDamageSlider-1)+(EnemyDMGDanger-1)+(EnemyJackDMG-1)),0)*IF($A81&gt;20,(1+Max(0,((($A81-20)*(($A81-20)+1))/2)/100)*(2+Max(0,($A81-35)*0.2))),1),0)*IF(EnemyBuffed=TRUE,1.25,1),0)*EnemyDMGTaken,0),1) &amp; ")"</f>
        <v>34856427  (34856427)</v>
      </c>
      <c r="X81" s="414" t="str">
        <f>Rounddown(Rounddown(Rounddown(Rounddown((X$59+X$60*($A81-1)),0)*(1+(EnemyDamageSlider-1)+(EnemyDMGDanger-1)+(EnemyJackDMG-1)),0)*IF($A81&gt;20,(1+Max(0,((($A81-20)*(($A81-20)+1))/2)/100)*(2+Max(0,($A81-35)*0.2))),1),0)*IF(EnemyBuffed=TRUE,1.25,1),0) &amp; "  (" &amp; MAX(ROUND(Rounddown(Rounddown(Rounddown(Rounddown((X$59+X$60*($A81-1)),0)*(1+(EnemyDamageSlider-1)+(EnemyDMGDanger-1)+(EnemyJackDMG-1)),0)*IF($A81&gt;20,(1+Max(0,((($A81-20)*(($A81-20)+1))/2)/100)*(2+Max(0,($A81-35)*0.2))),1),0)*IF(EnemyBuffed=TRUE,1.25,1),0)*EnemyDMGTaken,0),1) &amp; ")"</f>
        <v>34856427  (34856427)</v>
      </c>
      <c r="Y81" s="414" t="str">
        <f>Rounddown(Rounddown(Rounddown(Rounddown((Y$59+Y$60*($A81-1)),0)*(1+(EnemyDamageSlider-1)+(EnemyDMGDanger-1)+(EnemyJackDMG-1)),0)*IF($A81&gt;20,(1+Max(0,((($A81-20)*(($A81-20)+1))/2)/100)*(2+Max(0,($A81-35)*0.2))),1),0)*IF(EnemyBuffed=TRUE,1.25,1),0) &amp; "  (" &amp; MAX(ROUND(Rounddown(Rounddown(Rounddown(Rounddown((Y$59+Y$60*($A81-1)),0)*(1+(EnemyDamageSlider-1)+(EnemyDMGDanger-1)+(EnemyJackDMG-1)),0)*IF($A81&gt;20,(1+Max(0,((($A81-20)*(($A81-20)+1))/2)/100)*(2+Max(0,($A81-35)*0.2))),1),0)*IF(EnemyBuffed=TRUE,1.25,1),0)*EnemyDMGTaken,0),1) &amp; ")"</f>
        <v>34856427  (34856427)</v>
      </c>
      <c r="Z81" s="414" t="str">
        <f>Rounddown(Rounddown(Rounddown(Rounddown((Z$59+Z$60*($A81-1)),0)*(1+(EnemyDamageSlider-1)+(EnemyDMGDanger-1)+(EnemyJackDMG-1)),0)*IF($A81&gt;20,(1+Max(0,((($A81-20)*(($A81-20)+1))/2)/100)*(2+Max(0,($A81-35)*0.2))),1),0)*IF(EnemyBuffed=TRUE,1.25,1),0) &amp; "  (" &amp; MAX(ROUND(Rounddown(Rounddown(Rounddown(Rounddown((Z$59+Z$60*($A81-1)),0)*(1+(EnemyDamageSlider-1)+(EnemyDMGDanger-1)+(EnemyJackDMG-1)),0)*IF($A81&gt;20,(1+Max(0,((($A81-20)*(($A81-20)+1))/2)/100)*(2+Max(0,($A81-35)*0.2))),1),0)*IF(EnemyBuffed=TRUE,1.25,1),0)*EnemyDMGTaken,0),1) &amp; ")"</f>
        <v>34856427  (34856427)</v>
      </c>
      <c r="AA81" s="414" t="str">
        <f>Rounddown(Rounddown(Rounddown(Rounddown((AA$59+AA$60*($A81-1)),0)*(1+(EnemyDamageSlider-1)+(EnemyDMGDanger-1)+(EnemyJackDMG-1)),0)*IF($A81&gt;20,(1+Max(0,((($A81-20)*(($A81-20)+1))/2)/100)*(2+Max(0,($A81-35)*0.2))),1),0)*IF(EnemyBuffed=TRUE,1.25,1),0) &amp; "  (" &amp; MAX(ROUND(Rounddown(Rounddown(Rounddown(Rounddown((AA$59+AA$60*($A81-1)),0)*(1+(EnemyDamageSlider-1)+(EnemyDMGDanger-1)+(EnemyJackDMG-1)),0)*IF($A81&gt;20,(1+Max(0,((($A81-20)*(($A81-20)+1))/2)/100)*(2+Max(0,($A81-35)*0.2))),1),0)*IF(EnemyBuffed=TRUE,1.25,1),0)*EnemyDMGTaken,0),1) &amp; ")"</f>
        <v>22803270  (22803270)</v>
      </c>
    </row>
    <row r="82">
      <c r="AA82" s="288"/>
    </row>
    <row r="83">
      <c r="AA83" s="288"/>
    </row>
    <row r="84">
      <c r="AA84" s="288"/>
    </row>
    <row r="85">
      <c r="AA85" s="288"/>
    </row>
    <row r="86">
      <c r="A86" s="311" t="s">
        <v>475</v>
      </c>
      <c r="B86" s="313" t="s">
        <v>476</v>
      </c>
      <c r="C86" s="313" t="s">
        <v>478</v>
      </c>
      <c r="D86" s="313" t="s">
        <v>479</v>
      </c>
      <c r="E86" s="313" t="s">
        <v>480</v>
      </c>
      <c r="F86" s="313" t="s">
        <v>481</v>
      </c>
      <c r="G86" s="313" t="s">
        <v>482</v>
      </c>
      <c r="H86" s="313" t="s">
        <v>483</v>
      </c>
      <c r="I86" s="313" t="s">
        <v>484</v>
      </c>
      <c r="J86" s="313" t="s">
        <v>485</v>
      </c>
      <c r="K86" s="313" t="s">
        <v>486</v>
      </c>
      <c r="L86" s="313" t="s">
        <v>488</v>
      </c>
      <c r="M86" s="313" t="s">
        <v>489</v>
      </c>
      <c r="N86" s="313" t="s">
        <v>490</v>
      </c>
      <c r="O86" s="313" t="s">
        <v>491</v>
      </c>
      <c r="P86" s="313" t="s">
        <v>492</v>
      </c>
      <c r="Q86" s="313" t="s">
        <v>493</v>
      </c>
      <c r="R86" s="313" t="s">
        <v>494</v>
      </c>
      <c r="S86" s="313" t="s">
        <v>495</v>
      </c>
      <c r="T86" s="313" t="s">
        <v>496</v>
      </c>
      <c r="U86" s="313" t="s">
        <v>497</v>
      </c>
      <c r="V86" s="313" t="s">
        <v>498</v>
      </c>
      <c r="W86" s="313" t="s">
        <v>499</v>
      </c>
      <c r="X86" s="313" t="s">
        <v>500</v>
      </c>
      <c r="Y86" s="313" t="s">
        <v>501</v>
      </c>
      <c r="Z86" s="313" t="s">
        <v>502</v>
      </c>
      <c r="AA86" s="316" t="s">
        <v>503</v>
      </c>
    </row>
    <row r="87">
      <c r="A87" s="311" t="s">
        <v>1376</v>
      </c>
      <c r="B87" s="317">
        <v>0.0</v>
      </c>
      <c r="C87" s="317">
        <v>250.0</v>
      </c>
      <c r="D87" s="317">
        <v>380.0</v>
      </c>
      <c r="E87" s="317">
        <v>200.0</v>
      </c>
      <c r="F87" s="317">
        <v>400.0</v>
      </c>
      <c r="G87" s="317">
        <v>600.0</v>
      </c>
      <c r="H87" s="317">
        <v>300.0</v>
      </c>
      <c r="I87" s="317">
        <v>150.0</v>
      </c>
      <c r="J87" s="317">
        <v>350.0</v>
      </c>
      <c r="K87" s="317">
        <v>400.0</v>
      </c>
      <c r="L87" s="317">
        <v>350.0</v>
      </c>
      <c r="M87" s="317">
        <v>250.0</v>
      </c>
      <c r="N87" s="317">
        <v>400.0</v>
      </c>
      <c r="O87" s="317">
        <v>120.0</v>
      </c>
      <c r="P87" s="317">
        <v>350.0</v>
      </c>
      <c r="Q87" s="317">
        <v>300.0</v>
      </c>
      <c r="R87" s="317">
        <v>425.0</v>
      </c>
      <c r="S87" s="317">
        <v>0.0</v>
      </c>
      <c r="T87" s="317">
        <v>275.0</v>
      </c>
      <c r="U87" s="317">
        <v>175.0</v>
      </c>
      <c r="V87" s="317">
        <v>250.0</v>
      </c>
      <c r="W87" s="317">
        <v>200.0</v>
      </c>
      <c r="X87" s="317">
        <v>350.0</v>
      </c>
      <c r="Y87" s="317">
        <v>300.0</v>
      </c>
      <c r="Z87" s="317">
        <v>200.0</v>
      </c>
      <c r="AA87" s="431">
        <v>350.0</v>
      </c>
    </row>
    <row r="88">
      <c r="AA88" s="288"/>
    </row>
    <row r="89">
      <c r="AA89" s="288"/>
    </row>
    <row r="90">
      <c r="AA90" s="288"/>
    </row>
    <row r="91">
      <c r="AA91" s="288"/>
    </row>
    <row r="92">
      <c r="AA92" s="288"/>
    </row>
    <row r="93">
      <c r="AA93" s="288"/>
    </row>
    <row r="94">
      <c r="AA94" s="288"/>
    </row>
    <row r="95">
      <c r="AA95" s="288"/>
    </row>
    <row r="96">
      <c r="AA96" s="288"/>
    </row>
    <row r="97">
      <c r="AA97" s="288"/>
    </row>
    <row r="98">
      <c r="AA98" s="288"/>
    </row>
    <row r="99">
      <c r="AA99" s="288"/>
    </row>
    <row r="100">
      <c r="AA100" s="288"/>
    </row>
    <row r="101">
      <c r="AA101" s="288"/>
    </row>
    <row r="102">
      <c r="AA102" s="288"/>
    </row>
    <row r="103">
      <c r="AA103" s="288"/>
    </row>
    <row r="104">
      <c r="AA104" s="288"/>
    </row>
    <row r="105">
      <c r="AA105" s="288"/>
    </row>
    <row r="106">
      <c r="AA106" s="288"/>
    </row>
    <row r="107">
      <c r="AA107" s="288"/>
    </row>
    <row r="108">
      <c r="AA108" s="288"/>
    </row>
    <row r="109">
      <c r="AA109" s="288"/>
    </row>
    <row r="110">
      <c r="AA110" s="288"/>
    </row>
    <row r="111">
      <c r="AA111" s="288"/>
    </row>
    <row r="112">
      <c r="AA112" s="288"/>
    </row>
    <row r="113">
      <c r="AA113" s="288"/>
    </row>
    <row r="114">
      <c r="AA114" s="288"/>
    </row>
    <row r="115">
      <c r="AA115" s="288"/>
    </row>
    <row r="116">
      <c r="AA116" s="288"/>
    </row>
    <row r="117">
      <c r="AA117" s="288"/>
    </row>
    <row r="118">
      <c r="AA118" s="288"/>
    </row>
    <row r="119">
      <c r="AA119" s="288"/>
    </row>
    <row r="120">
      <c r="AA120" s="288"/>
    </row>
    <row r="121">
      <c r="AA121" s="288"/>
    </row>
    <row r="122">
      <c r="AA122" s="288"/>
    </row>
    <row r="123">
      <c r="AA123" s="288"/>
    </row>
    <row r="124">
      <c r="AA124" s="288"/>
    </row>
    <row r="125">
      <c r="AA125" s="288"/>
    </row>
    <row r="126">
      <c r="AA126" s="288"/>
    </row>
    <row r="127">
      <c r="AA127" s="288"/>
    </row>
    <row r="128">
      <c r="AA128" s="288"/>
    </row>
    <row r="129">
      <c r="AA129" s="288"/>
    </row>
    <row r="130">
      <c r="AA130" s="288"/>
    </row>
    <row r="131">
      <c r="AA131" s="288"/>
    </row>
    <row r="132">
      <c r="AA132" s="288"/>
    </row>
    <row r="133">
      <c r="AA133" s="288"/>
    </row>
    <row r="134">
      <c r="AA134" s="288"/>
    </row>
    <row r="135">
      <c r="AA135" s="288"/>
    </row>
    <row r="136">
      <c r="AA136" s="288"/>
    </row>
    <row r="137">
      <c r="AA137" s="288"/>
    </row>
    <row r="138">
      <c r="AA138" s="288"/>
    </row>
    <row r="139">
      <c r="AA139" s="288"/>
    </row>
    <row r="140">
      <c r="AA140" s="288"/>
    </row>
    <row r="141">
      <c r="AA141" s="288"/>
    </row>
    <row r="142">
      <c r="AA142" s="288"/>
    </row>
    <row r="143">
      <c r="AA143" s="288"/>
    </row>
    <row r="144">
      <c r="AA144" s="288"/>
    </row>
    <row r="145">
      <c r="AA145" s="288"/>
    </row>
    <row r="146">
      <c r="AA146" s="288"/>
    </row>
    <row r="147">
      <c r="AA147" s="288"/>
    </row>
    <row r="148">
      <c r="AA148" s="288"/>
    </row>
    <row r="149">
      <c r="AA149" s="288"/>
    </row>
    <row r="150">
      <c r="AA150" s="288"/>
    </row>
    <row r="151">
      <c r="AA151" s="288"/>
    </row>
    <row r="152">
      <c r="AA152" s="288"/>
    </row>
    <row r="153">
      <c r="AA153" s="288"/>
    </row>
    <row r="154">
      <c r="AA154" s="288"/>
    </row>
    <row r="155">
      <c r="AA155" s="288"/>
    </row>
    <row r="156">
      <c r="AA156" s="288"/>
    </row>
    <row r="157">
      <c r="AA157" s="288"/>
    </row>
    <row r="158">
      <c r="AA158" s="288"/>
    </row>
    <row r="159">
      <c r="AA159" s="288"/>
    </row>
    <row r="160">
      <c r="AA160" s="288"/>
    </row>
    <row r="161">
      <c r="AA161" s="288"/>
    </row>
    <row r="162">
      <c r="AA162" s="288"/>
    </row>
    <row r="163">
      <c r="AA163" s="288"/>
    </row>
    <row r="164">
      <c r="AA164" s="288"/>
    </row>
    <row r="165">
      <c r="AA165" s="288"/>
    </row>
    <row r="166">
      <c r="AA166" s="288"/>
    </row>
    <row r="167">
      <c r="AA167" s="288"/>
    </row>
    <row r="168">
      <c r="AA168" s="288"/>
    </row>
    <row r="169">
      <c r="AA169" s="288"/>
    </row>
    <row r="170">
      <c r="AA170" s="288"/>
    </row>
    <row r="171">
      <c r="AA171" s="288"/>
    </row>
    <row r="172">
      <c r="AA172" s="288"/>
    </row>
    <row r="173">
      <c r="AA173" s="288"/>
    </row>
    <row r="174">
      <c r="AA174" s="288"/>
    </row>
    <row r="175">
      <c r="AA175" s="288"/>
    </row>
    <row r="176">
      <c r="AA176" s="288"/>
    </row>
    <row r="177">
      <c r="AA177" s="288"/>
    </row>
    <row r="178">
      <c r="AA178" s="288"/>
    </row>
    <row r="179">
      <c r="AA179" s="288"/>
    </row>
    <row r="180">
      <c r="AA180" s="288"/>
    </row>
    <row r="181">
      <c r="AA181" s="288"/>
    </row>
    <row r="182">
      <c r="AA182" s="288"/>
    </row>
    <row r="183">
      <c r="AA183" s="288"/>
    </row>
    <row r="184">
      <c r="AA184" s="288"/>
    </row>
    <row r="185">
      <c r="AA185" s="288"/>
    </row>
    <row r="186">
      <c r="AA186" s="288"/>
    </row>
    <row r="187">
      <c r="AA187" s="288"/>
    </row>
    <row r="188">
      <c r="AA188" s="288"/>
    </row>
    <row r="189">
      <c r="AA189" s="288"/>
    </row>
    <row r="190">
      <c r="AA190" s="288"/>
    </row>
    <row r="191">
      <c r="AA191" s="288"/>
    </row>
    <row r="192">
      <c r="AA192" s="288"/>
    </row>
    <row r="193">
      <c r="AA193" s="288"/>
    </row>
    <row r="194">
      <c r="AA194" s="288"/>
    </row>
    <row r="195">
      <c r="AA195" s="288"/>
    </row>
    <row r="196">
      <c r="AA196" s="288"/>
    </row>
    <row r="197">
      <c r="AA197" s="288"/>
    </row>
    <row r="198">
      <c r="AA198" s="288"/>
    </row>
    <row r="199">
      <c r="AA199" s="288"/>
    </row>
    <row r="200">
      <c r="AA200" s="288"/>
    </row>
    <row r="201">
      <c r="AA201" s="288"/>
    </row>
    <row r="202">
      <c r="AA202" s="288"/>
    </row>
    <row r="203">
      <c r="AA203" s="288"/>
    </row>
    <row r="204">
      <c r="AA204" s="288"/>
    </row>
    <row r="205">
      <c r="AA205" s="288"/>
    </row>
    <row r="206">
      <c r="AA206" s="288"/>
    </row>
    <row r="207">
      <c r="AA207" s="288"/>
    </row>
    <row r="208">
      <c r="AA208" s="288"/>
    </row>
    <row r="209">
      <c r="AA209" s="288"/>
    </row>
    <row r="210">
      <c r="AA210" s="288"/>
    </row>
    <row r="211">
      <c r="AA211" s="288"/>
    </row>
    <row r="212">
      <c r="AA212" s="288"/>
    </row>
    <row r="213">
      <c r="AA213" s="288"/>
    </row>
    <row r="214">
      <c r="AA214" s="288"/>
    </row>
    <row r="215">
      <c r="AA215" s="288"/>
    </row>
    <row r="216">
      <c r="AA216" s="288"/>
    </row>
    <row r="217">
      <c r="AA217" s="288"/>
    </row>
    <row r="218">
      <c r="AA218" s="288"/>
    </row>
    <row r="219">
      <c r="AA219" s="288"/>
    </row>
    <row r="220">
      <c r="AA220" s="288"/>
    </row>
    <row r="221">
      <c r="AA221" s="288"/>
    </row>
    <row r="222">
      <c r="AA222" s="288"/>
    </row>
    <row r="223">
      <c r="AA223" s="288"/>
    </row>
    <row r="224">
      <c r="AA224" s="288"/>
    </row>
    <row r="225">
      <c r="AA225" s="288"/>
    </row>
    <row r="226">
      <c r="AA226" s="288"/>
    </row>
    <row r="227">
      <c r="AA227" s="288"/>
    </row>
    <row r="228">
      <c r="AA228" s="288"/>
    </row>
    <row r="229">
      <c r="AA229" s="288"/>
    </row>
    <row r="230">
      <c r="AA230" s="288"/>
    </row>
    <row r="231">
      <c r="AA231" s="288"/>
    </row>
    <row r="232">
      <c r="AA232" s="288"/>
    </row>
    <row r="233">
      <c r="AA233" s="288"/>
    </row>
    <row r="234">
      <c r="AA234" s="288"/>
    </row>
    <row r="235">
      <c r="AA235" s="288"/>
    </row>
    <row r="236">
      <c r="AA236" s="288"/>
    </row>
    <row r="237">
      <c r="AA237" s="288"/>
    </row>
    <row r="238">
      <c r="AA238" s="288"/>
    </row>
    <row r="239">
      <c r="AA239" s="288"/>
    </row>
    <row r="240">
      <c r="AA240" s="288"/>
    </row>
    <row r="241">
      <c r="AA241" s="288"/>
    </row>
    <row r="242">
      <c r="AA242" s="288"/>
    </row>
    <row r="243">
      <c r="AA243" s="288"/>
    </row>
    <row r="244">
      <c r="AA244" s="288"/>
    </row>
    <row r="245">
      <c r="AA245" s="288"/>
    </row>
    <row r="246">
      <c r="AA246" s="288"/>
    </row>
    <row r="247">
      <c r="AA247" s="288"/>
    </row>
    <row r="248">
      <c r="AA248" s="288"/>
    </row>
    <row r="249">
      <c r="AA249" s="288"/>
    </row>
    <row r="250">
      <c r="AA250" s="288"/>
    </row>
    <row r="251">
      <c r="AA251" s="288"/>
    </row>
    <row r="252">
      <c r="AA252" s="288"/>
    </row>
    <row r="253">
      <c r="AA253" s="288"/>
    </row>
    <row r="254">
      <c r="AA254" s="288"/>
    </row>
    <row r="255">
      <c r="AA255" s="288"/>
    </row>
    <row r="256">
      <c r="AA256" s="288"/>
    </row>
    <row r="257">
      <c r="AA257" s="288"/>
    </row>
    <row r="258">
      <c r="AA258" s="288"/>
    </row>
    <row r="259">
      <c r="AA259" s="288"/>
    </row>
    <row r="260">
      <c r="AA260" s="288"/>
    </row>
    <row r="261">
      <c r="AA261" s="288"/>
    </row>
    <row r="262">
      <c r="AA262" s="288"/>
    </row>
    <row r="263">
      <c r="AA263" s="288"/>
    </row>
    <row r="264">
      <c r="AA264" s="288"/>
    </row>
    <row r="265">
      <c r="AA265" s="288"/>
    </row>
    <row r="266">
      <c r="AA266" s="288"/>
    </row>
    <row r="267">
      <c r="AA267" s="288"/>
    </row>
    <row r="268">
      <c r="AA268" s="288"/>
    </row>
    <row r="269">
      <c r="AA269" s="288"/>
    </row>
    <row r="270">
      <c r="AA270" s="288"/>
    </row>
    <row r="271">
      <c r="AA271" s="288"/>
    </row>
    <row r="272">
      <c r="AA272" s="288"/>
    </row>
    <row r="273">
      <c r="AA273" s="288"/>
    </row>
    <row r="274">
      <c r="AA274" s="288"/>
    </row>
    <row r="275">
      <c r="AA275" s="288"/>
    </row>
    <row r="276">
      <c r="AA276" s="288"/>
    </row>
    <row r="277">
      <c r="AA277" s="288"/>
    </row>
    <row r="278">
      <c r="AA278" s="288"/>
    </row>
    <row r="279">
      <c r="AA279" s="288"/>
    </row>
    <row r="280">
      <c r="AA280" s="288"/>
    </row>
    <row r="281">
      <c r="AA281" s="288"/>
    </row>
    <row r="282">
      <c r="AA282" s="288"/>
    </row>
    <row r="283">
      <c r="AA283" s="288"/>
    </row>
    <row r="284">
      <c r="AA284" s="288"/>
    </row>
    <row r="285">
      <c r="AA285" s="288"/>
    </row>
    <row r="286">
      <c r="AA286" s="288"/>
    </row>
    <row r="287">
      <c r="AA287" s="288"/>
    </row>
    <row r="288">
      <c r="AA288" s="288"/>
    </row>
    <row r="289">
      <c r="AA289" s="288"/>
    </row>
    <row r="290">
      <c r="AA290" s="288"/>
    </row>
    <row r="291">
      <c r="AA291" s="288"/>
    </row>
    <row r="292">
      <c r="AA292" s="288"/>
    </row>
    <row r="293">
      <c r="AA293" s="288"/>
    </row>
    <row r="294">
      <c r="AA294" s="288"/>
    </row>
    <row r="295">
      <c r="AA295" s="288"/>
    </row>
    <row r="296">
      <c r="AA296" s="288"/>
    </row>
    <row r="297">
      <c r="AA297" s="288"/>
    </row>
    <row r="298">
      <c r="AA298" s="288"/>
    </row>
    <row r="299">
      <c r="AA299" s="288"/>
    </row>
    <row r="300">
      <c r="AA300" s="288"/>
    </row>
    <row r="301">
      <c r="AA301" s="288"/>
    </row>
    <row r="302">
      <c r="AA302" s="288"/>
    </row>
    <row r="303">
      <c r="AA303" s="288"/>
    </row>
    <row r="304">
      <c r="AA304" s="288"/>
    </row>
    <row r="305">
      <c r="AA305" s="288"/>
    </row>
    <row r="306">
      <c r="AA306" s="288"/>
    </row>
    <row r="307">
      <c r="AA307" s="288"/>
    </row>
    <row r="308">
      <c r="AA308" s="288"/>
    </row>
    <row r="309">
      <c r="AA309" s="288"/>
    </row>
    <row r="310">
      <c r="AA310" s="288"/>
    </row>
    <row r="311">
      <c r="AA311" s="288"/>
    </row>
    <row r="312">
      <c r="AA312" s="288"/>
    </row>
    <row r="313">
      <c r="AA313" s="288"/>
    </row>
    <row r="314">
      <c r="AA314" s="288"/>
    </row>
    <row r="315">
      <c r="AA315" s="288"/>
    </row>
    <row r="316">
      <c r="AA316" s="288"/>
    </row>
    <row r="317">
      <c r="AA317" s="288"/>
    </row>
    <row r="318">
      <c r="AA318" s="288"/>
    </row>
    <row r="319">
      <c r="AA319" s="288"/>
    </row>
    <row r="320">
      <c r="AA320" s="288"/>
    </row>
    <row r="321">
      <c r="AA321" s="288"/>
    </row>
    <row r="322">
      <c r="AA322" s="288"/>
    </row>
    <row r="323">
      <c r="AA323" s="288"/>
    </row>
    <row r="324">
      <c r="AA324" s="288"/>
    </row>
    <row r="325">
      <c r="AA325" s="288"/>
    </row>
    <row r="326">
      <c r="AA326" s="288"/>
    </row>
    <row r="327">
      <c r="AA327" s="288"/>
    </row>
    <row r="328">
      <c r="AA328" s="288"/>
    </row>
    <row r="329">
      <c r="AA329" s="288"/>
    </row>
    <row r="330">
      <c r="AA330" s="288"/>
    </row>
    <row r="331">
      <c r="AA331" s="288"/>
    </row>
    <row r="332">
      <c r="AA332" s="288"/>
    </row>
    <row r="333">
      <c r="AA333" s="288"/>
    </row>
    <row r="334">
      <c r="AA334" s="288"/>
    </row>
    <row r="335">
      <c r="AA335" s="288"/>
    </row>
    <row r="336">
      <c r="AA336" s="288"/>
    </row>
    <row r="337">
      <c r="AA337" s="288"/>
    </row>
    <row r="338">
      <c r="AA338" s="288"/>
    </row>
    <row r="339">
      <c r="AA339" s="288"/>
    </row>
    <row r="340">
      <c r="AA340" s="288"/>
    </row>
    <row r="341">
      <c r="AA341" s="288"/>
    </row>
    <row r="342">
      <c r="AA342" s="288"/>
    </row>
    <row r="343">
      <c r="AA343" s="288"/>
    </row>
    <row r="344">
      <c r="AA344" s="288"/>
    </row>
    <row r="345">
      <c r="AA345" s="288"/>
    </row>
    <row r="346">
      <c r="AA346" s="288"/>
    </row>
    <row r="347">
      <c r="AA347" s="288"/>
    </row>
    <row r="348">
      <c r="AA348" s="288"/>
    </row>
    <row r="349">
      <c r="AA349" s="288"/>
    </row>
    <row r="350">
      <c r="AA350" s="288"/>
    </row>
    <row r="351">
      <c r="AA351" s="288"/>
    </row>
    <row r="352">
      <c r="AA352" s="288"/>
    </row>
    <row r="353">
      <c r="AA353" s="288"/>
    </row>
    <row r="354">
      <c r="AA354" s="288"/>
    </row>
    <row r="355">
      <c r="AA355" s="288"/>
    </row>
    <row r="356">
      <c r="AA356" s="288"/>
    </row>
    <row r="357">
      <c r="AA357" s="288"/>
    </row>
    <row r="358">
      <c r="AA358" s="288"/>
    </row>
    <row r="359">
      <c r="AA359" s="288"/>
    </row>
    <row r="360">
      <c r="AA360" s="288"/>
    </row>
    <row r="361">
      <c r="AA361" s="288"/>
    </row>
    <row r="362">
      <c r="AA362" s="288"/>
    </row>
    <row r="363">
      <c r="AA363" s="288"/>
    </row>
    <row r="364">
      <c r="AA364" s="288"/>
    </row>
    <row r="365">
      <c r="AA365" s="288"/>
    </row>
    <row r="366">
      <c r="AA366" s="288"/>
    </row>
    <row r="367">
      <c r="AA367" s="288"/>
    </row>
    <row r="368">
      <c r="AA368" s="288"/>
    </row>
    <row r="369">
      <c r="AA369" s="288"/>
    </row>
    <row r="370">
      <c r="AA370" s="288"/>
    </row>
    <row r="371">
      <c r="AA371" s="288"/>
    </row>
    <row r="372">
      <c r="AA372" s="288"/>
    </row>
    <row r="373">
      <c r="AA373" s="288"/>
    </row>
    <row r="374">
      <c r="AA374" s="288"/>
    </row>
    <row r="375">
      <c r="AA375" s="288"/>
    </row>
    <row r="376">
      <c r="AA376" s="288"/>
    </row>
    <row r="377">
      <c r="AA377" s="288"/>
    </row>
    <row r="378">
      <c r="AA378" s="288"/>
    </row>
    <row r="379">
      <c r="AA379" s="288"/>
    </row>
    <row r="380">
      <c r="AA380" s="288"/>
    </row>
    <row r="381">
      <c r="AA381" s="288"/>
    </row>
    <row r="382">
      <c r="AA382" s="288"/>
    </row>
    <row r="383">
      <c r="AA383" s="288"/>
    </row>
    <row r="384">
      <c r="AA384" s="288"/>
    </row>
    <row r="385">
      <c r="AA385" s="288"/>
    </row>
    <row r="386">
      <c r="AA386" s="288"/>
    </row>
    <row r="387">
      <c r="AA387" s="288"/>
    </row>
    <row r="388">
      <c r="AA388" s="288"/>
    </row>
    <row r="389">
      <c r="AA389" s="288"/>
    </row>
    <row r="390">
      <c r="AA390" s="288"/>
    </row>
    <row r="391">
      <c r="AA391" s="288"/>
    </row>
    <row r="392">
      <c r="AA392" s="288"/>
    </row>
    <row r="393">
      <c r="AA393" s="288"/>
    </row>
    <row r="394">
      <c r="AA394" s="288"/>
    </row>
    <row r="395">
      <c r="AA395" s="288"/>
    </row>
    <row r="396">
      <c r="AA396" s="288"/>
    </row>
    <row r="397">
      <c r="AA397" s="288"/>
    </row>
    <row r="398">
      <c r="AA398" s="288"/>
    </row>
    <row r="399">
      <c r="AA399" s="288"/>
    </row>
    <row r="400">
      <c r="AA400" s="288"/>
    </row>
    <row r="401">
      <c r="AA401" s="288"/>
    </row>
    <row r="402">
      <c r="AA402" s="288"/>
    </row>
    <row r="403">
      <c r="AA403" s="288"/>
    </row>
    <row r="404">
      <c r="AA404" s="288"/>
    </row>
    <row r="405">
      <c r="AA405" s="288"/>
    </row>
    <row r="406">
      <c r="AA406" s="288"/>
    </row>
    <row r="407">
      <c r="AA407" s="288"/>
    </row>
    <row r="408">
      <c r="AA408" s="288"/>
    </row>
    <row r="409">
      <c r="AA409" s="288"/>
    </row>
    <row r="410">
      <c r="AA410" s="288"/>
    </row>
    <row r="411">
      <c r="AA411" s="288"/>
    </row>
    <row r="412">
      <c r="AA412" s="288"/>
    </row>
    <row r="413">
      <c r="AA413" s="288"/>
    </row>
    <row r="414">
      <c r="AA414" s="288"/>
    </row>
    <row r="415">
      <c r="AA415" s="288"/>
    </row>
    <row r="416">
      <c r="AA416" s="288"/>
    </row>
    <row r="417">
      <c r="AA417" s="288"/>
    </row>
    <row r="418">
      <c r="AA418" s="288"/>
    </row>
    <row r="419">
      <c r="AA419" s="288"/>
    </row>
    <row r="420">
      <c r="AA420" s="288"/>
    </row>
    <row r="421">
      <c r="AA421" s="288"/>
    </row>
    <row r="422">
      <c r="AA422" s="288"/>
    </row>
    <row r="423">
      <c r="AA423" s="288"/>
    </row>
    <row r="424">
      <c r="AA424" s="288"/>
    </row>
    <row r="425">
      <c r="AA425" s="288"/>
    </row>
    <row r="426">
      <c r="AA426" s="288"/>
    </row>
    <row r="427">
      <c r="AA427" s="288"/>
    </row>
    <row r="428">
      <c r="AA428" s="288"/>
    </row>
    <row r="429">
      <c r="AA429" s="288"/>
    </row>
    <row r="430">
      <c r="AA430" s="288"/>
    </row>
    <row r="431">
      <c r="AA431" s="288"/>
    </row>
    <row r="432">
      <c r="AA432" s="288"/>
    </row>
    <row r="433">
      <c r="AA433" s="288"/>
    </row>
    <row r="434">
      <c r="AA434" s="288"/>
    </row>
    <row r="435">
      <c r="AA435" s="288"/>
    </row>
    <row r="436">
      <c r="AA436" s="288"/>
    </row>
    <row r="437">
      <c r="AA437" s="288"/>
    </row>
    <row r="438">
      <c r="AA438" s="288"/>
    </row>
    <row r="439">
      <c r="AA439" s="288"/>
    </row>
    <row r="440">
      <c r="AA440" s="288"/>
    </row>
    <row r="441">
      <c r="AA441" s="288"/>
    </row>
    <row r="442">
      <c r="AA442" s="288"/>
    </row>
    <row r="443">
      <c r="AA443" s="288"/>
    </row>
    <row r="444">
      <c r="AA444" s="288"/>
    </row>
    <row r="445">
      <c r="AA445" s="288"/>
    </row>
    <row r="446">
      <c r="AA446" s="288"/>
    </row>
    <row r="447">
      <c r="AA447" s="288"/>
    </row>
    <row r="448">
      <c r="AA448" s="288"/>
    </row>
    <row r="449">
      <c r="AA449" s="288"/>
    </row>
    <row r="450">
      <c r="AA450" s="288"/>
    </row>
    <row r="451">
      <c r="AA451" s="288"/>
    </row>
    <row r="452">
      <c r="AA452" s="288"/>
    </row>
    <row r="453">
      <c r="AA453" s="288"/>
    </row>
    <row r="454">
      <c r="AA454" s="288"/>
    </row>
    <row r="455">
      <c r="AA455" s="288"/>
    </row>
    <row r="456">
      <c r="AA456" s="288"/>
    </row>
    <row r="457">
      <c r="AA457" s="288"/>
    </row>
    <row r="458">
      <c r="AA458" s="288"/>
    </row>
    <row r="459">
      <c r="AA459" s="288"/>
    </row>
    <row r="460">
      <c r="AA460" s="288"/>
    </row>
    <row r="461">
      <c r="AA461" s="288"/>
    </row>
    <row r="462">
      <c r="AA462" s="288"/>
    </row>
    <row r="463">
      <c r="AA463" s="288"/>
    </row>
    <row r="464">
      <c r="AA464" s="288"/>
    </row>
    <row r="465">
      <c r="AA465" s="288"/>
    </row>
    <row r="466">
      <c r="AA466" s="288"/>
    </row>
    <row r="467">
      <c r="AA467" s="288"/>
    </row>
    <row r="468">
      <c r="AA468" s="288"/>
    </row>
    <row r="469">
      <c r="AA469" s="288"/>
    </row>
    <row r="470">
      <c r="AA470" s="288"/>
    </row>
    <row r="471">
      <c r="AA471" s="288"/>
    </row>
    <row r="472">
      <c r="AA472" s="288"/>
    </row>
    <row r="473">
      <c r="AA473" s="288"/>
    </row>
    <row r="474">
      <c r="AA474" s="288"/>
    </row>
    <row r="475">
      <c r="AA475" s="288"/>
    </row>
    <row r="476">
      <c r="AA476" s="288"/>
    </row>
    <row r="477">
      <c r="AA477" s="288"/>
    </row>
    <row r="478">
      <c r="AA478" s="288"/>
    </row>
    <row r="479">
      <c r="AA479" s="288"/>
    </row>
    <row r="480">
      <c r="AA480" s="288"/>
    </row>
    <row r="481">
      <c r="AA481" s="288"/>
    </row>
    <row r="482">
      <c r="AA482" s="288"/>
    </row>
    <row r="483">
      <c r="AA483" s="288"/>
    </row>
    <row r="484">
      <c r="AA484" s="288"/>
    </row>
    <row r="485">
      <c r="AA485" s="288"/>
    </row>
    <row r="486">
      <c r="AA486" s="288"/>
    </row>
    <row r="487">
      <c r="AA487" s="288"/>
    </row>
    <row r="488">
      <c r="AA488" s="288"/>
    </row>
    <row r="489">
      <c r="AA489" s="288"/>
    </row>
    <row r="490">
      <c r="AA490" s="288"/>
    </row>
    <row r="491">
      <c r="AA491" s="288"/>
    </row>
    <row r="492">
      <c r="AA492" s="288"/>
    </row>
    <row r="493">
      <c r="AA493" s="288"/>
    </row>
    <row r="494">
      <c r="AA494" s="288"/>
    </row>
    <row r="495">
      <c r="AA495" s="288"/>
    </row>
    <row r="496">
      <c r="AA496" s="288"/>
    </row>
    <row r="497">
      <c r="AA497" s="288"/>
    </row>
    <row r="498">
      <c r="AA498" s="288"/>
    </row>
    <row r="499">
      <c r="AA499" s="288"/>
    </row>
    <row r="500">
      <c r="AA500" s="288"/>
    </row>
    <row r="501">
      <c r="AA501" s="288"/>
    </row>
    <row r="502">
      <c r="AA502" s="288"/>
    </row>
    <row r="503">
      <c r="AA503" s="288"/>
    </row>
    <row r="504">
      <c r="AA504" s="288"/>
    </row>
    <row r="505">
      <c r="AA505" s="288"/>
    </row>
    <row r="506">
      <c r="AA506" s="288"/>
    </row>
    <row r="507">
      <c r="AA507" s="288"/>
    </row>
    <row r="508">
      <c r="AA508" s="288"/>
    </row>
    <row r="509">
      <c r="AA509" s="288"/>
    </row>
    <row r="510">
      <c r="AA510" s="288"/>
    </row>
    <row r="511">
      <c r="AA511" s="288"/>
    </row>
    <row r="512">
      <c r="AA512" s="288"/>
    </row>
    <row r="513">
      <c r="AA513" s="288"/>
    </row>
    <row r="514">
      <c r="AA514" s="288"/>
    </row>
    <row r="515">
      <c r="AA515" s="288"/>
    </row>
    <row r="516">
      <c r="AA516" s="288"/>
    </row>
    <row r="517">
      <c r="AA517" s="288"/>
    </row>
    <row r="518">
      <c r="AA518" s="288"/>
    </row>
    <row r="519">
      <c r="AA519" s="288"/>
    </row>
    <row r="520">
      <c r="AA520" s="288"/>
    </row>
    <row r="521">
      <c r="AA521" s="288"/>
    </row>
    <row r="522">
      <c r="AA522" s="288"/>
    </row>
    <row r="523">
      <c r="AA523" s="288"/>
    </row>
    <row r="524">
      <c r="AA524" s="288"/>
    </row>
    <row r="525">
      <c r="AA525" s="288"/>
    </row>
    <row r="526">
      <c r="AA526" s="288"/>
    </row>
    <row r="527">
      <c r="AA527" s="288"/>
    </row>
    <row r="528">
      <c r="AA528" s="288"/>
    </row>
    <row r="529">
      <c r="AA529" s="288"/>
    </row>
    <row r="530">
      <c r="AA530" s="288"/>
    </row>
    <row r="531">
      <c r="AA531" s="288"/>
    </row>
    <row r="532">
      <c r="AA532" s="288"/>
    </row>
    <row r="533">
      <c r="AA533" s="288"/>
    </row>
    <row r="534">
      <c r="AA534" s="288"/>
    </row>
    <row r="535">
      <c r="AA535" s="288"/>
    </row>
    <row r="536">
      <c r="AA536" s="288"/>
    </row>
    <row r="537">
      <c r="AA537" s="288"/>
    </row>
    <row r="538">
      <c r="AA538" s="288"/>
    </row>
    <row r="539">
      <c r="AA539" s="288"/>
    </row>
    <row r="540">
      <c r="AA540" s="288"/>
    </row>
    <row r="541">
      <c r="AA541" s="288"/>
    </row>
    <row r="542">
      <c r="AA542" s="288"/>
    </row>
    <row r="543">
      <c r="AA543" s="288"/>
    </row>
    <row r="544">
      <c r="AA544" s="288"/>
    </row>
    <row r="545">
      <c r="AA545" s="288"/>
    </row>
    <row r="546">
      <c r="AA546" s="288"/>
    </row>
    <row r="547">
      <c r="AA547" s="288"/>
    </row>
    <row r="548">
      <c r="AA548" s="288"/>
    </row>
    <row r="549">
      <c r="AA549" s="288"/>
    </row>
    <row r="550">
      <c r="AA550" s="288"/>
    </row>
    <row r="551">
      <c r="AA551" s="288"/>
    </row>
    <row r="552">
      <c r="AA552" s="288"/>
    </row>
    <row r="553">
      <c r="AA553" s="288"/>
    </row>
    <row r="554">
      <c r="AA554" s="288"/>
    </row>
    <row r="555">
      <c r="AA555" s="288"/>
    </row>
    <row r="556">
      <c r="AA556" s="288"/>
    </row>
    <row r="557">
      <c r="AA557" s="288"/>
    </row>
    <row r="558">
      <c r="AA558" s="288"/>
    </row>
    <row r="559">
      <c r="AA559" s="288"/>
    </row>
    <row r="560">
      <c r="AA560" s="288"/>
    </row>
    <row r="561">
      <c r="AA561" s="288"/>
    </row>
    <row r="562">
      <c r="AA562" s="288"/>
    </row>
    <row r="563">
      <c r="AA563" s="288"/>
    </row>
    <row r="564">
      <c r="AA564" s="288"/>
    </row>
    <row r="565">
      <c r="AA565" s="288"/>
    </row>
    <row r="566">
      <c r="AA566" s="288"/>
    </row>
    <row r="567">
      <c r="AA567" s="288"/>
    </row>
    <row r="568">
      <c r="AA568" s="288"/>
    </row>
    <row r="569">
      <c r="AA569" s="288"/>
    </row>
    <row r="570">
      <c r="AA570" s="288"/>
    </row>
    <row r="571">
      <c r="AA571" s="288"/>
    </row>
    <row r="572">
      <c r="AA572" s="288"/>
    </row>
    <row r="573">
      <c r="AA573" s="288"/>
    </row>
    <row r="574">
      <c r="AA574" s="288"/>
    </row>
    <row r="575">
      <c r="AA575" s="288"/>
    </row>
    <row r="576">
      <c r="AA576" s="288"/>
    </row>
    <row r="577">
      <c r="AA577" s="288"/>
    </row>
    <row r="578">
      <c r="AA578" s="288"/>
    </row>
    <row r="579">
      <c r="AA579" s="288"/>
    </row>
    <row r="580">
      <c r="AA580" s="288"/>
    </row>
    <row r="581">
      <c r="AA581" s="288"/>
    </row>
    <row r="582">
      <c r="AA582" s="288"/>
    </row>
    <row r="583">
      <c r="AA583" s="288"/>
    </row>
    <row r="584">
      <c r="AA584" s="288"/>
    </row>
    <row r="585">
      <c r="AA585" s="288"/>
    </row>
    <row r="586">
      <c r="AA586" s="288"/>
    </row>
    <row r="587">
      <c r="AA587" s="288"/>
    </row>
    <row r="588">
      <c r="AA588" s="288"/>
    </row>
    <row r="589">
      <c r="AA589" s="288"/>
    </row>
    <row r="590">
      <c r="AA590" s="288"/>
    </row>
    <row r="591">
      <c r="AA591" s="288"/>
    </row>
    <row r="592">
      <c r="AA592" s="288"/>
    </row>
    <row r="593">
      <c r="AA593" s="288"/>
    </row>
    <row r="594">
      <c r="AA594" s="288"/>
    </row>
    <row r="595">
      <c r="AA595" s="288"/>
    </row>
    <row r="596">
      <c r="AA596" s="288"/>
    </row>
    <row r="597">
      <c r="AA597" s="288"/>
    </row>
    <row r="598">
      <c r="AA598" s="288"/>
    </row>
    <row r="599">
      <c r="AA599" s="288"/>
    </row>
    <row r="600">
      <c r="AA600" s="288"/>
    </row>
    <row r="601">
      <c r="AA601" s="288"/>
    </row>
    <row r="602">
      <c r="AA602" s="288"/>
    </row>
    <row r="603">
      <c r="AA603" s="288"/>
    </row>
    <row r="604">
      <c r="AA604" s="288"/>
    </row>
    <row r="605">
      <c r="AA605" s="288"/>
    </row>
    <row r="606">
      <c r="AA606" s="288"/>
    </row>
    <row r="607">
      <c r="AA607" s="288"/>
    </row>
    <row r="608">
      <c r="AA608" s="288"/>
    </row>
    <row r="609">
      <c r="AA609" s="288"/>
    </row>
    <row r="610">
      <c r="AA610" s="288"/>
    </row>
    <row r="611">
      <c r="AA611" s="288"/>
    </row>
    <row r="612">
      <c r="AA612" s="288"/>
    </row>
    <row r="613">
      <c r="AA613" s="288"/>
    </row>
    <row r="614">
      <c r="AA614" s="288"/>
    </row>
    <row r="615">
      <c r="AA615" s="288"/>
    </row>
    <row r="616">
      <c r="AA616" s="288"/>
    </row>
    <row r="617">
      <c r="AA617" s="288"/>
    </row>
    <row r="618">
      <c r="AA618" s="288"/>
    </row>
    <row r="619">
      <c r="AA619" s="288"/>
    </row>
    <row r="620">
      <c r="AA620" s="288"/>
    </row>
    <row r="621">
      <c r="AA621" s="288"/>
    </row>
    <row r="622">
      <c r="AA622" s="288"/>
    </row>
    <row r="623">
      <c r="AA623" s="288"/>
    </row>
    <row r="624">
      <c r="AA624" s="288"/>
    </row>
    <row r="625">
      <c r="AA625" s="288"/>
    </row>
    <row r="626">
      <c r="AA626" s="288"/>
    </row>
    <row r="627">
      <c r="AA627" s="288"/>
    </row>
    <row r="628">
      <c r="AA628" s="288"/>
    </row>
    <row r="629">
      <c r="AA629" s="288"/>
    </row>
    <row r="630">
      <c r="AA630" s="288"/>
    </row>
    <row r="631">
      <c r="AA631" s="288"/>
    </row>
    <row r="632">
      <c r="AA632" s="288"/>
    </row>
    <row r="633">
      <c r="AA633" s="288"/>
    </row>
    <row r="634">
      <c r="AA634" s="288"/>
    </row>
    <row r="635">
      <c r="AA635" s="288"/>
    </row>
    <row r="636">
      <c r="AA636" s="288"/>
    </row>
    <row r="637">
      <c r="AA637" s="288"/>
    </row>
    <row r="638">
      <c r="AA638" s="288"/>
    </row>
    <row r="639">
      <c r="AA639" s="288"/>
    </row>
    <row r="640">
      <c r="AA640" s="288"/>
    </row>
    <row r="641">
      <c r="AA641" s="288"/>
    </row>
    <row r="642">
      <c r="AA642" s="288"/>
    </row>
    <row r="643">
      <c r="AA643" s="288"/>
    </row>
    <row r="644">
      <c r="AA644" s="288"/>
    </row>
    <row r="645">
      <c r="AA645" s="288"/>
    </row>
    <row r="646">
      <c r="AA646" s="288"/>
    </row>
    <row r="647">
      <c r="AA647" s="288"/>
    </row>
    <row r="648">
      <c r="AA648" s="288"/>
    </row>
    <row r="649">
      <c r="AA649" s="288"/>
    </row>
    <row r="650">
      <c r="AA650" s="288"/>
    </row>
    <row r="651">
      <c r="AA651" s="288"/>
    </row>
    <row r="652">
      <c r="AA652" s="288"/>
    </row>
    <row r="653">
      <c r="AA653" s="288"/>
    </row>
    <row r="654">
      <c r="AA654" s="288"/>
    </row>
    <row r="655">
      <c r="AA655" s="288"/>
    </row>
    <row r="656">
      <c r="AA656" s="288"/>
    </row>
    <row r="657">
      <c r="AA657" s="288"/>
    </row>
    <row r="658">
      <c r="AA658" s="288"/>
    </row>
    <row r="659">
      <c r="AA659" s="288"/>
    </row>
    <row r="660">
      <c r="AA660" s="288"/>
    </row>
    <row r="661">
      <c r="AA661" s="288"/>
    </row>
    <row r="662">
      <c r="AA662" s="288"/>
    </row>
    <row r="663">
      <c r="AA663" s="288"/>
    </row>
    <row r="664">
      <c r="AA664" s="288"/>
    </row>
    <row r="665">
      <c r="AA665" s="288"/>
    </row>
    <row r="666">
      <c r="AA666" s="288"/>
    </row>
    <row r="667">
      <c r="AA667" s="288"/>
    </row>
    <row r="668">
      <c r="AA668" s="288"/>
    </row>
    <row r="669">
      <c r="AA669" s="288"/>
    </row>
    <row r="670">
      <c r="AA670" s="288"/>
    </row>
    <row r="671">
      <c r="AA671" s="288"/>
    </row>
    <row r="672">
      <c r="AA672" s="288"/>
    </row>
    <row r="673">
      <c r="AA673" s="288"/>
    </row>
    <row r="674">
      <c r="AA674" s="288"/>
    </row>
    <row r="675">
      <c r="AA675" s="288"/>
    </row>
    <row r="676">
      <c r="AA676" s="288"/>
    </row>
    <row r="677">
      <c r="AA677" s="288"/>
    </row>
    <row r="678">
      <c r="AA678" s="288"/>
    </row>
    <row r="679">
      <c r="AA679" s="288"/>
    </row>
    <row r="680">
      <c r="AA680" s="288"/>
    </row>
    <row r="681">
      <c r="AA681" s="288"/>
    </row>
    <row r="682">
      <c r="AA682" s="288"/>
    </row>
    <row r="683">
      <c r="AA683" s="288"/>
    </row>
    <row r="684">
      <c r="AA684" s="288"/>
    </row>
    <row r="685">
      <c r="AA685" s="288"/>
    </row>
    <row r="686">
      <c r="AA686" s="288"/>
    </row>
    <row r="687">
      <c r="AA687" s="288"/>
    </row>
    <row r="688">
      <c r="AA688" s="288"/>
    </row>
    <row r="689">
      <c r="AA689" s="288"/>
    </row>
    <row r="690">
      <c r="AA690" s="288"/>
    </row>
    <row r="691">
      <c r="AA691" s="288"/>
    </row>
    <row r="692">
      <c r="AA692" s="288"/>
    </row>
    <row r="693">
      <c r="AA693" s="288"/>
    </row>
    <row r="694">
      <c r="AA694" s="288"/>
    </row>
    <row r="695">
      <c r="AA695" s="288"/>
    </row>
    <row r="696">
      <c r="AA696" s="288"/>
    </row>
    <row r="697">
      <c r="AA697" s="288"/>
    </row>
    <row r="698">
      <c r="AA698" s="288"/>
    </row>
    <row r="699">
      <c r="AA699" s="288"/>
    </row>
    <row r="700">
      <c r="AA700" s="288"/>
    </row>
    <row r="701">
      <c r="AA701" s="288"/>
    </row>
    <row r="702">
      <c r="AA702" s="288"/>
    </row>
    <row r="703">
      <c r="AA703" s="288"/>
    </row>
    <row r="704">
      <c r="AA704" s="288"/>
    </row>
    <row r="705">
      <c r="AA705" s="288"/>
    </row>
    <row r="706">
      <c r="AA706" s="288"/>
    </row>
    <row r="707">
      <c r="AA707" s="288"/>
    </row>
    <row r="708">
      <c r="AA708" s="288"/>
    </row>
    <row r="709">
      <c r="AA709" s="288"/>
    </row>
    <row r="710">
      <c r="AA710" s="288"/>
    </row>
    <row r="711">
      <c r="AA711" s="288"/>
    </row>
    <row r="712">
      <c r="AA712" s="288"/>
    </row>
    <row r="713">
      <c r="AA713" s="288"/>
    </row>
    <row r="714">
      <c r="AA714" s="288"/>
    </row>
    <row r="715">
      <c r="AA715" s="288"/>
    </row>
    <row r="716">
      <c r="AA716" s="288"/>
    </row>
    <row r="717">
      <c r="AA717" s="288"/>
    </row>
    <row r="718">
      <c r="AA718" s="288"/>
    </row>
    <row r="719">
      <c r="AA719" s="288"/>
    </row>
    <row r="720">
      <c r="AA720" s="288"/>
    </row>
    <row r="721">
      <c r="AA721" s="288"/>
    </row>
    <row r="722">
      <c r="AA722" s="288"/>
    </row>
    <row r="723">
      <c r="AA723" s="288"/>
    </row>
    <row r="724">
      <c r="AA724" s="288"/>
    </row>
    <row r="725">
      <c r="AA725" s="288"/>
    </row>
    <row r="726">
      <c r="AA726" s="288"/>
    </row>
    <row r="727">
      <c r="AA727" s="288"/>
    </row>
    <row r="728">
      <c r="AA728" s="288"/>
    </row>
    <row r="729">
      <c r="AA729" s="288"/>
    </row>
    <row r="730">
      <c r="AA730" s="288"/>
    </row>
    <row r="731">
      <c r="AA731" s="288"/>
    </row>
    <row r="732">
      <c r="AA732" s="288"/>
    </row>
    <row r="733">
      <c r="AA733" s="288"/>
    </row>
    <row r="734">
      <c r="AA734" s="288"/>
    </row>
    <row r="735">
      <c r="AA735" s="288"/>
    </row>
    <row r="736">
      <c r="AA736" s="288"/>
    </row>
    <row r="737">
      <c r="AA737" s="288"/>
    </row>
    <row r="738">
      <c r="AA738" s="288"/>
    </row>
    <row r="739">
      <c r="AA739" s="288"/>
    </row>
    <row r="740">
      <c r="AA740" s="288"/>
    </row>
    <row r="741">
      <c r="AA741" s="288"/>
    </row>
    <row r="742">
      <c r="AA742" s="288"/>
    </row>
    <row r="743">
      <c r="AA743" s="288"/>
    </row>
    <row r="744">
      <c r="AA744" s="288"/>
    </row>
    <row r="745">
      <c r="AA745" s="288"/>
    </row>
    <row r="746">
      <c r="AA746" s="288"/>
    </row>
    <row r="747">
      <c r="AA747" s="288"/>
    </row>
    <row r="748">
      <c r="AA748" s="288"/>
    </row>
    <row r="749">
      <c r="AA749" s="288"/>
    </row>
    <row r="750">
      <c r="AA750" s="288"/>
    </row>
    <row r="751">
      <c r="AA751" s="288"/>
    </row>
    <row r="752">
      <c r="AA752" s="288"/>
    </row>
    <row r="753">
      <c r="AA753" s="288"/>
    </row>
    <row r="754">
      <c r="AA754" s="288"/>
    </row>
    <row r="755">
      <c r="AA755" s="288"/>
    </row>
    <row r="756">
      <c r="AA756" s="288"/>
    </row>
    <row r="757">
      <c r="AA757" s="288"/>
    </row>
    <row r="758">
      <c r="AA758" s="288"/>
    </row>
    <row r="759">
      <c r="AA759" s="288"/>
    </row>
    <row r="760">
      <c r="AA760" s="288"/>
    </row>
    <row r="761">
      <c r="AA761" s="288"/>
    </row>
    <row r="762">
      <c r="AA762" s="288"/>
    </row>
    <row r="763">
      <c r="AA763" s="288"/>
    </row>
    <row r="764">
      <c r="AA764" s="288"/>
    </row>
    <row r="765">
      <c r="AA765" s="288"/>
    </row>
    <row r="766">
      <c r="AA766" s="288"/>
    </row>
    <row r="767">
      <c r="AA767" s="288"/>
    </row>
    <row r="768">
      <c r="AA768" s="288"/>
    </row>
    <row r="769">
      <c r="AA769" s="288"/>
    </row>
    <row r="770">
      <c r="AA770" s="288"/>
    </row>
    <row r="771">
      <c r="AA771" s="288"/>
    </row>
    <row r="772">
      <c r="AA772" s="288"/>
    </row>
    <row r="773">
      <c r="AA773" s="288"/>
    </row>
    <row r="774">
      <c r="AA774" s="288"/>
    </row>
    <row r="775">
      <c r="AA775" s="288"/>
    </row>
    <row r="776">
      <c r="AA776" s="288"/>
    </row>
    <row r="777">
      <c r="AA777" s="288"/>
    </row>
    <row r="778">
      <c r="AA778" s="288"/>
    </row>
    <row r="779">
      <c r="AA779" s="288"/>
    </row>
    <row r="780">
      <c r="AA780" s="288"/>
    </row>
    <row r="781">
      <c r="AA781" s="288"/>
    </row>
    <row r="782">
      <c r="AA782" s="288"/>
    </row>
    <row r="783">
      <c r="AA783" s="288"/>
    </row>
    <row r="784">
      <c r="AA784" s="288"/>
    </row>
    <row r="785">
      <c r="AA785" s="288"/>
    </row>
    <row r="786">
      <c r="AA786" s="288"/>
    </row>
    <row r="787">
      <c r="AA787" s="288"/>
    </row>
    <row r="788">
      <c r="AA788" s="288"/>
    </row>
    <row r="789">
      <c r="AA789" s="288"/>
    </row>
    <row r="790">
      <c r="AA790" s="288"/>
    </row>
    <row r="791">
      <c r="AA791" s="288"/>
    </row>
    <row r="792">
      <c r="AA792" s="288"/>
    </row>
    <row r="793">
      <c r="AA793" s="288"/>
    </row>
    <row r="794">
      <c r="AA794" s="288"/>
    </row>
    <row r="795">
      <c r="AA795" s="288"/>
    </row>
    <row r="796">
      <c r="AA796" s="288"/>
    </row>
    <row r="797">
      <c r="AA797" s="288"/>
    </row>
    <row r="798">
      <c r="AA798" s="288"/>
    </row>
    <row r="799">
      <c r="AA799" s="288"/>
    </row>
    <row r="800">
      <c r="AA800" s="288"/>
    </row>
    <row r="801">
      <c r="AA801" s="288"/>
    </row>
    <row r="802">
      <c r="AA802" s="288"/>
    </row>
    <row r="803">
      <c r="AA803" s="288"/>
    </row>
    <row r="804">
      <c r="AA804" s="288"/>
    </row>
    <row r="805">
      <c r="AA805" s="288"/>
    </row>
    <row r="806">
      <c r="AA806" s="288"/>
    </row>
    <row r="807">
      <c r="AA807" s="288"/>
    </row>
    <row r="808">
      <c r="AA808" s="288"/>
    </row>
    <row r="809">
      <c r="AA809" s="288"/>
    </row>
    <row r="810">
      <c r="AA810" s="288"/>
    </row>
    <row r="811">
      <c r="AA811" s="288"/>
    </row>
    <row r="812">
      <c r="AA812" s="288"/>
    </row>
    <row r="813">
      <c r="AA813" s="288"/>
    </row>
    <row r="814">
      <c r="AA814" s="288"/>
    </row>
    <row r="815">
      <c r="AA815" s="288"/>
    </row>
    <row r="816">
      <c r="AA816" s="288"/>
    </row>
    <row r="817">
      <c r="AA817" s="288"/>
    </row>
    <row r="818">
      <c r="AA818" s="288"/>
    </row>
    <row r="819">
      <c r="AA819" s="288"/>
    </row>
    <row r="820">
      <c r="AA820" s="288"/>
    </row>
    <row r="821">
      <c r="AA821" s="288"/>
    </row>
    <row r="822">
      <c r="AA822" s="288"/>
    </row>
    <row r="823">
      <c r="AA823" s="288"/>
    </row>
    <row r="824">
      <c r="AA824" s="288"/>
    </row>
    <row r="825">
      <c r="AA825" s="288"/>
    </row>
    <row r="826">
      <c r="AA826" s="288"/>
    </row>
    <row r="827">
      <c r="AA827" s="288"/>
    </row>
    <row r="828">
      <c r="AA828" s="288"/>
    </row>
    <row r="829">
      <c r="AA829" s="288"/>
    </row>
    <row r="830">
      <c r="AA830" s="288"/>
    </row>
    <row r="831">
      <c r="AA831" s="288"/>
    </row>
    <row r="832">
      <c r="AA832" s="288"/>
    </row>
    <row r="833">
      <c r="AA833" s="288"/>
    </row>
    <row r="834">
      <c r="AA834" s="288"/>
    </row>
    <row r="835">
      <c r="AA835" s="288"/>
    </row>
    <row r="836">
      <c r="AA836" s="288"/>
    </row>
    <row r="837">
      <c r="AA837" s="288"/>
    </row>
    <row r="838">
      <c r="AA838" s="288"/>
    </row>
    <row r="839">
      <c r="AA839" s="288"/>
    </row>
    <row r="840">
      <c r="AA840" s="288"/>
    </row>
    <row r="841">
      <c r="AA841" s="288"/>
    </row>
    <row r="842">
      <c r="AA842" s="288"/>
    </row>
    <row r="843">
      <c r="AA843" s="288"/>
    </row>
    <row r="844">
      <c r="AA844" s="288"/>
    </row>
    <row r="845">
      <c r="AA845" s="288"/>
    </row>
    <row r="846">
      <c r="AA846" s="288"/>
    </row>
    <row r="847">
      <c r="AA847" s="288"/>
    </row>
    <row r="848">
      <c r="AA848" s="288"/>
    </row>
    <row r="849">
      <c r="AA849" s="288"/>
    </row>
    <row r="850">
      <c r="AA850" s="288"/>
    </row>
    <row r="851">
      <c r="AA851" s="288"/>
    </row>
    <row r="852">
      <c r="AA852" s="288"/>
    </row>
    <row r="853">
      <c r="AA853" s="288"/>
    </row>
    <row r="854">
      <c r="AA854" s="288"/>
    </row>
    <row r="855">
      <c r="AA855" s="288"/>
    </row>
    <row r="856">
      <c r="AA856" s="288"/>
    </row>
    <row r="857">
      <c r="AA857" s="288"/>
    </row>
    <row r="858">
      <c r="AA858" s="288"/>
    </row>
    <row r="859">
      <c r="AA859" s="288"/>
    </row>
    <row r="860">
      <c r="AA860" s="288"/>
    </row>
    <row r="861">
      <c r="AA861" s="288"/>
    </row>
    <row r="862">
      <c r="AA862" s="288"/>
    </row>
    <row r="863">
      <c r="AA863" s="288"/>
    </row>
    <row r="864">
      <c r="AA864" s="288"/>
    </row>
    <row r="865">
      <c r="AA865" s="288"/>
    </row>
    <row r="866">
      <c r="AA866" s="288"/>
    </row>
    <row r="867">
      <c r="AA867" s="288"/>
    </row>
    <row r="868">
      <c r="AA868" s="288"/>
    </row>
    <row r="869">
      <c r="AA869" s="288"/>
    </row>
    <row r="870">
      <c r="AA870" s="288"/>
    </row>
    <row r="871">
      <c r="AA871" s="288"/>
    </row>
    <row r="872">
      <c r="AA872" s="288"/>
    </row>
    <row r="873">
      <c r="AA873" s="288"/>
    </row>
    <row r="874">
      <c r="AA874" s="288"/>
    </row>
    <row r="875">
      <c r="AA875" s="288"/>
    </row>
    <row r="876">
      <c r="AA876" s="288"/>
    </row>
    <row r="877">
      <c r="AA877" s="288"/>
    </row>
    <row r="878">
      <c r="AA878" s="288"/>
    </row>
    <row r="879">
      <c r="AA879" s="288"/>
    </row>
    <row r="880">
      <c r="AA880" s="288"/>
    </row>
    <row r="881">
      <c r="AA881" s="288"/>
    </row>
    <row r="882">
      <c r="AA882" s="288"/>
    </row>
    <row r="883">
      <c r="AA883" s="288"/>
    </row>
    <row r="884">
      <c r="AA884" s="288"/>
    </row>
    <row r="885">
      <c r="AA885" s="288"/>
    </row>
    <row r="886">
      <c r="AA886" s="288"/>
    </row>
    <row r="887">
      <c r="AA887" s="288"/>
    </row>
    <row r="888">
      <c r="AA888" s="288"/>
    </row>
    <row r="889">
      <c r="AA889" s="288"/>
    </row>
    <row r="890">
      <c r="AA890" s="288"/>
    </row>
    <row r="891">
      <c r="AA891" s="288"/>
    </row>
    <row r="892">
      <c r="AA892" s="288"/>
    </row>
    <row r="893">
      <c r="AA893" s="288"/>
    </row>
    <row r="894">
      <c r="AA894" s="288"/>
    </row>
    <row r="895">
      <c r="AA895" s="288"/>
    </row>
    <row r="896">
      <c r="AA896" s="288"/>
    </row>
    <row r="897">
      <c r="AA897" s="288"/>
    </row>
    <row r="898">
      <c r="AA898" s="288"/>
    </row>
    <row r="899">
      <c r="AA899" s="288"/>
    </row>
    <row r="900">
      <c r="AA900" s="288"/>
    </row>
    <row r="901">
      <c r="AA901" s="288"/>
    </row>
    <row r="902">
      <c r="AA902" s="288"/>
    </row>
    <row r="903">
      <c r="AA903" s="288"/>
    </row>
    <row r="904">
      <c r="AA904" s="288"/>
    </row>
    <row r="905">
      <c r="AA905" s="288"/>
    </row>
    <row r="906">
      <c r="AA906" s="288"/>
    </row>
    <row r="907">
      <c r="AA907" s="288"/>
    </row>
    <row r="908">
      <c r="AA908" s="288"/>
    </row>
    <row r="909">
      <c r="AA909" s="288"/>
    </row>
    <row r="910">
      <c r="AA910" s="288"/>
    </row>
    <row r="911">
      <c r="AA911" s="288"/>
    </row>
    <row r="912">
      <c r="AA912" s="288"/>
    </row>
    <row r="913">
      <c r="AA913" s="288"/>
    </row>
    <row r="914">
      <c r="AA914" s="288"/>
    </row>
    <row r="915">
      <c r="AA915" s="288"/>
    </row>
    <row r="916">
      <c r="AA916" s="288"/>
    </row>
    <row r="917">
      <c r="AA917" s="288"/>
    </row>
    <row r="918">
      <c r="AA918" s="288"/>
    </row>
    <row r="919">
      <c r="AA919" s="288"/>
    </row>
    <row r="920">
      <c r="AA920" s="288"/>
    </row>
    <row r="921">
      <c r="AA921" s="288"/>
    </row>
    <row r="922">
      <c r="AA922" s="288"/>
    </row>
    <row r="923">
      <c r="AA923" s="288"/>
    </row>
    <row r="924">
      <c r="AA924" s="288"/>
    </row>
    <row r="925">
      <c r="AA925" s="288"/>
    </row>
    <row r="926">
      <c r="AA926" s="288"/>
    </row>
    <row r="927">
      <c r="AA927" s="288"/>
    </row>
    <row r="928">
      <c r="AA928" s="288"/>
    </row>
    <row r="929">
      <c r="AA929" s="288"/>
    </row>
    <row r="930">
      <c r="AA930" s="288"/>
    </row>
    <row r="931">
      <c r="AA931" s="288"/>
    </row>
    <row r="932">
      <c r="AA932" s="288"/>
    </row>
    <row r="933">
      <c r="AA933" s="288"/>
    </row>
    <row r="934">
      <c r="AA934" s="288"/>
    </row>
    <row r="935">
      <c r="AA935" s="288"/>
    </row>
    <row r="936">
      <c r="AA936" s="288"/>
    </row>
    <row r="937">
      <c r="AA937" s="288"/>
    </row>
    <row r="938">
      <c r="AA938" s="288"/>
    </row>
    <row r="939">
      <c r="AA939" s="288"/>
    </row>
    <row r="940">
      <c r="AA940" s="288"/>
    </row>
    <row r="941">
      <c r="AA941" s="288"/>
    </row>
    <row r="942">
      <c r="AA942" s="288"/>
    </row>
    <row r="943">
      <c r="AA943" s="288"/>
    </row>
    <row r="944">
      <c r="AA944" s="288"/>
    </row>
    <row r="945">
      <c r="AA945" s="288"/>
    </row>
    <row r="946">
      <c r="AA946" s="288"/>
    </row>
    <row r="947">
      <c r="AA947" s="288"/>
    </row>
    <row r="948">
      <c r="AA948" s="288"/>
    </row>
    <row r="949">
      <c r="AA949" s="288"/>
    </row>
    <row r="950">
      <c r="AA950" s="288"/>
    </row>
    <row r="951">
      <c r="AA951" s="288"/>
    </row>
    <row r="952">
      <c r="AA952" s="288"/>
    </row>
    <row r="953">
      <c r="AA953" s="288"/>
    </row>
    <row r="954">
      <c r="AA954" s="288"/>
    </row>
    <row r="955">
      <c r="AA955" s="288"/>
    </row>
    <row r="956">
      <c r="AA956" s="288"/>
    </row>
    <row r="957">
      <c r="AA957" s="288"/>
    </row>
    <row r="958">
      <c r="AA958" s="288"/>
    </row>
    <row r="959">
      <c r="AA959" s="288"/>
    </row>
    <row r="960">
      <c r="AA960" s="288"/>
    </row>
    <row r="961">
      <c r="AA961" s="288"/>
    </row>
    <row r="962">
      <c r="AA962" s="288"/>
    </row>
    <row r="963">
      <c r="AA963" s="288"/>
    </row>
    <row r="964">
      <c r="AA964" s="288"/>
    </row>
    <row r="965">
      <c r="AA965" s="288"/>
    </row>
    <row r="966">
      <c r="AA966" s="288"/>
    </row>
    <row r="967">
      <c r="AA967" s="288"/>
    </row>
    <row r="968">
      <c r="AA968" s="288"/>
    </row>
    <row r="969">
      <c r="AA969" s="288"/>
    </row>
    <row r="970">
      <c r="AA970" s="288"/>
    </row>
    <row r="971">
      <c r="AA971" s="288"/>
    </row>
    <row r="972">
      <c r="AA972" s="288"/>
    </row>
    <row r="973">
      <c r="AA973" s="288"/>
    </row>
    <row r="974">
      <c r="AA974" s="288"/>
    </row>
    <row r="975">
      <c r="AA975" s="288"/>
    </row>
    <row r="976">
      <c r="AA976" s="288"/>
    </row>
    <row r="977">
      <c r="AA977" s="288"/>
    </row>
    <row r="978">
      <c r="AA978" s="288"/>
    </row>
    <row r="979">
      <c r="AA979" s="288"/>
    </row>
    <row r="980">
      <c r="AA980" s="288"/>
    </row>
    <row r="981">
      <c r="AA981" s="288"/>
    </row>
    <row r="982">
      <c r="AA982" s="288"/>
    </row>
    <row r="983">
      <c r="AA983" s="288"/>
    </row>
    <row r="984">
      <c r="AA984" s="288"/>
    </row>
    <row r="985">
      <c r="AA985" s="288"/>
    </row>
    <row r="986">
      <c r="AA986" s="288"/>
    </row>
    <row r="987">
      <c r="AA987" s="288"/>
    </row>
    <row r="988">
      <c r="AA988" s="288"/>
    </row>
    <row r="989">
      <c r="AA989" s="288"/>
    </row>
    <row r="990">
      <c r="AA990" s="288"/>
    </row>
    <row r="991">
      <c r="AA991" s="288"/>
    </row>
    <row r="992">
      <c r="AA992" s="288"/>
    </row>
    <row r="993">
      <c r="AA993" s="288"/>
    </row>
    <row r="994">
      <c r="AA994" s="288"/>
    </row>
    <row r="995">
      <c r="AA995" s="288"/>
    </row>
    <row r="996">
      <c r="AA996" s="288"/>
    </row>
    <row r="997">
      <c r="AA997" s="288"/>
    </row>
    <row r="998">
      <c r="AA998" s="288"/>
    </row>
    <row r="999">
      <c r="AA999" s="288"/>
    </row>
    <row r="1000">
      <c r="AA1000" s="288"/>
    </row>
    <row r="1001">
      <c r="AA1001" s="288"/>
    </row>
    <row r="1002">
      <c r="AA1002" s="288"/>
    </row>
    <row r="1003">
      <c r="AA1003" s="288"/>
    </row>
    <row r="1004">
      <c r="AA1004" s="288"/>
    </row>
    <row r="1005">
      <c r="AA1005" s="288"/>
    </row>
    <row r="1006">
      <c r="AA1006" s="288"/>
    </row>
    <row r="1007">
      <c r="AA1007" s="288"/>
    </row>
    <row r="1008">
      <c r="AA1008" s="288"/>
    </row>
    <row r="1009">
      <c r="AA1009" s="288"/>
    </row>
  </sheetData>
  <mergeCells count="4">
    <mergeCell ref="B3:Z3"/>
    <mergeCell ref="B7:Z7"/>
    <mergeCell ref="B32:AA32"/>
    <mergeCell ref="B57:AA57"/>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7" max="7" width="14.0"/>
    <col customWidth="1" min="8" max="8" width="22.75"/>
    <col customWidth="1" min="9" max="9" width="19.75"/>
    <col customWidth="1" min="10" max="10" width="17.0"/>
  </cols>
  <sheetData>
    <row r="1">
      <c r="A1" s="23" t="s">
        <v>568</v>
      </c>
      <c r="I1" s="36"/>
    </row>
    <row r="2">
      <c r="A2" s="278" t="s">
        <v>444</v>
      </c>
      <c r="B2" s="281" t="s">
        <v>569</v>
      </c>
      <c r="C2" s="279" t="s">
        <v>445</v>
      </c>
      <c r="D2" s="163" t="s">
        <v>107</v>
      </c>
      <c r="E2" s="279" t="s">
        <v>454</v>
      </c>
      <c r="F2" s="118" t="s">
        <v>446</v>
      </c>
      <c r="G2" s="36" t="s">
        <v>570</v>
      </c>
      <c r="I2" s="346" t="s">
        <v>571</v>
      </c>
      <c r="J2" s="346"/>
    </row>
    <row r="3">
      <c r="A3" s="347">
        <v>1.0</v>
      </c>
      <c r="B3" s="296" t="s">
        <v>573</v>
      </c>
      <c r="C3" s="290" t="s">
        <v>335</v>
      </c>
      <c r="D3" s="293">
        <v>20.0</v>
      </c>
      <c r="E3" s="348" t="b">
        <v>0</v>
      </c>
      <c r="F3" s="291">
        <v>0.0</v>
      </c>
      <c r="G3" s="23" t="s">
        <v>575</v>
      </c>
      <c r="I3" s="349" t="str">
        <f t="array" ref="I3">_xlfn.XLOOKUP(Enemy_Enemy,敌人数据!$A:$A,敌人数据!C:C)</f>
        <v>敌人</v>
      </c>
    </row>
    <row r="4">
      <c r="A4" s="346" t="s">
        <v>579</v>
      </c>
      <c r="G4" s="83" t="s">
        <v>580</v>
      </c>
      <c r="I4" s="30" t="str">
        <f t="array" ref="I4">_xlfn.XLOOKUP(Enemy_Enemy,敌人数据!$A:$A,敌人数据!B:B)</f>
        <v/>
      </c>
    </row>
    <row r="5">
      <c r="A5" s="163" t="s">
        <v>581</v>
      </c>
      <c r="B5" s="163" t="s">
        <v>582</v>
      </c>
      <c r="C5" s="163" t="s">
        <v>583</v>
      </c>
      <c r="D5" s="279" t="s">
        <v>584</v>
      </c>
      <c r="E5" s="279" t="s">
        <v>585</v>
      </c>
      <c r="F5" s="118" t="s">
        <v>586</v>
      </c>
      <c r="G5" s="30"/>
      <c r="J5" s="30"/>
      <c r="K5" s="30"/>
      <c r="L5" s="30"/>
      <c r="M5" s="30"/>
      <c r="N5" s="30"/>
      <c r="O5" s="30"/>
      <c r="P5" s="30"/>
      <c r="Q5" s="30"/>
      <c r="R5" s="30"/>
      <c r="S5" s="30"/>
      <c r="T5" s="30"/>
      <c r="U5" s="30"/>
      <c r="V5" s="30"/>
      <c r="W5" s="30"/>
      <c r="X5" s="30"/>
      <c r="Y5" s="30"/>
      <c r="Z5" s="30"/>
      <c r="AA5" s="30"/>
    </row>
    <row r="6">
      <c r="A6" s="293">
        <v>1.0</v>
      </c>
      <c r="B6" s="293">
        <v>1.0</v>
      </c>
      <c r="C6" s="293">
        <v>1.0</v>
      </c>
      <c r="D6" s="348" t="b">
        <v>0</v>
      </c>
      <c r="E6" s="348">
        <v>3.0</v>
      </c>
      <c r="F6" s="291">
        <v>200.0</v>
      </c>
    </row>
    <row r="7">
      <c r="A7" s="346" t="s">
        <v>587</v>
      </c>
    </row>
    <row r="8">
      <c r="A8" s="280" t="s">
        <v>447</v>
      </c>
      <c r="B8" s="280" t="s">
        <v>448</v>
      </c>
      <c r="C8" s="280" t="s">
        <v>449</v>
      </c>
      <c r="G8" s="83" t="s">
        <v>588</v>
      </c>
    </row>
    <row r="9">
      <c r="A9" s="292">
        <v>2.0</v>
      </c>
      <c r="B9" s="292">
        <v>1.0</v>
      </c>
      <c r="C9" s="292">
        <v>1.0</v>
      </c>
    </row>
    <row r="11">
      <c r="A11" s="285" t="s">
        <v>457</v>
      </c>
      <c r="B11" s="285" t="s">
        <v>590</v>
      </c>
      <c r="C11" s="285" t="s">
        <v>591</v>
      </c>
      <c r="D11" s="285" t="s">
        <v>592</v>
      </c>
      <c r="F11" s="350"/>
    </row>
    <row r="12">
      <c r="A12" s="301">
        <f>(If(Enemy_Armor&gt;=0, 1/(1+ 2/30*Enemy_Armor),1+(1-1/(1+ 2/30*(-Enemy_Armor)))))</f>
        <v>1</v>
      </c>
      <c r="B12" s="351">
        <v>1.0</v>
      </c>
      <c r="C12" s="351">
        <v>1.0</v>
      </c>
      <c r="D12" s="351">
        <v>1.0</v>
      </c>
      <c r="G12" s="215" t="str">
        <f>"第" &amp; D3 &amp; "波的当前数值（已应用所选修正）。"</f>
        <v>所选修正下第20波的当前数值。</v>
      </c>
      <c r="J12" s="215" t="s">
        <v>595</v>
      </c>
    </row>
    <row r="13">
      <c r="A13" s="285" t="s">
        <v>458</v>
      </c>
      <c r="B13" s="285" t="s">
        <v>597</v>
      </c>
      <c r="G13" s="66" t="s">
        <v>598</v>
      </c>
      <c r="H13" s="66" t="s">
        <v>95</v>
      </c>
      <c r="I13" s="66" t="s">
        <v>123</v>
      </c>
      <c r="J13" s="66" t="s">
        <v>599</v>
      </c>
      <c r="K13" s="66" t="s">
        <v>600</v>
      </c>
      <c r="L13" s="66" t="s">
        <v>123</v>
      </c>
      <c r="M13" s="66" t="s">
        <v>601</v>
      </c>
    </row>
    <row r="14">
      <c r="A14" s="301">
        <f>Max(0,((max(Enemy_Wave-20,0)*((Enemy_Wave-20)+1))/2)/100)*(2+Max(0,(Enemy_Wave-35)*0.2))</f>
        <v>0</v>
      </c>
      <c r="B14" s="351">
        <v>1.0</v>
      </c>
      <c r="G14" s="30">
        <f>Round(Round((Enemy_Base_HP+Enemy_HP_Per_Wave*(Enemy_Wave-1))*Enemy_Danger_HP*Enemy_HP_Slider*(1+Enemy_Endless_HP*Enemy_Endless_Curse_HP)*(1+Enemy_Coop_HP),0)*B14,0)</f>
        <v>1150</v>
      </c>
      <c r="H14" s="30" t="str">
        <f t="array" ref="H14">_xlfn.XLOOKUP(Enemy_Enemy,敌人数据!$A:$A,敌人数据!C:C)</f>
        <v>敌人</v>
      </c>
      <c r="I14" s="30">
        <f t="array" ref="I14">_xlfn.XLOOKUP(Enemy_Enemy,敌人数据!$A:$A,敌人数据!G:G)</f>
        <v>30</v>
      </c>
      <c r="J14" s="30">
        <f t="array" ref="J14">_xlfn.XLOOKUP(Enemy_Enemy,敌人数据!$A:$A,敌人数据!F:F)</f>
        <v>5</v>
      </c>
      <c r="K14" s="30">
        <f t="array" ref="K14">_xlfn.XLOOKUP(Enemy_Enemy,敌人数据!$A:$A,敌人数据!H:H)</f>
        <v>1</v>
      </c>
      <c r="L14" s="30">
        <f t="array" ref="L14">_xlfn.XLOOKUP(Enemy_Enemy,敌人数据!$A:$A,敌人数据!J:J)</f>
        <v>350</v>
      </c>
      <c r="M14" s="352">
        <f t="array" ref="M14">_xlfn.XLOOKUP(Enemy_Enemy,敌人数据!$A:$A,敌人数据!L:L)</f>
        <v>0.5</v>
      </c>
    </row>
    <row r="15">
      <c r="J15" s="66" t="s">
        <v>604</v>
      </c>
      <c r="K15" s="66" t="s">
        <v>605</v>
      </c>
      <c r="L15" s="66" t="s">
        <v>606</v>
      </c>
    </row>
    <row r="16">
      <c r="G16" s="83" t="s">
        <v>607</v>
      </c>
      <c r="H16" s="83" t="s">
        <v>608</v>
      </c>
      <c r="I16" s="83" t="s">
        <v>609</v>
      </c>
      <c r="J16" s="30">
        <f t="array" ref="J16">_xlfn.XLOOKUP(Enemy_Enemy,敌人数据!$A:$A,敌人数据!G:G)</f>
        <v>30</v>
      </c>
      <c r="K16" s="30">
        <f t="array" ref="K16">_xlfn.XLOOKUP(Enemy_Enemy,敌人数据!$A:$A,敌人数据!I:I)</f>
        <v>0.85</v>
      </c>
      <c r="L16" s="30">
        <f t="array" ref="L16">_xlfn.XLOOKUP(Enemy_Enemy,敌人数据!$A:$A,敌人数据!K:K)</f>
        <v>50</v>
      </c>
    </row>
    <row r="17">
      <c r="J17" s="215" t="s">
        <v>614</v>
      </c>
    </row>
    <row r="18">
      <c r="J18" s="66" t="s">
        <v>615</v>
      </c>
      <c r="K18" s="66" t="s">
        <v>609</v>
      </c>
      <c r="L18" s="66" t="s">
        <v>616</v>
      </c>
    </row>
    <row r="19">
      <c r="J19" s="352" t="str">
        <f t="array" ref="J19">_xlfn.XLOOKUP(Enemy_Enemy,敌人数据!$A:$A,敌人数据!N:N)</f>
        <v/>
      </c>
      <c r="K19" s="352" t="str">
        <f t="array" ref="K19">_xlfn.XLOOKUP(Enemy_Enemy,敌人数据!$A:$A,敌人数据!O:O)</f>
        <v/>
      </c>
      <c r="L19" s="30" t="str">
        <f t="array" ref="L19">_xlfn.XLOOKUP(Enemy_Enemy,敌人数据!$A:$A,敌人数据!P:P)</f>
        <v/>
      </c>
    </row>
    <row r="20">
      <c r="J20" s="215" t="s">
        <v>618</v>
      </c>
    </row>
    <row r="21">
      <c r="J21" s="66" t="s">
        <v>620</v>
      </c>
      <c r="K21" s="83" t="s">
        <v>621</v>
      </c>
      <c r="L21" s="66" t="s">
        <v>622</v>
      </c>
    </row>
    <row r="22">
      <c r="J22" s="30">
        <f t="array" ref="J22">_xlfn.XLOOKUP(Enemy_Enemy,敌人数据!$A:$A,敌人数据!M:M)</f>
        <v>8</v>
      </c>
      <c r="K22" s="353">
        <f>1+(Enemy_Players-1)*Enemy_Coop_Materials</f>
        <v>1</v>
      </c>
      <c r="L22" s="354">
        <f>If(OR(Enemy_Consumable_Guaranteed="Yes",Enemy_Type="Neutral"),1,IF(Enemy_Wave&lt;4,1,max(0.5,1-0.015*Enemy_Wave)))</f>
        <v>0.7</v>
      </c>
    </row>
    <row r="23">
      <c r="J23" s="83" t="s">
        <v>623</v>
      </c>
      <c r="K23" s="83" t="s">
        <v>624</v>
      </c>
    </row>
    <row r="24">
      <c r="J24" s="115">
        <f>MAX(0.5*J22,K22*J22)</f>
        <v>8</v>
      </c>
      <c r="K24" s="115">
        <f>J24*L22</f>
        <v>5.6</v>
      </c>
    </row>
    <row r="29">
      <c r="A29" s="355" t="s">
        <v>626</v>
      </c>
    </row>
    <row r="30">
      <c r="A30" s="287" t="s">
        <v>459</v>
      </c>
      <c r="B30" s="287" t="s">
        <v>460</v>
      </c>
      <c r="C30" s="112" t="s">
        <v>627</v>
      </c>
      <c r="D30" s="112" t="s">
        <v>628</v>
      </c>
      <c r="E30" s="112" t="s">
        <v>629</v>
      </c>
    </row>
    <row r="31">
      <c r="A31" s="304">
        <f>1+IF(Enemy_Danger_Level=3,0.12,0)+IF(Enemy_Danger_Level=4,0.26,0)+IF(Enemy_Danger_Level=5,0.4,0)</f>
        <v>1</v>
      </c>
      <c r="B31" s="304">
        <f>1+IF(Enemy_Danger_Level=3,0.12,0)+IF(Enemy_Danger_Level=4,0.26,0)+IF(Enemy_Danger_Level=5,0.4,0)</f>
        <v>1</v>
      </c>
      <c r="C31" s="356">
        <f>IF(Enemy_Character="Jack",175%,0%)</f>
        <v>0</v>
      </c>
      <c r="D31" s="356">
        <f>IF(Enemy_Character="Jack",35%,0%)</f>
        <v>0</v>
      </c>
      <c r="E31" s="356">
        <f>IF(Enemy_Character="老爷爷",-10%,0%)+IF(Enemy_Character="探险家",10%,0%)</f>
        <v>0.1</v>
      </c>
    </row>
    <row r="32">
      <c r="A32" s="287" t="s">
        <v>634</v>
      </c>
      <c r="B32" s="287" t="s">
        <v>635</v>
      </c>
      <c r="C32" s="112"/>
      <c r="D32" s="112"/>
    </row>
    <row r="33">
      <c r="A33" s="304">
        <f t="shared" ref="A33:B33" si="1">1+IF($B$1=3,0.12,0)+IF($B$1=4,0.26,0)+IF($B$1=5,0.4,0)</f>
        <v>1</v>
      </c>
      <c r="B33" s="304">
        <f t="shared" si="1"/>
        <v>1</v>
      </c>
      <c r="C33" s="306"/>
      <c r="D33" s="306"/>
    </row>
    <row r="34">
      <c r="A34" s="280" t="s">
        <v>637</v>
      </c>
      <c r="B34" s="280" t="s">
        <v>638</v>
      </c>
      <c r="C34" s="280" t="s">
        <v>639</v>
      </c>
      <c r="D34" s="280" t="s">
        <v>640</v>
      </c>
    </row>
    <row r="35">
      <c r="A35" s="292">
        <f>(Enemy_Players-1)*0.3</f>
        <v>0</v>
      </c>
      <c r="B35" s="292">
        <f>(Enemy_Players-1)*0.08</f>
        <v>0</v>
      </c>
      <c r="C35" s="292">
        <f>If(Enemy_Players&gt;1,(Enemy_Players/(1+Enemy_Coop_Enemies)-1)/(Enemy_Players-1)*0.8,0)</f>
        <v>0</v>
      </c>
      <c r="D35" s="292">
        <f>(Enemy_Players-1)*0.3</f>
        <v>0</v>
      </c>
    </row>
    <row r="36">
      <c r="A36" s="285" t="s">
        <v>642</v>
      </c>
      <c r="B36" s="285" t="s">
        <v>643</v>
      </c>
      <c r="C36" s="357" t="s">
        <v>644</v>
      </c>
    </row>
    <row r="37">
      <c r="A37" s="358">
        <v>1.5</v>
      </c>
      <c r="B37" s="358">
        <v>0.25</v>
      </c>
      <c r="C37" s="155">
        <v>0.5</v>
      </c>
    </row>
    <row r="38">
      <c r="A38" s="285" t="s">
        <v>645</v>
      </c>
      <c r="B38" s="285" t="s">
        <v>647</v>
      </c>
      <c r="C38" s="357" t="s">
        <v>648</v>
      </c>
      <c r="D38" s="285" t="s">
        <v>649</v>
      </c>
      <c r="E38" s="285" t="s">
        <v>650</v>
      </c>
    </row>
    <row r="39">
      <c r="A39" s="358">
        <f>Enemy_Endless_Factor*2.25</f>
        <v>0</v>
      </c>
      <c r="B39" s="358">
        <f>Enemy_Endless_Factor</f>
        <v>0</v>
      </c>
      <c r="C39" s="155">
        <f>min(1.75,Enemy_Endless_Factor/13.33)</f>
        <v>0</v>
      </c>
      <c r="D39" s="358">
        <f>1+SQRT(Enemy_Curse_Stat)/10</f>
        <v>2.414213562</v>
      </c>
      <c r="E39" s="358">
        <f>1+SQRT(Enemy_Curse_Stat)/25</f>
        <v>1.565685425</v>
      </c>
    </row>
  </sheetData>
  <mergeCells count="15">
    <mergeCell ref="G5:H7"/>
    <mergeCell ref="G8:H8"/>
    <mergeCell ref="G9:H11"/>
    <mergeCell ref="G12:I12"/>
    <mergeCell ref="J12:L12"/>
    <mergeCell ref="J17:L17"/>
    <mergeCell ref="J20:L20"/>
    <mergeCell ref="A1:F1"/>
    <mergeCell ref="G2:H2"/>
    <mergeCell ref="G3:H3"/>
    <mergeCell ref="A4:F4"/>
    <mergeCell ref="G4:H4"/>
    <mergeCell ref="I4:I11"/>
    <mergeCell ref="A7:F7"/>
    <mergeCell ref="A29:F29"/>
  </mergeCells>
  <conditionalFormatting sqref="I3">
    <cfRule type="cellIs" dxfId="18" priority="1" operator="equal">
      <formula>"Enemy"</formula>
    </cfRule>
  </conditionalFormatting>
  <conditionalFormatting sqref="I3">
    <cfRule type="cellIs" dxfId="19" priority="2" operator="equal">
      <formula>"Neutral"</formula>
    </cfRule>
  </conditionalFormatting>
  <conditionalFormatting sqref="I3">
    <cfRule type="cellIs" dxfId="20" priority="3" operator="equal">
      <formula>"Boss"</formula>
    </cfRule>
  </conditionalFormatting>
  <conditionalFormatting sqref="I3">
    <cfRule type="cellIs" dxfId="21" priority="4" operator="equal">
      <formula>"Elite"</formula>
    </cfRule>
  </conditionalFormatting>
  <dataValidations>
    <dataValidation type="list" allowBlank="1" showErrorMessage="1" sqref="G3">
      <formula1>"树,异形幼体,追猎者,喷射者,冲锋者,追击者,蛮兵,增益者,苍蝇,治疗者,囤积者,头盔异形,鳍异形,孵化者,瘾君子,尖角蛮兵,尖角冲锋者,切割者之卵,切割者,触手,七鳃鳗,犀牛,屠夫,武僧,鳄鱼,巨像,螳螂虾,母体,石像鬼,掠食者"&amp;",祈求者,树（DLC）,海葵,鮟鱇鱼,蝙蝠,水滴鱼,蛤蜊,大王乌贼,螃蟹,死鲸,笠头螈,龙鱼,鳗鱼,巨人,巨型等足虫,哥布林鲨,寄居蟹,穿刺蠕虫,铁肺,水母,龙虾,拾荒猪,巨齿鲨,独角鲸,浮游生物,囚犯,河豚,Sea"&amp;" Pig,虾,蜘蛛蟹,瞻星鱼,石头鱼,海龟,吸血乌贼,蝰鱼,海象,邪恶暴民,尖角苍蝇"</formula1>
    </dataValidation>
    <dataValidation type="list" allowBlank="1" showErrorMessage="1" sqref="C3">
      <formula1>"0,1,2,3,4,5,噩梦"</formula1>
    </dataValidation>
    <dataValidation type="list" allowBlank="1" showErrorMessage="1" sqref="A3">
      <formula1>"1,2,3,4"</formula1>
    </dataValidation>
    <dataValidation type="list" allowBlank="1" showErrorMessage="1" sqref="B3">
      <formula1>"默认,Jack,老爷爷,探险家,主播,农夫,渔夫,神秘生物,好奇者,船长,厨师,德鲁伊,黑帮,潜水员,登山者,海盗"</formula1>
    </dataValidation>
    <dataValidation type="list" allowBlank="1" showErrorMessage="1" sqref="E6">
      <formula1>"0,1,2,3"</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5.5"/>
  </cols>
  <sheetData>
    <row r="1">
      <c r="A1" s="364" t="s">
        <v>690</v>
      </c>
      <c r="B1" s="365" t="s">
        <v>691</v>
      </c>
      <c r="C1" s="365" t="s">
        <v>354</v>
      </c>
      <c r="D1" s="366" t="s">
        <v>303</v>
      </c>
      <c r="E1" s="366" t="s">
        <v>250</v>
      </c>
      <c r="F1" s="215" t="s">
        <v>692</v>
      </c>
      <c r="G1" s="366" t="s">
        <v>254</v>
      </c>
      <c r="H1" s="366" t="s">
        <v>693</v>
      </c>
      <c r="I1" s="366" t="s">
        <v>252</v>
      </c>
      <c r="J1" s="355" t="s">
        <v>253</v>
      </c>
      <c r="K1" s="23" t="s">
        <v>695</v>
      </c>
      <c r="L1" s="366" t="s">
        <v>696</v>
      </c>
      <c r="M1" s="367" t="s">
        <v>697</v>
      </c>
      <c r="N1" s="366" t="s">
        <v>698</v>
      </c>
      <c r="O1" s="366" t="s">
        <v>699</v>
      </c>
      <c r="P1" s="366" t="s">
        <v>286</v>
      </c>
      <c r="Q1" s="366" t="s">
        <v>288</v>
      </c>
      <c r="R1" s="366" t="s">
        <v>289</v>
      </c>
      <c r="S1" s="366" t="s">
        <v>237</v>
      </c>
      <c r="T1" s="366" t="s">
        <v>239</v>
      </c>
      <c r="U1" s="366" t="s">
        <v>700</v>
      </c>
      <c r="V1" s="366" t="s">
        <v>701</v>
      </c>
      <c r="W1" s="366" t="s">
        <v>260</v>
      </c>
      <c r="X1" s="366" t="s">
        <v>702</v>
      </c>
      <c r="Y1" s="366" t="s">
        <v>263</v>
      </c>
      <c r="Z1" s="366" t="s">
        <v>703</v>
      </c>
      <c r="AA1" s="366" t="s">
        <v>362</v>
      </c>
      <c r="AB1" s="366" t="s">
        <v>364</v>
      </c>
      <c r="AC1" s="366" t="s">
        <v>249</v>
      </c>
      <c r="AD1" s="366" t="s">
        <v>704</v>
      </c>
      <c r="AE1" s="366" t="s">
        <v>705</v>
      </c>
      <c r="AF1" s="366" t="s">
        <v>706</v>
      </c>
      <c r="AG1" s="366" t="s">
        <v>707</v>
      </c>
      <c r="AH1" s="366" t="s">
        <v>708</v>
      </c>
      <c r="AI1" s="366" t="s">
        <v>709</v>
      </c>
      <c r="AJ1" s="366" t="s">
        <v>710</v>
      </c>
      <c r="AK1" s="366" t="s">
        <v>711</v>
      </c>
      <c r="AL1" s="355" t="s">
        <v>306</v>
      </c>
      <c r="AM1" s="366" t="s">
        <v>712</v>
      </c>
      <c r="AN1" s="355" t="s">
        <v>713</v>
      </c>
      <c r="AO1" s="355" t="s">
        <v>714</v>
      </c>
      <c r="AP1" s="355" t="s">
        <v>6</v>
      </c>
      <c r="AQ1" s="215" t="s">
        <v>305</v>
      </c>
      <c r="AR1" s="215" t="s">
        <v>304</v>
      </c>
      <c r="AS1" s="215" t="s">
        <v>716</v>
      </c>
      <c r="AT1" s="215" t="s">
        <v>717</v>
      </c>
      <c r="AU1" s="215" t="s">
        <v>718</v>
      </c>
    </row>
    <row r="2">
      <c r="A2" s="368" t="s">
        <v>719</v>
      </c>
      <c r="B2" s="369"/>
      <c r="C2" s="369" t="s">
        <v>721</v>
      </c>
      <c r="D2" s="83" t="s">
        <v>722</v>
      </c>
      <c r="E2" s="83">
        <v>15.0</v>
      </c>
      <c r="F2" s="83">
        <v>63.0</v>
      </c>
      <c r="G2" s="83">
        <v>200.0</v>
      </c>
      <c r="H2" s="83">
        <v>0.1</v>
      </c>
      <c r="I2" s="354">
        <v>0.03</v>
      </c>
      <c r="J2" s="83">
        <v>2.0</v>
      </c>
      <c r="K2" s="83">
        <v>1.0</v>
      </c>
      <c r="L2" s="83">
        <v>0.0</v>
      </c>
      <c r="M2" s="354">
        <v>0.5</v>
      </c>
      <c r="N2" s="83">
        <v>0.0</v>
      </c>
      <c r="O2" s="83">
        <v>0.5</v>
      </c>
      <c r="P2" s="83">
        <v>0.0</v>
      </c>
      <c r="Q2" s="83">
        <v>0.0</v>
      </c>
      <c r="R2" s="83">
        <v>0.0</v>
      </c>
      <c r="S2" s="83">
        <v>0.0</v>
      </c>
      <c r="T2" s="83">
        <v>0.0</v>
      </c>
      <c r="U2" s="83">
        <v>1.0</v>
      </c>
      <c r="V2" s="83">
        <v>3.0</v>
      </c>
      <c r="W2" s="83">
        <v>0.0</v>
      </c>
      <c r="X2" s="370">
        <v>0.5</v>
      </c>
      <c r="Y2" s="83">
        <v>0.0</v>
      </c>
      <c r="Z2" s="370">
        <v>0.5</v>
      </c>
      <c r="AA2" s="83">
        <v>2.0</v>
      </c>
      <c r="AB2" s="370">
        <v>0.03</v>
      </c>
      <c r="AC2" s="354">
        <v>0.6</v>
      </c>
      <c r="AD2" s="371">
        <f>DPS_Ranged_Damage</f>
        <v>0</v>
      </c>
      <c r="AE2" s="354">
        <v>0.8</v>
      </c>
      <c r="AF2" s="354"/>
      <c r="AG2" s="354"/>
      <c r="AH2" s="83" t="s">
        <v>724</v>
      </c>
      <c r="AI2" s="83">
        <f>DPS_Melee_Damage</f>
        <v>0</v>
      </c>
      <c r="AJ2" s="83">
        <v>0.0</v>
      </c>
      <c r="AL2" s="372" t="s">
        <v>721</v>
      </c>
      <c r="AM2" s="83">
        <v>8.0</v>
      </c>
      <c r="AN2" s="83">
        <v>1.0</v>
      </c>
      <c r="AO2" s="83">
        <v>0.0</v>
      </c>
      <c r="AP2" s="372">
        <v>20.0</v>
      </c>
      <c r="AQ2" s="370">
        <v>0.0</v>
      </c>
      <c r="AR2" s="83">
        <v>0.0</v>
      </c>
      <c r="AS2" s="372">
        <v>88.0</v>
      </c>
      <c r="AT2" s="372">
        <v>32.0</v>
      </c>
      <c r="AU2" s="372" t="s">
        <v>726</v>
      </c>
    </row>
    <row r="3">
      <c r="A3" s="368" t="s">
        <v>727</v>
      </c>
      <c r="B3" s="369"/>
      <c r="C3" s="369" t="s">
        <v>721</v>
      </c>
      <c r="D3" s="83" t="s">
        <v>722</v>
      </c>
      <c r="E3" s="83">
        <v>20.0</v>
      </c>
      <c r="F3" s="83">
        <v>58.0</v>
      </c>
      <c r="G3" s="83">
        <v>200.0</v>
      </c>
      <c r="H3" s="83">
        <v>0.1</v>
      </c>
      <c r="I3" s="354">
        <v>0.03</v>
      </c>
      <c r="J3" s="83">
        <v>2.0</v>
      </c>
      <c r="K3" s="83">
        <v>1.0</v>
      </c>
      <c r="L3" s="83">
        <v>0.0</v>
      </c>
      <c r="M3" s="354">
        <v>0.5</v>
      </c>
      <c r="N3" s="83">
        <v>0.0</v>
      </c>
      <c r="O3" s="83">
        <v>0.5</v>
      </c>
      <c r="P3" s="83">
        <v>0.0</v>
      </c>
      <c r="Q3" s="83">
        <v>0.0</v>
      </c>
      <c r="R3" s="83">
        <v>0.0</v>
      </c>
      <c r="S3" s="83">
        <v>0.0</v>
      </c>
      <c r="T3" s="83">
        <v>0.0</v>
      </c>
      <c r="U3" s="83">
        <v>2.0</v>
      </c>
      <c r="V3" s="83">
        <v>4.0</v>
      </c>
      <c r="W3" s="83">
        <v>0.0</v>
      </c>
      <c r="X3" s="370">
        <v>0.5</v>
      </c>
      <c r="Y3" s="83">
        <v>0.0</v>
      </c>
      <c r="Z3" s="370">
        <v>0.5</v>
      </c>
      <c r="AA3" s="83">
        <v>2.0</v>
      </c>
      <c r="AB3" s="370">
        <v>0.03</v>
      </c>
      <c r="AC3" s="354">
        <v>0.7</v>
      </c>
      <c r="AD3" s="371">
        <f>DPS_Ranged_Damage</f>
        <v>0</v>
      </c>
      <c r="AE3" s="354">
        <v>0.85</v>
      </c>
      <c r="AF3" s="354"/>
      <c r="AG3" s="354"/>
      <c r="AH3" s="83" t="s">
        <v>724</v>
      </c>
      <c r="AI3" s="83">
        <f>DPS_Melee_Damage</f>
        <v>0</v>
      </c>
      <c r="AJ3" s="83">
        <v>0.0</v>
      </c>
      <c r="AL3" s="372" t="s">
        <v>721</v>
      </c>
      <c r="AM3" s="83">
        <v>8.0</v>
      </c>
      <c r="AN3" s="83">
        <v>1.0</v>
      </c>
      <c r="AO3" s="83">
        <v>0.0</v>
      </c>
      <c r="AP3" s="372">
        <v>39.0</v>
      </c>
      <c r="AQ3" s="370">
        <v>0.0</v>
      </c>
      <c r="AR3" s="83">
        <v>0.0</v>
      </c>
      <c r="AS3" s="372">
        <v>88.0</v>
      </c>
      <c r="AT3" s="372">
        <v>32.0</v>
      </c>
      <c r="AU3" s="372" t="s">
        <v>726</v>
      </c>
    </row>
    <row r="4">
      <c r="A4" s="368" t="s">
        <v>728</v>
      </c>
      <c r="B4" s="369"/>
      <c r="C4" s="369" t="s">
        <v>721</v>
      </c>
      <c r="D4" s="83" t="s">
        <v>722</v>
      </c>
      <c r="E4" s="83">
        <v>30.0</v>
      </c>
      <c r="F4" s="83">
        <v>54.0</v>
      </c>
      <c r="G4" s="83">
        <v>200.0</v>
      </c>
      <c r="H4" s="83">
        <v>0.1</v>
      </c>
      <c r="I4" s="354">
        <v>0.03</v>
      </c>
      <c r="J4" s="83">
        <v>2.0</v>
      </c>
      <c r="K4" s="83">
        <v>1.0</v>
      </c>
      <c r="L4" s="83">
        <v>0.0</v>
      </c>
      <c r="M4" s="354">
        <v>0.5</v>
      </c>
      <c r="N4" s="83">
        <v>0.0</v>
      </c>
      <c r="O4" s="83">
        <v>0.5</v>
      </c>
      <c r="P4" s="83">
        <v>0.0</v>
      </c>
      <c r="Q4" s="83">
        <v>0.0</v>
      </c>
      <c r="R4" s="83">
        <v>0.0</v>
      </c>
      <c r="S4" s="83">
        <v>0.0</v>
      </c>
      <c r="T4" s="83">
        <v>0.0</v>
      </c>
      <c r="U4" s="83">
        <v>3.0</v>
      </c>
      <c r="V4" s="83">
        <v>5.0</v>
      </c>
      <c r="W4" s="83">
        <v>0.0</v>
      </c>
      <c r="X4" s="370">
        <v>0.5</v>
      </c>
      <c r="Y4" s="83">
        <v>0.0</v>
      </c>
      <c r="Z4" s="370">
        <v>0.5</v>
      </c>
      <c r="AA4" s="83">
        <v>2.0</v>
      </c>
      <c r="AB4" s="370">
        <v>0.03</v>
      </c>
      <c r="AC4" s="354">
        <v>0.8</v>
      </c>
      <c r="AD4" s="371">
        <f>DPS_Ranged_Damage</f>
        <v>0</v>
      </c>
      <c r="AE4" s="354">
        <v>0.9</v>
      </c>
      <c r="AF4" s="354"/>
      <c r="AG4" s="354"/>
      <c r="AH4" s="83" t="s">
        <v>724</v>
      </c>
      <c r="AI4" s="83">
        <f>DPS_Melee_Damage</f>
        <v>0</v>
      </c>
      <c r="AJ4" s="83">
        <v>0.0</v>
      </c>
      <c r="AL4" s="372" t="s">
        <v>721</v>
      </c>
      <c r="AM4" s="83">
        <v>8.0</v>
      </c>
      <c r="AN4" s="83">
        <v>1.0</v>
      </c>
      <c r="AO4" s="83">
        <v>0.0</v>
      </c>
      <c r="AP4" s="372">
        <v>74.0</v>
      </c>
      <c r="AQ4" s="370">
        <v>0.0</v>
      </c>
      <c r="AR4" s="83">
        <v>0.0</v>
      </c>
      <c r="AS4" s="372">
        <v>88.0</v>
      </c>
      <c r="AT4" s="372">
        <v>32.0</v>
      </c>
      <c r="AU4" s="372" t="s">
        <v>726</v>
      </c>
    </row>
    <row r="5">
      <c r="A5" s="368" t="s">
        <v>730</v>
      </c>
      <c r="B5" s="369"/>
      <c r="C5" s="369" t="s">
        <v>721</v>
      </c>
      <c r="D5" s="83" t="s">
        <v>722</v>
      </c>
      <c r="E5" s="83">
        <v>60.0</v>
      </c>
      <c r="F5" s="83">
        <v>45.0</v>
      </c>
      <c r="G5" s="83">
        <v>200.0</v>
      </c>
      <c r="H5" s="83">
        <v>0.1</v>
      </c>
      <c r="I5" s="354">
        <v>0.03</v>
      </c>
      <c r="J5" s="83">
        <v>2.0</v>
      </c>
      <c r="K5" s="83">
        <v>1.0</v>
      </c>
      <c r="L5" s="83">
        <v>0.0</v>
      </c>
      <c r="M5" s="354">
        <v>0.5</v>
      </c>
      <c r="N5" s="83">
        <v>0.0</v>
      </c>
      <c r="O5" s="83">
        <v>0.5</v>
      </c>
      <c r="P5" s="83">
        <v>0.0</v>
      </c>
      <c r="Q5" s="83">
        <v>0.0</v>
      </c>
      <c r="R5" s="83">
        <v>0.0</v>
      </c>
      <c r="S5" s="83">
        <v>0.0</v>
      </c>
      <c r="T5" s="83">
        <v>0.0</v>
      </c>
      <c r="U5" s="83">
        <v>4.0</v>
      </c>
      <c r="V5" s="83">
        <v>6.0</v>
      </c>
      <c r="W5" s="83">
        <v>0.0</v>
      </c>
      <c r="X5" s="370">
        <v>0.5</v>
      </c>
      <c r="Y5" s="83">
        <v>0.0</v>
      </c>
      <c r="Z5" s="370">
        <v>0.5</v>
      </c>
      <c r="AA5" s="83">
        <v>2.0</v>
      </c>
      <c r="AB5" s="370">
        <v>0.03</v>
      </c>
      <c r="AC5" s="354">
        <v>1.0</v>
      </c>
      <c r="AD5" s="371">
        <f>DPS_Ranged_Damage</f>
        <v>0</v>
      </c>
      <c r="AE5" s="354">
        <v>1.0</v>
      </c>
      <c r="AF5" s="354"/>
      <c r="AG5" s="354"/>
      <c r="AH5" s="83" t="s">
        <v>724</v>
      </c>
      <c r="AI5" s="83">
        <f>DPS_Melee_Damage</f>
        <v>0</v>
      </c>
      <c r="AJ5" s="83">
        <v>0.0</v>
      </c>
      <c r="AL5" s="372" t="s">
        <v>721</v>
      </c>
      <c r="AM5" s="83">
        <v>8.0</v>
      </c>
      <c r="AN5" s="83">
        <v>1.0</v>
      </c>
      <c r="AO5" s="83">
        <v>0.0</v>
      </c>
      <c r="AP5" s="372">
        <v>149.0</v>
      </c>
      <c r="AQ5" s="370">
        <v>0.0</v>
      </c>
      <c r="AR5" s="83">
        <v>0.0</v>
      </c>
      <c r="AS5" s="372">
        <v>88.0</v>
      </c>
      <c r="AT5" s="372">
        <v>32.0</v>
      </c>
      <c r="AU5" s="372" t="s">
        <v>726</v>
      </c>
    </row>
    <row r="6">
      <c r="A6" s="368" t="s">
        <v>732</v>
      </c>
      <c r="B6" s="369"/>
      <c r="C6" s="369" t="s">
        <v>733</v>
      </c>
      <c r="D6" s="83" t="s">
        <v>734</v>
      </c>
      <c r="E6" s="83">
        <v>2.0</v>
      </c>
      <c r="F6" s="83">
        <v>2.0</v>
      </c>
      <c r="G6" s="83">
        <v>500.0</v>
      </c>
      <c r="H6" s="83">
        <v>0.02</v>
      </c>
      <c r="I6" s="354">
        <v>0.03</v>
      </c>
      <c r="J6" s="83">
        <v>1.5</v>
      </c>
      <c r="K6" s="83">
        <v>3.0</v>
      </c>
      <c r="L6" s="83">
        <v>0.0</v>
      </c>
      <c r="M6" s="354">
        <v>0.5</v>
      </c>
      <c r="N6" s="83">
        <v>1.0</v>
      </c>
      <c r="O6" s="83">
        <v>0.5</v>
      </c>
      <c r="P6" s="83">
        <v>0.0</v>
      </c>
      <c r="Q6" s="83">
        <v>100.0</v>
      </c>
      <c r="R6" s="83">
        <v>60.0</v>
      </c>
      <c r="S6" s="83">
        <v>0.0</v>
      </c>
      <c r="T6" s="83">
        <v>0.0</v>
      </c>
      <c r="U6" s="83">
        <v>0.0</v>
      </c>
      <c r="V6" s="83">
        <v>0.0</v>
      </c>
      <c r="W6" s="83">
        <v>0.0</v>
      </c>
      <c r="X6" s="370">
        <v>0.5</v>
      </c>
      <c r="Y6" s="83">
        <v>0.0</v>
      </c>
      <c r="Z6" s="370">
        <v>0.5</v>
      </c>
      <c r="AA6" s="83">
        <v>2.0</v>
      </c>
      <c r="AB6" s="370">
        <v>0.03</v>
      </c>
      <c r="AC6" s="354">
        <v>0.0</v>
      </c>
      <c r="AD6" s="83">
        <v>0.0</v>
      </c>
      <c r="AE6" s="354">
        <v>1.0</v>
      </c>
      <c r="AF6" s="354">
        <v>1.0</v>
      </c>
      <c r="AG6" s="354"/>
      <c r="AH6" s="83" t="s">
        <v>724</v>
      </c>
      <c r="AI6" s="83">
        <f>DPS_Ranged_Damage</f>
        <v>0</v>
      </c>
      <c r="AJ6" s="83">
        <f>DPS_Engineering</f>
        <v>0</v>
      </c>
      <c r="AL6" s="83">
        <v>3000.0</v>
      </c>
      <c r="AM6" s="83">
        <v>5.0</v>
      </c>
      <c r="AN6" s="83">
        <v>0.8</v>
      </c>
      <c r="AO6" s="83">
        <v>0.3</v>
      </c>
      <c r="AP6" s="83">
        <v>270.0</v>
      </c>
      <c r="AQ6" s="370">
        <v>0.0</v>
      </c>
      <c r="AR6" s="83">
        <v>0.0</v>
      </c>
      <c r="AS6" s="83" t="s">
        <v>733</v>
      </c>
      <c r="AT6" s="83" t="s">
        <v>733</v>
      </c>
      <c r="AU6" s="83"/>
    </row>
    <row r="7">
      <c r="A7" s="368" t="s">
        <v>736</v>
      </c>
      <c r="B7" s="369"/>
      <c r="C7" s="369" t="s">
        <v>721</v>
      </c>
      <c r="D7" s="83" t="s">
        <v>722</v>
      </c>
      <c r="E7" s="83">
        <v>6.0</v>
      </c>
      <c r="F7" s="83">
        <v>27.0</v>
      </c>
      <c r="G7" s="83">
        <v>135.0</v>
      </c>
      <c r="H7" s="83">
        <v>0.1</v>
      </c>
      <c r="I7" s="354">
        <v>0.1</v>
      </c>
      <c r="J7" s="83">
        <v>2.0</v>
      </c>
      <c r="K7" s="83">
        <v>1.0</v>
      </c>
      <c r="L7" s="83">
        <v>0.0</v>
      </c>
      <c r="M7" s="354">
        <v>0.5</v>
      </c>
      <c r="N7" s="83">
        <v>0.0</v>
      </c>
      <c r="O7" s="83">
        <v>0.5</v>
      </c>
      <c r="P7" s="83">
        <v>0.0</v>
      </c>
      <c r="Q7" s="83">
        <v>0.0</v>
      </c>
      <c r="R7" s="83">
        <v>0.0</v>
      </c>
      <c r="S7" s="83">
        <v>0.0</v>
      </c>
      <c r="T7" s="83">
        <v>0.0</v>
      </c>
      <c r="U7" s="83">
        <v>0.0</v>
      </c>
      <c r="V7" s="83">
        <v>0.0</v>
      </c>
      <c r="W7" s="83">
        <v>0.0</v>
      </c>
      <c r="X7" s="370">
        <v>0.5</v>
      </c>
      <c r="Y7" s="83">
        <v>0.0</v>
      </c>
      <c r="Z7" s="370">
        <v>0.5</v>
      </c>
      <c r="AA7" s="83">
        <v>2.0</v>
      </c>
      <c r="AB7" s="370">
        <v>0.03</v>
      </c>
      <c r="AC7" s="354">
        <v>0.0</v>
      </c>
      <c r="AD7" s="83">
        <v>0.0</v>
      </c>
      <c r="AE7" s="354">
        <v>0.5</v>
      </c>
      <c r="AF7" s="354">
        <v>0.15</v>
      </c>
      <c r="AG7" s="354"/>
      <c r="AH7" s="83" t="s">
        <v>724</v>
      </c>
      <c r="AI7" s="83">
        <f>DPS_Melee_Damage</f>
        <v>0</v>
      </c>
      <c r="AJ7" s="83">
        <f>DPS_Max_HP</f>
        <v>0</v>
      </c>
      <c r="AL7" s="372" t="s">
        <v>721</v>
      </c>
      <c r="AM7" s="83">
        <v>2.0</v>
      </c>
      <c r="AN7" s="83">
        <v>1.0</v>
      </c>
      <c r="AO7" s="83">
        <v>0.0</v>
      </c>
      <c r="AP7" s="83">
        <v>15.0</v>
      </c>
      <c r="AQ7" s="370">
        <v>0.0</v>
      </c>
      <c r="AR7" s="83">
        <v>0.0</v>
      </c>
      <c r="AS7" s="372">
        <v>72.0</v>
      </c>
      <c r="AT7" s="372">
        <v>16.0</v>
      </c>
      <c r="AU7" s="372"/>
    </row>
    <row r="8">
      <c r="A8" s="368" t="s">
        <v>738</v>
      </c>
      <c r="B8" s="369"/>
      <c r="C8" s="369" t="s">
        <v>721</v>
      </c>
      <c r="D8" s="83" t="s">
        <v>722</v>
      </c>
      <c r="E8" s="83">
        <v>12.0</v>
      </c>
      <c r="F8" s="83">
        <v>25.0</v>
      </c>
      <c r="G8" s="83">
        <v>150.0</v>
      </c>
      <c r="H8" s="83">
        <v>0.1</v>
      </c>
      <c r="I8" s="354">
        <v>0.15</v>
      </c>
      <c r="J8" s="83">
        <v>2.0</v>
      </c>
      <c r="K8" s="83">
        <v>1.0</v>
      </c>
      <c r="L8" s="83">
        <v>0.0</v>
      </c>
      <c r="M8" s="354">
        <v>0.5</v>
      </c>
      <c r="N8" s="83">
        <v>0.0</v>
      </c>
      <c r="O8" s="83">
        <v>0.5</v>
      </c>
      <c r="P8" s="83">
        <v>0.0</v>
      </c>
      <c r="Q8" s="83">
        <v>0.0</v>
      </c>
      <c r="R8" s="83">
        <v>0.0</v>
      </c>
      <c r="S8" s="83">
        <v>0.0</v>
      </c>
      <c r="T8" s="83">
        <v>0.0</v>
      </c>
      <c r="U8" s="83">
        <v>0.0</v>
      </c>
      <c r="V8" s="83">
        <v>0.0</v>
      </c>
      <c r="W8" s="83">
        <v>0.0</v>
      </c>
      <c r="X8" s="370">
        <v>0.5</v>
      </c>
      <c r="Y8" s="83">
        <v>0.0</v>
      </c>
      <c r="Z8" s="370">
        <v>0.5</v>
      </c>
      <c r="AA8" s="83">
        <v>2.0</v>
      </c>
      <c r="AB8" s="370">
        <v>0.03</v>
      </c>
      <c r="AC8" s="354">
        <v>0.0</v>
      </c>
      <c r="AD8" s="83">
        <v>0.0</v>
      </c>
      <c r="AE8" s="354">
        <v>0.5</v>
      </c>
      <c r="AF8" s="354">
        <v>0.2</v>
      </c>
      <c r="AG8" s="354"/>
      <c r="AH8" s="83" t="s">
        <v>724</v>
      </c>
      <c r="AI8" s="83">
        <f>DPS_Melee_Damage</f>
        <v>0</v>
      </c>
      <c r="AJ8" s="83">
        <f>DPS_Max_HP</f>
        <v>0</v>
      </c>
      <c r="AL8" s="372" t="s">
        <v>721</v>
      </c>
      <c r="AM8" s="83">
        <v>2.0</v>
      </c>
      <c r="AN8" s="83">
        <v>1.0</v>
      </c>
      <c r="AO8" s="83">
        <v>0.0</v>
      </c>
      <c r="AP8" s="83">
        <v>31.0</v>
      </c>
      <c r="AQ8" s="370">
        <v>0.0</v>
      </c>
      <c r="AR8" s="83">
        <v>0.0</v>
      </c>
      <c r="AS8" s="372">
        <v>72.0</v>
      </c>
      <c r="AT8" s="372">
        <v>16.0</v>
      </c>
      <c r="AU8" s="372"/>
    </row>
    <row r="9">
      <c r="A9" s="368" t="s">
        <v>739</v>
      </c>
      <c r="B9" s="369"/>
      <c r="C9" s="369" t="s">
        <v>721</v>
      </c>
      <c r="D9" s="83" t="s">
        <v>722</v>
      </c>
      <c r="E9" s="83">
        <v>18.0</v>
      </c>
      <c r="F9" s="83">
        <v>23.0</v>
      </c>
      <c r="G9" s="83">
        <v>165.0</v>
      </c>
      <c r="H9" s="83">
        <v>0.1</v>
      </c>
      <c r="I9" s="354">
        <v>0.2</v>
      </c>
      <c r="J9" s="83">
        <v>2.0</v>
      </c>
      <c r="K9" s="83">
        <v>1.0</v>
      </c>
      <c r="L9" s="83">
        <v>0.0</v>
      </c>
      <c r="M9" s="354">
        <v>0.5</v>
      </c>
      <c r="N9" s="83">
        <v>0.0</v>
      </c>
      <c r="O9" s="83">
        <v>0.5</v>
      </c>
      <c r="P9" s="83">
        <v>0.0</v>
      </c>
      <c r="Q9" s="83">
        <v>0.0</v>
      </c>
      <c r="R9" s="83">
        <v>0.0</v>
      </c>
      <c r="S9" s="83">
        <v>0.0</v>
      </c>
      <c r="T9" s="83">
        <v>0.0</v>
      </c>
      <c r="U9" s="83">
        <v>0.0</v>
      </c>
      <c r="V9" s="83">
        <v>0.0</v>
      </c>
      <c r="W9" s="83">
        <v>0.0</v>
      </c>
      <c r="X9" s="370">
        <v>0.5</v>
      </c>
      <c r="Y9" s="83">
        <v>0.0</v>
      </c>
      <c r="Z9" s="370">
        <v>0.5</v>
      </c>
      <c r="AA9" s="83">
        <v>2.0</v>
      </c>
      <c r="AB9" s="370">
        <v>0.03</v>
      </c>
      <c r="AC9" s="354">
        <v>0.0</v>
      </c>
      <c r="AD9" s="83">
        <v>0.0</v>
      </c>
      <c r="AE9" s="354">
        <v>0.5</v>
      </c>
      <c r="AF9" s="354">
        <v>0.25</v>
      </c>
      <c r="AG9" s="354"/>
      <c r="AH9" s="83" t="s">
        <v>724</v>
      </c>
      <c r="AI9" s="83">
        <f>DPS_Melee_Damage</f>
        <v>0</v>
      </c>
      <c r="AJ9" s="83">
        <f>DPS_Max_HP</f>
        <v>0</v>
      </c>
      <c r="AL9" s="372" t="s">
        <v>721</v>
      </c>
      <c r="AM9" s="83">
        <v>2.0</v>
      </c>
      <c r="AN9" s="83">
        <v>1.0</v>
      </c>
      <c r="AO9" s="83">
        <v>0.0</v>
      </c>
      <c r="AP9" s="83">
        <v>61.0</v>
      </c>
      <c r="AQ9" s="370">
        <v>0.0</v>
      </c>
      <c r="AR9" s="83">
        <v>0.0</v>
      </c>
      <c r="AS9" s="372">
        <v>72.0</v>
      </c>
      <c r="AT9" s="372">
        <v>16.0</v>
      </c>
      <c r="AU9" s="372"/>
    </row>
    <row r="10">
      <c r="A10" s="368" t="s">
        <v>741</v>
      </c>
      <c r="B10" s="369"/>
      <c r="C10" s="369" t="s">
        <v>721</v>
      </c>
      <c r="D10" s="83" t="s">
        <v>722</v>
      </c>
      <c r="E10" s="83">
        <v>30.0</v>
      </c>
      <c r="F10" s="83">
        <v>18.0</v>
      </c>
      <c r="G10" s="83">
        <v>180.0</v>
      </c>
      <c r="H10" s="83">
        <v>0.1</v>
      </c>
      <c r="I10" s="354">
        <v>0.25</v>
      </c>
      <c r="J10" s="83">
        <v>2.0</v>
      </c>
      <c r="K10" s="83">
        <v>1.0</v>
      </c>
      <c r="L10" s="83">
        <v>0.0</v>
      </c>
      <c r="M10" s="354">
        <v>0.5</v>
      </c>
      <c r="N10" s="83">
        <v>0.0</v>
      </c>
      <c r="O10" s="83">
        <v>0.5</v>
      </c>
      <c r="P10" s="83">
        <v>0.0</v>
      </c>
      <c r="Q10" s="83">
        <v>0.0</v>
      </c>
      <c r="R10" s="83">
        <v>0.0</v>
      </c>
      <c r="S10" s="83">
        <v>0.0</v>
      </c>
      <c r="T10" s="83">
        <v>0.0</v>
      </c>
      <c r="U10" s="83">
        <v>0.0</v>
      </c>
      <c r="V10" s="83">
        <v>0.0</v>
      </c>
      <c r="W10" s="83">
        <v>0.0</v>
      </c>
      <c r="X10" s="370">
        <v>0.5</v>
      </c>
      <c r="Y10" s="83">
        <v>0.0</v>
      </c>
      <c r="Z10" s="370">
        <v>0.5</v>
      </c>
      <c r="AA10" s="83">
        <v>2.0</v>
      </c>
      <c r="AB10" s="370">
        <v>0.03</v>
      </c>
      <c r="AC10" s="354">
        <v>0.0</v>
      </c>
      <c r="AD10" s="83">
        <v>0.0</v>
      </c>
      <c r="AE10" s="354">
        <v>0.5</v>
      </c>
      <c r="AF10" s="354">
        <v>0.3</v>
      </c>
      <c r="AG10" s="354"/>
      <c r="AH10" s="83" t="s">
        <v>724</v>
      </c>
      <c r="AI10" s="83">
        <f>DPS_Melee_Damage</f>
        <v>0</v>
      </c>
      <c r="AJ10" s="83">
        <f>DPS_Max_HP</f>
        <v>0</v>
      </c>
      <c r="AL10" s="372" t="s">
        <v>721</v>
      </c>
      <c r="AM10" s="83">
        <v>2.0</v>
      </c>
      <c r="AN10" s="83">
        <v>1.0</v>
      </c>
      <c r="AO10" s="83">
        <v>0.0</v>
      </c>
      <c r="AP10" s="83">
        <v>122.0</v>
      </c>
      <c r="AQ10" s="370">
        <v>0.0</v>
      </c>
      <c r="AR10" s="83">
        <v>0.0</v>
      </c>
      <c r="AS10" s="372">
        <v>72.0</v>
      </c>
      <c r="AT10" s="372">
        <v>16.0</v>
      </c>
      <c r="AU10" s="372"/>
    </row>
    <row r="11">
      <c r="A11" s="368" t="s">
        <v>742</v>
      </c>
      <c r="B11" s="369"/>
      <c r="C11" s="369" t="s">
        <v>721</v>
      </c>
      <c r="D11" s="83" t="s">
        <v>722</v>
      </c>
      <c r="E11" s="83">
        <v>10.0</v>
      </c>
      <c r="F11" s="83">
        <v>8.0</v>
      </c>
      <c r="G11" s="83">
        <v>175.0</v>
      </c>
      <c r="H11" s="83">
        <v>0.1</v>
      </c>
      <c r="I11" s="354">
        <v>0.05</v>
      </c>
      <c r="J11" s="83">
        <v>2.0</v>
      </c>
      <c r="K11" s="83">
        <v>1.0</v>
      </c>
      <c r="L11" s="83">
        <v>0.0</v>
      </c>
      <c r="M11" s="354">
        <v>0.5</v>
      </c>
      <c r="N11" s="83">
        <v>0.0</v>
      </c>
      <c r="O11" s="83">
        <v>0.5</v>
      </c>
      <c r="P11" s="83">
        <v>0.0</v>
      </c>
      <c r="Q11" s="83">
        <v>0.0</v>
      </c>
      <c r="R11" s="83">
        <v>0.0</v>
      </c>
      <c r="S11" s="83">
        <v>0.0</v>
      </c>
      <c r="T11" s="83">
        <v>0.0</v>
      </c>
      <c r="U11" s="83">
        <v>0.0</v>
      </c>
      <c r="V11" s="83">
        <v>0.0</v>
      </c>
      <c r="W11" s="83">
        <v>0.0</v>
      </c>
      <c r="X11" s="370">
        <v>0.5</v>
      </c>
      <c r="Y11" s="83">
        <v>0.0</v>
      </c>
      <c r="Z11" s="370">
        <v>0.5</v>
      </c>
      <c r="AA11" s="83">
        <v>2.0</v>
      </c>
      <c r="AB11" s="370">
        <v>0.03</v>
      </c>
      <c r="AC11" s="354">
        <v>0.0</v>
      </c>
      <c r="AD11" s="83">
        <v>0.0</v>
      </c>
      <c r="AE11" s="354">
        <v>1.0</v>
      </c>
      <c r="AF11" s="354"/>
      <c r="AG11" s="354"/>
      <c r="AH11" s="83" t="s">
        <v>724</v>
      </c>
      <c r="AI11" s="83">
        <f>DPS_Melee_Damage</f>
        <v>0</v>
      </c>
      <c r="AJ11" s="371">
        <v>0.0</v>
      </c>
      <c r="AK11" s="371"/>
      <c r="AL11" s="372" t="s">
        <v>721</v>
      </c>
      <c r="AM11" s="83">
        <v>0.0</v>
      </c>
      <c r="AN11" s="83">
        <v>1.0</v>
      </c>
      <c r="AO11" s="83">
        <v>0.0</v>
      </c>
      <c r="AP11" s="83">
        <v>46.0</v>
      </c>
      <c r="AQ11" s="370">
        <v>0.0</v>
      </c>
      <c r="AR11" s="83">
        <v>0.0</v>
      </c>
      <c r="AS11" s="83">
        <v>56.0</v>
      </c>
      <c r="AT11" s="83">
        <v>24.5</v>
      </c>
      <c r="AU11" s="83"/>
    </row>
    <row r="12">
      <c r="A12" s="368" t="s">
        <v>746</v>
      </c>
      <c r="B12" s="369"/>
      <c r="C12" s="369" t="s">
        <v>721</v>
      </c>
      <c r="D12" s="83" t="s">
        <v>722</v>
      </c>
      <c r="E12" s="83">
        <v>15.0</v>
      </c>
      <c r="F12" s="83">
        <v>5.0</v>
      </c>
      <c r="G12" s="83">
        <v>175.0</v>
      </c>
      <c r="H12" s="83">
        <v>0.1</v>
      </c>
      <c r="I12" s="354">
        <v>0.1</v>
      </c>
      <c r="J12" s="83">
        <v>2.0</v>
      </c>
      <c r="K12" s="83">
        <v>1.0</v>
      </c>
      <c r="L12" s="83">
        <v>0.0</v>
      </c>
      <c r="M12" s="354">
        <v>0.5</v>
      </c>
      <c r="N12" s="83">
        <v>0.0</v>
      </c>
      <c r="O12" s="83">
        <v>0.5</v>
      </c>
      <c r="P12" s="83">
        <v>0.0</v>
      </c>
      <c r="Q12" s="83">
        <v>0.0</v>
      </c>
      <c r="R12" s="83">
        <v>0.0</v>
      </c>
      <c r="S12" s="83">
        <v>0.0</v>
      </c>
      <c r="T12" s="83">
        <v>0.0</v>
      </c>
      <c r="U12" s="83">
        <v>0.0</v>
      </c>
      <c r="V12" s="83">
        <v>0.0</v>
      </c>
      <c r="W12" s="83">
        <v>0.0</v>
      </c>
      <c r="X12" s="370">
        <v>0.5</v>
      </c>
      <c r="Y12" s="83">
        <v>0.0</v>
      </c>
      <c r="Z12" s="370">
        <v>0.5</v>
      </c>
      <c r="AA12" s="83">
        <v>2.0</v>
      </c>
      <c r="AB12" s="370">
        <v>0.03</v>
      </c>
      <c r="AC12" s="354">
        <v>0.0</v>
      </c>
      <c r="AD12" s="83">
        <v>0.0</v>
      </c>
      <c r="AE12" s="354">
        <v>1.0</v>
      </c>
      <c r="AF12" s="354"/>
      <c r="AG12" s="354"/>
      <c r="AH12" s="83" t="s">
        <v>724</v>
      </c>
      <c r="AI12" s="83">
        <f>DPS_Melee_Damage</f>
        <v>0</v>
      </c>
      <c r="AJ12" s="371">
        <v>0.0</v>
      </c>
      <c r="AK12" s="371"/>
      <c r="AL12" s="372" t="s">
        <v>721</v>
      </c>
      <c r="AM12" s="83">
        <v>0.0</v>
      </c>
      <c r="AN12" s="83">
        <v>1.0</v>
      </c>
      <c r="AO12" s="83">
        <v>0.0</v>
      </c>
      <c r="AP12" s="83">
        <v>86.0</v>
      </c>
      <c r="AQ12" s="370">
        <v>0.0</v>
      </c>
      <c r="AR12" s="83">
        <v>0.0</v>
      </c>
      <c r="AS12" s="83">
        <v>56.0</v>
      </c>
      <c r="AT12" s="83">
        <v>24.5</v>
      </c>
      <c r="AU12" s="83"/>
    </row>
    <row r="13">
      <c r="A13" s="368" t="s">
        <v>749</v>
      </c>
      <c r="B13" s="369"/>
      <c r="C13" s="369" t="s">
        <v>721</v>
      </c>
      <c r="D13" s="83" t="s">
        <v>722</v>
      </c>
      <c r="E13" s="83">
        <v>25.0</v>
      </c>
      <c r="F13" s="83">
        <v>2.0</v>
      </c>
      <c r="G13" s="83">
        <v>175.0</v>
      </c>
      <c r="H13" s="83">
        <v>0.1</v>
      </c>
      <c r="I13" s="354">
        <v>0.2</v>
      </c>
      <c r="J13" s="83">
        <v>2.0</v>
      </c>
      <c r="K13" s="83">
        <v>1.0</v>
      </c>
      <c r="L13" s="83">
        <v>0.0</v>
      </c>
      <c r="M13" s="354">
        <v>0.5</v>
      </c>
      <c r="N13" s="83">
        <v>0.0</v>
      </c>
      <c r="O13" s="83">
        <v>0.5</v>
      </c>
      <c r="P13" s="83">
        <v>0.0</v>
      </c>
      <c r="Q13" s="83">
        <v>0.0</v>
      </c>
      <c r="R13" s="83">
        <v>0.0</v>
      </c>
      <c r="S13" s="83">
        <v>0.0</v>
      </c>
      <c r="T13" s="83">
        <v>0.0</v>
      </c>
      <c r="U13" s="83">
        <v>0.0</v>
      </c>
      <c r="V13" s="83">
        <v>0.0</v>
      </c>
      <c r="W13" s="83">
        <v>0.0</v>
      </c>
      <c r="X13" s="370">
        <v>0.5</v>
      </c>
      <c r="Y13" s="83">
        <v>0.0</v>
      </c>
      <c r="Z13" s="370">
        <v>0.5</v>
      </c>
      <c r="AA13" s="83">
        <v>2.0</v>
      </c>
      <c r="AB13" s="370">
        <v>0.03</v>
      </c>
      <c r="AC13" s="354">
        <v>0.0</v>
      </c>
      <c r="AD13" s="83">
        <v>0.0</v>
      </c>
      <c r="AE13" s="354">
        <v>1.0</v>
      </c>
      <c r="AF13" s="354"/>
      <c r="AG13" s="354"/>
      <c r="AH13" s="83" t="s">
        <v>724</v>
      </c>
      <c r="AI13" s="83">
        <f>DPS_Melee_Damage</f>
        <v>0</v>
      </c>
      <c r="AJ13" s="371">
        <v>0.0</v>
      </c>
      <c r="AK13" s="371"/>
      <c r="AL13" s="372" t="s">
        <v>721</v>
      </c>
      <c r="AM13" s="83">
        <v>0.0</v>
      </c>
      <c r="AN13" s="83">
        <v>1.0</v>
      </c>
      <c r="AO13" s="83">
        <v>0.0</v>
      </c>
      <c r="AP13" s="83">
        <v>173.0</v>
      </c>
      <c r="AQ13" s="370">
        <v>0.0</v>
      </c>
      <c r="AR13" s="83">
        <v>0.0</v>
      </c>
      <c r="AS13" s="83">
        <v>56.0</v>
      </c>
      <c r="AT13" s="83">
        <v>24.5</v>
      </c>
      <c r="AU13" s="83"/>
    </row>
    <row r="14">
      <c r="A14" s="368" t="s">
        <v>751</v>
      </c>
      <c r="B14" s="369"/>
      <c r="C14" s="369" t="s">
        <v>721</v>
      </c>
      <c r="D14" s="83" t="s">
        <v>752</v>
      </c>
      <c r="E14" s="83">
        <v>5.0</v>
      </c>
      <c r="F14" s="83">
        <v>13.0</v>
      </c>
      <c r="G14" s="83">
        <v>150.0</v>
      </c>
      <c r="H14" s="83">
        <v>0.1</v>
      </c>
      <c r="I14" s="354">
        <v>0.1</v>
      </c>
      <c r="J14" s="83">
        <v>2.0</v>
      </c>
      <c r="K14" s="83">
        <v>1.0</v>
      </c>
      <c r="L14" s="83">
        <v>0.0</v>
      </c>
      <c r="M14" s="354">
        <v>0.5</v>
      </c>
      <c r="N14" s="83">
        <v>0.0</v>
      </c>
      <c r="O14" s="83">
        <v>0.5</v>
      </c>
      <c r="P14" s="83">
        <v>0.0</v>
      </c>
      <c r="Q14" s="83">
        <v>0.0</v>
      </c>
      <c r="R14" s="83">
        <v>0.0</v>
      </c>
      <c r="S14" s="83">
        <v>0.0</v>
      </c>
      <c r="T14" s="83">
        <v>0.0</v>
      </c>
      <c r="U14" s="83">
        <v>0.0</v>
      </c>
      <c r="V14" s="83">
        <v>0.0</v>
      </c>
      <c r="W14" s="83">
        <v>0.0</v>
      </c>
      <c r="X14" s="370">
        <v>0.5</v>
      </c>
      <c r="Y14" s="83">
        <v>0.0</v>
      </c>
      <c r="Z14" s="370">
        <v>0.5</v>
      </c>
      <c r="AA14" s="83">
        <v>2.0</v>
      </c>
      <c r="AB14" s="370">
        <v>0.03</v>
      </c>
      <c r="AC14" s="354">
        <v>0.0</v>
      </c>
      <c r="AD14" s="83">
        <v>0.0</v>
      </c>
      <c r="AE14" s="354">
        <v>0.5</v>
      </c>
      <c r="AF14" s="354">
        <v>0.15</v>
      </c>
      <c r="AG14" s="354"/>
      <c r="AH14" s="83" t="s">
        <v>724</v>
      </c>
      <c r="AI14" s="83">
        <f>DPS_Melee_Damage</f>
        <v>0</v>
      </c>
      <c r="AJ14" s="371">
        <f>DPS_Attack_Speed*100</f>
        <v>5</v>
      </c>
      <c r="AK14" s="371"/>
      <c r="AL14" s="372" t="s">
        <v>721</v>
      </c>
      <c r="AM14" s="83">
        <v>2.0</v>
      </c>
      <c r="AN14" s="83">
        <v>1.0</v>
      </c>
      <c r="AO14" s="83">
        <v>0.0</v>
      </c>
      <c r="AP14" s="83">
        <v>15.0</v>
      </c>
      <c r="AQ14" s="370">
        <v>0.0</v>
      </c>
      <c r="AR14" s="83">
        <v>0.0</v>
      </c>
      <c r="AS14" s="83">
        <v>60.0</v>
      </c>
      <c r="AT14" s="83">
        <v>20.0</v>
      </c>
      <c r="AU14" s="83"/>
    </row>
    <row r="15">
      <c r="A15" s="368" t="s">
        <v>753</v>
      </c>
      <c r="B15" s="369"/>
      <c r="C15" s="369" t="s">
        <v>721</v>
      </c>
      <c r="D15" s="83" t="s">
        <v>752</v>
      </c>
      <c r="E15" s="83">
        <v>10.0</v>
      </c>
      <c r="F15" s="83">
        <v>11.0</v>
      </c>
      <c r="G15" s="83">
        <v>150.0</v>
      </c>
      <c r="H15" s="83">
        <v>0.1</v>
      </c>
      <c r="I15" s="354">
        <v>0.15</v>
      </c>
      <c r="J15" s="83">
        <v>2.15</v>
      </c>
      <c r="K15" s="83">
        <v>1.0</v>
      </c>
      <c r="L15" s="83">
        <v>0.0</v>
      </c>
      <c r="M15" s="354">
        <v>0.5</v>
      </c>
      <c r="N15" s="83">
        <v>0.0</v>
      </c>
      <c r="O15" s="83">
        <v>0.5</v>
      </c>
      <c r="P15" s="83">
        <v>0.0</v>
      </c>
      <c r="Q15" s="83">
        <v>0.0</v>
      </c>
      <c r="R15" s="83">
        <v>0.0</v>
      </c>
      <c r="S15" s="83">
        <v>0.0</v>
      </c>
      <c r="T15" s="83">
        <v>0.0</v>
      </c>
      <c r="U15" s="83">
        <v>0.0</v>
      </c>
      <c r="V15" s="83">
        <v>0.0</v>
      </c>
      <c r="W15" s="83">
        <v>0.0</v>
      </c>
      <c r="X15" s="370">
        <v>0.5</v>
      </c>
      <c r="Y15" s="83">
        <v>0.0</v>
      </c>
      <c r="Z15" s="370">
        <v>0.5</v>
      </c>
      <c r="AA15" s="83">
        <v>2.0</v>
      </c>
      <c r="AB15" s="370">
        <v>0.03</v>
      </c>
      <c r="AC15" s="354">
        <v>0.0</v>
      </c>
      <c r="AD15" s="371">
        <v>0.0</v>
      </c>
      <c r="AE15" s="354">
        <v>0.5</v>
      </c>
      <c r="AF15" s="354">
        <v>0.2</v>
      </c>
      <c r="AG15" s="354"/>
      <c r="AH15" s="83" t="s">
        <v>724</v>
      </c>
      <c r="AI15" s="83">
        <f>DPS_Melee_Damage</f>
        <v>0</v>
      </c>
      <c r="AJ15" s="371">
        <f>DPS_Attack_Speed*100</f>
        <v>5</v>
      </c>
      <c r="AK15" s="371"/>
      <c r="AL15" s="372" t="s">
        <v>721</v>
      </c>
      <c r="AM15" s="83">
        <v>2.0</v>
      </c>
      <c r="AN15" s="83">
        <v>1.0</v>
      </c>
      <c r="AO15" s="83">
        <v>0.0</v>
      </c>
      <c r="AP15" s="372">
        <v>28.0</v>
      </c>
      <c r="AQ15" s="370">
        <v>0.0</v>
      </c>
      <c r="AR15" s="83">
        <v>0.0</v>
      </c>
      <c r="AS15" s="83">
        <v>60.0</v>
      </c>
      <c r="AT15" s="83">
        <v>20.0</v>
      </c>
      <c r="AU15" s="83"/>
    </row>
    <row r="16">
      <c r="A16" s="368" t="s">
        <v>754</v>
      </c>
      <c r="B16" s="369"/>
      <c r="C16" s="369" t="s">
        <v>721</v>
      </c>
      <c r="D16" s="83" t="s">
        <v>752</v>
      </c>
      <c r="E16" s="83">
        <v>15.0</v>
      </c>
      <c r="F16" s="83">
        <v>8.0</v>
      </c>
      <c r="G16" s="83">
        <v>150.0</v>
      </c>
      <c r="H16" s="83">
        <v>0.1</v>
      </c>
      <c r="I16" s="354">
        <v>0.2</v>
      </c>
      <c r="J16" s="83">
        <v>2.3</v>
      </c>
      <c r="K16" s="83">
        <v>1.0</v>
      </c>
      <c r="L16" s="83">
        <v>0.0</v>
      </c>
      <c r="M16" s="354">
        <v>0.5</v>
      </c>
      <c r="N16" s="83">
        <v>0.0</v>
      </c>
      <c r="O16" s="83">
        <v>0.5</v>
      </c>
      <c r="P16" s="83">
        <v>0.0</v>
      </c>
      <c r="Q16" s="83">
        <v>0.0</v>
      </c>
      <c r="R16" s="83">
        <v>0.0</v>
      </c>
      <c r="S16" s="83">
        <v>0.0</v>
      </c>
      <c r="T16" s="83">
        <v>0.0</v>
      </c>
      <c r="U16" s="83">
        <v>0.0</v>
      </c>
      <c r="V16" s="83">
        <v>0.0</v>
      </c>
      <c r="W16" s="83">
        <v>0.0</v>
      </c>
      <c r="X16" s="370">
        <v>0.5</v>
      </c>
      <c r="Y16" s="83">
        <v>0.0</v>
      </c>
      <c r="Z16" s="370">
        <v>0.5</v>
      </c>
      <c r="AA16" s="83">
        <v>2.0</v>
      </c>
      <c r="AB16" s="370">
        <v>0.03</v>
      </c>
      <c r="AC16" s="354">
        <v>0.0</v>
      </c>
      <c r="AD16" s="371">
        <v>0.0</v>
      </c>
      <c r="AE16" s="354">
        <v>0.5</v>
      </c>
      <c r="AF16" s="354">
        <v>0.25</v>
      </c>
      <c r="AG16" s="354"/>
      <c r="AH16" s="83" t="s">
        <v>724</v>
      </c>
      <c r="AI16" s="83">
        <f>DPS_Melee_Damage</f>
        <v>0</v>
      </c>
      <c r="AJ16" s="371">
        <f>DPS_Attack_Speed*100</f>
        <v>5</v>
      </c>
      <c r="AK16" s="371"/>
      <c r="AL16" s="372" t="s">
        <v>721</v>
      </c>
      <c r="AM16" s="83">
        <v>2.0</v>
      </c>
      <c r="AN16" s="83">
        <v>1.0</v>
      </c>
      <c r="AO16" s="83">
        <v>0.0</v>
      </c>
      <c r="AP16" s="372">
        <v>55.0</v>
      </c>
      <c r="AQ16" s="370">
        <v>0.0</v>
      </c>
      <c r="AR16" s="83">
        <v>0.0</v>
      </c>
      <c r="AS16" s="83">
        <v>60.0</v>
      </c>
      <c r="AT16" s="83">
        <v>20.0</v>
      </c>
      <c r="AU16" s="83"/>
    </row>
    <row r="17">
      <c r="A17" s="368" t="s">
        <v>756</v>
      </c>
      <c r="B17" s="369"/>
      <c r="C17" s="369" t="s">
        <v>721</v>
      </c>
      <c r="D17" s="83" t="s">
        <v>752</v>
      </c>
      <c r="E17" s="83">
        <v>25.0</v>
      </c>
      <c r="F17" s="83">
        <v>3.0</v>
      </c>
      <c r="G17" s="83">
        <v>150.0</v>
      </c>
      <c r="H17" s="83">
        <v>0.1</v>
      </c>
      <c r="I17" s="354">
        <v>0.25</v>
      </c>
      <c r="J17" s="83">
        <v>2.5</v>
      </c>
      <c r="K17" s="83">
        <v>1.0</v>
      </c>
      <c r="L17" s="83">
        <v>0.0</v>
      </c>
      <c r="M17" s="354">
        <v>0.5</v>
      </c>
      <c r="N17" s="83">
        <v>0.0</v>
      </c>
      <c r="O17" s="83">
        <v>0.5</v>
      </c>
      <c r="P17" s="83">
        <v>0.0</v>
      </c>
      <c r="Q17" s="83">
        <v>0.0</v>
      </c>
      <c r="R17" s="83">
        <v>0.0</v>
      </c>
      <c r="S17" s="83">
        <v>0.0</v>
      </c>
      <c r="T17" s="83">
        <v>0.0</v>
      </c>
      <c r="U17" s="83">
        <v>0.0</v>
      </c>
      <c r="V17" s="83">
        <v>0.0</v>
      </c>
      <c r="W17" s="83">
        <v>0.0</v>
      </c>
      <c r="X17" s="370">
        <v>0.5</v>
      </c>
      <c r="Y17" s="83">
        <v>0.0</v>
      </c>
      <c r="Z17" s="370">
        <v>0.5</v>
      </c>
      <c r="AA17" s="83">
        <v>2.0</v>
      </c>
      <c r="AB17" s="370">
        <v>0.03</v>
      </c>
      <c r="AC17" s="354">
        <v>0.0</v>
      </c>
      <c r="AD17" s="371">
        <v>0.0</v>
      </c>
      <c r="AE17" s="354">
        <v>0.5</v>
      </c>
      <c r="AF17" s="354">
        <v>0.3</v>
      </c>
      <c r="AG17" s="354"/>
      <c r="AH17" s="83" t="s">
        <v>724</v>
      </c>
      <c r="AI17" s="83">
        <f>DPS_Melee_Damage</f>
        <v>0</v>
      </c>
      <c r="AJ17" s="371">
        <f>DPS_Attack_Speed*100</f>
        <v>5</v>
      </c>
      <c r="AK17" s="371"/>
      <c r="AL17" s="372" t="s">
        <v>721</v>
      </c>
      <c r="AM17" s="83">
        <v>2.0</v>
      </c>
      <c r="AN17" s="83">
        <v>1.0</v>
      </c>
      <c r="AO17" s="83">
        <v>0.0</v>
      </c>
      <c r="AP17" s="372">
        <v>110.0</v>
      </c>
      <c r="AQ17" s="370">
        <v>0.0</v>
      </c>
      <c r="AR17" s="83">
        <v>0.0</v>
      </c>
      <c r="AS17" s="83">
        <v>60.0</v>
      </c>
      <c r="AT17" s="83">
        <v>20.0</v>
      </c>
      <c r="AU17" s="83"/>
    </row>
    <row r="18">
      <c r="A18" s="368" t="s">
        <v>758</v>
      </c>
      <c r="B18" s="369"/>
      <c r="C18" s="369" t="s">
        <v>733</v>
      </c>
      <c r="D18" s="83" t="s">
        <v>734</v>
      </c>
      <c r="E18" s="83">
        <v>10.0</v>
      </c>
      <c r="F18" s="83">
        <v>50.0</v>
      </c>
      <c r="G18" s="83">
        <v>350.0</v>
      </c>
      <c r="H18" s="83">
        <v>0.15</v>
      </c>
      <c r="I18" s="354">
        <v>0.3</v>
      </c>
      <c r="J18" s="83">
        <v>1.5</v>
      </c>
      <c r="K18" s="83">
        <v>1.0</v>
      </c>
      <c r="L18" s="83">
        <v>0.0</v>
      </c>
      <c r="M18" s="354">
        <v>0.5</v>
      </c>
      <c r="N18" s="83">
        <v>0.0</v>
      </c>
      <c r="O18" s="83">
        <v>0.0</v>
      </c>
      <c r="P18" s="83">
        <v>1.0</v>
      </c>
      <c r="Q18" s="83">
        <v>0.0</v>
      </c>
      <c r="R18" s="83">
        <v>0.0</v>
      </c>
      <c r="S18" s="83">
        <v>0.0</v>
      </c>
      <c r="T18" s="83">
        <v>0.0</v>
      </c>
      <c r="U18" s="83">
        <v>0.0</v>
      </c>
      <c r="V18" s="83">
        <v>0.0</v>
      </c>
      <c r="W18" s="83">
        <v>0.0</v>
      </c>
      <c r="X18" s="370">
        <v>0.5</v>
      </c>
      <c r="Y18" s="83">
        <v>0.0</v>
      </c>
      <c r="Z18" s="370">
        <v>0.5</v>
      </c>
      <c r="AA18" s="83">
        <v>2.0</v>
      </c>
      <c r="AB18" s="370">
        <v>0.03</v>
      </c>
      <c r="AC18" s="354">
        <v>0.0</v>
      </c>
      <c r="AD18" s="371">
        <v>0.0</v>
      </c>
      <c r="AE18" s="354">
        <v>0.5</v>
      </c>
      <c r="AF18" s="354">
        <v>0.1</v>
      </c>
      <c r="AG18" s="354"/>
      <c r="AH18" s="83" t="s">
        <v>724</v>
      </c>
      <c r="AI18" s="83">
        <f>DPS_Ranged_Damage</f>
        <v>0</v>
      </c>
      <c r="AJ18" s="371">
        <f>DPS_Range_Stat</f>
        <v>0</v>
      </c>
      <c r="AK18" s="371"/>
      <c r="AL18" s="372">
        <v>3000.0</v>
      </c>
      <c r="AM18" s="83">
        <v>8.0</v>
      </c>
      <c r="AN18" s="83">
        <v>1.0</v>
      </c>
      <c r="AO18" s="83">
        <v>0.0</v>
      </c>
      <c r="AP18" s="372">
        <v>16.0</v>
      </c>
      <c r="AQ18" s="370">
        <v>0.0</v>
      </c>
      <c r="AR18" s="83">
        <v>0.0</v>
      </c>
      <c r="AS18" s="83" t="s">
        <v>733</v>
      </c>
      <c r="AT18" s="83" t="s">
        <v>733</v>
      </c>
      <c r="AU18" s="83" t="s">
        <v>759</v>
      </c>
    </row>
    <row r="19">
      <c r="A19" s="368" t="s">
        <v>760</v>
      </c>
      <c r="B19" s="369"/>
      <c r="C19" s="369" t="s">
        <v>733</v>
      </c>
      <c r="D19" s="83" t="s">
        <v>734</v>
      </c>
      <c r="E19" s="83">
        <v>12.0</v>
      </c>
      <c r="F19" s="83">
        <v>50.0</v>
      </c>
      <c r="G19" s="83">
        <v>350.0</v>
      </c>
      <c r="H19" s="83">
        <v>0.15</v>
      </c>
      <c r="I19" s="354">
        <v>0.35</v>
      </c>
      <c r="J19" s="83">
        <v>1.75</v>
      </c>
      <c r="K19" s="83">
        <v>1.0</v>
      </c>
      <c r="L19" s="83">
        <v>0.0</v>
      </c>
      <c r="M19" s="354">
        <v>0.5</v>
      </c>
      <c r="N19" s="83">
        <v>0.0</v>
      </c>
      <c r="O19" s="83">
        <v>0.0</v>
      </c>
      <c r="P19" s="83">
        <v>2.0</v>
      </c>
      <c r="Q19" s="83">
        <v>0.0</v>
      </c>
      <c r="R19" s="83">
        <v>0.0</v>
      </c>
      <c r="S19" s="83">
        <v>0.0</v>
      </c>
      <c r="T19" s="83">
        <v>0.0</v>
      </c>
      <c r="U19" s="83">
        <v>0.0</v>
      </c>
      <c r="V19" s="83">
        <v>0.0</v>
      </c>
      <c r="W19" s="83">
        <v>0.0</v>
      </c>
      <c r="X19" s="370">
        <v>0.5</v>
      </c>
      <c r="Y19" s="83">
        <v>0.0</v>
      </c>
      <c r="Z19" s="370">
        <v>0.5</v>
      </c>
      <c r="AA19" s="83">
        <v>2.0</v>
      </c>
      <c r="AB19" s="370">
        <v>0.03</v>
      </c>
      <c r="AC19" s="354">
        <v>0.0</v>
      </c>
      <c r="AD19" s="371">
        <v>0.0</v>
      </c>
      <c r="AE19" s="354">
        <v>0.5</v>
      </c>
      <c r="AF19" s="354">
        <v>0.1</v>
      </c>
      <c r="AG19" s="354"/>
      <c r="AH19" s="83" t="s">
        <v>724</v>
      </c>
      <c r="AI19" s="83">
        <f>DPS_Ranged_Damage</f>
        <v>0</v>
      </c>
      <c r="AJ19" s="371">
        <f>DPS_Range_Stat</f>
        <v>0</v>
      </c>
      <c r="AK19" s="371"/>
      <c r="AL19" s="372">
        <v>3000.0</v>
      </c>
      <c r="AM19" s="83">
        <v>8.0</v>
      </c>
      <c r="AN19" s="83">
        <v>1.0</v>
      </c>
      <c r="AO19" s="83">
        <v>0.0</v>
      </c>
      <c r="AP19" s="372">
        <v>34.0</v>
      </c>
      <c r="AQ19" s="370">
        <v>0.0</v>
      </c>
      <c r="AR19" s="83">
        <v>0.0</v>
      </c>
      <c r="AS19" s="83" t="s">
        <v>733</v>
      </c>
      <c r="AT19" s="83" t="s">
        <v>733</v>
      </c>
      <c r="AU19" s="83" t="s">
        <v>759</v>
      </c>
    </row>
    <row r="20">
      <c r="A20" s="368" t="s">
        <v>762</v>
      </c>
      <c r="B20" s="369"/>
      <c r="C20" s="369" t="s">
        <v>733</v>
      </c>
      <c r="D20" s="83" t="s">
        <v>734</v>
      </c>
      <c r="E20" s="83">
        <v>15.0</v>
      </c>
      <c r="F20" s="83">
        <v>50.0</v>
      </c>
      <c r="G20" s="83">
        <v>350.0</v>
      </c>
      <c r="H20" s="83">
        <v>0.15</v>
      </c>
      <c r="I20" s="354">
        <v>0.4</v>
      </c>
      <c r="J20" s="83">
        <v>2.0</v>
      </c>
      <c r="K20" s="83">
        <v>1.0</v>
      </c>
      <c r="L20" s="83">
        <v>0.0</v>
      </c>
      <c r="M20" s="354">
        <v>0.5</v>
      </c>
      <c r="N20" s="83">
        <v>0.0</v>
      </c>
      <c r="O20" s="83">
        <v>0.0</v>
      </c>
      <c r="P20" s="83">
        <v>3.0</v>
      </c>
      <c r="Q20" s="83">
        <v>0.0</v>
      </c>
      <c r="R20" s="83">
        <v>0.0</v>
      </c>
      <c r="S20" s="83">
        <v>0.0</v>
      </c>
      <c r="T20" s="83">
        <v>0.0</v>
      </c>
      <c r="U20" s="83">
        <v>0.0</v>
      </c>
      <c r="V20" s="83">
        <v>0.0</v>
      </c>
      <c r="W20" s="83">
        <v>0.0</v>
      </c>
      <c r="X20" s="370">
        <v>0.5</v>
      </c>
      <c r="Y20" s="83">
        <v>0.0</v>
      </c>
      <c r="Z20" s="370">
        <v>0.5</v>
      </c>
      <c r="AA20" s="83">
        <v>2.0</v>
      </c>
      <c r="AB20" s="370">
        <v>0.03</v>
      </c>
      <c r="AC20" s="354">
        <v>0.0</v>
      </c>
      <c r="AD20" s="371">
        <v>0.0</v>
      </c>
      <c r="AE20" s="354">
        <v>0.5</v>
      </c>
      <c r="AF20" s="354">
        <v>0.1</v>
      </c>
      <c r="AG20" s="354"/>
      <c r="AH20" s="83" t="s">
        <v>724</v>
      </c>
      <c r="AI20" s="83">
        <f>DPS_Ranged_Damage</f>
        <v>0</v>
      </c>
      <c r="AJ20" s="371">
        <f>DPS_Range_Stat</f>
        <v>0</v>
      </c>
      <c r="AK20" s="371"/>
      <c r="AL20" s="372">
        <v>3000.0</v>
      </c>
      <c r="AM20" s="83">
        <v>8.0</v>
      </c>
      <c r="AN20" s="83">
        <v>1.0</v>
      </c>
      <c r="AO20" s="83">
        <v>0.0</v>
      </c>
      <c r="AP20" s="372">
        <v>62.0</v>
      </c>
      <c r="AQ20" s="370">
        <v>0.0</v>
      </c>
      <c r="AR20" s="83">
        <v>0.0</v>
      </c>
      <c r="AS20" s="83" t="s">
        <v>733</v>
      </c>
      <c r="AT20" s="83" t="s">
        <v>733</v>
      </c>
      <c r="AU20" s="83" t="s">
        <v>759</v>
      </c>
    </row>
    <row r="21">
      <c r="A21" s="368" t="s">
        <v>766</v>
      </c>
      <c r="B21" s="369"/>
      <c r="C21" s="369" t="s">
        <v>733</v>
      </c>
      <c r="D21" s="83" t="s">
        <v>734</v>
      </c>
      <c r="E21" s="83">
        <v>18.0</v>
      </c>
      <c r="F21" s="83">
        <v>50.0</v>
      </c>
      <c r="G21" s="83">
        <v>350.0</v>
      </c>
      <c r="H21" s="83">
        <v>0.15</v>
      </c>
      <c r="I21" s="354">
        <v>0.45</v>
      </c>
      <c r="J21" s="83">
        <v>2.25</v>
      </c>
      <c r="K21" s="83">
        <v>1.0</v>
      </c>
      <c r="L21" s="83">
        <v>0.0</v>
      </c>
      <c r="M21" s="354">
        <v>0.5</v>
      </c>
      <c r="N21" s="83">
        <v>0.0</v>
      </c>
      <c r="O21" s="83">
        <v>0.0</v>
      </c>
      <c r="P21" s="83">
        <v>4.0</v>
      </c>
      <c r="Q21" s="83">
        <v>0.0</v>
      </c>
      <c r="R21" s="83">
        <v>0.0</v>
      </c>
      <c r="S21" s="83">
        <v>0.0</v>
      </c>
      <c r="T21" s="83">
        <v>0.0</v>
      </c>
      <c r="U21" s="83">
        <v>0.0</v>
      </c>
      <c r="V21" s="83">
        <v>0.0</v>
      </c>
      <c r="W21" s="83">
        <v>0.0</v>
      </c>
      <c r="X21" s="370">
        <v>0.5</v>
      </c>
      <c r="Y21" s="83">
        <v>0.0</v>
      </c>
      <c r="Z21" s="370">
        <v>0.5</v>
      </c>
      <c r="AA21" s="83">
        <v>2.0</v>
      </c>
      <c r="AB21" s="370">
        <v>0.03</v>
      </c>
      <c r="AC21" s="354">
        <v>0.0</v>
      </c>
      <c r="AD21" s="371">
        <v>0.0</v>
      </c>
      <c r="AE21" s="354">
        <v>0.5</v>
      </c>
      <c r="AF21" s="354">
        <v>0.1</v>
      </c>
      <c r="AG21" s="354"/>
      <c r="AH21" s="83" t="s">
        <v>724</v>
      </c>
      <c r="AI21" s="83">
        <f>DPS_Ranged_Damage</f>
        <v>0</v>
      </c>
      <c r="AJ21" s="371">
        <f>DPS_Range_Stat</f>
        <v>0</v>
      </c>
      <c r="AK21" s="371"/>
      <c r="AL21" s="372">
        <v>3000.0</v>
      </c>
      <c r="AM21" s="83">
        <v>8.0</v>
      </c>
      <c r="AN21" s="83">
        <v>1.0</v>
      </c>
      <c r="AO21" s="83">
        <v>0.0</v>
      </c>
      <c r="AP21" s="372">
        <v>132.0</v>
      </c>
      <c r="AQ21" s="370">
        <v>0.0</v>
      </c>
      <c r="AR21" s="83">
        <v>0.0</v>
      </c>
      <c r="AS21" s="83" t="s">
        <v>733</v>
      </c>
      <c r="AT21" s="83" t="s">
        <v>733</v>
      </c>
      <c r="AU21" s="83" t="s">
        <v>759</v>
      </c>
    </row>
    <row r="22">
      <c r="A22" s="368" t="s">
        <v>767</v>
      </c>
      <c r="B22" s="369"/>
      <c r="C22" s="369" t="s">
        <v>721</v>
      </c>
      <c r="D22" s="83" t="s">
        <v>752</v>
      </c>
      <c r="E22" s="83">
        <v>100.0</v>
      </c>
      <c r="F22" s="83">
        <v>30.0</v>
      </c>
      <c r="G22" s="83">
        <v>400.0</v>
      </c>
      <c r="H22" s="83">
        <v>0.1</v>
      </c>
      <c r="I22" s="354">
        <v>0.03</v>
      </c>
      <c r="J22" s="83">
        <v>2.0</v>
      </c>
      <c r="K22" s="83">
        <v>1.0</v>
      </c>
      <c r="L22" s="83">
        <v>0.0</v>
      </c>
      <c r="M22" s="354">
        <v>0.5</v>
      </c>
      <c r="N22" s="83">
        <v>0.0</v>
      </c>
      <c r="O22" s="83">
        <v>0.5</v>
      </c>
      <c r="P22" s="83">
        <v>0.0</v>
      </c>
      <c r="Q22" s="83">
        <v>0.0</v>
      </c>
      <c r="R22" s="83">
        <v>0.0</v>
      </c>
      <c r="S22" s="83">
        <v>0.0</v>
      </c>
      <c r="T22" s="83">
        <v>0.0</v>
      </c>
      <c r="U22" s="83">
        <v>30.0</v>
      </c>
      <c r="V22" s="83">
        <v>1.0</v>
      </c>
      <c r="W22" s="83">
        <v>4.0</v>
      </c>
      <c r="X22" s="370">
        <v>0.0</v>
      </c>
      <c r="Y22" s="83">
        <v>0.0</v>
      </c>
      <c r="Z22" s="370">
        <v>0.5</v>
      </c>
      <c r="AA22" s="83">
        <v>2.0</v>
      </c>
      <c r="AB22" s="370">
        <v>0.03</v>
      </c>
      <c r="AC22" s="370">
        <v>1.0</v>
      </c>
      <c r="AD22" s="371">
        <f>DPS_Elemental_Damage</f>
        <v>0</v>
      </c>
      <c r="AE22" s="370">
        <v>1.0</v>
      </c>
      <c r="AF22" s="370">
        <v>1.0</v>
      </c>
      <c r="AG22" s="370"/>
      <c r="AH22" s="83" t="s">
        <v>724</v>
      </c>
      <c r="AI22" s="83">
        <f>DPS_Melee_Damage</f>
        <v>0</v>
      </c>
      <c r="AJ22" s="83">
        <f>DPS_Engineering</f>
        <v>0</v>
      </c>
      <c r="AL22" s="372" t="s">
        <v>770</v>
      </c>
      <c r="AM22" s="83">
        <v>10.0</v>
      </c>
      <c r="AN22" s="83">
        <v>1.0</v>
      </c>
      <c r="AO22" s="83">
        <v>0.0</v>
      </c>
      <c r="AP22" s="372">
        <v>315.0</v>
      </c>
      <c r="AQ22" s="378">
        <v>0.5</v>
      </c>
      <c r="AR22" s="372">
        <v>1.25</v>
      </c>
      <c r="AS22" s="83">
        <v>147.0</v>
      </c>
      <c r="AT22" s="83">
        <v>24.5</v>
      </c>
      <c r="AU22" s="83"/>
    </row>
    <row r="23">
      <c r="A23" s="368" t="s">
        <v>771</v>
      </c>
      <c r="B23" s="369"/>
      <c r="C23" s="369" t="s">
        <v>733</v>
      </c>
      <c r="D23" s="83" t="s">
        <v>734</v>
      </c>
      <c r="E23" s="83">
        <v>3.0</v>
      </c>
      <c r="F23" s="83">
        <v>70.0</v>
      </c>
      <c r="G23" s="83">
        <v>350.0</v>
      </c>
      <c r="H23" s="83">
        <v>0.1</v>
      </c>
      <c r="I23" s="354">
        <v>0.03</v>
      </c>
      <c r="J23" s="83">
        <v>2.0</v>
      </c>
      <c r="K23" s="83">
        <v>4.0</v>
      </c>
      <c r="L23" s="83">
        <v>0.0</v>
      </c>
      <c r="M23" s="354">
        <v>0.5</v>
      </c>
      <c r="N23" s="83">
        <v>2.0</v>
      </c>
      <c r="O23" s="83">
        <v>0.3</v>
      </c>
      <c r="P23" s="83">
        <v>0.0</v>
      </c>
      <c r="Q23" s="83">
        <v>0.0</v>
      </c>
      <c r="R23" s="83">
        <v>0.0</v>
      </c>
      <c r="S23" s="83">
        <v>0.0</v>
      </c>
      <c r="T23" s="83">
        <v>0.0</v>
      </c>
      <c r="U23" s="83">
        <v>0.0</v>
      </c>
      <c r="V23" s="83">
        <v>0.0</v>
      </c>
      <c r="W23" s="83">
        <v>0.0</v>
      </c>
      <c r="X23" s="370">
        <v>0.5</v>
      </c>
      <c r="Y23" s="83">
        <v>0.0</v>
      </c>
      <c r="Z23" s="370">
        <v>0.5</v>
      </c>
      <c r="AA23" s="83">
        <v>2.0</v>
      </c>
      <c r="AB23" s="370">
        <v>0.03</v>
      </c>
      <c r="AC23" s="354">
        <v>0.0</v>
      </c>
      <c r="AD23" s="371">
        <v>0.0</v>
      </c>
      <c r="AE23" s="354">
        <v>0.8</v>
      </c>
      <c r="AF23" s="354"/>
      <c r="AG23" s="354"/>
      <c r="AH23" s="83" t="s">
        <v>724</v>
      </c>
      <c r="AI23" s="83">
        <f>DPS_Ranged_Damage</f>
        <v>0</v>
      </c>
      <c r="AJ23" s="371">
        <v>0.0</v>
      </c>
      <c r="AK23" s="371"/>
      <c r="AL23" s="372">
        <v>3000.0</v>
      </c>
      <c r="AM23" s="83">
        <v>8.0</v>
      </c>
      <c r="AN23" s="83">
        <v>0.9</v>
      </c>
      <c r="AO23" s="83">
        <v>0.5</v>
      </c>
      <c r="AP23" s="372">
        <v>20.0</v>
      </c>
      <c r="AQ23" s="370">
        <v>0.0</v>
      </c>
      <c r="AR23" s="83">
        <v>0.0</v>
      </c>
      <c r="AS23" s="83" t="s">
        <v>733</v>
      </c>
      <c r="AT23" s="83" t="s">
        <v>733</v>
      </c>
      <c r="AU23" s="83"/>
    </row>
    <row r="24">
      <c r="A24" s="368" t="s">
        <v>773</v>
      </c>
      <c r="B24" s="369"/>
      <c r="C24" s="369" t="s">
        <v>733</v>
      </c>
      <c r="D24" s="83" t="s">
        <v>734</v>
      </c>
      <c r="E24" s="83">
        <v>6.0</v>
      </c>
      <c r="F24" s="83">
        <v>65.0</v>
      </c>
      <c r="G24" s="83">
        <v>350.0</v>
      </c>
      <c r="H24" s="83">
        <v>0.1</v>
      </c>
      <c r="I24" s="354">
        <v>0.03</v>
      </c>
      <c r="J24" s="83">
        <v>2.0</v>
      </c>
      <c r="K24" s="83">
        <v>4.0</v>
      </c>
      <c r="L24" s="83">
        <v>0.0</v>
      </c>
      <c r="M24" s="354">
        <v>0.5</v>
      </c>
      <c r="N24" s="83">
        <v>2.0</v>
      </c>
      <c r="O24" s="83">
        <v>0.3</v>
      </c>
      <c r="P24" s="83">
        <v>0.0</v>
      </c>
      <c r="Q24" s="83">
        <v>0.0</v>
      </c>
      <c r="R24" s="83">
        <v>0.0</v>
      </c>
      <c r="S24" s="83">
        <v>0.0</v>
      </c>
      <c r="T24" s="83">
        <v>0.0</v>
      </c>
      <c r="U24" s="83">
        <v>0.0</v>
      </c>
      <c r="V24" s="83">
        <v>0.0</v>
      </c>
      <c r="W24" s="83">
        <v>0.0</v>
      </c>
      <c r="X24" s="370">
        <v>0.5</v>
      </c>
      <c r="Y24" s="83">
        <v>0.0</v>
      </c>
      <c r="Z24" s="370">
        <v>0.5</v>
      </c>
      <c r="AA24" s="83">
        <v>2.0</v>
      </c>
      <c r="AB24" s="370">
        <v>0.03</v>
      </c>
      <c r="AC24" s="354">
        <v>0.0</v>
      </c>
      <c r="AD24" s="371">
        <v>0.0</v>
      </c>
      <c r="AE24" s="354">
        <v>0.85</v>
      </c>
      <c r="AF24" s="354"/>
      <c r="AG24" s="354"/>
      <c r="AH24" s="83" t="s">
        <v>724</v>
      </c>
      <c r="AI24" s="83">
        <f>DPS_Ranged_Damage</f>
        <v>0</v>
      </c>
      <c r="AJ24" s="371">
        <v>0.0</v>
      </c>
      <c r="AK24" s="371"/>
      <c r="AL24" s="372">
        <v>3000.0</v>
      </c>
      <c r="AM24" s="83">
        <v>8.0</v>
      </c>
      <c r="AN24" s="83">
        <v>0.95</v>
      </c>
      <c r="AO24" s="83">
        <v>0.5</v>
      </c>
      <c r="AP24" s="372">
        <v>39.0</v>
      </c>
      <c r="AQ24" s="370">
        <v>0.0</v>
      </c>
      <c r="AR24" s="83">
        <v>0.0</v>
      </c>
      <c r="AS24" s="83" t="s">
        <v>733</v>
      </c>
      <c r="AT24" s="83" t="s">
        <v>733</v>
      </c>
      <c r="AU24" s="83"/>
    </row>
    <row r="25">
      <c r="A25" s="368" t="s">
        <v>775</v>
      </c>
      <c r="B25" s="369"/>
      <c r="C25" s="369" t="s">
        <v>733</v>
      </c>
      <c r="D25" s="83" t="s">
        <v>734</v>
      </c>
      <c r="E25" s="83">
        <v>9.0</v>
      </c>
      <c r="F25" s="83">
        <v>60.0</v>
      </c>
      <c r="G25" s="83">
        <v>350.0</v>
      </c>
      <c r="H25" s="83">
        <v>0.1</v>
      </c>
      <c r="I25" s="354">
        <v>0.03</v>
      </c>
      <c r="J25" s="83">
        <v>2.0</v>
      </c>
      <c r="K25" s="83">
        <v>4.0</v>
      </c>
      <c r="L25" s="83">
        <v>0.0</v>
      </c>
      <c r="M25" s="354">
        <v>0.5</v>
      </c>
      <c r="N25" s="83">
        <v>2.0</v>
      </c>
      <c r="O25" s="83">
        <v>0.3</v>
      </c>
      <c r="P25" s="83">
        <v>0.0</v>
      </c>
      <c r="Q25" s="83">
        <v>0.0</v>
      </c>
      <c r="R25" s="83">
        <v>0.0</v>
      </c>
      <c r="S25" s="83">
        <v>0.0</v>
      </c>
      <c r="T25" s="83">
        <v>0.0</v>
      </c>
      <c r="U25" s="83">
        <v>0.0</v>
      </c>
      <c r="V25" s="83">
        <v>0.0</v>
      </c>
      <c r="W25" s="83">
        <v>0.0</v>
      </c>
      <c r="X25" s="370">
        <v>0.5</v>
      </c>
      <c r="Y25" s="83">
        <v>0.0</v>
      </c>
      <c r="Z25" s="370">
        <v>0.5</v>
      </c>
      <c r="AA25" s="83">
        <v>2.0</v>
      </c>
      <c r="AB25" s="370">
        <v>0.03</v>
      </c>
      <c r="AC25" s="354">
        <v>0.0</v>
      </c>
      <c r="AD25" s="371">
        <v>0.0</v>
      </c>
      <c r="AE25" s="354">
        <v>0.9</v>
      </c>
      <c r="AF25" s="354"/>
      <c r="AG25" s="354"/>
      <c r="AH25" s="83" t="s">
        <v>724</v>
      </c>
      <c r="AI25" s="83">
        <f>DPS_Ranged_Damage</f>
        <v>0</v>
      </c>
      <c r="AJ25" s="371">
        <v>0.0</v>
      </c>
      <c r="AK25" s="371"/>
      <c r="AL25" s="372">
        <v>3000.0</v>
      </c>
      <c r="AM25" s="83">
        <v>8.0</v>
      </c>
      <c r="AN25" s="83">
        <v>1.0</v>
      </c>
      <c r="AO25" s="83">
        <v>0.5</v>
      </c>
      <c r="AP25" s="372">
        <v>74.0</v>
      </c>
      <c r="AQ25" s="370">
        <v>0.0</v>
      </c>
      <c r="AR25" s="83">
        <v>0.0</v>
      </c>
      <c r="AS25" s="83" t="s">
        <v>733</v>
      </c>
      <c r="AT25" s="83" t="s">
        <v>733</v>
      </c>
      <c r="AU25" s="83"/>
    </row>
    <row r="26">
      <c r="A26" s="368" t="s">
        <v>777</v>
      </c>
      <c r="B26" s="369"/>
      <c r="C26" s="369" t="s">
        <v>733</v>
      </c>
      <c r="D26" s="83" t="s">
        <v>734</v>
      </c>
      <c r="E26" s="83">
        <v>9.0</v>
      </c>
      <c r="F26" s="83">
        <v>60.0</v>
      </c>
      <c r="G26" s="83">
        <v>350.0</v>
      </c>
      <c r="H26" s="83">
        <v>0.1</v>
      </c>
      <c r="I26" s="354">
        <v>0.03</v>
      </c>
      <c r="J26" s="83">
        <v>2.0</v>
      </c>
      <c r="K26" s="83">
        <v>6.0</v>
      </c>
      <c r="L26" s="83">
        <v>0.0</v>
      </c>
      <c r="M26" s="354">
        <v>0.5</v>
      </c>
      <c r="N26" s="83">
        <v>3.0</v>
      </c>
      <c r="O26" s="83">
        <v>0.3</v>
      </c>
      <c r="P26" s="83">
        <v>0.0</v>
      </c>
      <c r="Q26" s="83">
        <v>0.0</v>
      </c>
      <c r="R26" s="83">
        <v>0.0</v>
      </c>
      <c r="S26" s="83">
        <v>0.0</v>
      </c>
      <c r="T26" s="83">
        <v>0.0</v>
      </c>
      <c r="U26" s="83">
        <v>0.0</v>
      </c>
      <c r="V26" s="83">
        <v>0.0</v>
      </c>
      <c r="W26" s="83">
        <v>0.0</v>
      </c>
      <c r="X26" s="370">
        <v>0.5</v>
      </c>
      <c r="Y26" s="83">
        <v>0.0</v>
      </c>
      <c r="Z26" s="370">
        <v>0.5</v>
      </c>
      <c r="AA26" s="83">
        <v>2.0</v>
      </c>
      <c r="AB26" s="370">
        <v>0.03</v>
      </c>
      <c r="AC26" s="354">
        <v>0.0</v>
      </c>
      <c r="AD26" s="371">
        <v>0.0</v>
      </c>
      <c r="AE26" s="354">
        <v>1.0</v>
      </c>
      <c r="AF26" s="354"/>
      <c r="AG26" s="354"/>
      <c r="AH26" s="83" t="s">
        <v>724</v>
      </c>
      <c r="AI26" s="83">
        <f>DPS_Ranged_Damage</f>
        <v>0</v>
      </c>
      <c r="AJ26" s="371">
        <v>0.0</v>
      </c>
      <c r="AK26" s="371"/>
      <c r="AL26" s="372">
        <v>3000.0</v>
      </c>
      <c r="AM26" s="83">
        <v>8.0</v>
      </c>
      <c r="AN26" s="83">
        <v>1.0</v>
      </c>
      <c r="AO26" s="83">
        <v>0.5</v>
      </c>
      <c r="AP26" s="372">
        <v>149.0</v>
      </c>
      <c r="AQ26" s="370">
        <v>0.0</v>
      </c>
      <c r="AR26" s="83">
        <v>0.0</v>
      </c>
      <c r="AS26" s="83" t="s">
        <v>733</v>
      </c>
      <c r="AT26" s="83" t="s">
        <v>733</v>
      </c>
      <c r="AU26" s="83"/>
    </row>
    <row r="27">
      <c r="A27" s="368" t="s">
        <v>778</v>
      </c>
      <c r="B27" s="369"/>
      <c r="C27" s="369" t="s">
        <v>721</v>
      </c>
      <c r="D27" s="83" t="s">
        <v>752</v>
      </c>
      <c r="E27" s="83">
        <v>10.0</v>
      </c>
      <c r="F27" s="83">
        <v>2.0</v>
      </c>
      <c r="G27" s="83">
        <v>100.0</v>
      </c>
      <c r="H27" s="83">
        <v>0.01</v>
      </c>
      <c r="I27" s="354">
        <v>0.5</v>
      </c>
      <c r="J27" s="83">
        <v>1.5</v>
      </c>
      <c r="K27" s="83">
        <v>1.0</v>
      </c>
      <c r="L27" s="83">
        <v>0.0</v>
      </c>
      <c r="M27" s="354">
        <v>0.5</v>
      </c>
      <c r="N27" s="83">
        <v>0.0</v>
      </c>
      <c r="O27" s="83">
        <v>0.5</v>
      </c>
      <c r="P27" s="83">
        <v>0.0</v>
      </c>
      <c r="Q27" s="83">
        <v>0.0</v>
      </c>
      <c r="R27" s="83">
        <v>0.0</v>
      </c>
      <c r="S27" s="83">
        <v>0.0</v>
      </c>
      <c r="T27" s="83">
        <v>0.0</v>
      </c>
      <c r="U27" s="83">
        <v>0.0</v>
      </c>
      <c r="V27" s="83">
        <v>0.0</v>
      </c>
      <c r="W27" s="83">
        <v>0.0</v>
      </c>
      <c r="X27" s="370">
        <v>0.5</v>
      </c>
      <c r="Y27" s="83">
        <v>0.0</v>
      </c>
      <c r="Z27" s="370">
        <v>0.5</v>
      </c>
      <c r="AA27" s="83">
        <v>2.0</v>
      </c>
      <c r="AB27" s="370">
        <v>0.03</v>
      </c>
      <c r="AC27" s="354">
        <v>0.0</v>
      </c>
      <c r="AD27" s="371">
        <v>0.0</v>
      </c>
      <c r="AE27" s="354">
        <v>1.0</v>
      </c>
      <c r="AF27" s="354">
        <v>1.0</v>
      </c>
      <c r="AG27" s="354"/>
      <c r="AH27" s="83" t="s">
        <v>724</v>
      </c>
      <c r="AI27" s="83">
        <f>DPS_Melee_Damage</f>
        <v>0</v>
      </c>
      <c r="AJ27" s="83">
        <f>DPS_Engineering</f>
        <v>0</v>
      </c>
      <c r="AL27" s="372" t="s">
        <v>721</v>
      </c>
      <c r="AM27" s="83">
        <v>5.0</v>
      </c>
      <c r="AN27" s="83">
        <v>1.0</v>
      </c>
      <c r="AO27" s="83">
        <v>0.0</v>
      </c>
      <c r="AP27" s="372">
        <v>250.0</v>
      </c>
      <c r="AQ27" s="370">
        <v>0.0</v>
      </c>
      <c r="AR27" s="83">
        <v>0.0</v>
      </c>
      <c r="AS27" s="372">
        <v>80.5</v>
      </c>
      <c r="AT27" s="372">
        <v>24.0</v>
      </c>
      <c r="AU27" s="372" t="s">
        <v>783</v>
      </c>
    </row>
    <row r="28">
      <c r="A28" s="368" t="s">
        <v>784</v>
      </c>
      <c r="B28" s="369"/>
      <c r="C28" s="369" t="s">
        <v>721</v>
      </c>
      <c r="D28" s="83" t="s">
        <v>722</v>
      </c>
      <c r="E28" s="83">
        <v>200.0</v>
      </c>
      <c r="F28" s="83">
        <v>3.0</v>
      </c>
      <c r="G28" s="83">
        <v>200.0</v>
      </c>
      <c r="H28" s="83">
        <v>0.1</v>
      </c>
      <c r="I28" s="354">
        <v>0.1</v>
      </c>
      <c r="J28" s="83">
        <v>2.5</v>
      </c>
      <c r="K28" s="83">
        <v>1.0</v>
      </c>
      <c r="L28" s="83">
        <v>0.0</v>
      </c>
      <c r="M28" s="354">
        <v>0.5</v>
      </c>
      <c r="N28" s="83">
        <v>0.0</v>
      </c>
      <c r="O28" s="83">
        <v>0.5</v>
      </c>
      <c r="P28" s="83">
        <v>0.0</v>
      </c>
      <c r="Q28" s="83">
        <v>0.0</v>
      </c>
      <c r="R28" s="83">
        <v>0.0</v>
      </c>
      <c r="S28" s="83">
        <v>0.0</v>
      </c>
      <c r="T28" s="83">
        <v>0.0</v>
      </c>
      <c r="U28" s="83">
        <v>0.0</v>
      </c>
      <c r="V28" s="83">
        <v>0.0</v>
      </c>
      <c r="W28" s="83">
        <v>0.0</v>
      </c>
      <c r="X28" s="370">
        <v>0.5</v>
      </c>
      <c r="Y28" s="83">
        <v>0.0</v>
      </c>
      <c r="Z28" s="370">
        <v>0.5</v>
      </c>
      <c r="AA28" s="83">
        <v>2.0</v>
      </c>
      <c r="AB28" s="370">
        <v>0.03</v>
      </c>
      <c r="AC28" s="354">
        <v>0.0</v>
      </c>
      <c r="AD28" s="371">
        <v>0.0</v>
      </c>
      <c r="AE28" s="354">
        <v>2.0</v>
      </c>
      <c r="AF28" s="354">
        <v>2.0</v>
      </c>
      <c r="AG28" s="354"/>
      <c r="AH28" s="83" t="s">
        <v>724</v>
      </c>
      <c r="AI28" s="83">
        <f>DPS_Melee_Damage</f>
        <v>0</v>
      </c>
      <c r="AJ28" s="83">
        <f>DPS_Max_HP</f>
        <v>0</v>
      </c>
      <c r="AL28" s="372" t="s">
        <v>721</v>
      </c>
      <c r="AM28" s="83">
        <v>5.0</v>
      </c>
      <c r="AN28" s="83">
        <v>1.0</v>
      </c>
      <c r="AO28" s="83">
        <v>0.0</v>
      </c>
      <c r="AP28" s="372">
        <v>230.0</v>
      </c>
      <c r="AQ28" s="370">
        <v>0.0</v>
      </c>
      <c r="AR28" s="83">
        <v>0.0</v>
      </c>
      <c r="AS28" s="372">
        <v>112.0</v>
      </c>
      <c r="AT28" s="372">
        <v>32.0</v>
      </c>
      <c r="AU28" s="372"/>
    </row>
    <row r="29">
      <c r="A29" s="368" t="s">
        <v>785</v>
      </c>
      <c r="B29" s="369"/>
      <c r="C29" s="369" t="s">
        <v>733</v>
      </c>
      <c r="D29" s="83" t="s">
        <v>734</v>
      </c>
      <c r="E29" s="83">
        <v>5.0</v>
      </c>
      <c r="F29" s="83">
        <v>55.0</v>
      </c>
      <c r="G29" s="83">
        <v>400.0</v>
      </c>
      <c r="H29" s="83">
        <v>0.1</v>
      </c>
      <c r="I29" s="354">
        <v>0.03</v>
      </c>
      <c r="J29" s="83">
        <v>1.5</v>
      </c>
      <c r="K29" s="83">
        <v>1.0</v>
      </c>
      <c r="L29" s="83">
        <v>0.0</v>
      </c>
      <c r="M29" s="354">
        <v>0.5</v>
      </c>
      <c r="N29" s="83">
        <v>0.0</v>
      </c>
      <c r="O29" s="83">
        <v>0.5</v>
      </c>
      <c r="P29" s="83">
        <v>0.0</v>
      </c>
      <c r="Q29" s="83">
        <v>0.0</v>
      </c>
      <c r="R29" s="83">
        <v>0.0</v>
      </c>
      <c r="S29" s="83">
        <v>3.0</v>
      </c>
      <c r="T29" s="83">
        <v>5.0</v>
      </c>
      <c r="U29" s="83">
        <v>0.0</v>
      </c>
      <c r="V29" s="83">
        <v>0.0</v>
      </c>
      <c r="W29" s="83">
        <v>0.0</v>
      </c>
      <c r="X29" s="370">
        <v>0.5</v>
      </c>
      <c r="Y29" s="83">
        <v>0.0</v>
      </c>
      <c r="Z29" s="370">
        <v>0.5</v>
      </c>
      <c r="AA29" s="83">
        <v>2.0</v>
      </c>
      <c r="AB29" s="370">
        <v>0.03</v>
      </c>
      <c r="AC29" s="354">
        <v>0.0</v>
      </c>
      <c r="AD29" s="371">
        <v>0.0</v>
      </c>
      <c r="AE29" s="354">
        <v>0.25</v>
      </c>
      <c r="AF29" s="354"/>
      <c r="AG29" s="354"/>
      <c r="AH29" s="83" t="s">
        <v>724</v>
      </c>
      <c r="AI29" s="371">
        <f>DPS_Elemental_Damage</f>
        <v>0</v>
      </c>
      <c r="AJ29" s="371">
        <v>0.0</v>
      </c>
      <c r="AK29" s="371"/>
      <c r="AL29" s="372">
        <v>1500.0</v>
      </c>
      <c r="AM29" s="83">
        <v>0.0</v>
      </c>
      <c r="AN29" s="83">
        <v>0.9</v>
      </c>
      <c r="AO29" s="83">
        <v>0.0</v>
      </c>
      <c r="AP29" s="372">
        <v>36.0</v>
      </c>
      <c r="AQ29" s="378">
        <v>1.0</v>
      </c>
      <c r="AR29" s="372">
        <v>1.0</v>
      </c>
      <c r="AS29" s="83" t="s">
        <v>733</v>
      </c>
      <c r="AT29" s="83" t="s">
        <v>733</v>
      </c>
      <c r="AU29" s="83" t="s">
        <v>787</v>
      </c>
    </row>
    <row r="30">
      <c r="A30" s="368" t="s">
        <v>788</v>
      </c>
      <c r="B30" s="369"/>
      <c r="C30" s="369" t="s">
        <v>733</v>
      </c>
      <c r="D30" s="83" t="s">
        <v>734</v>
      </c>
      <c r="E30" s="83">
        <v>10.0</v>
      </c>
      <c r="F30" s="83">
        <v>50.0</v>
      </c>
      <c r="G30" s="83">
        <v>450.0</v>
      </c>
      <c r="H30" s="83">
        <v>0.1</v>
      </c>
      <c r="I30" s="354">
        <v>0.03</v>
      </c>
      <c r="J30" s="83">
        <v>1.5</v>
      </c>
      <c r="K30" s="83">
        <v>1.0</v>
      </c>
      <c r="L30" s="83">
        <v>0.0</v>
      </c>
      <c r="M30" s="354">
        <v>0.5</v>
      </c>
      <c r="N30" s="83">
        <v>0.0</v>
      </c>
      <c r="O30" s="83">
        <v>0.5</v>
      </c>
      <c r="P30" s="83">
        <v>0.0</v>
      </c>
      <c r="Q30" s="83">
        <v>0.0</v>
      </c>
      <c r="R30" s="83">
        <v>0.0</v>
      </c>
      <c r="S30" s="83">
        <v>4.0</v>
      </c>
      <c r="T30" s="83">
        <v>6.0</v>
      </c>
      <c r="U30" s="83">
        <v>0.0</v>
      </c>
      <c r="V30" s="83">
        <v>0.0</v>
      </c>
      <c r="W30" s="83">
        <v>0.0</v>
      </c>
      <c r="X30" s="370">
        <v>0.5</v>
      </c>
      <c r="Y30" s="83">
        <v>0.0</v>
      </c>
      <c r="Z30" s="370">
        <v>0.5</v>
      </c>
      <c r="AA30" s="83">
        <v>2.0</v>
      </c>
      <c r="AB30" s="370">
        <v>0.03</v>
      </c>
      <c r="AC30" s="354">
        <v>0.0</v>
      </c>
      <c r="AD30" s="371">
        <v>0.0</v>
      </c>
      <c r="AE30" s="354">
        <v>0.5</v>
      </c>
      <c r="AF30" s="354"/>
      <c r="AG30" s="354"/>
      <c r="AH30" s="83" t="s">
        <v>724</v>
      </c>
      <c r="AI30" s="371">
        <f>DPS_Elemental_Damage</f>
        <v>0</v>
      </c>
      <c r="AJ30" s="371">
        <v>0.0</v>
      </c>
      <c r="AK30" s="371"/>
      <c r="AL30" s="372">
        <v>1500.0</v>
      </c>
      <c r="AM30" s="83">
        <v>0.0</v>
      </c>
      <c r="AN30" s="83">
        <v>0.95</v>
      </c>
      <c r="AO30" s="83">
        <v>0.0</v>
      </c>
      <c r="AP30" s="372">
        <v>66.0</v>
      </c>
      <c r="AQ30" s="378">
        <v>1.0</v>
      </c>
      <c r="AR30" s="372">
        <v>1.0</v>
      </c>
      <c r="AS30" s="83" t="s">
        <v>733</v>
      </c>
      <c r="AT30" s="83" t="s">
        <v>733</v>
      </c>
      <c r="AU30" s="83" t="s">
        <v>787</v>
      </c>
    </row>
    <row r="31">
      <c r="A31" s="368" t="s">
        <v>791</v>
      </c>
      <c r="B31" s="369"/>
      <c r="C31" s="369" t="s">
        <v>733</v>
      </c>
      <c r="D31" s="83" t="s">
        <v>734</v>
      </c>
      <c r="E31" s="83">
        <v>20.0</v>
      </c>
      <c r="F31" s="83">
        <v>40.0</v>
      </c>
      <c r="G31" s="83">
        <v>500.0</v>
      </c>
      <c r="H31" s="83">
        <v>0.1</v>
      </c>
      <c r="I31" s="354">
        <v>0.03</v>
      </c>
      <c r="J31" s="83">
        <v>1.5</v>
      </c>
      <c r="K31" s="83">
        <v>1.0</v>
      </c>
      <c r="L31" s="83">
        <v>0.0</v>
      </c>
      <c r="M31" s="354">
        <v>0.5</v>
      </c>
      <c r="N31" s="83">
        <v>0.0</v>
      </c>
      <c r="O31" s="83">
        <v>0.5</v>
      </c>
      <c r="P31" s="83">
        <v>0.0</v>
      </c>
      <c r="Q31" s="83">
        <v>0.0</v>
      </c>
      <c r="R31" s="83">
        <v>0.0</v>
      </c>
      <c r="S31" s="83">
        <v>5.0</v>
      </c>
      <c r="T31" s="83">
        <v>8.0</v>
      </c>
      <c r="U31" s="83">
        <v>0.0</v>
      </c>
      <c r="V31" s="83">
        <v>0.0</v>
      </c>
      <c r="W31" s="83">
        <v>0.0</v>
      </c>
      <c r="X31" s="370">
        <v>0.5</v>
      </c>
      <c r="Y31" s="83">
        <v>0.0</v>
      </c>
      <c r="Z31" s="370">
        <v>0.5</v>
      </c>
      <c r="AA31" s="83">
        <v>2.0</v>
      </c>
      <c r="AB31" s="370">
        <v>0.03</v>
      </c>
      <c r="AC31" s="354">
        <v>0.0</v>
      </c>
      <c r="AD31" s="371">
        <v>0.0</v>
      </c>
      <c r="AE31" s="354">
        <v>0.75</v>
      </c>
      <c r="AF31" s="354"/>
      <c r="AG31" s="354"/>
      <c r="AH31" s="83" t="s">
        <v>724</v>
      </c>
      <c r="AI31" s="371">
        <f>DPS_Elemental_Damage</f>
        <v>0</v>
      </c>
      <c r="AJ31" s="371">
        <v>0.0</v>
      </c>
      <c r="AK31" s="371"/>
      <c r="AL31" s="372">
        <v>1500.0</v>
      </c>
      <c r="AM31" s="83">
        <v>0.0</v>
      </c>
      <c r="AN31" s="83">
        <v>1.0</v>
      </c>
      <c r="AO31" s="83">
        <v>0.0</v>
      </c>
      <c r="AP31" s="372">
        <v>140.0</v>
      </c>
      <c r="AQ31" s="378">
        <v>1.0</v>
      </c>
      <c r="AR31" s="372">
        <v>1.0</v>
      </c>
      <c r="AS31" s="83" t="s">
        <v>733</v>
      </c>
      <c r="AT31" s="83" t="s">
        <v>733</v>
      </c>
      <c r="AU31" s="83" t="s">
        <v>787</v>
      </c>
    </row>
    <row r="32">
      <c r="A32" s="368" t="s">
        <v>793</v>
      </c>
      <c r="B32" s="369"/>
      <c r="C32" s="369" t="s">
        <v>721</v>
      </c>
      <c r="D32" s="83" t="s">
        <v>752</v>
      </c>
      <c r="E32" s="83">
        <v>8.0</v>
      </c>
      <c r="F32" s="83">
        <v>13.0</v>
      </c>
      <c r="G32" s="83">
        <v>150.0</v>
      </c>
      <c r="H32" s="83">
        <v>0.1</v>
      </c>
      <c r="I32" s="354">
        <v>0.01</v>
      </c>
      <c r="J32" s="83">
        <v>1.5</v>
      </c>
      <c r="K32" s="83">
        <v>1.0</v>
      </c>
      <c r="L32" s="83">
        <v>0.0</v>
      </c>
      <c r="M32" s="354">
        <v>0.5</v>
      </c>
      <c r="N32" s="83">
        <v>0.0</v>
      </c>
      <c r="O32" s="83">
        <v>0.5</v>
      </c>
      <c r="P32" s="83">
        <v>0.0</v>
      </c>
      <c r="Q32" s="83">
        <v>0.0</v>
      </c>
      <c r="R32" s="83">
        <v>0.0</v>
      </c>
      <c r="S32" s="83">
        <v>0.0</v>
      </c>
      <c r="T32" s="83">
        <v>0.0</v>
      </c>
      <c r="U32" s="83">
        <v>0.0</v>
      </c>
      <c r="V32" s="83">
        <v>0.0</v>
      </c>
      <c r="W32" s="83">
        <v>0.0</v>
      </c>
      <c r="X32" s="370">
        <v>0.5</v>
      </c>
      <c r="Y32" s="83">
        <v>0.0</v>
      </c>
      <c r="Z32" s="370">
        <v>0.5</v>
      </c>
      <c r="AA32" s="83">
        <v>2.0</v>
      </c>
      <c r="AB32" s="370">
        <v>0.03</v>
      </c>
      <c r="AC32" s="354">
        <v>0.0</v>
      </c>
      <c r="AD32" s="371">
        <v>0.0</v>
      </c>
      <c r="AE32" s="354">
        <v>1.0</v>
      </c>
      <c r="AF32" s="354"/>
      <c r="AG32" s="354"/>
      <c r="AH32" s="83" t="s">
        <v>724</v>
      </c>
      <c r="AI32" s="83">
        <f>DPS_Melee_Damage</f>
        <v>0</v>
      </c>
      <c r="AJ32" s="371">
        <v>0.0</v>
      </c>
      <c r="AK32" s="371"/>
      <c r="AL32" s="372" t="s">
        <v>721</v>
      </c>
      <c r="AM32" s="83">
        <v>15.0</v>
      </c>
      <c r="AN32" s="83">
        <v>1.0</v>
      </c>
      <c r="AO32" s="83">
        <v>0.0</v>
      </c>
      <c r="AP32" s="372">
        <v>10.0</v>
      </c>
      <c r="AQ32" s="370">
        <v>0.0</v>
      </c>
      <c r="AR32" s="83">
        <v>0.0</v>
      </c>
      <c r="AS32" s="372">
        <v>48.0</v>
      </c>
      <c r="AT32" s="372">
        <v>20.0</v>
      </c>
      <c r="AU32" s="372"/>
    </row>
    <row r="33">
      <c r="A33" s="368" t="s">
        <v>794</v>
      </c>
      <c r="B33" s="369"/>
      <c r="C33" s="369" t="s">
        <v>721</v>
      </c>
      <c r="D33" s="83" t="s">
        <v>752</v>
      </c>
      <c r="E33" s="83">
        <v>16.0</v>
      </c>
      <c r="F33" s="83">
        <v>10.0</v>
      </c>
      <c r="G33" s="83">
        <v>150.0</v>
      </c>
      <c r="H33" s="83">
        <v>0.1</v>
      </c>
      <c r="I33" s="354">
        <v>0.01</v>
      </c>
      <c r="J33" s="83">
        <v>1.5</v>
      </c>
      <c r="K33" s="83">
        <v>1.0</v>
      </c>
      <c r="L33" s="83">
        <v>0.0</v>
      </c>
      <c r="M33" s="354">
        <v>0.5</v>
      </c>
      <c r="N33" s="83">
        <v>0.0</v>
      </c>
      <c r="O33" s="83">
        <v>0.5</v>
      </c>
      <c r="P33" s="83">
        <v>0.0</v>
      </c>
      <c r="Q33" s="83">
        <v>0.0</v>
      </c>
      <c r="R33" s="83">
        <v>0.0</v>
      </c>
      <c r="S33" s="83">
        <v>0.0</v>
      </c>
      <c r="T33" s="83">
        <v>0.0</v>
      </c>
      <c r="U33" s="83">
        <v>0.0</v>
      </c>
      <c r="V33" s="83">
        <v>0.0</v>
      </c>
      <c r="W33" s="83">
        <v>0.0</v>
      </c>
      <c r="X33" s="370">
        <v>0.5</v>
      </c>
      <c r="Y33" s="83">
        <v>0.0</v>
      </c>
      <c r="Z33" s="370">
        <v>0.5</v>
      </c>
      <c r="AA33" s="83">
        <v>2.0</v>
      </c>
      <c r="AB33" s="370">
        <v>0.03</v>
      </c>
      <c r="AC33" s="354">
        <v>0.0</v>
      </c>
      <c r="AD33" s="371">
        <v>0.0</v>
      </c>
      <c r="AE33" s="354">
        <v>1.0</v>
      </c>
      <c r="AF33" s="354"/>
      <c r="AG33" s="354"/>
      <c r="AH33" s="83" t="s">
        <v>724</v>
      </c>
      <c r="AI33" s="83">
        <f>DPS_Melee_Damage</f>
        <v>0</v>
      </c>
      <c r="AJ33" s="371">
        <v>0.0</v>
      </c>
      <c r="AK33" s="371"/>
      <c r="AL33" s="372" t="s">
        <v>721</v>
      </c>
      <c r="AM33" s="83">
        <v>15.0</v>
      </c>
      <c r="AN33" s="83">
        <v>1.0</v>
      </c>
      <c r="AO33" s="83">
        <v>0.0</v>
      </c>
      <c r="AP33" s="372">
        <v>22.0</v>
      </c>
      <c r="AQ33" s="370">
        <v>0.0</v>
      </c>
      <c r="AR33" s="83">
        <v>0.0</v>
      </c>
      <c r="AS33" s="372">
        <v>48.0</v>
      </c>
      <c r="AT33" s="372">
        <v>20.0</v>
      </c>
      <c r="AU33" s="372"/>
    </row>
    <row r="34">
      <c r="A34" s="368" t="s">
        <v>798</v>
      </c>
      <c r="B34" s="369"/>
      <c r="C34" s="369" t="s">
        <v>721</v>
      </c>
      <c r="D34" s="83" t="s">
        <v>752</v>
      </c>
      <c r="E34" s="83">
        <v>32.0</v>
      </c>
      <c r="F34" s="83">
        <v>8.0</v>
      </c>
      <c r="G34" s="83">
        <v>150.0</v>
      </c>
      <c r="H34" s="83">
        <v>0.1</v>
      </c>
      <c r="I34" s="354">
        <v>0.01</v>
      </c>
      <c r="J34" s="83">
        <v>1.5</v>
      </c>
      <c r="K34" s="83">
        <v>1.0</v>
      </c>
      <c r="L34" s="83">
        <v>0.0</v>
      </c>
      <c r="M34" s="354">
        <v>0.5</v>
      </c>
      <c r="N34" s="83">
        <v>0.0</v>
      </c>
      <c r="O34" s="83">
        <v>0.5</v>
      </c>
      <c r="P34" s="83">
        <v>0.0</v>
      </c>
      <c r="Q34" s="83">
        <v>0.0</v>
      </c>
      <c r="R34" s="83">
        <v>0.0</v>
      </c>
      <c r="S34" s="83">
        <v>0.0</v>
      </c>
      <c r="T34" s="83">
        <v>0.0</v>
      </c>
      <c r="U34" s="83">
        <v>0.0</v>
      </c>
      <c r="V34" s="83">
        <v>0.0</v>
      </c>
      <c r="W34" s="83">
        <v>0.0</v>
      </c>
      <c r="X34" s="370">
        <v>0.5</v>
      </c>
      <c r="Y34" s="83">
        <v>0.0</v>
      </c>
      <c r="Z34" s="370">
        <v>0.5</v>
      </c>
      <c r="AA34" s="83">
        <v>2.0</v>
      </c>
      <c r="AB34" s="370">
        <v>0.03</v>
      </c>
      <c r="AC34" s="354">
        <v>0.0</v>
      </c>
      <c r="AD34" s="371">
        <v>0.0</v>
      </c>
      <c r="AE34" s="354">
        <v>1.0</v>
      </c>
      <c r="AF34" s="354"/>
      <c r="AG34" s="354"/>
      <c r="AH34" s="83" t="s">
        <v>724</v>
      </c>
      <c r="AI34" s="83">
        <f>DPS_Melee_Damage</f>
        <v>0</v>
      </c>
      <c r="AJ34" s="371">
        <v>0.0</v>
      </c>
      <c r="AK34" s="371"/>
      <c r="AL34" s="372" t="s">
        <v>721</v>
      </c>
      <c r="AM34" s="83">
        <v>15.0</v>
      </c>
      <c r="AN34" s="83">
        <v>1.0</v>
      </c>
      <c r="AO34" s="83">
        <v>0.0</v>
      </c>
      <c r="AP34" s="372">
        <v>45.0</v>
      </c>
      <c r="AQ34" s="370">
        <v>0.0</v>
      </c>
      <c r="AR34" s="83">
        <v>0.0</v>
      </c>
      <c r="AS34" s="372">
        <v>48.0</v>
      </c>
      <c r="AT34" s="372">
        <v>20.0</v>
      </c>
      <c r="AU34" s="372"/>
    </row>
    <row r="35">
      <c r="A35" s="368" t="s">
        <v>799</v>
      </c>
      <c r="B35" s="369"/>
      <c r="C35" s="369" t="s">
        <v>721</v>
      </c>
      <c r="D35" s="83" t="s">
        <v>752</v>
      </c>
      <c r="E35" s="83">
        <v>64.0</v>
      </c>
      <c r="F35" s="83">
        <v>2.0</v>
      </c>
      <c r="G35" s="83">
        <v>150.0</v>
      </c>
      <c r="H35" s="83">
        <v>0.1</v>
      </c>
      <c r="I35" s="354">
        <v>0.01</v>
      </c>
      <c r="J35" s="83">
        <v>1.5</v>
      </c>
      <c r="K35" s="83">
        <v>1.0</v>
      </c>
      <c r="L35" s="83">
        <v>0.0</v>
      </c>
      <c r="M35" s="354">
        <v>0.5</v>
      </c>
      <c r="N35" s="83">
        <v>0.0</v>
      </c>
      <c r="O35" s="83">
        <v>0.5</v>
      </c>
      <c r="P35" s="83">
        <v>0.0</v>
      </c>
      <c r="Q35" s="83">
        <v>0.0</v>
      </c>
      <c r="R35" s="83">
        <v>0.0</v>
      </c>
      <c r="S35" s="83">
        <v>0.0</v>
      </c>
      <c r="T35" s="83">
        <v>0.0</v>
      </c>
      <c r="U35" s="83">
        <v>0.0</v>
      </c>
      <c r="V35" s="83">
        <v>0.0</v>
      </c>
      <c r="W35" s="83">
        <v>0.0</v>
      </c>
      <c r="X35" s="370">
        <v>0.5</v>
      </c>
      <c r="Y35" s="83">
        <v>0.0</v>
      </c>
      <c r="Z35" s="370">
        <v>0.5</v>
      </c>
      <c r="AA35" s="83">
        <v>2.0</v>
      </c>
      <c r="AB35" s="370">
        <v>0.03</v>
      </c>
      <c r="AC35" s="354">
        <v>0.0</v>
      </c>
      <c r="AD35" s="371">
        <v>0.0</v>
      </c>
      <c r="AE35" s="354">
        <v>1.0</v>
      </c>
      <c r="AF35" s="354"/>
      <c r="AG35" s="354"/>
      <c r="AH35" s="83" t="s">
        <v>724</v>
      </c>
      <c r="AI35" s="83">
        <f>DPS_Melee_Damage</f>
        <v>0</v>
      </c>
      <c r="AJ35" s="371">
        <v>0.0</v>
      </c>
      <c r="AK35" s="371"/>
      <c r="AL35" s="372" t="s">
        <v>721</v>
      </c>
      <c r="AM35" s="83">
        <v>15.0</v>
      </c>
      <c r="AN35" s="83">
        <v>1.0</v>
      </c>
      <c r="AO35" s="83">
        <v>0.0</v>
      </c>
      <c r="AP35" s="372">
        <v>91.0</v>
      </c>
      <c r="AQ35" s="370">
        <v>0.0</v>
      </c>
      <c r="AR35" s="83">
        <v>0.0</v>
      </c>
      <c r="AS35" s="372">
        <v>48.0</v>
      </c>
      <c r="AT35" s="372">
        <v>20.0</v>
      </c>
      <c r="AU35" s="372"/>
    </row>
    <row r="36">
      <c r="A36" s="368" t="s">
        <v>800</v>
      </c>
      <c r="B36" s="369"/>
      <c r="C36" s="369" t="s">
        <v>733</v>
      </c>
      <c r="D36" s="83" t="s">
        <v>734</v>
      </c>
      <c r="E36" s="83">
        <v>1.0</v>
      </c>
      <c r="F36" s="83">
        <v>5.0</v>
      </c>
      <c r="G36" s="83">
        <v>250.0</v>
      </c>
      <c r="H36" s="83">
        <v>0.02</v>
      </c>
      <c r="I36" s="354">
        <v>0.0</v>
      </c>
      <c r="J36" s="83">
        <v>2.0</v>
      </c>
      <c r="K36" s="83">
        <v>1.0</v>
      </c>
      <c r="L36" s="83">
        <v>0.0</v>
      </c>
      <c r="M36" s="354">
        <v>0.5</v>
      </c>
      <c r="N36" s="83">
        <v>0.0</v>
      </c>
      <c r="O36" s="83">
        <v>1.0</v>
      </c>
      <c r="P36" s="83">
        <v>0.0</v>
      </c>
      <c r="Q36" s="83">
        <v>0.0</v>
      </c>
      <c r="R36" s="83">
        <v>0.0</v>
      </c>
      <c r="S36" s="83">
        <v>3.0</v>
      </c>
      <c r="T36" s="83">
        <v>5.0</v>
      </c>
      <c r="U36" s="83">
        <v>0.0</v>
      </c>
      <c r="V36" s="83">
        <v>0.0</v>
      </c>
      <c r="W36" s="83">
        <v>0.0</v>
      </c>
      <c r="X36" s="370">
        <v>0.5</v>
      </c>
      <c r="Y36" s="83">
        <v>0.0</v>
      </c>
      <c r="Z36" s="370">
        <v>0.5</v>
      </c>
      <c r="AA36" s="83">
        <v>2.0</v>
      </c>
      <c r="AB36" s="370">
        <v>0.03</v>
      </c>
      <c r="AC36" s="354">
        <v>0.0</v>
      </c>
      <c r="AD36" s="371">
        <v>0.0</v>
      </c>
      <c r="AE36" s="354">
        <v>0.01</v>
      </c>
      <c r="AF36" s="354"/>
      <c r="AG36" s="354"/>
      <c r="AH36" s="83" t="s">
        <v>724</v>
      </c>
      <c r="AI36" s="371">
        <f>DPS_Elemental_Damage</f>
        <v>0</v>
      </c>
      <c r="AJ36" s="371">
        <v>0.0</v>
      </c>
      <c r="AK36" s="371"/>
      <c r="AL36" s="372" t="s">
        <v>802</v>
      </c>
      <c r="AM36" s="83">
        <v>0.0</v>
      </c>
      <c r="AN36" s="83">
        <v>0.6</v>
      </c>
      <c r="AO36" s="83">
        <v>0.0</v>
      </c>
      <c r="AP36" s="372">
        <v>56.0</v>
      </c>
      <c r="AQ36" s="370">
        <v>0.0</v>
      </c>
      <c r="AR36" s="83">
        <v>0.0</v>
      </c>
      <c r="AS36" s="83" t="s">
        <v>733</v>
      </c>
      <c r="AT36" s="83" t="s">
        <v>733</v>
      </c>
      <c r="AU36" s="372" t="s">
        <v>803</v>
      </c>
    </row>
    <row r="37">
      <c r="A37" s="368" t="s">
        <v>804</v>
      </c>
      <c r="B37" s="369"/>
      <c r="C37" s="369" t="s">
        <v>733</v>
      </c>
      <c r="D37" s="83" t="s">
        <v>734</v>
      </c>
      <c r="E37" s="83">
        <v>1.0</v>
      </c>
      <c r="F37" s="83">
        <v>5.0</v>
      </c>
      <c r="G37" s="83">
        <v>300.0</v>
      </c>
      <c r="H37" s="83">
        <v>0.02</v>
      </c>
      <c r="I37" s="354">
        <v>0.0</v>
      </c>
      <c r="J37" s="83">
        <v>2.0</v>
      </c>
      <c r="K37" s="83">
        <v>1.0</v>
      </c>
      <c r="L37" s="83">
        <v>0.0</v>
      </c>
      <c r="M37" s="354">
        <v>0.5</v>
      </c>
      <c r="N37" s="83">
        <v>0.0</v>
      </c>
      <c r="O37" s="83">
        <v>1.0</v>
      </c>
      <c r="P37" s="83">
        <v>0.0</v>
      </c>
      <c r="Q37" s="83">
        <v>0.0</v>
      </c>
      <c r="R37" s="83">
        <v>0.0</v>
      </c>
      <c r="S37" s="83">
        <v>4.0</v>
      </c>
      <c r="T37" s="83">
        <v>6.0</v>
      </c>
      <c r="U37" s="83">
        <v>0.0</v>
      </c>
      <c r="V37" s="83">
        <v>0.0</v>
      </c>
      <c r="W37" s="83">
        <v>0.0</v>
      </c>
      <c r="X37" s="370">
        <v>0.5</v>
      </c>
      <c r="Y37" s="83">
        <v>0.0</v>
      </c>
      <c r="Z37" s="370">
        <v>0.5</v>
      </c>
      <c r="AA37" s="83">
        <v>2.0</v>
      </c>
      <c r="AB37" s="370">
        <v>0.03</v>
      </c>
      <c r="AC37" s="354">
        <v>0.0</v>
      </c>
      <c r="AD37" s="371">
        <v>0.0</v>
      </c>
      <c r="AE37" s="354">
        <v>0.01</v>
      </c>
      <c r="AF37" s="354"/>
      <c r="AG37" s="354"/>
      <c r="AH37" s="83" t="s">
        <v>724</v>
      </c>
      <c r="AI37" s="371">
        <f>DPS_Elemental_Damage</f>
        <v>0</v>
      </c>
      <c r="AJ37" s="371">
        <v>0.0</v>
      </c>
      <c r="AK37" s="371"/>
      <c r="AL37" s="372" t="s">
        <v>802</v>
      </c>
      <c r="AM37" s="83">
        <v>0.0</v>
      </c>
      <c r="AN37" s="83">
        <v>0.6</v>
      </c>
      <c r="AO37" s="83">
        <v>0.0</v>
      </c>
      <c r="AP37" s="372">
        <v>103.0</v>
      </c>
      <c r="AQ37" s="370">
        <v>0.0</v>
      </c>
      <c r="AR37" s="83">
        <v>0.0</v>
      </c>
      <c r="AS37" s="83" t="s">
        <v>733</v>
      </c>
      <c r="AT37" s="83" t="s">
        <v>733</v>
      </c>
      <c r="AU37" s="372" t="s">
        <v>803</v>
      </c>
    </row>
    <row r="38">
      <c r="A38" s="368" t="s">
        <v>806</v>
      </c>
      <c r="B38" s="369"/>
      <c r="C38" s="369" t="s">
        <v>733</v>
      </c>
      <c r="D38" s="83" t="s">
        <v>734</v>
      </c>
      <c r="E38" s="83">
        <v>1.0</v>
      </c>
      <c r="F38" s="83">
        <v>3.0</v>
      </c>
      <c r="G38" s="83">
        <v>400.0</v>
      </c>
      <c r="H38" s="83">
        <v>0.02</v>
      </c>
      <c r="I38" s="354">
        <v>0.0</v>
      </c>
      <c r="J38" s="83">
        <v>2.0</v>
      </c>
      <c r="K38" s="83">
        <v>1.0</v>
      </c>
      <c r="L38" s="83">
        <v>0.0</v>
      </c>
      <c r="M38" s="354">
        <v>0.5</v>
      </c>
      <c r="N38" s="83">
        <v>0.0</v>
      </c>
      <c r="O38" s="83">
        <v>1.0</v>
      </c>
      <c r="P38" s="83">
        <v>0.0</v>
      </c>
      <c r="Q38" s="83">
        <v>0.0</v>
      </c>
      <c r="R38" s="83">
        <v>0.0</v>
      </c>
      <c r="S38" s="83">
        <v>6.0</v>
      </c>
      <c r="T38" s="83">
        <v>8.0</v>
      </c>
      <c r="U38" s="83">
        <v>0.0</v>
      </c>
      <c r="V38" s="83">
        <v>0.0</v>
      </c>
      <c r="W38" s="83">
        <v>0.0</v>
      </c>
      <c r="X38" s="370">
        <v>0.5</v>
      </c>
      <c r="Y38" s="83">
        <v>0.0</v>
      </c>
      <c r="Z38" s="370">
        <v>0.5</v>
      </c>
      <c r="AA38" s="83">
        <v>2.0</v>
      </c>
      <c r="AB38" s="370">
        <v>0.03</v>
      </c>
      <c r="AC38" s="354">
        <v>0.0</v>
      </c>
      <c r="AD38" s="371">
        <v>0.0</v>
      </c>
      <c r="AE38" s="354">
        <v>0.01</v>
      </c>
      <c r="AF38" s="354"/>
      <c r="AG38" s="354"/>
      <c r="AH38" s="83" t="s">
        <v>724</v>
      </c>
      <c r="AI38" s="371">
        <f>DPS_Elemental_Damage</f>
        <v>0</v>
      </c>
      <c r="AJ38" s="371">
        <v>0.0</v>
      </c>
      <c r="AK38" s="371"/>
      <c r="AL38" s="372" t="s">
        <v>802</v>
      </c>
      <c r="AM38" s="83">
        <v>0.0</v>
      </c>
      <c r="AN38" s="83">
        <v>0.6</v>
      </c>
      <c r="AO38" s="83">
        <v>0.0</v>
      </c>
      <c r="AP38" s="372">
        <v>207.0</v>
      </c>
      <c r="AQ38" s="370">
        <v>0.0</v>
      </c>
      <c r="AR38" s="83">
        <v>0.0</v>
      </c>
      <c r="AS38" s="83" t="s">
        <v>733</v>
      </c>
      <c r="AT38" s="83" t="s">
        <v>733</v>
      </c>
      <c r="AU38" s="372" t="s">
        <v>803</v>
      </c>
    </row>
    <row r="39">
      <c r="A39" s="368" t="s">
        <v>807</v>
      </c>
      <c r="B39" s="369"/>
      <c r="C39" s="369" t="s">
        <v>721</v>
      </c>
      <c r="D39" s="83" t="s">
        <v>752</v>
      </c>
      <c r="E39" s="83">
        <v>20.0</v>
      </c>
      <c r="F39" s="83">
        <v>10.0</v>
      </c>
      <c r="G39" s="83">
        <v>150.0</v>
      </c>
      <c r="H39" s="83">
        <v>0.1</v>
      </c>
      <c r="I39" s="354">
        <v>0.01</v>
      </c>
      <c r="J39" s="83">
        <v>1.5</v>
      </c>
      <c r="K39" s="83">
        <v>1.0</v>
      </c>
      <c r="L39" s="83">
        <v>0.0</v>
      </c>
      <c r="M39" s="354">
        <v>0.5</v>
      </c>
      <c r="N39" s="83">
        <v>0.0</v>
      </c>
      <c r="O39" s="83">
        <v>0.5</v>
      </c>
      <c r="P39" s="83">
        <v>0.0</v>
      </c>
      <c r="Q39" s="83">
        <v>0.0</v>
      </c>
      <c r="R39" s="83">
        <v>0.0</v>
      </c>
      <c r="S39" s="83">
        <v>10.0</v>
      </c>
      <c r="T39" s="83">
        <v>5.0</v>
      </c>
      <c r="U39" s="83">
        <v>0.0</v>
      </c>
      <c r="V39" s="83">
        <v>0.0</v>
      </c>
      <c r="W39" s="83">
        <v>0.0</v>
      </c>
      <c r="X39" s="370">
        <v>0.5</v>
      </c>
      <c r="Y39" s="83">
        <v>0.0</v>
      </c>
      <c r="Z39" s="370">
        <v>0.5</v>
      </c>
      <c r="AA39" s="83">
        <v>2.0</v>
      </c>
      <c r="AB39" s="370">
        <v>0.03</v>
      </c>
      <c r="AC39" s="354">
        <v>0.0</v>
      </c>
      <c r="AD39" s="371">
        <v>0.0</v>
      </c>
      <c r="AE39" s="354">
        <v>1.0</v>
      </c>
      <c r="AF39" s="354"/>
      <c r="AG39" s="354"/>
      <c r="AH39" s="83" t="s">
        <v>724</v>
      </c>
      <c r="AI39" s="83">
        <f>DPS_Melee_Damage</f>
        <v>0</v>
      </c>
      <c r="AJ39" s="371">
        <v>0.0</v>
      </c>
      <c r="AK39" s="371"/>
      <c r="AL39" s="372" t="s">
        <v>721</v>
      </c>
      <c r="AM39" s="83">
        <v>15.0</v>
      </c>
      <c r="AN39" s="83">
        <v>1.0</v>
      </c>
      <c r="AO39" s="83">
        <v>0.0</v>
      </c>
      <c r="AP39" s="372">
        <v>46.0</v>
      </c>
      <c r="AQ39" s="370">
        <v>0.0</v>
      </c>
      <c r="AR39" s="83">
        <v>0.0</v>
      </c>
      <c r="AS39" s="372">
        <v>64.0</v>
      </c>
      <c r="AT39" s="372">
        <v>24.0</v>
      </c>
      <c r="AU39" s="372" t="s">
        <v>810</v>
      </c>
    </row>
    <row r="40">
      <c r="A40" s="368" t="s">
        <v>812</v>
      </c>
      <c r="B40" s="369"/>
      <c r="C40" s="369" t="s">
        <v>721</v>
      </c>
      <c r="D40" s="83" t="s">
        <v>752</v>
      </c>
      <c r="E40" s="83">
        <v>40.0</v>
      </c>
      <c r="F40" s="83">
        <v>8.0</v>
      </c>
      <c r="G40" s="83">
        <v>150.0</v>
      </c>
      <c r="H40" s="83">
        <v>0.1</v>
      </c>
      <c r="I40" s="354">
        <v>0.01</v>
      </c>
      <c r="J40" s="83">
        <v>1.5</v>
      </c>
      <c r="K40" s="83">
        <v>1.0</v>
      </c>
      <c r="L40" s="83">
        <v>0.0</v>
      </c>
      <c r="M40" s="354">
        <v>0.5</v>
      </c>
      <c r="N40" s="83">
        <v>0.0</v>
      </c>
      <c r="O40" s="83">
        <v>0.5</v>
      </c>
      <c r="P40" s="83">
        <v>0.0</v>
      </c>
      <c r="Q40" s="83">
        <v>0.0</v>
      </c>
      <c r="R40" s="83">
        <v>0.0</v>
      </c>
      <c r="S40" s="83">
        <v>15.0</v>
      </c>
      <c r="T40" s="83">
        <v>6.0</v>
      </c>
      <c r="U40" s="83">
        <v>0.0</v>
      </c>
      <c r="V40" s="83">
        <v>0.0</v>
      </c>
      <c r="W40" s="83">
        <v>0.0</v>
      </c>
      <c r="X40" s="370">
        <v>0.5</v>
      </c>
      <c r="Y40" s="83">
        <v>0.0</v>
      </c>
      <c r="Z40" s="370">
        <v>0.5</v>
      </c>
      <c r="AA40" s="83">
        <v>2.0</v>
      </c>
      <c r="AB40" s="370">
        <v>0.03</v>
      </c>
      <c r="AC40" s="354">
        <v>0.0</v>
      </c>
      <c r="AD40" s="371">
        <v>0.0</v>
      </c>
      <c r="AE40" s="354">
        <v>1.0</v>
      </c>
      <c r="AF40" s="354"/>
      <c r="AG40" s="354"/>
      <c r="AH40" s="83" t="s">
        <v>724</v>
      </c>
      <c r="AI40" s="83">
        <f>DPS_Melee_Damage</f>
        <v>0</v>
      </c>
      <c r="AJ40" s="371">
        <v>0.0</v>
      </c>
      <c r="AK40" s="371"/>
      <c r="AL40" s="372" t="s">
        <v>721</v>
      </c>
      <c r="AM40" s="83">
        <v>15.0</v>
      </c>
      <c r="AN40" s="83">
        <v>1.0</v>
      </c>
      <c r="AO40" s="83">
        <v>0.0</v>
      </c>
      <c r="AP40" s="372">
        <v>86.0</v>
      </c>
      <c r="AQ40" s="370">
        <v>0.0</v>
      </c>
      <c r="AR40" s="83">
        <v>0.0</v>
      </c>
      <c r="AS40" s="372">
        <v>64.0</v>
      </c>
      <c r="AT40" s="372">
        <v>24.0</v>
      </c>
      <c r="AU40" s="372" t="s">
        <v>810</v>
      </c>
    </row>
    <row r="41">
      <c r="A41" s="368" t="s">
        <v>813</v>
      </c>
      <c r="B41" s="369"/>
      <c r="C41" s="369" t="s">
        <v>721</v>
      </c>
      <c r="D41" s="83" t="s">
        <v>752</v>
      </c>
      <c r="E41" s="83">
        <v>80.0</v>
      </c>
      <c r="F41" s="83">
        <v>2.0</v>
      </c>
      <c r="G41" s="83">
        <v>150.0</v>
      </c>
      <c r="H41" s="83">
        <v>0.1</v>
      </c>
      <c r="I41" s="354">
        <v>0.01</v>
      </c>
      <c r="J41" s="83">
        <v>1.5</v>
      </c>
      <c r="K41" s="83">
        <v>1.0</v>
      </c>
      <c r="L41" s="83">
        <v>0.0</v>
      </c>
      <c r="M41" s="354">
        <v>0.5</v>
      </c>
      <c r="N41" s="83">
        <v>0.0</v>
      </c>
      <c r="O41" s="83">
        <v>0.5</v>
      </c>
      <c r="P41" s="83">
        <v>0.0</v>
      </c>
      <c r="Q41" s="83">
        <v>0.0</v>
      </c>
      <c r="R41" s="83">
        <v>0.0</v>
      </c>
      <c r="S41" s="83">
        <v>18.0</v>
      </c>
      <c r="T41" s="83">
        <v>7.0</v>
      </c>
      <c r="U41" s="83">
        <v>0.0</v>
      </c>
      <c r="V41" s="83">
        <v>0.0</v>
      </c>
      <c r="W41" s="83">
        <v>0.0</v>
      </c>
      <c r="X41" s="370">
        <v>0.5</v>
      </c>
      <c r="Y41" s="83">
        <v>0.0</v>
      </c>
      <c r="Z41" s="370">
        <v>0.5</v>
      </c>
      <c r="AA41" s="83">
        <v>2.0</v>
      </c>
      <c r="AB41" s="370">
        <v>0.03</v>
      </c>
      <c r="AC41" s="354">
        <v>0.0</v>
      </c>
      <c r="AD41" s="371">
        <v>0.0</v>
      </c>
      <c r="AE41" s="354">
        <v>1.0</v>
      </c>
      <c r="AF41" s="354"/>
      <c r="AG41" s="354"/>
      <c r="AH41" s="83" t="s">
        <v>724</v>
      </c>
      <c r="AI41" s="83">
        <f>DPS_Melee_Damage</f>
        <v>0</v>
      </c>
      <c r="AJ41" s="371">
        <v>0.0</v>
      </c>
      <c r="AK41" s="371"/>
      <c r="AL41" s="372" t="s">
        <v>721</v>
      </c>
      <c r="AM41" s="83">
        <v>15.0</v>
      </c>
      <c r="AN41" s="83">
        <v>1.0</v>
      </c>
      <c r="AO41" s="83">
        <v>0.0</v>
      </c>
      <c r="AP41" s="372">
        <v>173.0</v>
      </c>
      <c r="AQ41" s="370">
        <v>0.0</v>
      </c>
      <c r="AR41" s="83">
        <v>0.0</v>
      </c>
      <c r="AS41" s="372">
        <v>64.0</v>
      </c>
      <c r="AT41" s="372">
        <v>24.0</v>
      </c>
      <c r="AU41" s="372" t="s">
        <v>810</v>
      </c>
    </row>
    <row r="42">
      <c r="A42" s="368" t="s">
        <v>815</v>
      </c>
      <c r="B42" s="369"/>
      <c r="C42" s="369" t="s">
        <v>733</v>
      </c>
      <c r="D42" s="83" t="s">
        <v>734</v>
      </c>
      <c r="E42" s="83">
        <v>10.0</v>
      </c>
      <c r="F42" s="83">
        <v>2.0</v>
      </c>
      <c r="G42" s="83">
        <v>500.0</v>
      </c>
      <c r="H42" s="83">
        <v>0.02</v>
      </c>
      <c r="I42" s="354">
        <v>0.1</v>
      </c>
      <c r="J42" s="83">
        <v>3.0</v>
      </c>
      <c r="K42" s="83">
        <v>1.0</v>
      </c>
      <c r="L42" s="83">
        <v>0.0</v>
      </c>
      <c r="M42" s="354">
        <v>0.5</v>
      </c>
      <c r="N42" s="83">
        <v>3.0</v>
      </c>
      <c r="O42" s="83">
        <v>0.5</v>
      </c>
      <c r="P42" s="83">
        <v>0.0</v>
      </c>
      <c r="Q42" s="83">
        <v>0.0</v>
      </c>
      <c r="R42" s="83">
        <v>0.0</v>
      </c>
      <c r="S42" s="83">
        <v>0.0</v>
      </c>
      <c r="T42" s="83">
        <v>0.0</v>
      </c>
      <c r="U42" s="83">
        <v>0.0</v>
      </c>
      <c r="V42" s="83">
        <v>0.0</v>
      </c>
      <c r="W42" s="83">
        <v>0.0</v>
      </c>
      <c r="X42" s="370">
        <v>0.5</v>
      </c>
      <c r="Y42" s="83">
        <v>0.0</v>
      </c>
      <c r="Z42" s="370">
        <v>0.5</v>
      </c>
      <c r="AA42" s="83">
        <v>2.0</v>
      </c>
      <c r="AB42" s="370">
        <v>0.03</v>
      </c>
      <c r="AC42" s="354">
        <v>0.0</v>
      </c>
      <c r="AD42" s="371">
        <v>0.0</v>
      </c>
      <c r="AE42" s="354">
        <v>1.0</v>
      </c>
      <c r="AF42" s="354"/>
      <c r="AG42" s="354"/>
      <c r="AH42" s="83" t="s">
        <v>724</v>
      </c>
      <c r="AI42" s="83">
        <f>DPS_Ranged_Damage</f>
        <v>0</v>
      </c>
      <c r="AJ42" s="371">
        <v>0.0</v>
      </c>
      <c r="AK42" s="371"/>
      <c r="AL42" s="372">
        <v>3000.0</v>
      </c>
      <c r="AM42" s="83">
        <v>5.0</v>
      </c>
      <c r="AN42" s="83">
        <v>0.75</v>
      </c>
      <c r="AO42" s="83">
        <v>0.0</v>
      </c>
      <c r="AP42" s="372">
        <v>290.0</v>
      </c>
      <c r="AQ42" s="370">
        <v>0.0</v>
      </c>
      <c r="AR42" s="83">
        <v>0.0</v>
      </c>
      <c r="AS42" s="83" t="s">
        <v>733</v>
      </c>
      <c r="AT42" s="83" t="s">
        <v>733</v>
      </c>
      <c r="AU42" s="371"/>
    </row>
    <row r="43">
      <c r="A43" s="368" t="s">
        <v>816</v>
      </c>
      <c r="B43" s="369"/>
      <c r="C43" s="369" t="s">
        <v>721</v>
      </c>
      <c r="D43" s="83" t="s">
        <v>722</v>
      </c>
      <c r="E43" s="83">
        <v>12.0</v>
      </c>
      <c r="F43" s="83">
        <v>67.0</v>
      </c>
      <c r="G43" s="83">
        <v>200.0</v>
      </c>
      <c r="H43" s="83">
        <v>0.1</v>
      </c>
      <c r="I43" s="354">
        <v>0.03</v>
      </c>
      <c r="J43" s="83">
        <v>2.0</v>
      </c>
      <c r="K43" s="83">
        <v>1.0</v>
      </c>
      <c r="L43" s="83">
        <v>0.0</v>
      </c>
      <c r="M43" s="354">
        <v>0.5</v>
      </c>
      <c r="N43" s="83">
        <v>0.0</v>
      </c>
      <c r="O43" s="83">
        <v>0.5</v>
      </c>
      <c r="P43" s="83">
        <v>0.0</v>
      </c>
      <c r="Q43" s="83">
        <v>0.0</v>
      </c>
      <c r="R43" s="83">
        <v>0.0</v>
      </c>
      <c r="S43" s="83">
        <v>0.0</v>
      </c>
      <c r="T43" s="83">
        <v>0.0</v>
      </c>
      <c r="U43" s="83">
        <v>0.0</v>
      </c>
      <c r="V43" s="83">
        <v>0.0</v>
      </c>
      <c r="W43" s="83">
        <v>0.0</v>
      </c>
      <c r="X43" s="370">
        <v>0.5</v>
      </c>
      <c r="Y43" s="83">
        <v>0.0</v>
      </c>
      <c r="Z43" s="370">
        <v>0.5</v>
      </c>
      <c r="AA43" s="83">
        <v>2.0</v>
      </c>
      <c r="AB43" s="370">
        <v>0.03</v>
      </c>
      <c r="AC43" s="354">
        <v>0.0</v>
      </c>
      <c r="AD43" s="371">
        <v>0.0</v>
      </c>
      <c r="AE43" s="354">
        <v>1.0</v>
      </c>
      <c r="AF43" s="354"/>
      <c r="AG43" s="354"/>
      <c r="AH43" s="83" t="s">
        <v>724</v>
      </c>
      <c r="AI43" s="83">
        <f>DPS_Melee_Damage</f>
        <v>0</v>
      </c>
      <c r="AJ43" s="371">
        <v>0.0</v>
      </c>
      <c r="AK43" s="371"/>
      <c r="AL43" s="372" t="s">
        <v>721</v>
      </c>
      <c r="AM43" s="83">
        <v>2.0</v>
      </c>
      <c r="AN43" s="83">
        <v>1.0</v>
      </c>
      <c r="AO43" s="83">
        <v>0.0</v>
      </c>
      <c r="AP43" s="372">
        <v>20.0</v>
      </c>
      <c r="AQ43" s="370">
        <v>0.0</v>
      </c>
      <c r="AR43" s="83">
        <v>0.0</v>
      </c>
      <c r="AS43" s="372">
        <v>88.0</v>
      </c>
      <c r="AT43" s="372">
        <v>32.0</v>
      </c>
      <c r="AU43" s="372"/>
    </row>
    <row r="44">
      <c r="A44" s="368" t="s">
        <v>819</v>
      </c>
      <c r="B44" s="369"/>
      <c r="C44" s="369" t="s">
        <v>721</v>
      </c>
      <c r="D44" s="83" t="s">
        <v>722</v>
      </c>
      <c r="E44" s="83">
        <v>18.0</v>
      </c>
      <c r="F44" s="83">
        <v>63.0</v>
      </c>
      <c r="G44" s="83">
        <v>200.0</v>
      </c>
      <c r="H44" s="83">
        <v>0.1</v>
      </c>
      <c r="I44" s="354">
        <v>0.03</v>
      </c>
      <c r="J44" s="83">
        <v>2.0</v>
      </c>
      <c r="K44" s="83">
        <v>1.0</v>
      </c>
      <c r="L44" s="83">
        <v>0.0</v>
      </c>
      <c r="M44" s="354">
        <v>0.5</v>
      </c>
      <c r="N44" s="83">
        <v>0.0</v>
      </c>
      <c r="O44" s="83">
        <v>0.5</v>
      </c>
      <c r="P44" s="83">
        <v>0.0</v>
      </c>
      <c r="Q44" s="83">
        <v>0.0</v>
      </c>
      <c r="R44" s="83">
        <v>0.0</v>
      </c>
      <c r="S44" s="83">
        <v>0.0</v>
      </c>
      <c r="T44" s="83">
        <v>0.0</v>
      </c>
      <c r="U44" s="83">
        <v>0.0</v>
      </c>
      <c r="V44" s="83">
        <v>0.0</v>
      </c>
      <c r="W44" s="83">
        <v>0.0</v>
      </c>
      <c r="X44" s="370">
        <v>0.5</v>
      </c>
      <c r="Y44" s="83">
        <v>0.0</v>
      </c>
      <c r="Z44" s="370">
        <v>0.5</v>
      </c>
      <c r="AA44" s="83">
        <v>2.0</v>
      </c>
      <c r="AB44" s="370">
        <v>0.03</v>
      </c>
      <c r="AC44" s="354">
        <v>0.0</v>
      </c>
      <c r="AD44" s="371">
        <v>0.0</v>
      </c>
      <c r="AE44" s="354">
        <v>1.0</v>
      </c>
      <c r="AF44" s="354"/>
      <c r="AG44" s="354"/>
      <c r="AH44" s="83" t="s">
        <v>724</v>
      </c>
      <c r="AI44" s="83">
        <f>DPS_Melee_Damage</f>
        <v>0</v>
      </c>
      <c r="AJ44" s="371">
        <v>0.0</v>
      </c>
      <c r="AK44" s="371"/>
      <c r="AL44" s="372" t="s">
        <v>721</v>
      </c>
      <c r="AM44" s="83">
        <v>2.0</v>
      </c>
      <c r="AN44" s="83">
        <v>1.0</v>
      </c>
      <c r="AO44" s="83">
        <v>0.0</v>
      </c>
      <c r="AP44" s="372">
        <v>39.0</v>
      </c>
      <c r="AQ44" s="370">
        <v>0.0</v>
      </c>
      <c r="AR44" s="83">
        <v>0.0</v>
      </c>
      <c r="AS44" s="372">
        <v>88.0</v>
      </c>
      <c r="AT44" s="372">
        <v>32.0</v>
      </c>
      <c r="AU44" s="372"/>
    </row>
    <row r="45">
      <c r="A45" s="368" t="s">
        <v>821</v>
      </c>
      <c r="B45" s="369"/>
      <c r="C45" s="369" t="s">
        <v>721</v>
      </c>
      <c r="D45" s="83" t="s">
        <v>722</v>
      </c>
      <c r="E45" s="83">
        <v>24.0</v>
      </c>
      <c r="F45" s="83">
        <v>57.0</v>
      </c>
      <c r="G45" s="83">
        <v>200.0</v>
      </c>
      <c r="H45" s="83">
        <v>0.1</v>
      </c>
      <c r="I45" s="354">
        <v>0.03</v>
      </c>
      <c r="J45" s="83">
        <v>2.0</v>
      </c>
      <c r="K45" s="83">
        <v>1.0</v>
      </c>
      <c r="L45" s="83">
        <v>0.0</v>
      </c>
      <c r="M45" s="354">
        <v>0.5</v>
      </c>
      <c r="N45" s="83">
        <v>0.0</v>
      </c>
      <c r="O45" s="83">
        <v>0.5</v>
      </c>
      <c r="P45" s="83">
        <v>0.0</v>
      </c>
      <c r="Q45" s="83">
        <v>0.0</v>
      </c>
      <c r="R45" s="83">
        <v>0.0</v>
      </c>
      <c r="S45" s="83">
        <v>0.0</v>
      </c>
      <c r="T45" s="83">
        <v>0.0</v>
      </c>
      <c r="U45" s="83">
        <v>0.0</v>
      </c>
      <c r="V45" s="83">
        <v>0.0</v>
      </c>
      <c r="W45" s="83">
        <v>0.0</v>
      </c>
      <c r="X45" s="370">
        <v>0.5</v>
      </c>
      <c r="Y45" s="83">
        <v>0.0</v>
      </c>
      <c r="Z45" s="370">
        <v>0.5</v>
      </c>
      <c r="AA45" s="83">
        <v>2.0</v>
      </c>
      <c r="AB45" s="370">
        <v>0.03</v>
      </c>
      <c r="AC45" s="354">
        <v>0.0</v>
      </c>
      <c r="AD45" s="371">
        <v>0.0</v>
      </c>
      <c r="AE45" s="354">
        <v>1.0</v>
      </c>
      <c r="AF45" s="354"/>
      <c r="AG45" s="354"/>
      <c r="AH45" s="83" t="s">
        <v>724</v>
      </c>
      <c r="AI45" s="83">
        <f>DPS_Melee_Damage</f>
        <v>0</v>
      </c>
      <c r="AJ45" s="371">
        <v>0.0</v>
      </c>
      <c r="AK45" s="371"/>
      <c r="AL45" s="372" t="s">
        <v>721</v>
      </c>
      <c r="AM45" s="83">
        <v>2.0</v>
      </c>
      <c r="AN45" s="83">
        <v>1.0</v>
      </c>
      <c r="AO45" s="83">
        <v>0.0</v>
      </c>
      <c r="AP45" s="372">
        <v>74.0</v>
      </c>
      <c r="AQ45" s="370">
        <v>0.0</v>
      </c>
      <c r="AR45" s="83">
        <v>0.0</v>
      </c>
      <c r="AS45" s="372">
        <v>88.0</v>
      </c>
      <c r="AT45" s="372">
        <v>32.0</v>
      </c>
      <c r="AU45" s="372"/>
    </row>
    <row r="46">
      <c r="A46" s="368" t="s">
        <v>822</v>
      </c>
      <c r="B46" s="369"/>
      <c r="C46" s="369" t="s">
        <v>721</v>
      </c>
      <c r="D46" s="83" t="s">
        <v>722</v>
      </c>
      <c r="E46" s="83">
        <v>40.0</v>
      </c>
      <c r="F46" s="83">
        <v>54.0</v>
      </c>
      <c r="G46" s="83">
        <v>200.0</v>
      </c>
      <c r="H46" s="83">
        <v>0.1</v>
      </c>
      <c r="I46" s="354">
        <v>0.03</v>
      </c>
      <c r="J46" s="83">
        <v>2.0</v>
      </c>
      <c r="K46" s="83">
        <v>1.0</v>
      </c>
      <c r="L46" s="83">
        <v>0.0</v>
      </c>
      <c r="M46" s="354">
        <v>0.5</v>
      </c>
      <c r="N46" s="83">
        <v>0.0</v>
      </c>
      <c r="O46" s="83">
        <v>0.5</v>
      </c>
      <c r="P46" s="83">
        <v>0.0</v>
      </c>
      <c r="Q46" s="83">
        <v>0.0</v>
      </c>
      <c r="R46" s="83">
        <v>0.0</v>
      </c>
      <c r="S46" s="83">
        <v>0.0</v>
      </c>
      <c r="T46" s="83">
        <v>0.0</v>
      </c>
      <c r="U46" s="83">
        <v>0.0</v>
      </c>
      <c r="V46" s="83">
        <v>0.0</v>
      </c>
      <c r="W46" s="83">
        <v>0.0</v>
      </c>
      <c r="X46" s="370">
        <v>0.5</v>
      </c>
      <c r="Y46" s="83">
        <v>0.0</v>
      </c>
      <c r="Z46" s="370">
        <v>0.5</v>
      </c>
      <c r="AA46" s="83">
        <v>2.0</v>
      </c>
      <c r="AB46" s="370">
        <v>0.03</v>
      </c>
      <c r="AC46" s="354">
        <v>0.0</v>
      </c>
      <c r="AD46" s="371">
        <v>0.0</v>
      </c>
      <c r="AE46" s="354">
        <v>1.0</v>
      </c>
      <c r="AF46" s="354"/>
      <c r="AG46" s="354"/>
      <c r="AH46" s="83" t="s">
        <v>724</v>
      </c>
      <c r="AI46" s="83">
        <f>DPS_Melee_Damage</f>
        <v>0</v>
      </c>
      <c r="AJ46" s="371">
        <v>0.0</v>
      </c>
      <c r="AK46" s="371"/>
      <c r="AL46" s="372" t="s">
        <v>721</v>
      </c>
      <c r="AM46" s="83">
        <v>2.0</v>
      </c>
      <c r="AN46" s="83">
        <v>1.0</v>
      </c>
      <c r="AO46" s="83">
        <v>0.0</v>
      </c>
      <c r="AP46" s="372">
        <v>149.0</v>
      </c>
      <c r="AQ46" s="370">
        <v>0.0</v>
      </c>
      <c r="AR46" s="83">
        <v>0.0</v>
      </c>
      <c r="AS46" s="372">
        <v>88.0</v>
      </c>
      <c r="AT46" s="372">
        <v>32.0</v>
      </c>
      <c r="AU46" s="372"/>
    </row>
    <row r="47">
      <c r="A47" s="368" t="s">
        <v>823</v>
      </c>
      <c r="B47" s="369"/>
      <c r="C47" s="369" t="s">
        <v>721</v>
      </c>
      <c r="D47" s="83" t="s">
        <v>752</v>
      </c>
      <c r="E47" s="83">
        <v>6.0</v>
      </c>
      <c r="F47" s="83">
        <v>40.0</v>
      </c>
      <c r="G47" s="83">
        <v>170.0</v>
      </c>
      <c r="H47" s="83">
        <v>0.1</v>
      </c>
      <c r="I47" s="354">
        <v>0.03</v>
      </c>
      <c r="J47" s="83">
        <v>2.0</v>
      </c>
      <c r="K47" s="83">
        <v>1.0</v>
      </c>
      <c r="L47" s="83">
        <v>0.0</v>
      </c>
      <c r="M47" s="354">
        <v>0.5</v>
      </c>
      <c r="N47" s="83">
        <v>0.0</v>
      </c>
      <c r="O47" s="83">
        <v>0.5</v>
      </c>
      <c r="P47" s="83">
        <v>0.0</v>
      </c>
      <c r="Q47" s="83">
        <v>0.0</v>
      </c>
      <c r="R47" s="83">
        <v>0.0</v>
      </c>
      <c r="S47" s="83">
        <v>0.0</v>
      </c>
      <c r="T47" s="83">
        <v>0.0</v>
      </c>
      <c r="U47" s="83">
        <v>0.0</v>
      </c>
      <c r="V47" s="83">
        <v>0.0</v>
      </c>
      <c r="W47" s="83">
        <v>0.0</v>
      </c>
      <c r="X47" s="370">
        <v>0.5</v>
      </c>
      <c r="Y47" s="83">
        <v>0.0</v>
      </c>
      <c r="Z47" s="370">
        <v>0.5</v>
      </c>
      <c r="AA47" s="83">
        <v>2.0</v>
      </c>
      <c r="AB47" s="370">
        <v>0.03</v>
      </c>
      <c r="AC47" s="354">
        <v>0.0</v>
      </c>
      <c r="AD47" s="371">
        <v>0.0</v>
      </c>
      <c r="AE47" s="354">
        <v>1.0</v>
      </c>
      <c r="AF47" s="354"/>
      <c r="AG47" s="354"/>
      <c r="AH47" s="83" t="s">
        <v>724</v>
      </c>
      <c r="AI47" s="83">
        <f>DPS_Melee_Damage</f>
        <v>0</v>
      </c>
      <c r="AJ47" s="371">
        <v>0.0</v>
      </c>
      <c r="AK47" s="371"/>
      <c r="AL47" s="372" t="s">
        <v>721</v>
      </c>
      <c r="AM47" s="83">
        <v>2.0</v>
      </c>
      <c r="AN47" s="83">
        <v>1.0</v>
      </c>
      <c r="AO47" s="83">
        <v>0.0</v>
      </c>
      <c r="AP47" s="372">
        <v>12.0</v>
      </c>
      <c r="AQ47" s="370">
        <v>0.0</v>
      </c>
      <c r="AR47" s="83">
        <v>0.0</v>
      </c>
      <c r="AS47" s="372">
        <v>72.0</v>
      </c>
      <c r="AT47" s="372">
        <v>16.0</v>
      </c>
      <c r="AU47" s="372"/>
    </row>
    <row r="48">
      <c r="A48" s="368" t="s">
        <v>825</v>
      </c>
      <c r="B48" s="369"/>
      <c r="C48" s="369" t="s">
        <v>721</v>
      </c>
      <c r="D48" s="83" t="s">
        <v>752</v>
      </c>
      <c r="E48" s="83">
        <v>9.0</v>
      </c>
      <c r="F48" s="83">
        <v>36.0</v>
      </c>
      <c r="G48" s="83">
        <v>180.0</v>
      </c>
      <c r="H48" s="83">
        <v>0.1</v>
      </c>
      <c r="I48" s="354">
        <v>0.03</v>
      </c>
      <c r="J48" s="83">
        <v>2.0</v>
      </c>
      <c r="K48" s="83">
        <v>1.0</v>
      </c>
      <c r="L48" s="83">
        <v>0.0</v>
      </c>
      <c r="M48" s="354">
        <v>0.5</v>
      </c>
      <c r="N48" s="83">
        <v>0.0</v>
      </c>
      <c r="O48" s="83">
        <v>0.5</v>
      </c>
      <c r="P48" s="83">
        <v>0.0</v>
      </c>
      <c r="Q48" s="83">
        <v>0.0</v>
      </c>
      <c r="R48" s="83">
        <v>0.0</v>
      </c>
      <c r="S48" s="83">
        <v>0.0</v>
      </c>
      <c r="T48" s="83">
        <v>0.0</v>
      </c>
      <c r="U48" s="83">
        <v>0.0</v>
      </c>
      <c r="V48" s="83">
        <v>0.0</v>
      </c>
      <c r="W48" s="83">
        <v>0.0</v>
      </c>
      <c r="X48" s="370">
        <v>0.5</v>
      </c>
      <c r="Y48" s="83">
        <v>0.0</v>
      </c>
      <c r="Z48" s="370">
        <v>0.5</v>
      </c>
      <c r="AA48" s="83">
        <v>2.0</v>
      </c>
      <c r="AB48" s="370">
        <v>0.03</v>
      </c>
      <c r="AC48" s="354">
        <v>0.0</v>
      </c>
      <c r="AD48" s="371">
        <v>0.0</v>
      </c>
      <c r="AE48" s="354">
        <v>1.0</v>
      </c>
      <c r="AF48" s="354"/>
      <c r="AG48" s="354"/>
      <c r="AH48" s="83" t="s">
        <v>724</v>
      </c>
      <c r="AI48" s="83">
        <f>DPS_Melee_Damage</f>
        <v>0</v>
      </c>
      <c r="AJ48" s="371">
        <v>0.0</v>
      </c>
      <c r="AK48" s="371"/>
      <c r="AL48" s="372" t="s">
        <v>721</v>
      </c>
      <c r="AM48" s="83">
        <v>2.0</v>
      </c>
      <c r="AN48" s="83">
        <v>1.0</v>
      </c>
      <c r="AO48" s="83">
        <v>0.0</v>
      </c>
      <c r="AP48" s="372">
        <v>26.0</v>
      </c>
      <c r="AQ48" s="370">
        <v>0.0</v>
      </c>
      <c r="AR48" s="83">
        <v>0.0</v>
      </c>
      <c r="AS48" s="372">
        <v>72.0</v>
      </c>
      <c r="AT48" s="372">
        <v>16.0</v>
      </c>
      <c r="AU48" s="372"/>
    </row>
    <row r="49">
      <c r="A49" s="368" t="s">
        <v>827</v>
      </c>
      <c r="B49" s="369"/>
      <c r="C49" s="369" t="s">
        <v>721</v>
      </c>
      <c r="D49" s="83" t="s">
        <v>752</v>
      </c>
      <c r="E49" s="83">
        <v>12.0</v>
      </c>
      <c r="F49" s="83">
        <v>31.0</v>
      </c>
      <c r="G49" s="83">
        <v>190.0</v>
      </c>
      <c r="H49" s="83">
        <v>0.1</v>
      </c>
      <c r="I49" s="354">
        <v>0.03</v>
      </c>
      <c r="J49" s="83">
        <v>2.0</v>
      </c>
      <c r="K49" s="83">
        <v>1.0</v>
      </c>
      <c r="L49" s="83">
        <v>0.0</v>
      </c>
      <c r="M49" s="354">
        <v>0.5</v>
      </c>
      <c r="N49" s="83">
        <v>0.0</v>
      </c>
      <c r="O49" s="83">
        <v>0.5</v>
      </c>
      <c r="P49" s="83">
        <v>0.0</v>
      </c>
      <c r="Q49" s="83">
        <v>0.0</v>
      </c>
      <c r="R49" s="83">
        <v>0.0</v>
      </c>
      <c r="S49" s="83">
        <v>0.0</v>
      </c>
      <c r="T49" s="83">
        <v>0.0</v>
      </c>
      <c r="U49" s="83">
        <v>0.0</v>
      </c>
      <c r="V49" s="83">
        <v>0.0</v>
      </c>
      <c r="W49" s="83">
        <v>0.0</v>
      </c>
      <c r="X49" s="370">
        <v>0.5</v>
      </c>
      <c r="Y49" s="83">
        <v>0.0</v>
      </c>
      <c r="Z49" s="370">
        <v>0.5</v>
      </c>
      <c r="AA49" s="83">
        <v>2.0</v>
      </c>
      <c r="AB49" s="370">
        <v>0.03</v>
      </c>
      <c r="AC49" s="354">
        <v>0.0</v>
      </c>
      <c r="AD49" s="371">
        <v>0.0</v>
      </c>
      <c r="AE49" s="354">
        <v>1.0</v>
      </c>
      <c r="AF49" s="354"/>
      <c r="AG49" s="354"/>
      <c r="AH49" s="83" t="s">
        <v>724</v>
      </c>
      <c r="AI49" s="83">
        <f>DPS_Melee_Damage</f>
        <v>0</v>
      </c>
      <c r="AJ49" s="371">
        <v>0.0</v>
      </c>
      <c r="AK49" s="371"/>
      <c r="AL49" s="372" t="s">
        <v>721</v>
      </c>
      <c r="AM49" s="83">
        <v>2.0</v>
      </c>
      <c r="AN49" s="83">
        <v>1.0</v>
      </c>
      <c r="AO49" s="83">
        <v>0.0</v>
      </c>
      <c r="AP49" s="372">
        <v>52.0</v>
      </c>
      <c r="AQ49" s="370">
        <v>0.0</v>
      </c>
      <c r="AR49" s="83">
        <v>0.0</v>
      </c>
      <c r="AS49" s="372">
        <v>72.0</v>
      </c>
      <c r="AT49" s="372">
        <v>16.0</v>
      </c>
      <c r="AU49" s="372"/>
    </row>
    <row r="50">
      <c r="A50" s="368" t="s">
        <v>828</v>
      </c>
      <c r="B50" s="369"/>
      <c r="C50" s="369" t="s">
        <v>721</v>
      </c>
      <c r="D50" s="83" t="s">
        <v>752</v>
      </c>
      <c r="E50" s="83">
        <v>20.0</v>
      </c>
      <c r="F50" s="83">
        <v>27.0</v>
      </c>
      <c r="G50" s="83">
        <v>200.0</v>
      </c>
      <c r="H50" s="83">
        <v>0.1</v>
      </c>
      <c r="I50" s="354">
        <v>0.03</v>
      </c>
      <c r="J50" s="83">
        <v>2.0</v>
      </c>
      <c r="K50" s="83">
        <v>1.0</v>
      </c>
      <c r="L50" s="83">
        <v>0.0</v>
      </c>
      <c r="M50" s="354">
        <v>0.5</v>
      </c>
      <c r="N50" s="83">
        <v>0.0</v>
      </c>
      <c r="O50" s="83">
        <v>0.5</v>
      </c>
      <c r="P50" s="83">
        <v>0.0</v>
      </c>
      <c r="Q50" s="83">
        <v>0.0</v>
      </c>
      <c r="R50" s="83">
        <v>0.0</v>
      </c>
      <c r="S50" s="83">
        <v>0.0</v>
      </c>
      <c r="T50" s="83">
        <v>0.0</v>
      </c>
      <c r="U50" s="83">
        <v>0.0</v>
      </c>
      <c r="V50" s="83">
        <v>0.0</v>
      </c>
      <c r="W50" s="83">
        <v>0.0</v>
      </c>
      <c r="X50" s="370">
        <v>0.5</v>
      </c>
      <c r="Y50" s="83">
        <v>0.0</v>
      </c>
      <c r="Z50" s="370">
        <v>0.5</v>
      </c>
      <c r="AA50" s="83">
        <v>2.0</v>
      </c>
      <c r="AB50" s="370">
        <v>0.03</v>
      </c>
      <c r="AC50" s="354">
        <v>0.0</v>
      </c>
      <c r="AD50" s="371">
        <v>0.0</v>
      </c>
      <c r="AE50" s="354">
        <v>1.0</v>
      </c>
      <c r="AF50" s="354"/>
      <c r="AG50" s="354"/>
      <c r="AH50" s="83" t="s">
        <v>724</v>
      </c>
      <c r="AI50" s="83">
        <f>DPS_Melee_Damage</f>
        <v>0</v>
      </c>
      <c r="AJ50" s="371">
        <v>0.0</v>
      </c>
      <c r="AK50" s="371"/>
      <c r="AL50" s="372" t="s">
        <v>721</v>
      </c>
      <c r="AM50" s="83">
        <v>2.0</v>
      </c>
      <c r="AN50" s="83">
        <v>1.0</v>
      </c>
      <c r="AO50" s="83">
        <v>0.0</v>
      </c>
      <c r="AP50" s="372">
        <v>105.0</v>
      </c>
      <c r="AQ50" s="370">
        <v>0.0</v>
      </c>
      <c r="AR50" s="83">
        <v>0.0</v>
      </c>
      <c r="AS50" s="372">
        <v>72.0</v>
      </c>
      <c r="AT50" s="372">
        <v>16.0</v>
      </c>
      <c r="AU50" s="372"/>
    </row>
    <row r="51">
      <c r="A51" s="368" t="s">
        <v>829</v>
      </c>
      <c r="B51" s="369"/>
      <c r="C51" s="369" t="s">
        <v>733</v>
      </c>
      <c r="D51" s="83" t="s">
        <v>734</v>
      </c>
      <c r="E51" s="83">
        <v>10.0</v>
      </c>
      <c r="F51" s="83">
        <v>47.0</v>
      </c>
      <c r="G51" s="83">
        <v>300.0</v>
      </c>
      <c r="H51" s="83">
        <v>0.1</v>
      </c>
      <c r="I51" s="354">
        <v>0.03</v>
      </c>
      <c r="J51" s="83">
        <v>2.0</v>
      </c>
      <c r="K51" s="83">
        <v>1.0</v>
      </c>
      <c r="L51" s="83">
        <v>0.0</v>
      </c>
      <c r="M51" s="354">
        <v>0.5</v>
      </c>
      <c r="N51" s="83">
        <v>0.0</v>
      </c>
      <c r="O51" s="83">
        <v>0.5</v>
      </c>
      <c r="P51" s="83">
        <v>0.0</v>
      </c>
      <c r="Q51" s="83">
        <v>0.0</v>
      </c>
      <c r="R51" s="83">
        <v>0.0</v>
      </c>
      <c r="S51" s="83">
        <v>0.0</v>
      </c>
      <c r="T51" s="83">
        <v>0.0</v>
      </c>
      <c r="U51" s="83">
        <v>0.0</v>
      </c>
      <c r="V51" s="83">
        <v>0.0</v>
      </c>
      <c r="W51" s="83">
        <v>0.0</v>
      </c>
      <c r="X51" s="370">
        <v>0.5</v>
      </c>
      <c r="Y51" s="83">
        <v>0.0</v>
      </c>
      <c r="Z51" s="370">
        <v>0.5</v>
      </c>
      <c r="AA51" s="83">
        <v>2.0</v>
      </c>
      <c r="AB51" s="370">
        <v>0.03</v>
      </c>
      <c r="AC51" s="354">
        <v>0.0</v>
      </c>
      <c r="AD51" s="371">
        <v>0.0</v>
      </c>
      <c r="AE51" s="354">
        <v>1.0</v>
      </c>
      <c r="AF51" s="354"/>
      <c r="AG51" s="354"/>
      <c r="AH51" s="83" t="s">
        <v>724</v>
      </c>
      <c r="AI51" s="83">
        <f>DPS_Ranged_Damage</f>
        <v>0</v>
      </c>
      <c r="AJ51" s="371">
        <v>0.0</v>
      </c>
      <c r="AK51" s="371"/>
      <c r="AL51" s="372">
        <v>3000.0</v>
      </c>
      <c r="AM51" s="83">
        <v>2.0</v>
      </c>
      <c r="AN51" s="83">
        <v>1.0</v>
      </c>
      <c r="AO51" s="83">
        <v>0.0</v>
      </c>
      <c r="AP51" s="372">
        <v>15.0</v>
      </c>
      <c r="AQ51" s="370">
        <v>0.0</v>
      </c>
      <c r="AR51" s="83">
        <v>0.0</v>
      </c>
      <c r="AS51" s="83" t="s">
        <v>733</v>
      </c>
      <c r="AT51" s="83" t="s">
        <v>733</v>
      </c>
      <c r="AU51" s="371"/>
    </row>
    <row r="52">
      <c r="A52" s="368" t="s">
        <v>831</v>
      </c>
      <c r="B52" s="369"/>
      <c r="C52" s="369" t="s">
        <v>733</v>
      </c>
      <c r="D52" s="83" t="s">
        <v>734</v>
      </c>
      <c r="E52" s="83">
        <v>15.0</v>
      </c>
      <c r="F52" s="83">
        <v>44.0</v>
      </c>
      <c r="G52" s="83">
        <v>350.0</v>
      </c>
      <c r="H52" s="83">
        <v>0.1</v>
      </c>
      <c r="I52" s="354">
        <v>0.03</v>
      </c>
      <c r="J52" s="83">
        <v>2.0</v>
      </c>
      <c r="K52" s="83">
        <v>1.0</v>
      </c>
      <c r="L52" s="83">
        <v>0.0</v>
      </c>
      <c r="M52" s="354">
        <v>0.5</v>
      </c>
      <c r="N52" s="83">
        <v>0.0</v>
      </c>
      <c r="O52" s="83">
        <v>0.5</v>
      </c>
      <c r="P52" s="83">
        <v>0.0</v>
      </c>
      <c r="Q52" s="83">
        <v>0.0</v>
      </c>
      <c r="R52" s="83">
        <v>0.0</v>
      </c>
      <c r="S52" s="83">
        <v>0.0</v>
      </c>
      <c r="T52" s="83">
        <v>0.0</v>
      </c>
      <c r="U52" s="83">
        <v>0.0</v>
      </c>
      <c r="V52" s="83">
        <v>0.0</v>
      </c>
      <c r="W52" s="83">
        <v>0.0</v>
      </c>
      <c r="X52" s="370">
        <v>0.5</v>
      </c>
      <c r="Y52" s="83">
        <v>0.0</v>
      </c>
      <c r="Z52" s="370">
        <v>0.5</v>
      </c>
      <c r="AA52" s="83">
        <v>2.0</v>
      </c>
      <c r="AB52" s="370">
        <v>0.03</v>
      </c>
      <c r="AC52" s="354">
        <v>0.0</v>
      </c>
      <c r="AD52" s="371">
        <v>0.0</v>
      </c>
      <c r="AE52" s="354">
        <v>1.0</v>
      </c>
      <c r="AF52" s="354"/>
      <c r="AG52" s="354"/>
      <c r="AH52" s="83" t="s">
        <v>724</v>
      </c>
      <c r="AI52" s="83">
        <f>DPS_Ranged_Damage</f>
        <v>0</v>
      </c>
      <c r="AJ52" s="371">
        <v>0.0</v>
      </c>
      <c r="AK52" s="371"/>
      <c r="AL52" s="372">
        <v>3000.0</v>
      </c>
      <c r="AM52" s="83">
        <v>2.0</v>
      </c>
      <c r="AN52" s="83">
        <v>1.0</v>
      </c>
      <c r="AO52" s="83">
        <v>0.0</v>
      </c>
      <c r="AP52" s="372">
        <v>31.0</v>
      </c>
      <c r="AQ52" s="370">
        <v>0.0</v>
      </c>
      <c r="AR52" s="83">
        <v>0.0</v>
      </c>
      <c r="AS52" s="83" t="s">
        <v>733</v>
      </c>
      <c r="AT52" s="83" t="s">
        <v>733</v>
      </c>
      <c r="AU52" s="371"/>
    </row>
    <row r="53">
      <c r="A53" s="368" t="s">
        <v>832</v>
      </c>
      <c r="B53" s="369"/>
      <c r="C53" s="369" t="s">
        <v>733</v>
      </c>
      <c r="D53" s="83" t="s">
        <v>734</v>
      </c>
      <c r="E53" s="83">
        <v>20.0</v>
      </c>
      <c r="F53" s="83">
        <v>41.0</v>
      </c>
      <c r="G53" s="83">
        <v>400.0</v>
      </c>
      <c r="H53" s="83">
        <v>0.1</v>
      </c>
      <c r="I53" s="354">
        <v>0.03</v>
      </c>
      <c r="J53" s="83">
        <v>2.0</v>
      </c>
      <c r="K53" s="83">
        <v>1.0</v>
      </c>
      <c r="L53" s="83">
        <v>0.0</v>
      </c>
      <c r="M53" s="354">
        <v>0.5</v>
      </c>
      <c r="N53" s="83">
        <v>0.0</v>
      </c>
      <c r="O53" s="83">
        <v>0.5</v>
      </c>
      <c r="P53" s="83">
        <v>0.0</v>
      </c>
      <c r="Q53" s="83">
        <v>0.0</v>
      </c>
      <c r="R53" s="83">
        <v>0.0</v>
      </c>
      <c r="S53" s="83">
        <v>0.0</v>
      </c>
      <c r="T53" s="83">
        <v>0.0</v>
      </c>
      <c r="U53" s="83">
        <v>0.0</v>
      </c>
      <c r="V53" s="83">
        <v>0.0</v>
      </c>
      <c r="W53" s="83">
        <v>0.0</v>
      </c>
      <c r="X53" s="370">
        <v>0.5</v>
      </c>
      <c r="Y53" s="83">
        <v>0.0</v>
      </c>
      <c r="Z53" s="370">
        <v>0.5</v>
      </c>
      <c r="AA53" s="83">
        <v>2.0</v>
      </c>
      <c r="AB53" s="370">
        <v>0.03</v>
      </c>
      <c r="AC53" s="354">
        <v>0.0</v>
      </c>
      <c r="AD53" s="371">
        <v>0.0</v>
      </c>
      <c r="AE53" s="354">
        <v>1.0</v>
      </c>
      <c r="AF53" s="354"/>
      <c r="AG53" s="354"/>
      <c r="AH53" s="83" t="s">
        <v>724</v>
      </c>
      <c r="AI53" s="83">
        <f>DPS_Ranged_Damage</f>
        <v>0</v>
      </c>
      <c r="AJ53" s="371">
        <v>0.0</v>
      </c>
      <c r="AK53" s="371"/>
      <c r="AL53" s="372">
        <v>3000.0</v>
      </c>
      <c r="AM53" s="83">
        <v>2.0</v>
      </c>
      <c r="AN53" s="83">
        <v>1.0</v>
      </c>
      <c r="AO53" s="83">
        <v>0.0</v>
      </c>
      <c r="AP53" s="372">
        <v>61.0</v>
      </c>
      <c r="AQ53" s="370">
        <v>0.0</v>
      </c>
      <c r="AR53" s="83">
        <v>0.0</v>
      </c>
      <c r="AS53" s="83" t="s">
        <v>733</v>
      </c>
      <c r="AT53" s="83" t="s">
        <v>733</v>
      </c>
      <c r="AU53" s="371"/>
    </row>
    <row r="54">
      <c r="A54" s="368" t="s">
        <v>834</v>
      </c>
      <c r="B54" s="369"/>
      <c r="C54" s="369" t="s">
        <v>733</v>
      </c>
      <c r="D54" s="83" t="s">
        <v>734</v>
      </c>
      <c r="E54" s="83">
        <v>30.0</v>
      </c>
      <c r="F54" s="83">
        <v>38.0</v>
      </c>
      <c r="G54" s="83">
        <v>450.0</v>
      </c>
      <c r="H54" s="83">
        <v>0.1</v>
      </c>
      <c r="I54" s="354">
        <v>0.03</v>
      </c>
      <c r="J54" s="83">
        <v>2.0</v>
      </c>
      <c r="K54" s="83">
        <v>1.0</v>
      </c>
      <c r="L54" s="83">
        <v>0.0</v>
      </c>
      <c r="M54" s="354">
        <v>0.5</v>
      </c>
      <c r="N54" s="83">
        <v>0.0</v>
      </c>
      <c r="O54" s="83">
        <v>0.5</v>
      </c>
      <c r="P54" s="83">
        <v>0.0</v>
      </c>
      <c r="Q54" s="83">
        <v>0.0</v>
      </c>
      <c r="R54" s="83">
        <v>0.0</v>
      </c>
      <c r="S54" s="83">
        <v>0.0</v>
      </c>
      <c r="T54" s="83">
        <v>0.0</v>
      </c>
      <c r="U54" s="83">
        <v>0.0</v>
      </c>
      <c r="V54" s="83">
        <v>0.0</v>
      </c>
      <c r="W54" s="83">
        <v>0.0</v>
      </c>
      <c r="X54" s="370">
        <v>0.5</v>
      </c>
      <c r="Y54" s="83">
        <v>0.0</v>
      </c>
      <c r="Z54" s="370">
        <v>0.5</v>
      </c>
      <c r="AA54" s="83">
        <v>2.0</v>
      </c>
      <c r="AB54" s="370">
        <v>0.03</v>
      </c>
      <c r="AC54" s="354">
        <v>0.0</v>
      </c>
      <c r="AD54" s="371">
        <v>0.0</v>
      </c>
      <c r="AE54" s="354">
        <v>1.0</v>
      </c>
      <c r="AF54" s="354"/>
      <c r="AG54" s="354"/>
      <c r="AH54" s="83" t="s">
        <v>724</v>
      </c>
      <c r="AI54" s="83">
        <f>DPS_Ranged_Damage</f>
        <v>0</v>
      </c>
      <c r="AJ54" s="371">
        <v>0.0</v>
      </c>
      <c r="AK54" s="371"/>
      <c r="AL54" s="372">
        <v>3000.0</v>
      </c>
      <c r="AM54" s="83">
        <v>2.0</v>
      </c>
      <c r="AN54" s="83">
        <v>1.0</v>
      </c>
      <c r="AO54" s="83">
        <v>0.0</v>
      </c>
      <c r="AP54" s="372">
        <v>122.0</v>
      </c>
      <c r="AQ54" s="370">
        <v>0.0</v>
      </c>
      <c r="AR54" s="83">
        <v>0.0</v>
      </c>
      <c r="AS54" s="83" t="s">
        <v>733</v>
      </c>
      <c r="AT54" s="83" t="s">
        <v>733</v>
      </c>
      <c r="AU54" s="371"/>
    </row>
    <row r="55">
      <c r="A55" s="368" t="s">
        <v>836</v>
      </c>
      <c r="B55" s="369"/>
      <c r="C55" s="369" t="s">
        <v>721</v>
      </c>
      <c r="D55" s="83" t="s">
        <v>722</v>
      </c>
      <c r="E55" s="83">
        <v>40.0</v>
      </c>
      <c r="F55" s="83">
        <v>63.0</v>
      </c>
      <c r="G55" s="83">
        <v>175.0</v>
      </c>
      <c r="H55" s="83">
        <v>0.1</v>
      </c>
      <c r="I55" s="354">
        <v>0.03</v>
      </c>
      <c r="J55" s="83">
        <v>1.75</v>
      </c>
      <c r="K55" s="83">
        <v>1.0</v>
      </c>
      <c r="L55" s="83">
        <v>0.0</v>
      </c>
      <c r="M55" s="354">
        <v>0.5</v>
      </c>
      <c r="N55" s="83">
        <v>0.0</v>
      </c>
      <c r="O55" s="83">
        <v>0.5</v>
      </c>
      <c r="P55" s="83">
        <v>0.0</v>
      </c>
      <c r="Q55" s="83">
        <v>0.0</v>
      </c>
      <c r="R55" s="83">
        <v>0.0</v>
      </c>
      <c r="S55" s="83">
        <v>0.0</v>
      </c>
      <c r="T55" s="83">
        <v>0.0</v>
      </c>
      <c r="U55" s="83">
        <v>0.0</v>
      </c>
      <c r="V55" s="83">
        <v>0.0</v>
      </c>
      <c r="W55" s="83">
        <v>0.0</v>
      </c>
      <c r="X55" s="370">
        <v>0.5</v>
      </c>
      <c r="Y55" s="83">
        <v>0.0</v>
      </c>
      <c r="Z55" s="370">
        <v>0.5</v>
      </c>
      <c r="AA55" s="83">
        <v>2.0</v>
      </c>
      <c r="AB55" s="370">
        <v>0.03</v>
      </c>
      <c r="AC55" s="354">
        <v>0.0</v>
      </c>
      <c r="AD55" s="371">
        <v>0.0</v>
      </c>
      <c r="AE55" s="354">
        <v>1.5</v>
      </c>
      <c r="AF55" s="354"/>
      <c r="AG55" s="354"/>
      <c r="AH55" s="83" t="s">
        <v>724</v>
      </c>
      <c r="AI55" s="83">
        <f>DPS_Melee_Damage</f>
        <v>0</v>
      </c>
      <c r="AJ55" s="371">
        <v>0.0</v>
      </c>
      <c r="AK55" s="371"/>
      <c r="AL55" s="372" t="s">
        <v>721</v>
      </c>
      <c r="AM55" s="83">
        <v>30.0</v>
      </c>
      <c r="AN55" s="83">
        <v>1.0</v>
      </c>
      <c r="AO55" s="83">
        <v>0.0</v>
      </c>
      <c r="AP55" s="372">
        <v>51.0</v>
      </c>
      <c r="AQ55" s="370">
        <v>0.0</v>
      </c>
      <c r="AR55" s="83">
        <v>0.0</v>
      </c>
      <c r="AS55" s="372">
        <v>80.0</v>
      </c>
      <c r="AT55" s="372">
        <v>32.0</v>
      </c>
      <c r="AU55" s="372" t="s">
        <v>837</v>
      </c>
    </row>
    <row r="56">
      <c r="A56" s="368" t="s">
        <v>838</v>
      </c>
      <c r="B56" s="369"/>
      <c r="C56" s="369" t="s">
        <v>721</v>
      </c>
      <c r="D56" s="83" t="s">
        <v>722</v>
      </c>
      <c r="E56" s="83">
        <v>75.0</v>
      </c>
      <c r="F56" s="83">
        <v>58.0</v>
      </c>
      <c r="G56" s="83">
        <v>175.0</v>
      </c>
      <c r="H56" s="83">
        <v>0.1</v>
      </c>
      <c r="I56" s="354">
        <v>0.03</v>
      </c>
      <c r="J56" s="83">
        <v>1.75</v>
      </c>
      <c r="K56" s="83">
        <v>1.0</v>
      </c>
      <c r="L56" s="83">
        <v>0.0</v>
      </c>
      <c r="M56" s="354">
        <v>0.5</v>
      </c>
      <c r="N56" s="83">
        <v>0.0</v>
      </c>
      <c r="O56" s="83">
        <v>0.5</v>
      </c>
      <c r="P56" s="83">
        <v>0.0</v>
      </c>
      <c r="Q56" s="83">
        <v>0.0</v>
      </c>
      <c r="R56" s="83">
        <v>0.0</v>
      </c>
      <c r="S56" s="83">
        <v>0.0</v>
      </c>
      <c r="T56" s="83">
        <v>0.0</v>
      </c>
      <c r="U56" s="83">
        <v>0.0</v>
      </c>
      <c r="V56" s="83">
        <v>0.0</v>
      </c>
      <c r="W56" s="83">
        <v>0.0</v>
      </c>
      <c r="X56" s="370">
        <v>0.5</v>
      </c>
      <c r="Y56" s="83">
        <v>0.0</v>
      </c>
      <c r="Z56" s="370">
        <v>0.5</v>
      </c>
      <c r="AA56" s="83">
        <v>2.0</v>
      </c>
      <c r="AB56" s="370">
        <v>0.03</v>
      </c>
      <c r="AC56" s="354">
        <v>0.0</v>
      </c>
      <c r="AD56" s="371">
        <v>0.0</v>
      </c>
      <c r="AE56" s="354">
        <v>1.75</v>
      </c>
      <c r="AF56" s="354"/>
      <c r="AG56" s="354"/>
      <c r="AH56" s="83" t="s">
        <v>724</v>
      </c>
      <c r="AI56" s="83">
        <f>DPS_Melee_Damage</f>
        <v>0</v>
      </c>
      <c r="AJ56" s="371">
        <v>0.0</v>
      </c>
      <c r="AK56" s="371"/>
      <c r="AL56" s="372" t="s">
        <v>721</v>
      </c>
      <c r="AM56" s="83">
        <v>40.0</v>
      </c>
      <c r="AN56" s="83">
        <v>1.0</v>
      </c>
      <c r="AO56" s="83">
        <v>0.0</v>
      </c>
      <c r="AP56" s="372">
        <v>95.0</v>
      </c>
      <c r="AQ56" s="370">
        <v>0.0</v>
      </c>
      <c r="AR56" s="83">
        <v>0.0</v>
      </c>
      <c r="AS56" s="372">
        <v>80.0</v>
      </c>
      <c r="AT56" s="372">
        <v>32.0</v>
      </c>
      <c r="AU56" s="372" t="s">
        <v>841</v>
      </c>
    </row>
    <row r="57">
      <c r="A57" s="368" t="s">
        <v>842</v>
      </c>
      <c r="B57" s="369"/>
      <c r="C57" s="369" t="s">
        <v>721</v>
      </c>
      <c r="D57" s="83" t="s">
        <v>722</v>
      </c>
      <c r="E57" s="83">
        <v>120.0</v>
      </c>
      <c r="F57" s="83">
        <v>54.0</v>
      </c>
      <c r="G57" s="83">
        <v>175.0</v>
      </c>
      <c r="H57" s="83">
        <v>0.1</v>
      </c>
      <c r="I57" s="354">
        <v>0.03</v>
      </c>
      <c r="J57" s="83">
        <v>1.75</v>
      </c>
      <c r="K57" s="83">
        <v>1.0</v>
      </c>
      <c r="L57" s="83">
        <v>0.0</v>
      </c>
      <c r="M57" s="354">
        <v>0.5</v>
      </c>
      <c r="N57" s="83">
        <v>0.0</v>
      </c>
      <c r="O57" s="83">
        <v>0.5</v>
      </c>
      <c r="P57" s="83">
        <v>0.0</v>
      </c>
      <c r="Q57" s="83">
        <v>0.0</v>
      </c>
      <c r="R57" s="83">
        <v>0.0</v>
      </c>
      <c r="S57" s="83">
        <v>0.0</v>
      </c>
      <c r="T57" s="83">
        <v>0.0</v>
      </c>
      <c r="U57" s="83">
        <v>0.0</v>
      </c>
      <c r="V57" s="83">
        <v>0.0</v>
      </c>
      <c r="W57" s="83">
        <v>0.0</v>
      </c>
      <c r="X57" s="370">
        <v>0.5</v>
      </c>
      <c r="Y57" s="83">
        <v>0.0</v>
      </c>
      <c r="Z57" s="370">
        <v>0.5</v>
      </c>
      <c r="AA57" s="83">
        <v>2.0</v>
      </c>
      <c r="AB57" s="370">
        <v>0.03</v>
      </c>
      <c r="AC57" s="354">
        <v>0.0</v>
      </c>
      <c r="AD57" s="371">
        <v>0.0</v>
      </c>
      <c r="AE57" s="354">
        <v>2.0</v>
      </c>
      <c r="AF57" s="354"/>
      <c r="AG57" s="354"/>
      <c r="AH57" s="83" t="s">
        <v>724</v>
      </c>
      <c r="AI57" s="83">
        <f>DPS_Melee_Damage</f>
        <v>0</v>
      </c>
      <c r="AJ57" s="371">
        <v>0.0</v>
      </c>
      <c r="AK57" s="371"/>
      <c r="AL57" s="372" t="s">
        <v>721</v>
      </c>
      <c r="AM57" s="83">
        <v>50.0</v>
      </c>
      <c r="AN57" s="83">
        <v>1.0</v>
      </c>
      <c r="AO57" s="83">
        <v>0.0</v>
      </c>
      <c r="AP57" s="372">
        <v>190.0</v>
      </c>
      <c r="AQ57" s="370">
        <v>0.0</v>
      </c>
      <c r="AR57" s="83">
        <v>0.0</v>
      </c>
      <c r="AS57" s="372">
        <v>80.0</v>
      </c>
      <c r="AT57" s="372">
        <v>32.0</v>
      </c>
      <c r="AU57" s="372" t="s">
        <v>843</v>
      </c>
    </row>
    <row r="58">
      <c r="A58" s="368" t="s">
        <v>844</v>
      </c>
      <c r="B58" s="369"/>
      <c r="C58" s="369" t="s">
        <v>721</v>
      </c>
      <c r="D58" s="83" t="s">
        <v>752</v>
      </c>
      <c r="E58" s="83">
        <v>1.0</v>
      </c>
      <c r="F58" s="83">
        <v>27.0</v>
      </c>
      <c r="G58" s="83">
        <v>150.0</v>
      </c>
      <c r="H58" s="83">
        <v>0.1</v>
      </c>
      <c r="I58" s="354">
        <v>0.01</v>
      </c>
      <c r="J58" s="83">
        <v>1.5</v>
      </c>
      <c r="K58" s="83">
        <v>1.0</v>
      </c>
      <c r="L58" s="83">
        <v>0.0</v>
      </c>
      <c r="M58" s="354">
        <v>0.5</v>
      </c>
      <c r="N58" s="83">
        <v>0.0</v>
      </c>
      <c r="O58" s="83">
        <v>0.5</v>
      </c>
      <c r="P58" s="83">
        <v>0.0</v>
      </c>
      <c r="Q58" s="83">
        <v>0.0</v>
      </c>
      <c r="R58" s="83">
        <v>0.0</v>
      </c>
      <c r="S58" s="83">
        <v>0.0</v>
      </c>
      <c r="T58" s="83">
        <v>0.0</v>
      </c>
      <c r="U58" s="83">
        <v>0.0</v>
      </c>
      <c r="V58" s="83">
        <v>0.0</v>
      </c>
      <c r="W58" s="83">
        <v>0.0</v>
      </c>
      <c r="X58" s="370">
        <v>0.5</v>
      </c>
      <c r="Y58" s="83">
        <v>0.0</v>
      </c>
      <c r="Z58" s="370">
        <v>0.5</v>
      </c>
      <c r="AA58" s="83">
        <v>2.0</v>
      </c>
      <c r="AB58" s="370">
        <v>0.03</v>
      </c>
      <c r="AC58" s="354">
        <v>0.0</v>
      </c>
      <c r="AD58" s="371">
        <v>0.0</v>
      </c>
      <c r="AE58" s="354">
        <v>0.5</v>
      </c>
      <c r="AF58" s="354"/>
      <c r="AG58" s="354"/>
      <c r="AH58" s="83" t="s">
        <v>724</v>
      </c>
      <c r="AI58" s="83">
        <f>DPS_Melee_Damage</f>
        <v>0</v>
      </c>
      <c r="AJ58" s="371">
        <v>0.0</v>
      </c>
      <c r="AK58" s="371"/>
      <c r="AL58" s="372" t="s">
        <v>721</v>
      </c>
      <c r="AM58" s="83">
        <v>30.0</v>
      </c>
      <c r="AN58" s="83">
        <v>1.0</v>
      </c>
      <c r="AO58" s="83">
        <v>0.0</v>
      </c>
      <c r="AP58" s="372">
        <v>10.0</v>
      </c>
      <c r="AQ58" s="370">
        <v>0.0</v>
      </c>
      <c r="AR58" s="83">
        <v>0.0</v>
      </c>
      <c r="AS58" s="372">
        <v>48.0</v>
      </c>
      <c r="AT58" s="372">
        <v>24.0</v>
      </c>
      <c r="AU58" s="372" t="s">
        <v>846</v>
      </c>
    </row>
    <row r="59">
      <c r="A59" s="368" t="s">
        <v>847</v>
      </c>
      <c r="B59" s="369"/>
      <c r="C59" s="369" t="s">
        <v>721</v>
      </c>
      <c r="D59" s="83" t="s">
        <v>752</v>
      </c>
      <c r="E59" s="83">
        <v>1.0</v>
      </c>
      <c r="F59" s="83">
        <v>22.0</v>
      </c>
      <c r="G59" s="83">
        <v>150.0</v>
      </c>
      <c r="H59" s="83">
        <v>0.1</v>
      </c>
      <c r="I59" s="354">
        <v>0.01</v>
      </c>
      <c r="J59" s="83">
        <v>1.5</v>
      </c>
      <c r="K59" s="83">
        <v>1.0</v>
      </c>
      <c r="L59" s="83">
        <v>0.0</v>
      </c>
      <c r="M59" s="354">
        <v>0.5</v>
      </c>
      <c r="N59" s="83">
        <v>0.0</v>
      </c>
      <c r="O59" s="83">
        <v>0.5</v>
      </c>
      <c r="P59" s="83">
        <v>0.0</v>
      </c>
      <c r="Q59" s="83">
        <v>0.0</v>
      </c>
      <c r="R59" s="83">
        <v>0.0</v>
      </c>
      <c r="S59" s="83">
        <v>0.0</v>
      </c>
      <c r="T59" s="83">
        <v>0.0</v>
      </c>
      <c r="U59" s="83">
        <v>0.0</v>
      </c>
      <c r="V59" s="83">
        <v>0.0</v>
      </c>
      <c r="W59" s="83">
        <v>0.0</v>
      </c>
      <c r="X59" s="370">
        <v>0.5</v>
      </c>
      <c r="Y59" s="83">
        <v>0.0</v>
      </c>
      <c r="Z59" s="370">
        <v>0.5</v>
      </c>
      <c r="AA59" s="83">
        <v>2.0</v>
      </c>
      <c r="AB59" s="370">
        <v>0.03</v>
      </c>
      <c r="AC59" s="354">
        <v>0.0</v>
      </c>
      <c r="AD59" s="371">
        <v>0.0</v>
      </c>
      <c r="AE59" s="354">
        <v>0.5</v>
      </c>
      <c r="AF59" s="354"/>
      <c r="AG59" s="354"/>
      <c r="AH59" s="83" t="s">
        <v>724</v>
      </c>
      <c r="AI59" s="83">
        <f>DPS_Melee_Damage</f>
        <v>0</v>
      </c>
      <c r="AJ59" s="371">
        <v>0.0</v>
      </c>
      <c r="AK59" s="371"/>
      <c r="AL59" s="372" t="s">
        <v>721</v>
      </c>
      <c r="AM59" s="83">
        <v>30.0</v>
      </c>
      <c r="AN59" s="83">
        <v>1.0</v>
      </c>
      <c r="AO59" s="83">
        <v>0.0</v>
      </c>
      <c r="AP59" s="372">
        <v>22.0</v>
      </c>
      <c r="AQ59" s="370">
        <v>0.0</v>
      </c>
      <c r="AR59" s="83">
        <v>0.0</v>
      </c>
      <c r="AS59" s="372">
        <v>48.0</v>
      </c>
      <c r="AT59" s="372">
        <v>24.0</v>
      </c>
      <c r="AU59" s="372" t="s">
        <v>849</v>
      </c>
    </row>
    <row r="60">
      <c r="A60" s="368" t="s">
        <v>850</v>
      </c>
      <c r="B60" s="369"/>
      <c r="C60" s="369" t="s">
        <v>721</v>
      </c>
      <c r="D60" s="83" t="s">
        <v>752</v>
      </c>
      <c r="E60" s="83">
        <v>1.0</v>
      </c>
      <c r="F60" s="83">
        <v>18.0</v>
      </c>
      <c r="G60" s="83">
        <v>150.0</v>
      </c>
      <c r="H60" s="83">
        <v>0.1</v>
      </c>
      <c r="I60" s="354">
        <v>0.01</v>
      </c>
      <c r="J60" s="83">
        <v>1.5</v>
      </c>
      <c r="K60" s="83">
        <v>1.0</v>
      </c>
      <c r="L60" s="83">
        <v>0.0</v>
      </c>
      <c r="M60" s="354">
        <v>0.5</v>
      </c>
      <c r="N60" s="83">
        <v>0.0</v>
      </c>
      <c r="O60" s="83">
        <v>0.5</v>
      </c>
      <c r="P60" s="83">
        <v>0.0</v>
      </c>
      <c r="Q60" s="83">
        <v>0.0</v>
      </c>
      <c r="R60" s="83">
        <v>0.0</v>
      </c>
      <c r="S60" s="83">
        <v>0.0</v>
      </c>
      <c r="T60" s="83">
        <v>0.0</v>
      </c>
      <c r="U60" s="83">
        <v>0.0</v>
      </c>
      <c r="V60" s="83">
        <v>0.0</v>
      </c>
      <c r="W60" s="83">
        <v>0.0</v>
      </c>
      <c r="X60" s="370">
        <v>0.5</v>
      </c>
      <c r="Y60" s="83">
        <v>0.0</v>
      </c>
      <c r="Z60" s="370">
        <v>0.5</v>
      </c>
      <c r="AA60" s="83">
        <v>2.0</v>
      </c>
      <c r="AB60" s="370">
        <v>0.03</v>
      </c>
      <c r="AC60" s="354">
        <v>0.0</v>
      </c>
      <c r="AD60" s="371">
        <v>0.0</v>
      </c>
      <c r="AE60" s="354">
        <v>0.5</v>
      </c>
      <c r="AF60" s="354"/>
      <c r="AG60" s="354"/>
      <c r="AH60" s="83" t="s">
        <v>724</v>
      </c>
      <c r="AI60" s="83">
        <f>DPS_Melee_Damage</f>
        <v>0</v>
      </c>
      <c r="AJ60" s="371">
        <v>0.0</v>
      </c>
      <c r="AK60" s="371"/>
      <c r="AL60" s="372" t="s">
        <v>721</v>
      </c>
      <c r="AM60" s="83">
        <v>30.0</v>
      </c>
      <c r="AN60" s="83">
        <v>1.0</v>
      </c>
      <c r="AO60" s="83">
        <v>0.0</v>
      </c>
      <c r="AP60" s="372">
        <v>45.0</v>
      </c>
      <c r="AQ60" s="370">
        <v>0.0</v>
      </c>
      <c r="AR60" s="83">
        <v>0.0</v>
      </c>
      <c r="AS60" s="372">
        <v>48.0</v>
      </c>
      <c r="AT60" s="372">
        <v>24.0</v>
      </c>
      <c r="AU60" s="372" t="s">
        <v>852</v>
      </c>
    </row>
    <row r="61">
      <c r="A61" s="368" t="s">
        <v>853</v>
      </c>
      <c r="B61" s="369"/>
      <c r="C61" s="369" t="s">
        <v>721</v>
      </c>
      <c r="D61" s="83" t="s">
        <v>752</v>
      </c>
      <c r="E61" s="83">
        <v>1.0</v>
      </c>
      <c r="F61" s="83">
        <v>9.0</v>
      </c>
      <c r="G61" s="83">
        <v>150.0</v>
      </c>
      <c r="H61" s="83">
        <v>0.1</v>
      </c>
      <c r="I61" s="354">
        <v>0.01</v>
      </c>
      <c r="J61" s="83">
        <v>1.5</v>
      </c>
      <c r="K61" s="83">
        <v>1.0</v>
      </c>
      <c r="L61" s="83">
        <v>0.0</v>
      </c>
      <c r="M61" s="354">
        <v>0.5</v>
      </c>
      <c r="N61" s="83">
        <v>0.0</v>
      </c>
      <c r="O61" s="83">
        <v>0.5</v>
      </c>
      <c r="P61" s="83">
        <v>0.0</v>
      </c>
      <c r="Q61" s="83">
        <v>0.0</v>
      </c>
      <c r="R61" s="83">
        <v>0.0</v>
      </c>
      <c r="S61" s="83">
        <v>0.0</v>
      </c>
      <c r="T61" s="83">
        <v>0.0</v>
      </c>
      <c r="U61" s="83">
        <v>0.0</v>
      </c>
      <c r="V61" s="83">
        <v>0.0</v>
      </c>
      <c r="W61" s="83">
        <v>0.0</v>
      </c>
      <c r="X61" s="370">
        <v>0.5</v>
      </c>
      <c r="Y61" s="83">
        <v>0.0</v>
      </c>
      <c r="Z61" s="370">
        <v>0.5</v>
      </c>
      <c r="AA61" s="83">
        <v>2.0</v>
      </c>
      <c r="AB61" s="370">
        <v>0.03</v>
      </c>
      <c r="AC61" s="354">
        <v>0.0</v>
      </c>
      <c r="AD61" s="371">
        <v>0.0</v>
      </c>
      <c r="AE61" s="354">
        <v>0.5</v>
      </c>
      <c r="AF61" s="354"/>
      <c r="AG61" s="354"/>
      <c r="AH61" s="83" t="s">
        <v>724</v>
      </c>
      <c r="AI61" s="83">
        <f>DPS_Melee_Damage</f>
        <v>0</v>
      </c>
      <c r="AJ61" s="371">
        <v>0.0</v>
      </c>
      <c r="AK61" s="371"/>
      <c r="AL61" s="372" t="s">
        <v>721</v>
      </c>
      <c r="AM61" s="83">
        <v>30.0</v>
      </c>
      <c r="AN61" s="83">
        <v>1.0</v>
      </c>
      <c r="AO61" s="83">
        <v>0.0</v>
      </c>
      <c r="AP61" s="372">
        <v>91.0</v>
      </c>
      <c r="AQ61" s="370">
        <v>0.0</v>
      </c>
      <c r="AR61" s="83">
        <v>0.0</v>
      </c>
      <c r="AS61" s="372">
        <v>48.0</v>
      </c>
      <c r="AT61" s="372">
        <v>24.0</v>
      </c>
      <c r="AU61" s="372" t="s">
        <v>855</v>
      </c>
    </row>
    <row r="62">
      <c r="A62" s="368" t="s">
        <v>856</v>
      </c>
      <c r="B62" s="369"/>
      <c r="C62" s="369" t="s">
        <v>721</v>
      </c>
      <c r="D62" s="83" t="s">
        <v>722</v>
      </c>
      <c r="E62" s="83">
        <v>7.0</v>
      </c>
      <c r="F62" s="83">
        <v>9.0</v>
      </c>
      <c r="G62" s="83">
        <v>125.0</v>
      </c>
      <c r="H62" s="83">
        <v>0.1</v>
      </c>
      <c r="I62" s="354">
        <v>0.03</v>
      </c>
      <c r="J62" s="83">
        <v>2.0</v>
      </c>
      <c r="K62" s="83">
        <v>1.0</v>
      </c>
      <c r="L62" s="83">
        <v>0.0</v>
      </c>
      <c r="M62" s="354">
        <v>0.5</v>
      </c>
      <c r="N62" s="83">
        <v>0.0</v>
      </c>
      <c r="O62" s="83">
        <v>0.5</v>
      </c>
      <c r="P62" s="83">
        <v>0.0</v>
      </c>
      <c r="Q62" s="83">
        <v>0.0</v>
      </c>
      <c r="R62" s="83">
        <v>0.0</v>
      </c>
      <c r="S62" s="83">
        <v>0.0</v>
      </c>
      <c r="T62" s="83">
        <v>0.0</v>
      </c>
      <c r="U62" s="83">
        <v>0.0</v>
      </c>
      <c r="V62" s="83">
        <v>0.0</v>
      </c>
      <c r="W62" s="83">
        <v>0.0</v>
      </c>
      <c r="X62" s="370">
        <v>0.5</v>
      </c>
      <c r="Y62" s="83">
        <v>0.0</v>
      </c>
      <c r="Z62" s="370">
        <v>0.5</v>
      </c>
      <c r="AA62" s="83">
        <v>2.0</v>
      </c>
      <c r="AB62" s="370">
        <v>0.03</v>
      </c>
      <c r="AC62" s="354">
        <v>0.0</v>
      </c>
      <c r="AD62" s="371">
        <v>0.0</v>
      </c>
      <c r="AE62" s="354">
        <v>1.0</v>
      </c>
      <c r="AF62" s="354">
        <v>0.15</v>
      </c>
      <c r="AG62" s="354"/>
      <c r="AH62" s="83" t="s">
        <v>724</v>
      </c>
      <c r="AI62" s="83">
        <f>DPS_Melee_Damage</f>
        <v>0</v>
      </c>
      <c r="AJ62" s="371">
        <f>'DPS计算器'!$E$8*100</f>
        <v>5</v>
      </c>
      <c r="AK62" s="371"/>
      <c r="AL62" s="372" t="s">
        <v>721</v>
      </c>
      <c r="AM62" s="83">
        <v>2.0</v>
      </c>
      <c r="AN62" s="83">
        <v>1.0</v>
      </c>
      <c r="AO62" s="83">
        <v>0.0</v>
      </c>
      <c r="AP62" s="372">
        <v>10.0</v>
      </c>
      <c r="AQ62" s="370">
        <v>0.0</v>
      </c>
      <c r="AR62" s="83">
        <v>0.0</v>
      </c>
      <c r="AS62" s="372">
        <v>74.0</v>
      </c>
      <c r="AT62" s="372">
        <v>28.0</v>
      </c>
      <c r="AU62" s="372"/>
    </row>
    <row r="63">
      <c r="A63" s="368" t="s">
        <v>858</v>
      </c>
      <c r="B63" s="369"/>
      <c r="C63" s="369" t="s">
        <v>721</v>
      </c>
      <c r="D63" s="83" t="s">
        <v>722</v>
      </c>
      <c r="E63" s="83">
        <v>11.0</v>
      </c>
      <c r="F63" s="83">
        <v>8.0</v>
      </c>
      <c r="G63" s="83">
        <v>125.0</v>
      </c>
      <c r="H63" s="83">
        <v>0.1</v>
      </c>
      <c r="I63" s="354">
        <v>0.03</v>
      </c>
      <c r="J63" s="83">
        <v>2.0</v>
      </c>
      <c r="K63" s="83">
        <v>1.0</v>
      </c>
      <c r="L63" s="83">
        <v>0.0</v>
      </c>
      <c r="M63" s="354">
        <v>0.5</v>
      </c>
      <c r="N63" s="83">
        <v>0.0</v>
      </c>
      <c r="O63" s="83">
        <v>0.5</v>
      </c>
      <c r="P63" s="83">
        <v>0.0</v>
      </c>
      <c r="Q63" s="83">
        <v>0.0</v>
      </c>
      <c r="R63" s="83">
        <v>0.0</v>
      </c>
      <c r="S63" s="83">
        <v>0.0</v>
      </c>
      <c r="T63" s="83">
        <v>0.0</v>
      </c>
      <c r="U63" s="83">
        <v>0.0</v>
      </c>
      <c r="V63" s="83">
        <v>0.0</v>
      </c>
      <c r="W63" s="83">
        <v>0.0</v>
      </c>
      <c r="X63" s="370">
        <v>0.5</v>
      </c>
      <c r="Y63" s="83">
        <v>0.0</v>
      </c>
      <c r="Z63" s="370">
        <v>0.5</v>
      </c>
      <c r="AA63" s="83">
        <v>2.0</v>
      </c>
      <c r="AB63" s="370">
        <v>0.03</v>
      </c>
      <c r="AC63" s="354">
        <v>0.0</v>
      </c>
      <c r="AD63" s="371">
        <v>0.0</v>
      </c>
      <c r="AE63" s="354">
        <v>1.0</v>
      </c>
      <c r="AF63" s="354">
        <v>0.15</v>
      </c>
      <c r="AG63" s="354"/>
      <c r="AH63" s="83" t="s">
        <v>724</v>
      </c>
      <c r="AI63" s="83">
        <f>DPS_Melee_Damage</f>
        <v>0</v>
      </c>
      <c r="AJ63" s="371">
        <f>'DPS计算器'!$E$8*100</f>
        <v>5</v>
      </c>
      <c r="AK63" s="371"/>
      <c r="AL63" s="372" t="s">
        <v>721</v>
      </c>
      <c r="AM63" s="83">
        <v>2.0</v>
      </c>
      <c r="AN63" s="83">
        <v>1.0</v>
      </c>
      <c r="AO63" s="83">
        <v>0.0</v>
      </c>
      <c r="AP63" s="372">
        <v>22.0</v>
      </c>
      <c r="AQ63" s="370">
        <v>0.0</v>
      </c>
      <c r="AR63" s="83">
        <v>0.0</v>
      </c>
      <c r="AS63" s="372">
        <v>74.0</v>
      </c>
      <c r="AT63" s="372">
        <v>28.0</v>
      </c>
    </row>
    <row r="64">
      <c r="A64" s="368" t="s">
        <v>859</v>
      </c>
      <c r="B64" s="369"/>
      <c r="C64" s="369" t="s">
        <v>721</v>
      </c>
      <c r="D64" s="83" t="s">
        <v>722</v>
      </c>
      <c r="E64" s="83">
        <v>22.0</v>
      </c>
      <c r="F64" s="83">
        <v>7.0</v>
      </c>
      <c r="G64" s="83">
        <v>125.0</v>
      </c>
      <c r="H64" s="83">
        <v>0.1</v>
      </c>
      <c r="I64" s="354">
        <v>0.03</v>
      </c>
      <c r="J64" s="83">
        <v>2.0</v>
      </c>
      <c r="K64" s="83">
        <v>1.0</v>
      </c>
      <c r="L64" s="83">
        <v>0.0</v>
      </c>
      <c r="M64" s="354">
        <v>0.5</v>
      </c>
      <c r="N64" s="83">
        <v>0.0</v>
      </c>
      <c r="O64" s="83">
        <v>0.5</v>
      </c>
      <c r="P64" s="83">
        <v>0.0</v>
      </c>
      <c r="Q64" s="83">
        <v>0.0</v>
      </c>
      <c r="R64" s="83">
        <v>0.0</v>
      </c>
      <c r="S64" s="83">
        <v>0.0</v>
      </c>
      <c r="T64" s="83">
        <v>0.0</v>
      </c>
      <c r="U64" s="83">
        <v>0.0</v>
      </c>
      <c r="V64" s="83">
        <v>0.0</v>
      </c>
      <c r="W64" s="83">
        <v>0.0</v>
      </c>
      <c r="X64" s="370">
        <v>0.5</v>
      </c>
      <c r="Y64" s="83">
        <v>0.0</v>
      </c>
      <c r="Z64" s="370">
        <v>0.5</v>
      </c>
      <c r="AA64" s="83">
        <v>2.0</v>
      </c>
      <c r="AB64" s="370">
        <v>0.03</v>
      </c>
      <c r="AC64" s="354">
        <v>0.0</v>
      </c>
      <c r="AD64" s="371">
        <v>0.0</v>
      </c>
      <c r="AE64" s="354">
        <v>1.0</v>
      </c>
      <c r="AF64" s="354">
        <v>0.15</v>
      </c>
      <c r="AG64" s="354"/>
      <c r="AH64" s="83" t="s">
        <v>724</v>
      </c>
      <c r="AI64" s="83">
        <f>DPS_Melee_Damage</f>
        <v>0</v>
      </c>
      <c r="AJ64" s="371">
        <f>'DPS计算器'!$E$8*100</f>
        <v>5</v>
      </c>
      <c r="AK64" s="371"/>
      <c r="AL64" s="372" t="s">
        <v>721</v>
      </c>
      <c r="AM64" s="83">
        <v>2.0</v>
      </c>
      <c r="AN64" s="83">
        <v>1.0</v>
      </c>
      <c r="AO64" s="83">
        <v>0.0</v>
      </c>
      <c r="AP64" s="372">
        <v>45.0</v>
      </c>
      <c r="AQ64" s="370">
        <v>0.0</v>
      </c>
      <c r="AR64" s="83">
        <v>0.0</v>
      </c>
      <c r="AS64" s="371">
        <v>74.0</v>
      </c>
      <c r="AT64" s="371">
        <v>28.0</v>
      </c>
    </row>
    <row r="65">
      <c r="A65" s="368" t="s">
        <v>861</v>
      </c>
      <c r="B65" s="369"/>
      <c r="C65" s="369" t="s">
        <v>721</v>
      </c>
      <c r="D65" s="83" t="s">
        <v>722</v>
      </c>
      <c r="E65" s="83">
        <v>45.0</v>
      </c>
      <c r="F65" s="83">
        <v>6.0</v>
      </c>
      <c r="G65" s="83">
        <v>125.0</v>
      </c>
      <c r="H65" s="83">
        <v>0.1</v>
      </c>
      <c r="I65" s="354">
        <v>0.03</v>
      </c>
      <c r="J65" s="83">
        <v>2.0</v>
      </c>
      <c r="K65" s="83">
        <v>1.0</v>
      </c>
      <c r="L65" s="83">
        <v>0.0</v>
      </c>
      <c r="M65" s="354">
        <v>0.5</v>
      </c>
      <c r="N65" s="83">
        <v>0.0</v>
      </c>
      <c r="O65" s="83">
        <v>0.5</v>
      </c>
      <c r="P65" s="83">
        <v>0.0</v>
      </c>
      <c r="Q65" s="83">
        <v>0.0</v>
      </c>
      <c r="R65" s="83">
        <v>0.0</v>
      </c>
      <c r="S65" s="83">
        <v>0.0</v>
      </c>
      <c r="T65" s="83">
        <v>0.0</v>
      </c>
      <c r="U65" s="83">
        <v>0.0</v>
      </c>
      <c r="V65" s="83">
        <v>0.0</v>
      </c>
      <c r="W65" s="83">
        <v>0.0</v>
      </c>
      <c r="X65" s="370">
        <v>0.5</v>
      </c>
      <c r="Y65" s="83">
        <v>0.0</v>
      </c>
      <c r="Z65" s="370">
        <v>0.5</v>
      </c>
      <c r="AA65" s="83">
        <v>2.0</v>
      </c>
      <c r="AB65" s="370">
        <v>0.03</v>
      </c>
      <c r="AC65" s="354">
        <v>0.0</v>
      </c>
      <c r="AD65" s="371">
        <v>0.0</v>
      </c>
      <c r="AE65" s="354">
        <v>1.0</v>
      </c>
      <c r="AF65" s="354">
        <v>0.15</v>
      </c>
      <c r="AG65" s="354"/>
      <c r="AH65" s="83" t="s">
        <v>724</v>
      </c>
      <c r="AI65" s="83">
        <f>DPS_Melee_Damage</f>
        <v>0</v>
      </c>
      <c r="AJ65" s="371">
        <f>'DPS计算器'!$E$8*100</f>
        <v>5</v>
      </c>
      <c r="AK65" s="371"/>
      <c r="AL65" s="372" t="s">
        <v>721</v>
      </c>
      <c r="AM65" s="83">
        <v>2.0</v>
      </c>
      <c r="AN65" s="83">
        <v>1.0</v>
      </c>
      <c r="AO65" s="83">
        <v>0.0</v>
      </c>
      <c r="AP65" s="372">
        <v>91.0</v>
      </c>
      <c r="AQ65" s="370">
        <v>0.0</v>
      </c>
      <c r="AR65" s="83">
        <v>0.0</v>
      </c>
      <c r="AS65" s="371">
        <v>74.0</v>
      </c>
      <c r="AT65" s="371">
        <v>28.0</v>
      </c>
    </row>
    <row r="66">
      <c r="A66" s="368" t="s">
        <v>863</v>
      </c>
      <c r="B66" s="369"/>
      <c r="C66" s="369" t="s">
        <v>721</v>
      </c>
      <c r="D66" s="83" t="s">
        <v>752</v>
      </c>
      <c r="E66" s="83">
        <v>20.0</v>
      </c>
      <c r="F66" s="83">
        <v>55.0</v>
      </c>
      <c r="G66" s="83">
        <v>250.0</v>
      </c>
      <c r="H66" s="83">
        <v>0.1</v>
      </c>
      <c r="I66" s="354">
        <v>0.03</v>
      </c>
      <c r="J66" s="83">
        <v>2.0</v>
      </c>
      <c r="K66" s="83">
        <v>1.0</v>
      </c>
      <c r="L66" s="83">
        <v>0.0</v>
      </c>
      <c r="M66" s="354">
        <v>0.5</v>
      </c>
      <c r="N66" s="83">
        <v>0.0</v>
      </c>
      <c r="O66" s="83">
        <v>0.5</v>
      </c>
      <c r="P66" s="83">
        <v>0.0</v>
      </c>
      <c r="Q66" s="83">
        <v>0.0</v>
      </c>
      <c r="R66" s="83">
        <v>0.0</v>
      </c>
      <c r="S66" s="83">
        <v>0.0</v>
      </c>
      <c r="T66" s="83">
        <v>0.0</v>
      </c>
      <c r="U66" s="83">
        <v>0.0</v>
      </c>
      <c r="V66" s="83">
        <v>0.0</v>
      </c>
      <c r="W66" s="83">
        <v>0.0</v>
      </c>
      <c r="X66" s="370">
        <v>0.5</v>
      </c>
      <c r="Y66" s="83">
        <v>0.0</v>
      </c>
      <c r="Z66" s="370">
        <v>0.5</v>
      </c>
      <c r="AA66" s="83">
        <v>2.0</v>
      </c>
      <c r="AB66" s="370">
        <v>0.03</v>
      </c>
      <c r="AC66" s="354">
        <v>0.0</v>
      </c>
      <c r="AD66" s="371">
        <v>0.0</v>
      </c>
      <c r="AE66" s="354">
        <v>0.5</v>
      </c>
      <c r="AF66" s="354">
        <v>0.3</v>
      </c>
      <c r="AG66" s="354"/>
      <c r="AH66" s="83" t="s">
        <v>724</v>
      </c>
      <c r="AI66" s="83">
        <f>DPS_Melee_Damage</f>
        <v>0</v>
      </c>
      <c r="AJ66" s="83">
        <f>'DPS计算器'!$J$8</f>
        <v>0</v>
      </c>
      <c r="AL66" s="372" t="s">
        <v>721</v>
      </c>
      <c r="AM66" s="83">
        <v>0.0</v>
      </c>
      <c r="AN66" s="83">
        <v>1.0</v>
      </c>
      <c r="AO66" s="83">
        <v>0.0</v>
      </c>
      <c r="AP66" s="372">
        <v>20.0</v>
      </c>
      <c r="AQ66" s="370">
        <v>0.0</v>
      </c>
      <c r="AR66" s="83">
        <v>0.0</v>
      </c>
      <c r="AS66" s="372">
        <v>140.0</v>
      </c>
      <c r="AT66" s="372">
        <v>16.0</v>
      </c>
      <c r="AU66" s="371"/>
    </row>
    <row r="67">
      <c r="A67" s="368" t="s">
        <v>866</v>
      </c>
      <c r="B67" s="369"/>
      <c r="C67" s="369" t="s">
        <v>721</v>
      </c>
      <c r="D67" s="83" t="s">
        <v>752</v>
      </c>
      <c r="E67" s="83">
        <v>25.0</v>
      </c>
      <c r="F67" s="83">
        <v>50.0</v>
      </c>
      <c r="G67" s="83">
        <v>250.0</v>
      </c>
      <c r="H67" s="83">
        <v>0.1</v>
      </c>
      <c r="I67" s="354">
        <v>0.03</v>
      </c>
      <c r="J67" s="83">
        <v>2.0</v>
      </c>
      <c r="K67" s="83">
        <v>1.0</v>
      </c>
      <c r="L67" s="83">
        <v>0.0</v>
      </c>
      <c r="M67" s="354">
        <v>0.5</v>
      </c>
      <c r="N67" s="83">
        <v>0.0</v>
      </c>
      <c r="O67" s="83">
        <v>0.5</v>
      </c>
      <c r="P67" s="83">
        <v>0.0</v>
      </c>
      <c r="Q67" s="83">
        <v>0.0</v>
      </c>
      <c r="R67" s="83">
        <v>0.0</v>
      </c>
      <c r="S67" s="83">
        <v>0.0</v>
      </c>
      <c r="T67" s="83">
        <v>0.0</v>
      </c>
      <c r="U67" s="83">
        <v>0.0</v>
      </c>
      <c r="V67" s="83">
        <v>0.0</v>
      </c>
      <c r="W67" s="83">
        <v>0.0</v>
      </c>
      <c r="X67" s="370">
        <v>0.5</v>
      </c>
      <c r="Y67" s="83">
        <v>0.0</v>
      </c>
      <c r="Z67" s="370">
        <v>0.5</v>
      </c>
      <c r="AA67" s="83">
        <v>2.0</v>
      </c>
      <c r="AB67" s="370">
        <v>0.03</v>
      </c>
      <c r="AC67" s="354">
        <v>0.0</v>
      </c>
      <c r="AD67" s="371">
        <v>0.0</v>
      </c>
      <c r="AE67" s="354">
        <v>0.5</v>
      </c>
      <c r="AF67" s="354">
        <v>0.35</v>
      </c>
      <c r="AG67" s="354"/>
      <c r="AH67" s="83" t="s">
        <v>724</v>
      </c>
      <c r="AI67" s="83">
        <f>DPS_Melee_Damage</f>
        <v>0</v>
      </c>
      <c r="AJ67" s="83">
        <f>'DPS计算器'!$J$8</f>
        <v>0</v>
      </c>
      <c r="AL67" s="372" t="s">
        <v>721</v>
      </c>
      <c r="AM67" s="83">
        <v>0.0</v>
      </c>
      <c r="AN67" s="83">
        <v>1.0</v>
      </c>
      <c r="AO67" s="83">
        <v>0.0</v>
      </c>
      <c r="AP67" s="372">
        <v>36.0</v>
      </c>
      <c r="AQ67" s="370">
        <v>0.0</v>
      </c>
      <c r="AR67" s="83">
        <v>0.0</v>
      </c>
      <c r="AS67" s="372">
        <v>140.0</v>
      </c>
      <c r="AT67" s="372">
        <v>16.0</v>
      </c>
      <c r="AU67" s="371"/>
    </row>
    <row r="68">
      <c r="A68" s="368" t="s">
        <v>867</v>
      </c>
      <c r="B68" s="369"/>
      <c r="C68" s="369" t="s">
        <v>721</v>
      </c>
      <c r="D68" s="83" t="s">
        <v>752</v>
      </c>
      <c r="E68" s="83">
        <v>30.0</v>
      </c>
      <c r="F68" s="83">
        <v>45.0</v>
      </c>
      <c r="G68" s="83">
        <v>250.0</v>
      </c>
      <c r="H68" s="83">
        <v>0.1</v>
      </c>
      <c r="I68" s="354">
        <v>0.03</v>
      </c>
      <c r="J68" s="83">
        <v>2.0</v>
      </c>
      <c r="K68" s="83">
        <v>1.0</v>
      </c>
      <c r="L68" s="83">
        <v>0.0</v>
      </c>
      <c r="M68" s="354">
        <v>0.5</v>
      </c>
      <c r="N68" s="83">
        <v>0.0</v>
      </c>
      <c r="O68" s="83">
        <v>0.5</v>
      </c>
      <c r="P68" s="83">
        <v>0.0</v>
      </c>
      <c r="Q68" s="83">
        <v>0.0</v>
      </c>
      <c r="R68" s="83">
        <v>0.0</v>
      </c>
      <c r="S68" s="83">
        <v>0.0</v>
      </c>
      <c r="T68" s="83">
        <v>0.0</v>
      </c>
      <c r="U68" s="83">
        <v>0.0</v>
      </c>
      <c r="V68" s="83">
        <v>0.0</v>
      </c>
      <c r="W68" s="83">
        <v>0.0</v>
      </c>
      <c r="X68" s="370">
        <v>0.5</v>
      </c>
      <c r="Y68" s="83">
        <v>0.0</v>
      </c>
      <c r="Z68" s="370">
        <v>0.5</v>
      </c>
      <c r="AA68" s="83">
        <v>2.0</v>
      </c>
      <c r="AB68" s="370">
        <v>0.03</v>
      </c>
      <c r="AC68" s="354">
        <v>0.0</v>
      </c>
      <c r="AD68" s="371">
        <v>0.0</v>
      </c>
      <c r="AE68" s="354">
        <v>0.5</v>
      </c>
      <c r="AF68" s="354">
        <v>0.4</v>
      </c>
      <c r="AG68" s="354"/>
      <c r="AH68" s="83" t="s">
        <v>724</v>
      </c>
      <c r="AI68" s="83">
        <f>DPS_Melee_Damage</f>
        <v>0</v>
      </c>
      <c r="AJ68" s="83">
        <f>'DPS计算器'!$J$8</f>
        <v>0</v>
      </c>
      <c r="AL68" s="372" t="s">
        <v>721</v>
      </c>
      <c r="AM68" s="83">
        <v>0.0</v>
      </c>
      <c r="AN68" s="83">
        <v>1.0</v>
      </c>
      <c r="AO68" s="83">
        <v>0.0</v>
      </c>
      <c r="AP68" s="372">
        <v>72.0</v>
      </c>
      <c r="AQ68" s="370">
        <v>0.0</v>
      </c>
      <c r="AR68" s="83">
        <v>0.0</v>
      </c>
      <c r="AS68" s="372">
        <v>140.0</v>
      </c>
      <c r="AT68" s="372">
        <v>16.0</v>
      </c>
      <c r="AU68" s="371"/>
    </row>
    <row r="69">
      <c r="A69" s="368" t="s">
        <v>869</v>
      </c>
      <c r="B69" s="369"/>
      <c r="C69" s="369" t="s">
        <v>721</v>
      </c>
      <c r="D69" s="83" t="s">
        <v>752</v>
      </c>
      <c r="E69" s="83">
        <v>50.0</v>
      </c>
      <c r="F69" s="83">
        <v>40.0</v>
      </c>
      <c r="G69" s="83">
        <v>250.0</v>
      </c>
      <c r="H69" s="83">
        <v>0.1</v>
      </c>
      <c r="I69" s="354">
        <v>0.03</v>
      </c>
      <c r="J69" s="83">
        <v>2.0</v>
      </c>
      <c r="K69" s="83">
        <v>1.0</v>
      </c>
      <c r="L69" s="83">
        <v>0.0</v>
      </c>
      <c r="M69" s="354">
        <v>0.5</v>
      </c>
      <c r="N69" s="83">
        <v>0.0</v>
      </c>
      <c r="O69" s="83">
        <v>0.5</v>
      </c>
      <c r="P69" s="83">
        <v>0.0</v>
      </c>
      <c r="Q69" s="83">
        <v>0.0</v>
      </c>
      <c r="R69" s="83">
        <v>0.0</v>
      </c>
      <c r="S69" s="83">
        <v>0.0</v>
      </c>
      <c r="T69" s="83">
        <v>0.0</v>
      </c>
      <c r="U69" s="83">
        <v>0.0</v>
      </c>
      <c r="V69" s="83">
        <v>0.0</v>
      </c>
      <c r="W69" s="83">
        <v>0.0</v>
      </c>
      <c r="X69" s="370">
        <v>0.5</v>
      </c>
      <c r="Y69" s="83">
        <v>0.0</v>
      </c>
      <c r="Z69" s="370">
        <v>0.5</v>
      </c>
      <c r="AA69" s="83">
        <v>2.0</v>
      </c>
      <c r="AB69" s="370">
        <v>0.03</v>
      </c>
      <c r="AC69" s="354">
        <v>0.0</v>
      </c>
      <c r="AD69" s="371">
        <v>0.0</v>
      </c>
      <c r="AE69" s="354">
        <v>0.5</v>
      </c>
      <c r="AF69" s="354">
        <v>0.5</v>
      </c>
      <c r="AG69" s="354"/>
      <c r="AH69" s="83" t="s">
        <v>724</v>
      </c>
      <c r="AI69" s="83">
        <f>DPS_Melee_Damage</f>
        <v>0</v>
      </c>
      <c r="AJ69" s="83">
        <f>'DPS计算器'!$J$8</f>
        <v>0</v>
      </c>
      <c r="AL69" s="372" t="s">
        <v>721</v>
      </c>
      <c r="AM69" s="83">
        <v>0.0</v>
      </c>
      <c r="AN69" s="83">
        <v>1.0</v>
      </c>
      <c r="AO69" s="83">
        <v>0.0</v>
      </c>
      <c r="AP69" s="372">
        <v>132.0</v>
      </c>
      <c r="AQ69" s="370">
        <v>0.0</v>
      </c>
      <c r="AR69" s="83">
        <v>0.0</v>
      </c>
      <c r="AS69" s="372">
        <v>140.0</v>
      </c>
      <c r="AT69" s="372">
        <v>16.0</v>
      </c>
      <c r="AU69" s="371"/>
    </row>
    <row r="70">
      <c r="A70" s="368" t="s">
        <v>871</v>
      </c>
      <c r="B70" s="369"/>
      <c r="C70" s="369" t="s">
        <v>721</v>
      </c>
      <c r="D70" s="83" t="s">
        <v>752</v>
      </c>
      <c r="E70" s="83">
        <v>9.0</v>
      </c>
      <c r="F70" s="83">
        <v>27.0</v>
      </c>
      <c r="G70" s="83">
        <v>150.0</v>
      </c>
      <c r="H70" s="83">
        <v>0.1</v>
      </c>
      <c r="I70" s="354">
        <v>0.2</v>
      </c>
      <c r="J70" s="83">
        <v>2.5</v>
      </c>
      <c r="K70" s="83">
        <v>1.0</v>
      </c>
      <c r="L70" s="83">
        <v>0.0</v>
      </c>
      <c r="M70" s="354">
        <v>0.5</v>
      </c>
      <c r="N70" s="83">
        <v>0.0</v>
      </c>
      <c r="O70" s="83">
        <v>0.5</v>
      </c>
      <c r="P70" s="83">
        <v>0.0</v>
      </c>
      <c r="Q70" s="83">
        <v>0.0</v>
      </c>
      <c r="R70" s="83">
        <v>0.0</v>
      </c>
      <c r="S70" s="83">
        <v>0.0</v>
      </c>
      <c r="T70" s="83">
        <v>0.0</v>
      </c>
      <c r="U70" s="83">
        <v>0.0</v>
      </c>
      <c r="V70" s="83">
        <v>0.0</v>
      </c>
      <c r="W70" s="83">
        <v>0.0</v>
      </c>
      <c r="X70" s="370">
        <v>0.5</v>
      </c>
      <c r="Y70" s="83">
        <v>0.0</v>
      </c>
      <c r="Z70" s="370">
        <v>0.5</v>
      </c>
      <c r="AA70" s="83">
        <v>2.0</v>
      </c>
      <c r="AB70" s="370">
        <v>0.03</v>
      </c>
      <c r="AC70" s="354">
        <v>0.0</v>
      </c>
      <c r="AD70" s="371">
        <v>0.0</v>
      </c>
      <c r="AE70" s="354">
        <v>0.8</v>
      </c>
      <c r="AF70" s="354"/>
      <c r="AG70" s="354"/>
      <c r="AH70" s="83" t="s">
        <v>724</v>
      </c>
      <c r="AI70" s="83">
        <f>DPS_Melee_Damage</f>
        <v>0</v>
      </c>
      <c r="AJ70" s="371">
        <v>0.0</v>
      </c>
      <c r="AK70" s="371"/>
      <c r="AL70" s="372" t="s">
        <v>721</v>
      </c>
      <c r="AM70" s="83">
        <v>2.0</v>
      </c>
      <c r="AN70" s="83">
        <v>1.0</v>
      </c>
      <c r="AO70" s="83">
        <v>0.0</v>
      </c>
      <c r="AP70" s="372">
        <v>10.0</v>
      </c>
      <c r="AQ70" s="370">
        <v>0.0</v>
      </c>
      <c r="AR70" s="83">
        <v>0.0</v>
      </c>
      <c r="AS70" s="372">
        <v>72.0</v>
      </c>
      <c r="AT70" s="372">
        <v>16.0</v>
      </c>
      <c r="AU70" s="371"/>
    </row>
    <row r="71">
      <c r="A71" s="368" t="s">
        <v>872</v>
      </c>
      <c r="B71" s="369"/>
      <c r="C71" s="369" t="s">
        <v>721</v>
      </c>
      <c r="D71" s="83" t="s">
        <v>752</v>
      </c>
      <c r="E71" s="83">
        <v>13.0</v>
      </c>
      <c r="F71" s="83">
        <v>22.0</v>
      </c>
      <c r="G71" s="83">
        <v>150.0</v>
      </c>
      <c r="H71" s="83">
        <v>0.1</v>
      </c>
      <c r="I71" s="354">
        <v>0.3</v>
      </c>
      <c r="J71" s="83">
        <v>3.0</v>
      </c>
      <c r="K71" s="83">
        <v>1.0</v>
      </c>
      <c r="L71" s="83">
        <v>0.0</v>
      </c>
      <c r="M71" s="354">
        <v>0.5</v>
      </c>
      <c r="N71" s="83">
        <v>0.0</v>
      </c>
      <c r="O71" s="83">
        <v>0.5</v>
      </c>
      <c r="P71" s="83">
        <v>0.0</v>
      </c>
      <c r="Q71" s="83">
        <v>0.0</v>
      </c>
      <c r="R71" s="83">
        <v>0.0</v>
      </c>
      <c r="S71" s="83">
        <v>0.0</v>
      </c>
      <c r="T71" s="83">
        <v>0.0</v>
      </c>
      <c r="U71" s="83">
        <v>0.0</v>
      </c>
      <c r="V71" s="83">
        <v>0.0</v>
      </c>
      <c r="W71" s="83">
        <v>0.0</v>
      </c>
      <c r="X71" s="370">
        <v>0.5</v>
      </c>
      <c r="Y71" s="83">
        <v>0.0</v>
      </c>
      <c r="Z71" s="370">
        <v>0.5</v>
      </c>
      <c r="AA71" s="83">
        <v>2.0</v>
      </c>
      <c r="AB71" s="370">
        <v>0.03</v>
      </c>
      <c r="AC71" s="354">
        <v>0.0</v>
      </c>
      <c r="AD71" s="371">
        <v>0.0</v>
      </c>
      <c r="AE71" s="354">
        <v>0.8</v>
      </c>
      <c r="AF71" s="354"/>
      <c r="AG71" s="354"/>
      <c r="AH71" s="83" t="s">
        <v>724</v>
      </c>
      <c r="AI71" s="83">
        <f>DPS_Melee_Damage</f>
        <v>0</v>
      </c>
      <c r="AJ71" s="371">
        <v>0.0</v>
      </c>
      <c r="AK71" s="371"/>
      <c r="AL71" s="372" t="s">
        <v>721</v>
      </c>
      <c r="AM71" s="83">
        <v>2.0</v>
      </c>
      <c r="AN71" s="83">
        <v>1.0</v>
      </c>
      <c r="AO71" s="83">
        <v>0.0</v>
      </c>
      <c r="AP71" s="372">
        <v>22.0</v>
      </c>
      <c r="AQ71" s="370">
        <v>0.0</v>
      </c>
      <c r="AR71" s="83">
        <v>0.0</v>
      </c>
      <c r="AS71" s="372">
        <v>72.0</v>
      </c>
      <c r="AT71" s="372">
        <v>16.0</v>
      </c>
      <c r="AU71" s="371"/>
    </row>
    <row r="72">
      <c r="A72" s="368" t="s">
        <v>875</v>
      </c>
      <c r="B72" s="369"/>
      <c r="C72" s="369" t="s">
        <v>721</v>
      </c>
      <c r="D72" s="83" t="s">
        <v>752</v>
      </c>
      <c r="E72" s="83">
        <v>18.0</v>
      </c>
      <c r="F72" s="83">
        <v>18.0</v>
      </c>
      <c r="G72" s="83">
        <v>150.0</v>
      </c>
      <c r="H72" s="83">
        <v>0.1</v>
      </c>
      <c r="I72" s="354">
        <v>0.4</v>
      </c>
      <c r="J72" s="83">
        <v>3.5</v>
      </c>
      <c r="K72" s="83">
        <v>1.0</v>
      </c>
      <c r="L72" s="83">
        <v>0.0</v>
      </c>
      <c r="M72" s="354">
        <v>0.5</v>
      </c>
      <c r="N72" s="83">
        <v>0.0</v>
      </c>
      <c r="O72" s="83">
        <v>0.5</v>
      </c>
      <c r="P72" s="83">
        <v>0.0</v>
      </c>
      <c r="Q72" s="83">
        <v>0.0</v>
      </c>
      <c r="R72" s="83">
        <v>0.0</v>
      </c>
      <c r="S72" s="83">
        <v>0.0</v>
      </c>
      <c r="T72" s="83">
        <v>0.0</v>
      </c>
      <c r="U72" s="83">
        <v>0.0</v>
      </c>
      <c r="V72" s="83">
        <v>0.0</v>
      </c>
      <c r="W72" s="83">
        <v>0.0</v>
      </c>
      <c r="X72" s="370">
        <v>0.5</v>
      </c>
      <c r="Y72" s="83">
        <v>0.0</v>
      </c>
      <c r="Z72" s="370">
        <v>0.5</v>
      </c>
      <c r="AA72" s="83">
        <v>2.0</v>
      </c>
      <c r="AB72" s="370">
        <v>0.03</v>
      </c>
      <c r="AC72" s="354">
        <v>0.0</v>
      </c>
      <c r="AD72" s="371">
        <v>0.0</v>
      </c>
      <c r="AE72" s="354">
        <v>0.8</v>
      </c>
      <c r="AF72" s="354"/>
      <c r="AG72" s="354"/>
      <c r="AH72" s="83" t="s">
        <v>724</v>
      </c>
      <c r="AI72" s="83">
        <f>DPS_Melee_Damage</f>
        <v>0</v>
      </c>
      <c r="AJ72" s="371">
        <v>0.0</v>
      </c>
      <c r="AK72" s="371"/>
      <c r="AL72" s="372" t="s">
        <v>721</v>
      </c>
      <c r="AM72" s="83">
        <v>2.0</v>
      </c>
      <c r="AN72" s="83">
        <v>1.0</v>
      </c>
      <c r="AO72" s="83">
        <v>0.0</v>
      </c>
      <c r="AP72" s="372">
        <v>45.0</v>
      </c>
      <c r="AQ72" s="370">
        <v>0.0</v>
      </c>
      <c r="AR72" s="83">
        <v>0.0</v>
      </c>
      <c r="AS72" s="372">
        <v>72.0</v>
      </c>
      <c r="AT72" s="372">
        <v>16.0</v>
      </c>
      <c r="AU72" s="371"/>
    </row>
    <row r="73">
      <c r="A73" s="368" t="s">
        <v>876</v>
      </c>
      <c r="B73" s="369"/>
      <c r="C73" s="369" t="s">
        <v>721</v>
      </c>
      <c r="D73" s="83" t="s">
        <v>752</v>
      </c>
      <c r="E73" s="83">
        <v>25.0</v>
      </c>
      <c r="F73" s="83">
        <v>13.0</v>
      </c>
      <c r="G73" s="83">
        <v>150.0</v>
      </c>
      <c r="H73" s="83">
        <v>0.1</v>
      </c>
      <c r="I73" s="354">
        <v>0.5</v>
      </c>
      <c r="J73" s="83">
        <v>4.0</v>
      </c>
      <c r="K73" s="83">
        <v>1.0</v>
      </c>
      <c r="L73" s="83">
        <v>0.0</v>
      </c>
      <c r="M73" s="354">
        <v>0.5</v>
      </c>
      <c r="N73" s="83">
        <v>0.0</v>
      </c>
      <c r="O73" s="83">
        <v>0.5</v>
      </c>
      <c r="P73" s="83">
        <v>0.0</v>
      </c>
      <c r="Q73" s="83">
        <v>0.0</v>
      </c>
      <c r="R73" s="83">
        <v>0.0</v>
      </c>
      <c r="S73" s="83">
        <v>0.0</v>
      </c>
      <c r="T73" s="83">
        <v>0.0</v>
      </c>
      <c r="U73" s="83">
        <v>0.0</v>
      </c>
      <c r="V73" s="83">
        <v>0.0</v>
      </c>
      <c r="W73" s="83">
        <v>0.0</v>
      </c>
      <c r="X73" s="370">
        <v>0.5</v>
      </c>
      <c r="Y73" s="83">
        <v>0.0</v>
      </c>
      <c r="Z73" s="370">
        <v>0.5</v>
      </c>
      <c r="AA73" s="83">
        <v>2.0</v>
      </c>
      <c r="AB73" s="370">
        <v>0.03</v>
      </c>
      <c r="AC73" s="354">
        <v>0.0</v>
      </c>
      <c r="AD73" s="371">
        <v>0.0</v>
      </c>
      <c r="AE73" s="354">
        <v>0.8</v>
      </c>
      <c r="AF73" s="354"/>
      <c r="AG73" s="354"/>
      <c r="AH73" s="83" t="s">
        <v>724</v>
      </c>
      <c r="AI73" s="83">
        <f>DPS_Melee_Damage</f>
        <v>0</v>
      </c>
      <c r="AJ73" s="371">
        <v>0.0</v>
      </c>
      <c r="AK73" s="371"/>
      <c r="AL73" s="372" t="s">
        <v>721</v>
      </c>
      <c r="AM73" s="83">
        <v>2.0</v>
      </c>
      <c r="AN73" s="83">
        <v>1.0</v>
      </c>
      <c r="AO73" s="83">
        <v>0.0</v>
      </c>
      <c r="AP73" s="372">
        <v>91.0</v>
      </c>
      <c r="AQ73" s="370">
        <v>0.0</v>
      </c>
      <c r="AR73" s="83">
        <v>0.0</v>
      </c>
      <c r="AS73" s="372">
        <v>72.0</v>
      </c>
      <c r="AT73" s="372">
        <v>16.0</v>
      </c>
      <c r="AU73" s="371"/>
    </row>
    <row r="74">
      <c r="A74" s="368" t="s">
        <v>877</v>
      </c>
      <c r="B74" s="369"/>
      <c r="C74" s="369" t="s">
        <v>733</v>
      </c>
      <c r="D74" s="83" t="s">
        <v>734</v>
      </c>
      <c r="E74" s="83">
        <v>10.0</v>
      </c>
      <c r="F74" s="83">
        <v>50.0</v>
      </c>
      <c r="G74" s="83">
        <v>400.0</v>
      </c>
      <c r="H74" s="83">
        <v>0.1</v>
      </c>
      <c r="I74" s="370">
        <v>0.05</v>
      </c>
      <c r="J74" s="83">
        <v>2.0</v>
      </c>
      <c r="K74" s="83">
        <v>1.0</v>
      </c>
      <c r="L74" s="83">
        <v>0.0</v>
      </c>
      <c r="M74" s="354">
        <v>0.5</v>
      </c>
      <c r="N74" s="83">
        <v>1.0</v>
      </c>
      <c r="O74" s="83">
        <v>0.5</v>
      </c>
      <c r="P74" s="83">
        <v>0.0</v>
      </c>
      <c r="Q74" s="83">
        <v>0.0</v>
      </c>
      <c r="R74" s="83">
        <v>0.0</v>
      </c>
      <c r="S74" s="83">
        <v>0.0</v>
      </c>
      <c r="T74" s="83">
        <v>0.0</v>
      </c>
      <c r="U74" s="83">
        <v>0.0</v>
      </c>
      <c r="V74" s="83">
        <v>0.0</v>
      </c>
      <c r="W74" s="83">
        <v>0.0</v>
      </c>
      <c r="X74" s="370">
        <v>0.5</v>
      </c>
      <c r="Y74" s="83">
        <v>0.0</v>
      </c>
      <c r="Z74" s="370">
        <v>0.5</v>
      </c>
      <c r="AA74" s="83">
        <v>2.0</v>
      </c>
      <c r="AB74" s="370">
        <v>0.03</v>
      </c>
      <c r="AC74" s="354">
        <v>0.0</v>
      </c>
      <c r="AD74" s="371">
        <v>0.0</v>
      </c>
      <c r="AE74" s="354">
        <v>1.0</v>
      </c>
      <c r="AF74" s="354"/>
      <c r="AG74" s="354"/>
      <c r="AH74" s="83" t="s">
        <v>724</v>
      </c>
      <c r="AI74" s="371">
        <f>DPS_Elemental_Damage</f>
        <v>0</v>
      </c>
      <c r="AJ74" s="371">
        <v>0.0</v>
      </c>
      <c r="AK74" s="371"/>
      <c r="AL74" s="372">
        <v>2000.0</v>
      </c>
      <c r="AM74" s="83">
        <v>5.0</v>
      </c>
      <c r="AN74" s="83">
        <v>0.85</v>
      </c>
      <c r="AO74" s="83">
        <v>0.0</v>
      </c>
      <c r="AP74" s="372">
        <v>15.0</v>
      </c>
      <c r="AQ74" s="370">
        <v>0.0</v>
      </c>
      <c r="AR74" s="83">
        <v>0.0</v>
      </c>
      <c r="AS74" s="83" t="s">
        <v>733</v>
      </c>
      <c r="AT74" s="83" t="s">
        <v>733</v>
      </c>
      <c r="AU74" s="372"/>
    </row>
    <row r="75">
      <c r="A75" s="368" t="s">
        <v>879</v>
      </c>
      <c r="B75" s="369"/>
      <c r="C75" s="369" t="s">
        <v>733</v>
      </c>
      <c r="D75" s="83" t="s">
        <v>734</v>
      </c>
      <c r="E75" s="83">
        <v>20.0</v>
      </c>
      <c r="F75" s="83">
        <v>45.0</v>
      </c>
      <c r="G75" s="83">
        <v>400.0</v>
      </c>
      <c r="H75" s="83">
        <v>0.1</v>
      </c>
      <c r="I75" s="370">
        <v>0.1</v>
      </c>
      <c r="J75" s="83">
        <v>2.0</v>
      </c>
      <c r="K75" s="83">
        <v>1.0</v>
      </c>
      <c r="L75" s="83">
        <v>0.0</v>
      </c>
      <c r="M75" s="354">
        <v>0.5</v>
      </c>
      <c r="N75" s="83">
        <v>1.0</v>
      </c>
      <c r="O75" s="83">
        <v>0.5</v>
      </c>
      <c r="P75" s="83">
        <v>0.0</v>
      </c>
      <c r="Q75" s="83">
        <v>0.0</v>
      </c>
      <c r="R75" s="83">
        <v>0.0</v>
      </c>
      <c r="S75" s="83">
        <v>0.0</v>
      </c>
      <c r="T75" s="83">
        <v>0.0</v>
      </c>
      <c r="U75" s="83">
        <v>0.0</v>
      </c>
      <c r="V75" s="83">
        <v>0.0</v>
      </c>
      <c r="W75" s="83">
        <v>0.0</v>
      </c>
      <c r="X75" s="370">
        <v>0.5</v>
      </c>
      <c r="Y75" s="83">
        <v>0.0</v>
      </c>
      <c r="Z75" s="370">
        <v>0.5</v>
      </c>
      <c r="AA75" s="83">
        <v>2.0</v>
      </c>
      <c r="AB75" s="370">
        <v>0.03</v>
      </c>
      <c r="AC75" s="354">
        <v>0.0</v>
      </c>
      <c r="AD75" s="371">
        <v>0.0</v>
      </c>
      <c r="AE75" s="354">
        <v>1.0</v>
      </c>
      <c r="AF75" s="354"/>
      <c r="AG75" s="354"/>
      <c r="AH75" s="83" t="s">
        <v>724</v>
      </c>
      <c r="AI75" s="371">
        <f>DPS_Elemental_Damage</f>
        <v>0</v>
      </c>
      <c r="AJ75" s="371">
        <v>0.0</v>
      </c>
      <c r="AK75" s="371"/>
      <c r="AL75" s="372">
        <v>2000.0</v>
      </c>
      <c r="AM75" s="83">
        <v>5.0</v>
      </c>
      <c r="AN75" s="83">
        <v>0.9</v>
      </c>
      <c r="AO75" s="83">
        <v>0.0</v>
      </c>
      <c r="AP75" s="372">
        <v>36.0</v>
      </c>
      <c r="AQ75" s="370">
        <v>0.0</v>
      </c>
      <c r="AR75" s="83">
        <v>0.0</v>
      </c>
      <c r="AS75" s="83" t="s">
        <v>733</v>
      </c>
      <c r="AT75" s="83" t="s">
        <v>733</v>
      </c>
      <c r="AU75" s="372"/>
    </row>
    <row r="76">
      <c r="A76" s="368" t="s">
        <v>881</v>
      </c>
      <c r="B76" s="369"/>
      <c r="C76" s="369" t="s">
        <v>733</v>
      </c>
      <c r="D76" s="83" t="s">
        <v>734</v>
      </c>
      <c r="E76" s="83">
        <v>30.0</v>
      </c>
      <c r="F76" s="83">
        <v>40.0</v>
      </c>
      <c r="G76" s="83">
        <v>400.0</v>
      </c>
      <c r="H76" s="83">
        <v>0.1</v>
      </c>
      <c r="I76" s="354">
        <v>0.15</v>
      </c>
      <c r="J76" s="83">
        <v>2.5</v>
      </c>
      <c r="K76" s="83">
        <v>1.0</v>
      </c>
      <c r="L76" s="83">
        <v>0.0</v>
      </c>
      <c r="M76" s="354">
        <v>0.5</v>
      </c>
      <c r="N76" s="83">
        <v>1.0</v>
      </c>
      <c r="O76" s="83">
        <v>0.5</v>
      </c>
      <c r="P76" s="83">
        <v>0.0</v>
      </c>
      <c r="Q76" s="83">
        <v>0.0</v>
      </c>
      <c r="R76" s="83">
        <v>0.0</v>
      </c>
      <c r="S76" s="83">
        <v>0.0</v>
      </c>
      <c r="T76" s="83">
        <v>0.0</v>
      </c>
      <c r="U76" s="83">
        <v>0.0</v>
      </c>
      <c r="V76" s="83">
        <v>0.0</v>
      </c>
      <c r="W76" s="83">
        <v>0.0</v>
      </c>
      <c r="X76" s="370">
        <v>0.5</v>
      </c>
      <c r="Y76" s="83">
        <v>0.0</v>
      </c>
      <c r="Z76" s="370">
        <v>0.5</v>
      </c>
      <c r="AA76" s="83">
        <v>2.0</v>
      </c>
      <c r="AB76" s="370">
        <v>0.03</v>
      </c>
      <c r="AC76" s="354">
        <v>0.0</v>
      </c>
      <c r="AD76" s="371">
        <v>0.0</v>
      </c>
      <c r="AE76" s="354">
        <v>1.0</v>
      </c>
      <c r="AF76" s="354"/>
      <c r="AG76" s="354"/>
      <c r="AH76" s="83" t="s">
        <v>724</v>
      </c>
      <c r="AI76" s="371">
        <f>DPS_Elemental_Damage</f>
        <v>0</v>
      </c>
      <c r="AJ76" s="371">
        <v>0.0</v>
      </c>
      <c r="AK76" s="371"/>
      <c r="AL76" s="372">
        <v>2000.0</v>
      </c>
      <c r="AM76" s="83">
        <v>5.0</v>
      </c>
      <c r="AN76" s="83">
        <v>0.9</v>
      </c>
      <c r="AO76" s="83">
        <v>0.0</v>
      </c>
      <c r="AP76" s="372">
        <v>66.0</v>
      </c>
      <c r="AQ76" s="370">
        <v>0.0</v>
      </c>
      <c r="AR76" s="83">
        <v>0.0</v>
      </c>
      <c r="AS76" s="83" t="s">
        <v>733</v>
      </c>
      <c r="AT76" s="83" t="s">
        <v>733</v>
      </c>
      <c r="AU76" s="372"/>
    </row>
    <row r="77">
      <c r="A77" s="368" t="s">
        <v>883</v>
      </c>
      <c r="B77" s="369"/>
      <c r="C77" s="369" t="s">
        <v>733</v>
      </c>
      <c r="D77" s="83" t="s">
        <v>734</v>
      </c>
      <c r="E77" s="83">
        <v>40.0</v>
      </c>
      <c r="F77" s="83">
        <v>30.0</v>
      </c>
      <c r="G77" s="83">
        <v>400.0</v>
      </c>
      <c r="H77" s="83">
        <v>0.1</v>
      </c>
      <c r="I77" s="354">
        <v>0.2</v>
      </c>
      <c r="J77" s="83">
        <v>3.0</v>
      </c>
      <c r="K77" s="83">
        <v>1.0</v>
      </c>
      <c r="L77" s="83">
        <v>0.0</v>
      </c>
      <c r="M77" s="354">
        <v>0.5</v>
      </c>
      <c r="N77" s="83">
        <v>1.0</v>
      </c>
      <c r="O77" s="83">
        <v>0.5</v>
      </c>
      <c r="P77" s="83">
        <v>0.0</v>
      </c>
      <c r="Q77" s="83">
        <v>0.0</v>
      </c>
      <c r="R77" s="83">
        <v>0.0</v>
      </c>
      <c r="S77" s="83">
        <v>0.0</v>
      </c>
      <c r="T77" s="83">
        <v>0.0</v>
      </c>
      <c r="U77" s="83">
        <v>0.0</v>
      </c>
      <c r="V77" s="83">
        <v>0.0</v>
      </c>
      <c r="W77" s="83">
        <v>0.0</v>
      </c>
      <c r="X77" s="370">
        <v>0.5</v>
      </c>
      <c r="Y77" s="83">
        <v>0.0</v>
      </c>
      <c r="Z77" s="370">
        <v>0.5</v>
      </c>
      <c r="AA77" s="83">
        <v>2.0</v>
      </c>
      <c r="AB77" s="370">
        <v>0.03</v>
      </c>
      <c r="AC77" s="354">
        <v>0.0</v>
      </c>
      <c r="AD77" s="371">
        <v>0.0</v>
      </c>
      <c r="AE77" s="354">
        <v>1.0</v>
      </c>
      <c r="AF77" s="354"/>
      <c r="AG77" s="354"/>
      <c r="AH77" s="83" t="s">
        <v>724</v>
      </c>
      <c r="AI77" s="371">
        <f>DPS_Elemental_Damage</f>
        <v>0</v>
      </c>
      <c r="AJ77" s="371">
        <v>0.0</v>
      </c>
      <c r="AK77" s="371"/>
      <c r="AL77" s="372">
        <v>2000.0</v>
      </c>
      <c r="AM77" s="83">
        <v>5.0</v>
      </c>
      <c r="AN77" s="83">
        <v>1.0</v>
      </c>
      <c r="AO77" s="83">
        <v>0.0</v>
      </c>
      <c r="AP77" s="372">
        <v>140.0</v>
      </c>
      <c r="AQ77" s="370">
        <v>0.0</v>
      </c>
      <c r="AR77" s="83">
        <v>0.0</v>
      </c>
      <c r="AS77" s="83" t="s">
        <v>733</v>
      </c>
      <c r="AT77" s="83" t="s">
        <v>733</v>
      </c>
      <c r="AU77" s="372"/>
    </row>
    <row r="78">
      <c r="A78" s="368" t="s">
        <v>884</v>
      </c>
      <c r="B78" s="369"/>
      <c r="C78" s="369" t="s">
        <v>733</v>
      </c>
      <c r="D78" s="83" t="s">
        <v>734</v>
      </c>
      <c r="E78" s="83">
        <v>40.0</v>
      </c>
      <c r="F78" s="83">
        <v>95.0</v>
      </c>
      <c r="G78" s="83">
        <v>500.0</v>
      </c>
      <c r="H78" s="83">
        <v>0.2</v>
      </c>
      <c r="I78" s="354">
        <v>0.03</v>
      </c>
      <c r="J78" s="83">
        <v>2.0</v>
      </c>
      <c r="K78" s="83">
        <v>1.0</v>
      </c>
      <c r="L78" s="83">
        <v>0.0</v>
      </c>
      <c r="M78" s="354">
        <v>0.5</v>
      </c>
      <c r="N78" s="83">
        <v>1.0</v>
      </c>
      <c r="O78" s="83">
        <v>0.25</v>
      </c>
      <c r="P78" s="83">
        <v>0.0</v>
      </c>
      <c r="Q78" s="83">
        <v>0.0</v>
      </c>
      <c r="R78" s="83">
        <v>0.0</v>
      </c>
      <c r="S78" s="83">
        <v>0.0</v>
      </c>
      <c r="T78" s="83">
        <v>0.0</v>
      </c>
      <c r="U78" s="83">
        <v>0.0</v>
      </c>
      <c r="V78" s="83">
        <v>0.0</v>
      </c>
      <c r="W78" s="83">
        <v>0.0</v>
      </c>
      <c r="X78" s="370">
        <v>0.5</v>
      </c>
      <c r="Y78" s="83">
        <v>0.0</v>
      </c>
      <c r="Z78" s="370">
        <v>0.5</v>
      </c>
      <c r="AA78" s="83">
        <v>2.0</v>
      </c>
      <c r="AB78" s="370">
        <v>0.03</v>
      </c>
      <c r="AC78" s="354">
        <v>0.0</v>
      </c>
      <c r="AD78" s="371">
        <v>0.0</v>
      </c>
      <c r="AE78" s="354">
        <v>4.0</v>
      </c>
      <c r="AF78" s="354"/>
      <c r="AG78" s="354"/>
      <c r="AH78" s="83" t="s">
        <v>724</v>
      </c>
      <c r="AI78" s="83">
        <f>DPS_Ranged_Damage</f>
        <v>0</v>
      </c>
      <c r="AJ78" s="83">
        <v>0.0</v>
      </c>
      <c r="AL78" s="372">
        <v>3000.0</v>
      </c>
      <c r="AM78" s="83">
        <v>0.0</v>
      </c>
      <c r="AN78" s="83">
        <v>1.0</v>
      </c>
      <c r="AO78" s="83">
        <v>0.0</v>
      </c>
      <c r="AP78" s="372">
        <v>15.0</v>
      </c>
      <c r="AQ78" s="370">
        <v>0.0</v>
      </c>
      <c r="AR78" s="83">
        <v>0.0</v>
      </c>
      <c r="AS78" s="83" t="s">
        <v>733</v>
      </c>
      <c r="AT78" s="83" t="s">
        <v>733</v>
      </c>
      <c r="AU78" s="371"/>
    </row>
    <row r="79">
      <c r="A79" s="368" t="s">
        <v>886</v>
      </c>
      <c r="B79" s="369"/>
      <c r="C79" s="369" t="s">
        <v>733</v>
      </c>
      <c r="D79" s="83" t="s">
        <v>734</v>
      </c>
      <c r="E79" s="83">
        <v>55.0</v>
      </c>
      <c r="F79" s="83">
        <v>90.0</v>
      </c>
      <c r="G79" s="83">
        <v>500.0</v>
      </c>
      <c r="H79" s="83">
        <v>0.2</v>
      </c>
      <c r="I79" s="354">
        <v>0.03</v>
      </c>
      <c r="J79" s="83">
        <v>2.0</v>
      </c>
      <c r="K79" s="83">
        <v>1.0</v>
      </c>
      <c r="L79" s="83">
        <v>0.0</v>
      </c>
      <c r="M79" s="354">
        <v>0.5</v>
      </c>
      <c r="N79" s="83">
        <v>1.0</v>
      </c>
      <c r="O79" s="83">
        <v>0.25</v>
      </c>
      <c r="P79" s="83">
        <v>0.0</v>
      </c>
      <c r="Q79" s="83">
        <v>0.0</v>
      </c>
      <c r="R79" s="83">
        <v>0.0</v>
      </c>
      <c r="S79" s="83">
        <v>0.0</v>
      </c>
      <c r="T79" s="83">
        <v>0.0</v>
      </c>
      <c r="U79" s="83">
        <v>0.0</v>
      </c>
      <c r="V79" s="83">
        <v>0.0</v>
      </c>
      <c r="W79" s="83">
        <v>0.0</v>
      </c>
      <c r="X79" s="370">
        <v>0.5</v>
      </c>
      <c r="Y79" s="83">
        <v>0.0</v>
      </c>
      <c r="Z79" s="370">
        <v>0.5</v>
      </c>
      <c r="AA79" s="83">
        <v>2.0</v>
      </c>
      <c r="AB79" s="370">
        <v>0.03</v>
      </c>
      <c r="AC79" s="354">
        <v>0.0</v>
      </c>
      <c r="AD79" s="371">
        <v>0.0</v>
      </c>
      <c r="AE79" s="354">
        <v>4.5</v>
      </c>
      <c r="AF79" s="354"/>
      <c r="AG79" s="354"/>
      <c r="AH79" s="83" t="s">
        <v>724</v>
      </c>
      <c r="AI79" s="83">
        <f>DPS_Ranged_Damage</f>
        <v>0</v>
      </c>
      <c r="AJ79" s="83">
        <v>0.0</v>
      </c>
      <c r="AL79" s="372">
        <v>3000.0</v>
      </c>
      <c r="AM79" s="83">
        <v>0.0</v>
      </c>
      <c r="AN79" s="83">
        <v>1.0</v>
      </c>
      <c r="AO79" s="83">
        <v>0.0</v>
      </c>
      <c r="AP79" s="372">
        <v>31.0</v>
      </c>
      <c r="AQ79" s="370">
        <v>0.0</v>
      </c>
      <c r="AR79" s="83">
        <v>0.0</v>
      </c>
      <c r="AS79" s="83" t="s">
        <v>733</v>
      </c>
      <c r="AT79" s="83" t="s">
        <v>733</v>
      </c>
      <c r="AU79" s="371"/>
    </row>
    <row r="80">
      <c r="A80" s="368" t="s">
        <v>887</v>
      </c>
      <c r="B80" s="369"/>
      <c r="C80" s="369" t="s">
        <v>733</v>
      </c>
      <c r="D80" s="83" t="s">
        <v>734</v>
      </c>
      <c r="E80" s="83">
        <v>70.0</v>
      </c>
      <c r="F80" s="83">
        <v>85.0</v>
      </c>
      <c r="G80" s="83">
        <v>500.0</v>
      </c>
      <c r="H80" s="83">
        <v>0.2</v>
      </c>
      <c r="I80" s="354">
        <v>0.03</v>
      </c>
      <c r="J80" s="83">
        <v>2.0</v>
      </c>
      <c r="K80" s="83">
        <v>1.0</v>
      </c>
      <c r="L80" s="83">
        <v>0.0</v>
      </c>
      <c r="M80" s="354">
        <v>0.5</v>
      </c>
      <c r="N80" s="83">
        <v>1.0</v>
      </c>
      <c r="O80" s="83">
        <v>0.25</v>
      </c>
      <c r="P80" s="83">
        <v>0.0</v>
      </c>
      <c r="Q80" s="83">
        <v>0.0</v>
      </c>
      <c r="R80" s="83">
        <v>0.0</v>
      </c>
      <c r="S80" s="83">
        <v>0.0</v>
      </c>
      <c r="T80" s="83">
        <v>0.0</v>
      </c>
      <c r="U80" s="83">
        <v>0.0</v>
      </c>
      <c r="V80" s="83">
        <v>0.0</v>
      </c>
      <c r="W80" s="83">
        <v>0.0</v>
      </c>
      <c r="X80" s="370">
        <v>0.5</v>
      </c>
      <c r="Y80" s="83">
        <v>0.0</v>
      </c>
      <c r="Z80" s="370">
        <v>0.5</v>
      </c>
      <c r="AA80" s="83">
        <v>2.0</v>
      </c>
      <c r="AB80" s="370">
        <v>0.03</v>
      </c>
      <c r="AC80" s="354">
        <v>0.0</v>
      </c>
      <c r="AD80" s="371">
        <v>0.0</v>
      </c>
      <c r="AE80" s="354">
        <v>5.0</v>
      </c>
      <c r="AF80" s="354"/>
      <c r="AG80" s="354"/>
      <c r="AH80" s="83" t="s">
        <v>724</v>
      </c>
      <c r="AI80" s="83">
        <f>DPS_Ranged_Damage</f>
        <v>0</v>
      </c>
      <c r="AJ80" s="83">
        <v>0.0</v>
      </c>
      <c r="AL80" s="372">
        <v>3000.0</v>
      </c>
      <c r="AM80" s="83">
        <v>0.0</v>
      </c>
      <c r="AN80" s="83">
        <v>1.0</v>
      </c>
      <c r="AO80" s="83">
        <v>0.0</v>
      </c>
      <c r="AP80" s="372">
        <v>61.0</v>
      </c>
      <c r="AQ80" s="370">
        <v>0.0</v>
      </c>
      <c r="AR80" s="83">
        <v>0.0</v>
      </c>
      <c r="AS80" s="83" t="s">
        <v>733</v>
      </c>
      <c r="AT80" s="83" t="s">
        <v>733</v>
      </c>
      <c r="AU80" s="371"/>
    </row>
    <row r="81">
      <c r="A81" s="368" t="s">
        <v>888</v>
      </c>
      <c r="B81" s="369"/>
      <c r="C81" s="369" t="s">
        <v>733</v>
      </c>
      <c r="D81" s="83" t="s">
        <v>734</v>
      </c>
      <c r="E81" s="83">
        <v>100.0</v>
      </c>
      <c r="F81" s="83">
        <v>75.0</v>
      </c>
      <c r="G81" s="83">
        <v>500.0</v>
      </c>
      <c r="H81" s="83">
        <v>0.2</v>
      </c>
      <c r="I81" s="354">
        <v>0.03</v>
      </c>
      <c r="J81" s="83">
        <v>2.0</v>
      </c>
      <c r="K81" s="83">
        <v>1.0</v>
      </c>
      <c r="L81" s="83">
        <v>0.0</v>
      </c>
      <c r="M81" s="354">
        <v>0.5</v>
      </c>
      <c r="N81" s="83">
        <v>1.0</v>
      </c>
      <c r="O81" s="83">
        <v>0.25</v>
      </c>
      <c r="P81" s="83">
        <v>0.0</v>
      </c>
      <c r="Q81" s="83">
        <v>0.0</v>
      </c>
      <c r="R81" s="83">
        <v>0.0</v>
      </c>
      <c r="S81" s="83">
        <v>0.0</v>
      </c>
      <c r="T81" s="83">
        <v>0.0</v>
      </c>
      <c r="U81" s="83">
        <v>0.0</v>
      </c>
      <c r="V81" s="83">
        <v>0.0</v>
      </c>
      <c r="W81" s="83">
        <v>0.0</v>
      </c>
      <c r="X81" s="370">
        <v>0.5</v>
      </c>
      <c r="Y81" s="83">
        <v>0.0</v>
      </c>
      <c r="Z81" s="370">
        <v>0.5</v>
      </c>
      <c r="AA81" s="83">
        <v>2.0</v>
      </c>
      <c r="AB81" s="370">
        <v>0.03</v>
      </c>
      <c r="AC81" s="354">
        <v>0.0</v>
      </c>
      <c r="AD81" s="371">
        <v>0.0</v>
      </c>
      <c r="AE81" s="354">
        <v>6.0</v>
      </c>
      <c r="AF81" s="354"/>
      <c r="AG81" s="354"/>
      <c r="AH81" s="83" t="s">
        <v>724</v>
      </c>
      <c r="AI81" s="83">
        <f>DPS_Ranged_Damage</f>
        <v>0</v>
      </c>
      <c r="AJ81" s="83">
        <v>0.0</v>
      </c>
      <c r="AL81" s="372">
        <v>3000.0</v>
      </c>
      <c r="AM81" s="83">
        <v>0.0</v>
      </c>
      <c r="AN81" s="83">
        <v>1.0</v>
      </c>
      <c r="AO81" s="83">
        <v>0.0</v>
      </c>
      <c r="AP81" s="372">
        <v>122.0</v>
      </c>
      <c r="AQ81" s="370">
        <v>0.0</v>
      </c>
      <c r="AR81" s="83">
        <v>0.0</v>
      </c>
      <c r="AS81" s="83" t="s">
        <v>733</v>
      </c>
      <c r="AT81" s="83" t="s">
        <v>733</v>
      </c>
      <c r="AU81" s="371"/>
    </row>
    <row r="82">
      <c r="A82" s="368" t="s">
        <v>890</v>
      </c>
      <c r="B82" s="369"/>
      <c r="C82" s="369" t="s">
        <v>721</v>
      </c>
      <c r="D82" s="83" t="s">
        <v>752</v>
      </c>
      <c r="E82" s="83">
        <v>3.0</v>
      </c>
      <c r="F82" s="83">
        <v>27.0</v>
      </c>
      <c r="G82" s="83">
        <v>150.0</v>
      </c>
      <c r="H82" s="83">
        <v>0.1</v>
      </c>
      <c r="I82" s="354">
        <v>0.04</v>
      </c>
      <c r="J82" s="83">
        <v>2.0</v>
      </c>
      <c r="K82" s="83">
        <v>1.0</v>
      </c>
      <c r="L82" s="83">
        <v>0.0</v>
      </c>
      <c r="M82" s="354">
        <v>0.5</v>
      </c>
      <c r="N82" s="83">
        <v>0.0</v>
      </c>
      <c r="O82" s="83">
        <v>0.5</v>
      </c>
      <c r="P82" s="83">
        <v>0.0</v>
      </c>
      <c r="Q82" s="83">
        <v>0.0</v>
      </c>
      <c r="R82" s="83">
        <v>0.0</v>
      </c>
      <c r="S82" s="83">
        <v>0.0</v>
      </c>
      <c r="T82" s="83">
        <v>0.0</v>
      </c>
      <c r="U82" s="83">
        <v>5.0</v>
      </c>
      <c r="V82" s="83">
        <v>1.0</v>
      </c>
      <c r="W82" s="83">
        <v>0.0</v>
      </c>
      <c r="X82" s="370">
        <v>0.0</v>
      </c>
      <c r="Y82" s="83">
        <v>0.0</v>
      </c>
      <c r="Z82" s="370">
        <v>0.5</v>
      </c>
      <c r="AA82" s="83">
        <v>2.0</v>
      </c>
      <c r="AB82" s="370">
        <v>0.04</v>
      </c>
      <c r="AC82" s="354">
        <v>0.8</v>
      </c>
      <c r="AD82" s="371">
        <f>DPS_Elemental_Damage</f>
        <v>0</v>
      </c>
      <c r="AE82" s="354">
        <v>0.8</v>
      </c>
      <c r="AF82" s="354"/>
      <c r="AG82" s="354"/>
      <c r="AH82" s="83" t="s">
        <v>724</v>
      </c>
      <c r="AI82" s="83">
        <f>DPS_Melee_Damage</f>
        <v>0</v>
      </c>
      <c r="AJ82" s="83">
        <v>0.0</v>
      </c>
      <c r="AL82" s="372" t="s">
        <v>770</v>
      </c>
      <c r="AM82" s="83">
        <v>0.0</v>
      </c>
      <c r="AN82" s="83">
        <v>1.0</v>
      </c>
      <c r="AO82" s="83">
        <v>0.0</v>
      </c>
      <c r="AP82" s="372">
        <v>18.0</v>
      </c>
      <c r="AQ82" s="370">
        <v>0.0</v>
      </c>
      <c r="AR82" s="83">
        <v>0.0</v>
      </c>
      <c r="AS82" s="372">
        <v>68.0</v>
      </c>
      <c r="AT82" s="372">
        <v>16.0</v>
      </c>
      <c r="AU82" s="372" t="s">
        <v>892</v>
      </c>
    </row>
    <row r="83">
      <c r="A83" s="368" t="s">
        <v>893</v>
      </c>
      <c r="B83" s="369"/>
      <c r="C83" s="369" t="s">
        <v>721</v>
      </c>
      <c r="D83" s="83" t="s">
        <v>752</v>
      </c>
      <c r="E83" s="83">
        <v>6.0</v>
      </c>
      <c r="F83" s="83">
        <v>22.0</v>
      </c>
      <c r="G83" s="83">
        <v>150.0</v>
      </c>
      <c r="H83" s="83">
        <v>0.1</v>
      </c>
      <c r="I83" s="354">
        <v>0.06</v>
      </c>
      <c r="J83" s="83">
        <v>2.0</v>
      </c>
      <c r="K83" s="83">
        <v>1.0</v>
      </c>
      <c r="L83" s="83">
        <v>0.0</v>
      </c>
      <c r="M83" s="354">
        <v>0.5</v>
      </c>
      <c r="N83" s="83">
        <v>0.0</v>
      </c>
      <c r="O83" s="83">
        <v>0.5</v>
      </c>
      <c r="P83" s="83">
        <v>0.0</v>
      </c>
      <c r="Q83" s="83">
        <v>0.0</v>
      </c>
      <c r="R83" s="83">
        <v>0.0</v>
      </c>
      <c r="S83" s="83">
        <v>0.0</v>
      </c>
      <c r="T83" s="83">
        <v>0.0</v>
      </c>
      <c r="U83" s="83">
        <v>8.0</v>
      </c>
      <c r="V83" s="83">
        <v>1.0</v>
      </c>
      <c r="W83" s="83">
        <v>1.0</v>
      </c>
      <c r="X83" s="370">
        <v>0.0</v>
      </c>
      <c r="Y83" s="83">
        <v>0.0</v>
      </c>
      <c r="Z83" s="370">
        <v>0.5</v>
      </c>
      <c r="AA83" s="83">
        <v>2.0</v>
      </c>
      <c r="AB83" s="370">
        <v>0.06</v>
      </c>
      <c r="AC83" s="354">
        <v>0.8</v>
      </c>
      <c r="AD83" s="371">
        <f>DPS_Elemental_Damage</f>
        <v>0</v>
      </c>
      <c r="AE83" s="354">
        <v>0.8</v>
      </c>
      <c r="AF83" s="354"/>
      <c r="AG83" s="354"/>
      <c r="AH83" s="83" t="s">
        <v>724</v>
      </c>
      <c r="AI83" s="83">
        <f>DPS_Melee_Damage</f>
        <v>0</v>
      </c>
      <c r="AJ83" s="83">
        <v>0.0</v>
      </c>
      <c r="AL83" s="372" t="s">
        <v>770</v>
      </c>
      <c r="AM83" s="83">
        <v>0.0</v>
      </c>
      <c r="AN83" s="83">
        <v>1.0</v>
      </c>
      <c r="AO83" s="83">
        <v>0.0</v>
      </c>
      <c r="AP83" s="372">
        <v>36.0</v>
      </c>
      <c r="AQ83" s="370">
        <v>0.0</v>
      </c>
      <c r="AR83" s="83">
        <v>0.0</v>
      </c>
      <c r="AS83" s="372">
        <v>68.0</v>
      </c>
      <c r="AT83" s="372">
        <v>16.0</v>
      </c>
      <c r="AU83" s="372" t="s">
        <v>892</v>
      </c>
    </row>
    <row r="84">
      <c r="A84" s="368" t="s">
        <v>894</v>
      </c>
      <c r="B84" s="369"/>
      <c r="C84" s="369" t="s">
        <v>721</v>
      </c>
      <c r="D84" s="83" t="s">
        <v>752</v>
      </c>
      <c r="E84" s="83">
        <v>9.0</v>
      </c>
      <c r="F84" s="83">
        <v>18.0</v>
      </c>
      <c r="G84" s="83">
        <v>150.0</v>
      </c>
      <c r="H84" s="83">
        <v>0.1</v>
      </c>
      <c r="I84" s="354">
        <v>0.08</v>
      </c>
      <c r="J84" s="83">
        <v>2.0</v>
      </c>
      <c r="K84" s="83">
        <v>1.0</v>
      </c>
      <c r="L84" s="83">
        <v>0.0</v>
      </c>
      <c r="M84" s="354">
        <v>0.5</v>
      </c>
      <c r="N84" s="83">
        <v>0.0</v>
      </c>
      <c r="O84" s="83">
        <v>0.5</v>
      </c>
      <c r="P84" s="83">
        <v>0.0</v>
      </c>
      <c r="Q84" s="83">
        <v>0.0</v>
      </c>
      <c r="R84" s="83">
        <v>0.0</v>
      </c>
      <c r="S84" s="83">
        <v>0.0</v>
      </c>
      <c r="T84" s="83">
        <v>0.0</v>
      </c>
      <c r="U84" s="83">
        <v>12.0</v>
      </c>
      <c r="V84" s="83">
        <v>1.0</v>
      </c>
      <c r="W84" s="83">
        <v>2.0</v>
      </c>
      <c r="X84" s="370">
        <v>0.0</v>
      </c>
      <c r="Y84" s="83">
        <v>0.0</v>
      </c>
      <c r="Z84" s="370">
        <v>0.5</v>
      </c>
      <c r="AA84" s="83">
        <v>2.0</v>
      </c>
      <c r="AB84" s="370">
        <v>0.08</v>
      </c>
      <c r="AC84" s="354">
        <v>0.8</v>
      </c>
      <c r="AD84" s="371">
        <f>DPS_Elemental_Damage</f>
        <v>0</v>
      </c>
      <c r="AE84" s="354">
        <v>0.8</v>
      </c>
      <c r="AF84" s="354"/>
      <c r="AG84" s="354"/>
      <c r="AH84" s="83" t="s">
        <v>724</v>
      </c>
      <c r="AI84" s="83">
        <f>DPS_Melee_Damage</f>
        <v>0</v>
      </c>
      <c r="AJ84" s="83">
        <v>0.0</v>
      </c>
      <c r="AL84" s="372" t="s">
        <v>770</v>
      </c>
      <c r="AM84" s="83">
        <v>0.0</v>
      </c>
      <c r="AN84" s="83">
        <v>1.0</v>
      </c>
      <c r="AO84" s="83">
        <v>0.0</v>
      </c>
      <c r="AP84" s="372">
        <v>66.0</v>
      </c>
      <c r="AQ84" s="370">
        <v>0.0</v>
      </c>
      <c r="AR84" s="83">
        <v>0.0</v>
      </c>
      <c r="AS84" s="372">
        <v>68.0</v>
      </c>
      <c r="AT84" s="372">
        <v>16.0</v>
      </c>
      <c r="AU84" s="372" t="s">
        <v>892</v>
      </c>
    </row>
    <row r="85">
      <c r="A85" s="368" t="s">
        <v>898</v>
      </c>
      <c r="B85" s="369"/>
      <c r="C85" s="369" t="s">
        <v>721</v>
      </c>
      <c r="D85" s="83" t="s">
        <v>752</v>
      </c>
      <c r="E85" s="83">
        <v>15.0</v>
      </c>
      <c r="F85" s="83">
        <v>13.0</v>
      </c>
      <c r="G85" s="83">
        <v>150.0</v>
      </c>
      <c r="H85" s="83">
        <v>0.1</v>
      </c>
      <c r="I85" s="354">
        <v>0.1</v>
      </c>
      <c r="J85" s="83">
        <v>2.0</v>
      </c>
      <c r="K85" s="83">
        <v>1.0</v>
      </c>
      <c r="L85" s="83">
        <v>0.0</v>
      </c>
      <c r="M85" s="354">
        <v>0.5</v>
      </c>
      <c r="N85" s="83">
        <v>0.0</v>
      </c>
      <c r="O85" s="83">
        <v>0.5</v>
      </c>
      <c r="P85" s="83">
        <v>0.0</v>
      </c>
      <c r="Q85" s="83">
        <v>0.0</v>
      </c>
      <c r="R85" s="83">
        <v>0.0</v>
      </c>
      <c r="S85" s="83">
        <v>0.0</v>
      </c>
      <c r="T85" s="83">
        <v>0.0</v>
      </c>
      <c r="U85" s="83">
        <v>15.0</v>
      </c>
      <c r="V85" s="83">
        <v>1.0</v>
      </c>
      <c r="W85" s="83">
        <v>3.0</v>
      </c>
      <c r="X85" s="370">
        <v>0.0</v>
      </c>
      <c r="Y85" s="83">
        <v>0.0</v>
      </c>
      <c r="Z85" s="370">
        <v>0.5</v>
      </c>
      <c r="AA85" s="83">
        <v>2.0</v>
      </c>
      <c r="AB85" s="370">
        <v>0.1</v>
      </c>
      <c r="AC85" s="354">
        <v>0.8</v>
      </c>
      <c r="AD85" s="371">
        <f>DPS_Elemental_Damage</f>
        <v>0</v>
      </c>
      <c r="AE85" s="354">
        <v>0.8</v>
      </c>
      <c r="AF85" s="354"/>
      <c r="AG85" s="354"/>
      <c r="AH85" s="83" t="s">
        <v>724</v>
      </c>
      <c r="AI85" s="83">
        <f>DPS_Melee_Damage</f>
        <v>0</v>
      </c>
      <c r="AJ85" s="83">
        <v>0.0</v>
      </c>
      <c r="AL85" s="372" t="s">
        <v>770</v>
      </c>
      <c r="AM85" s="83">
        <v>0.0</v>
      </c>
      <c r="AN85" s="83">
        <v>1.0</v>
      </c>
      <c r="AO85" s="83">
        <v>0.0</v>
      </c>
      <c r="AP85" s="372">
        <v>142.0</v>
      </c>
      <c r="AQ85" s="370">
        <v>0.0</v>
      </c>
      <c r="AR85" s="83">
        <v>0.0</v>
      </c>
      <c r="AS85" s="372">
        <v>68.0</v>
      </c>
      <c r="AT85" s="372">
        <v>16.0</v>
      </c>
      <c r="AU85" s="372" t="s">
        <v>892</v>
      </c>
    </row>
    <row r="86">
      <c r="A86" s="368" t="s">
        <v>899</v>
      </c>
      <c r="B86" s="369"/>
      <c r="C86" s="369" t="s">
        <v>733</v>
      </c>
      <c r="D86" s="83" t="s">
        <v>734</v>
      </c>
      <c r="E86" s="83">
        <v>10.0</v>
      </c>
      <c r="F86" s="83">
        <v>35.0</v>
      </c>
      <c r="G86" s="83">
        <v>400.0</v>
      </c>
      <c r="H86" s="83">
        <v>0.1</v>
      </c>
      <c r="I86" s="354">
        <v>0.03</v>
      </c>
      <c r="J86" s="83">
        <v>2.0</v>
      </c>
      <c r="K86" s="83">
        <v>1.0</v>
      </c>
      <c r="L86" s="83">
        <v>0.0</v>
      </c>
      <c r="M86" s="354">
        <v>0.5</v>
      </c>
      <c r="N86" s="83">
        <v>0.0</v>
      </c>
      <c r="O86" s="83">
        <v>0.5</v>
      </c>
      <c r="P86" s="83">
        <v>0.0</v>
      </c>
      <c r="Q86" s="83">
        <v>0.0</v>
      </c>
      <c r="R86" s="83">
        <v>0.0</v>
      </c>
      <c r="S86" s="83">
        <v>0.0</v>
      </c>
      <c r="T86" s="83">
        <v>0.0</v>
      </c>
      <c r="U86" s="83">
        <v>0.0</v>
      </c>
      <c r="V86" s="83">
        <v>0.0</v>
      </c>
      <c r="W86" s="83">
        <v>0.0</v>
      </c>
      <c r="X86" s="370">
        <v>0.5</v>
      </c>
      <c r="Y86" s="83">
        <v>0.0</v>
      </c>
      <c r="Z86" s="370">
        <v>0.5</v>
      </c>
      <c r="AA86" s="83">
        <v>2.0</v>
      </c>
      <c r="AB86" s="370">
        <v>0.03</v>
      </c>
      <c r="AC86" s="354">
        <v>0.0</v>
      </c>
      <c r="AD86" s="371">
        <v>0.0</v>
      </c>
      <c r="AE86" s="354">
        <v>1.0</v>
      </c>
      <c r="AF86" s="354"/>
      <c r="AG86" s="354"/>
      <c r="AH86" s="83" t="s">
        <v>724</v>
      </c>
      <c r="AI86" s="83">
        <f>DPS_Ranged_Damage</f>
        <v>0</v>
      </c>
      <c r="AJ86" s="83">
        <v>0.0</v>
      </c>
      <c r="AL86" s="372">
        <v>2000.0</v>
      </c>
      <c r="AM86" s="83">
        <v>0.0</v>
      </c>
      <c r="AN86" s="83">
        <v>0.9</v>
      </c>
      <c r="AO86" s="83">
        <v>0.0</v>
      </c>
      <c r="AP86" s="372">
        <v>15.0</v>
      </c>
      <c r="AQ86" s="370">
        <v>0.0</v>
      </c>
      <c r="AR86" s="83">
        <v>0.0</v>
      </c>
      <c r="AS86" s="83" t="s">
        <v>733</v>
      </c>
      <c r="AT86" s="83" t="s">
        <v>733</v>
      </c>
      <c r="AU86" s="372" t="s">
        <v>900</v>
      </c>
    </row>
    <row r="87">
      <c r="A87" s="368" t="s">
        <v>901</v>
      </c>
      <c r="B87" s="369"/>
      <c r="C87" s="369" t="s">
        <v>733</v>
      </c>
      <c r="D87" s="83" t="s">
        <v>734</v>
      </c>
      <c r="E87" s="83">
        <v>15.0</v>
      </c>
      <c r="F87" s="83">
        <v>30.0</v>
      </c>
      <c r="G87" s="83">
        <v>400.0</v>
      </c>
      <c r="H87" s="83">
        <v>0.1</v>
      </c>
      <c r="I87" s="354">
        <v>0.03</v>
      </c>
      <c r="J87" s="83">
        <v>2.0</v>
      </c>
      <c r="K87" s="83">
        <v>1.0</v>
      </c>
      <c r="L87" s="83">
        <v>0.0</v>
      </c>
      <c r="M87" s="354">
        <v>0.5</v>
      </c>
      <c r="N87" s="83">
        <v>0.0</v>
      </c>
      <c r="O87" s="83">
        <v>0.5</v>
      </c>
      <c r="P87" s="83">
        <v>0.0</v>
      </c>
      <c r="Q87" s="83">
        <v>0.0</v>
      </c>
      <c r="R87" s="83">
        <v>0.0</v>
      </c>
      <c r="S87" s="83">
        <v>0.0</v>
      </c>
      <c r="T87" s="83">
        <v>0.0</v>
      </c>
      <c r="U87" s="83">
        <v>0.0</v>
      </c>
      <c r="V87" s="83">
        <v>0.0</v>
      </c>
      <c r="W87" s="83">
        <v>0.0</v>
      </c>
      <c r="X87" s="370">
        <v>0.5</v>
      </c>
      <c r="Y87" s="83">
        <v>0.0</v>
      </c>
      <c r="Z87" s="370">
        <v>0.5</v>
      </c>
      <c r="AA87" s="83">
        <v>2.0</v>
      </c>
      <c r="AB87" s="370">
        <v>0.03</v>
      </c>
      <c r="AC87" s="354">
        <v>0.0</v>
      </c>
      <c r="AD87" s="371">
        <v>0.0</v>
      </c>
      <c r="AE87" s="354">
        <v>1.0</v>
      </c>
      <c r="AF87" s="354"/>
      <c r="AG87" s="354"/>
      <c r="AH87" s="83" t="s">
        <v>724</v>
      </c>
      <c r="AI87" s="83">
        <f>DPS_Ranged_Damage</f>
        <v>0</v>
      </c>
      <c r="AJ87" s="371">
        <v>0.0</v>
      </c>
      <c r="AK87" s="371"/>
      <c r="AL87" s="372">
        <v>2000.0</v>
      </c>
      <c r="AM87" s="83">
        <v>0.0</v>
      </c>
      <c r="AN87" s="83">
        <v>0.9</v>
      </c>
      <c r="AO87" s="83">
        <v>0.0</v>
      </c>
      <c r="AP87" s="372">
        <v>31.0</v>
      </c>
      <c r="AQ87" s="370">
        <v>0.0</v>
      </c>
      <c r="AR87" s="83">
        <v>0.0</v>
      </c>
      <c r="AS87" s="83" t="s">
        <v>733</v>
      </c>
      <c r="AT87" s="83" t="s">
        <v>733</v>
      </c>
      <c r="AU87" s="372" t="s">
        <v>903</v>
      </c>
    </row>
    <row r="88">
      <c r="A88" s="368" t="s">
        <v>904</v>
      </c>
      <c r="B88" s="369"/>
      <c r="C88" s="369" t="s">
        <v>733</v>
      </c>
      <c r="D88" s="83" t="s">
        <v>734</v>
      </c>
      <c r="E88" s="83">
        <v>20.0</v>
      </c>
      <c r="F88" s="83">
        <v>25.0</v>
      </c>
      <c r="G88" s="83">
        <v>400.0</v>
      </c>
      <c r="H88" s="83">
        <v>0.1</v>
      </c>
      <c r="I88" s="354">
        <v>0.03</v>
      </c>
      <c r="J88" s="83">
        <v>2.0</v>
      </c>
      <c r="K88" s="83">
        <v>1.0</v>
      </c>
      <c r="L88" s="83">
        <v>0.0</v>
      </c>
      <c r="M88" s="354">
        <v>0.5</v>
      </c>
      <c r="N88" s="83">
        <v>0.0</v>
      </c>
      <c r="O88" s="83">
        <v>0.5</v>
      </c>
      <c r="P88" s="83">
        <v>0.0</v>
      </c>
      <c r="Q88" s="83">
        <v>0.0</v>
      </c>
      <c r="R88" s="83">
        <v>0.0</v>
      </c>
      <c r="S88" s="83">
        <v>0.0</v>
      </c>
      <c r="T88" s="83">
        <v>0.0</v>
      </c>
      <c r="U88" s="83">
        <v>0.0</v>
      </c>
      <c r="V88" s="83">
        <v>0.0</v>
      </c>
      <c r="W88" s="83">
        <v>0.0</v>
      </c>
      <c r="X88" s="370">
        <v>0.5</v>
      </c>
      <c r="Y88" s="83">
        <v>0.0</v>
      </c>
      <c r="Z88" s="370">
        <v>0.5</v>
      </c>
      <c r="AA88" s="83">
        <v>2.0</v>
      </c>
      <c r="AB88" s="370">
        <v>0.03</v>
      </c>
      <c r="AC88" s="354">
        <v>0.0</v>
      </c>
      <c r="AD88" s="371">
        <v>0.0</v>
      </c>
      <c r="AE88" s="354">
        <v>1.0</v>
      </c>
      <c r="AF88" s="354"/>
      <c r="AG88" s="354"/>
      <c r="AH88" s="83" t="s">
        <v>724</v>
      </c>
      <c r="AI88" s="83">
        <f>DPS_Ranged_Damage</f>
        <v>0</v>
      </c>
      <c r="AJ88" s="371">
        <v>0.0</v>
      </c>
      <c r="AK88" s="371"/>
      <c r="AL88" s="372">
        <v>2000.0</v>
      </c>
      <c r="AM88" s="83">
        <v>0.0</v>
      </c>
      <c r="AN88" s="83">
        <v>0.9</v>
      </c>
      <c r="AO88" s="83">
        <v>0.0</v>
      </c>
      <c r="AP88" s="372">
        <v>61.0</v>
      </c>
      <c r="AQ88" s="370">
        <v>0.0</v>
      </c>
      <c r="AR88" s="83">
        <v>0.0</v>
      </c>
      <c r="AS88" s="83" t="s">
        <v>733</v>
      </c>
      <c r="AT88" s="83" t="s">
        <v>733</v>
      </c>
      <c r="AU88" s="372" t="s">
        <v>905</v>
      </c>
    </row>
    <row r="89">
      <c r="A89" s="368" t="s">
        <v>906</v>
      </c>
      <c r="B89" s="369"/>
      <c r="C89" s="369" t="s">
        <v>733</v>
      </c>
      <c r="D89" s="83" t="s">
        <v>734</v>
      </c>
      <c r="E89" s="83">
        <v>30.0</v>
      </c>
      <c r="F89" s="83">
        <v>17.0</v>
      </c>
      <c r="G89" s="83">
        <v>400.0</v>
      </c>
      <c r="H89" s="83">
        <v>0.1</v>
      </c>
      <c r="I89" s="354">
        <v>0.03</v>
      </c>
      <c r="J89" s="83">
        <v>2.0</v>
      </c>
      <c r="K89" s="83">
        <v>1.0</v>
      </c>
      <c r="L89" s="83">
        <v>0.0</v>
      </c>
      <c r="M89" s="354">
        <v>0.5</v>
      </c>
      <c r="N89" s="83">
        <v>0.0</v>
      </c>
      <c r="O89" s="83">
        <v>0.5</v>
      </c>
      <c r="P89" s="83">
        <v>0.0</v>
      </c>
      <c r="Q89" s="83">
        <v>0.0</v>
      </c>
      <c r="R89" s="83">
        <v>0.0</v>
      </c>
      <c r="S89" s="83">
        <v>0.0</v>
      </c>
      <c r="T89" s="83">
        <v>0.0</v>
      </c>
      <c r="U89" s="83">
        <v>0.0</v>
      </c>
      <c r="V89" s="83">
        <v>0.0</v>
      </c>
      <c r="W89" s="83">
        <v>0.0</v>
      </c>
      <c r="X89" s="370">
        <v>0.5</v>
      </c>
      <c r="Y89" s="83">
        <v>0.0</v>
      </c>
      <c r="Z89" s="370">
        <v>0.5</v>
      </c>
      <c r="AA89" s="83">
        <v>2.0</v>
      </c>
      <c r="AB89" s="370">
        <v>0.03</v>
      </c>
      <c r="AC89" s="354">
        <v>0.0</v>
      </c>
      <c r="AD89" s="371">
        <v>0.0</v>
      </c>
      <c r="AE89" s="354">
        <v>1.0</v>
      </c>
      <c r="AF89" s="354"/>
      <c r="AG89" s="354"/>
      <c r="AH89" s="83" t="s">
        <v>724</v>
      </c>
      <c r="AI89" s="83">
        <f>DPS_Ranged_Damage</f>
        <v>0</v>
      </c>
      <c r="AJ89" s="371">
        <v>0.0</v>
      </c>
      <c r="AK89" s="371"/>
      <c r="AL89" s="372">
        <v>2000.0</v>
      </c>
      <c r="AM89" s="83">
        <v>0.0</v>
      </c>
      <c r="AN89" s="83">
        <v>1.0</v>
      </c>
      <c r="AO89" s="83">
        <v>0.0</v>
      </c>
      <c r="AP89" s="372">
        <v>122.0</v>
      </c>
      <c r="AQ89" s="370">
        <v>0.0</v>
      </c>
      <c r="AR89" s="83">
        <v>0.0</v>
      </c>
      <c r="AS89" s="83" t="s">
        <v>733</v>
      </c>
      <c r="AT89" s="83" t="s">
        <v>733</v>
      </c>
      <c r="AU89" s="372" t="s">
        <v>907</v>
      </c>
    </row>
    <row r="90">
      <c r="A90" s="368" t="s">
        <v>908</v>
      </c>
      <c r="B90" s="369"/>
      <c r="C90" s="369" t="s">
        <v>733</v>
      </c>
      <c r="D90" s="83" t="s">
        <v>734</v>
      </c>
      <c r="E90" s="83">
        <v>2.0</v>
      </c>
      <c r="F90" s="83">
        <v>3.0</v>
      </c>
      <c r="G90" s="83">
        <v>400.0</v>
      </c>
      <c r="H90" s="83">
        <v>0.02</v>
      </c>
      <c r="I90" s="354">
        <v>0.01</v>
      </c>
      <c r="J90" s="83">
        <v>1.75</v>
      </c>
      <c r="K90" s="83">
        <v>1.0</v>
      </c>
      <c r="L90" s="83">
        <v>0.0</v>
      </c>
      <c r="M90" s="354">
        <v>0.5</v>
      </c>
      <c r="N90" s="83">
        <v>1.0</v>
      </c>
      <c r="O90" s="83">
        <v>0.25</v>
      </c>
      <c r="P90" s="83">
        <v>0.0</v>
      </c>
      <c r="Q90" s="83">
        <v>0.0</v>
      </c>
      <c r="R90" s="83">
        <v>0.0</v>
      </c>
      <c r="S90" s="83">
        <v>0.0</v>
      </c>
      <c r="T90" s="83">
        <v>0.0</v>
      </c>
      <c r="U90" s="83">
        <v>0.0</v>
      </c>
      <c r="V90" s="83">
        <v>0.0</v>
      </c>
      <c r="W90" s="83">
        <v>0.0</v>
      </c>
      <c r="X90" s="370">
        <v>0.5</v>
      </c>
      <c r="Y90" s="83">
        <v>0.0</v>
      </c>
      <c r="Z90" s="370">
        <v>0.5</v>
      </c>
      <c r="AA90" s="83">
        <v>2.0</v>
      </c>
      <c r="AB90" s="370">
        <v>0.03</v>
      </c>
      <c r="AC90" s="354">
        <v>0.0</v>
      </c>
      <c r="AD90" s="371">
        <v>0.0</v>
      </c>
      <c r="AE90" s="354">
        <v>0.5</v>
      </c>
      <c r="AF90" s="354"/>
      <c r="AG90" s="354"/>
      <c r="AH90" s="83" t="s">
        <v>724</v>
      </c>
      <c r="AI90" s="83">
        <f>DPS_Ranged_Damage</f>
        <v>0</v>
      </c>
      <c r="AJ90" s="371">
        <v>0.0</v>
      </c>
      <c r="AK90" s="371"/>
      <c r="AL90" s="372">
        <v>3000.0</v>
      </c>
      <c r="AM90" s="83">
        <v>3.0</v>
      </c>
      <c r="AN90" s="83">
        <v>0.85</v>
      </c>
      <c r="AO90" s="83">
        <v>0.0</v>
      </c>
      <c r="AP90" s="372">
        <v>127.0</v>
      </c>
      <c r="AQ90" s="370">
        <v>0.0</v>
      </c>
      <c r="AR90" s="83">
        <v>0.0</v>
      </c>
      <c r="AS90" s="83" t="s">
        <v>733</v>
      </c>
      <c r="AT90" s="83" t="s">
        <v>733</v>
      </c>
      <c r="AU90" s="371"/>
    </row>
    <row r="91">
      <c r="A91" s="368" t="s">
        <v>909</v>
      </c>
      <c r="B91" s="369"/>
      <c r="C91" s="369" t="s">
        <v>733</v>
      </c>
      <c r="D91" s="83" t="s">
        <v>734</v>
      </c>
      <c r="E91" s="83">
        <v>5.0</v>
      </c>
      <c r="F91" s="83">
        <v>3.0</v>
      </c>
      <c r="G91" s="83">
        <v>450.0</v>
      </c>
      <c r="H91" s="83">
        <v>0.02</v>
      </c>
      <c r="I91" s="354">
        <v>0.03</v>
      </c>
      <c r="J91" s="83">
        <v>2.0</v>
      </c>
      <c r="K91" s="83">
        <v>1.0</v>
      </c>
      <c r="L91" s="83">
        <v>0.0</v>
      </c>
      <c r="M91" s="354">
        <v>0.5</v>
      </c>
      <c r="N91" s="83">
        <v>2.0</v>
      </c>
      <c r="O91" s="83">
        <v>0.25</v>
      </c>
      <c r="P91" s="83">
        <v>0.0</v>
      </c>
      <c r="Q91" s="83">
        <v>0.0</v>
      </c>
      <c r="R91" s="83">
        <v>0.0</v>
      </c>
      <c r="S91" s="83">
        <v>0.0</v>
      </c>
      <c r="T91" s="83">
        <v>0.0</v>
      </c>
      <c r="U91" s="83">
        <v>0.0</v>
      </c>
      <c r="V91" s="83">
        <v>0.0</v>
      </c>
      <c r="W91" s="83">
        <v>0.0</v>
      </c>
      <c r="X91" s="370">
        <v>0.5</v>
      </c>
      <c r="Y91" s="83">
        <v>0.0</v>
      </c>
      <c r="Z91" s="370">
        <v>0.5</v>
      </c>
      <c r="AA91" s="83">
        <v>2.0</v>
      </c>
      <c r="AB91" s="370">
        <v>0.03</v>
      </c>
      <c r="AC91" s="354">
        <v>0.0</v>
      </c>
      <c r="AD91" s="371">
        <v>0.0</v>
      </c>
      <c r="AE91" s="354">
        <v>0.75</v>
      </c>
      <c r="AF91" s="354"/>
      <c r="AG91" s="354"/>
      <c r="AH91" s="83" t="s">
        <v>724</v>
      </c>
      <c r="AI91" s="83">
        <f>DPS_Ranged_Damage</f>
        <v>0</v>
      </c>
      <c r="AJ91" s="371">
        <v>0.0</v>
      </c>
      <c r="AK91" s="371"/>
      <c r="AL91" s="372">
        <v>3000.0</v>
      </c>
      <c r="AM91" s="83">
        <v>3.0</v>
      </c>
      <c r="AN91" s="83">
        <v>1.0</v>
      </c>
      <c r="AO91" s="83">
        <v>0.0</v>
      </c>
      <c r="AP91" s="372">
        <v>255.0</v>
      </c>
      <c r="AQ91" s="370">
        <v>0.0</v>
      </c>
      <c r="AR91" s="83">
        <v>0.0</v>
      </c>
      <c r="AS91" s="83" t="s">
        <v>733</v>
      </c>
      <c r="AT91" s="83" t="s">
        <v>733</v>
      </c>
      <c r="AU91" s="371"/>
    </row>
    <row r="92">
      <c r="A92" s="368" t="s">
        <v>911</v>
      </c>
      <c r="B92" s="369"/>
      <c r="C92" s="369" t="s">
        <v>733</v>
      </c>
      <c r="D92" s="83" t="s">
        <v>734</v>
      </c>
      <c r="E92" s="83">
        <v>60.0</v>
      </c>
      <c r="F92" s="83">
        <v>110.0</v>
      </c>
      <c r="G92" s="83">
        <v>800.0</v>
      </c>
      <c r="H92" s="83">
        <v>0.142</v>
      </c>
      <c r="I92" s="354">
        <v>0.03</v>
      </c>
      <c r="J92" s="83">
        <v>2.0</v>
      </c>
      <c r="K92" s="83">
        <v>1.0</v>
      </c>
      <c r="L92" s="83">
        <v>0.0</v>
      </c>
      <c r="M92" s="354">
        <v>0.5</v>
      </c>
      <c r="N92" s="83">
        <v>0.0</v>
      </c>
      <c r="O92" s="83">
        <v>0.5</v>
      </c>
      <c r="P92" s="83">
        <v>0.0</v>
      </c>
      <c r="Q92" s="83">
        <v>0.0</v>
      </c>
      <c r="R92" s="83">
        <v>0.0</v>
      </c>
      <c r="S92" s="83">
        <v>0.0</v>
      </c>
      <c r="T92" s="83">
        <v>0.0</v>
      </c>
      <c r="U92" s="83">
        <v>0.0</v>
      </c>
      <c r="V92" s="83">
        <v>0.0</v>
      </c>
      <c r="W92" s="83">
        <v>0.0</v>
      </c>
      <c r="X92" s="370">
        <v>0.5</v>
      </c>
      <c r="Y92" s="83">
        <v>0.0</v>
      </c>
      <c r="Z92" s="370">
        <v>0.5</v>
      </c>
      <c r="AA92" s="83">
        <v>2.0</v>
      </c>
      <c r="AB92" s="370">
        <v>0.03</v>
      </c>
      <c r="AC92" s="354">
        <v>0.0</v>
      </c>
      <c r="AD92" s="371">
        <v>0.0</v>
      </c>
      <c r="AE92" s="354">
        <v>1.0</v>
      </c>
      <c r="AF92" s="354">
        <v>1.0</v>
      </c>
      <c r="AG92" s="354"/>
      <c r="AH92" s="83" t="s">
        <v>724</v>
      </c>
      <c r="AI92" s="83">
        <f>DPS_Ranged_Damage</f>
        <v>0</v>
      </c>
      <c r="AJ92" s="371">
        <f>DPS_Elemental_Damage</f>
        <v>0</v>
      </c>
      <c r="AK92" s="371"/>
      <c r="AL92" s="372">
        <v>3000.0</v>
      </c>
      <c r="AM92" s="83">
        <v>15.0</v>
      </c>
      <c r="AN92" s="83">
        <v>1.0</v>
      </c>
      <c r="AO92" s="83">
        <v>0.0</v>
      </c>
      <c r="AP92" s="372">
        <v>144.0</v>
      </c>
      <c r="AQ92" s="378">
        <v>1.0</v>
      </c>
      <c r="AR92" s="372">
        <v>2.0</v>
      </c>
      <c r="AS92" s="83" t="s">
        <v>733</v>
      </c>
      <c r="AT92" s="83" t="s">
        <v>733</v>
      </c>
      <c r="AU92" s="371"/>
    </row>
    <row r="93">
      <c r="A93" s="368" t="s">
        <v>912</v>
      </c>
      <c r="B93" s="369"/>
      <c r="C93" s="369" t="s">
        <v>733</v>
      </c>
      <c r="D93" s="83" t="s">
        <v>734</v>
      </c>
      <c r="E93" s="83">
        <v>120.0</v>
      </c>
      <c r="F93" s="83">
        <v>110.0</v>
      </c>
      <c r="G93" s="83">
        <v>800.0</v>
      </c>
      <c r="H93" s="83">
        <v>0.142</v>
      </c>
      <c r="I93" s="354">
        <v>0.03</v>
      </c>
      <c r="J93" s="83">
        <v>2.0</v>
      </c>
      <c r="K93" s="83">
        <v>1.0</v>
      </c>
      <c r="L93" s="83">
        <v>0.0</v>
      </c>
      <c r="M93" s="354">
        <v>0.5</v>
      </c>
      <c r="N93" s="83">
        <v>0.0</v>
      </c>
      <c r="O93" s="83">
        <v>0.5</v>
      </c>
      <c r="P93" s="83">
        <v>0.0</v>
      </c>
      <c r="Q93" s="83">
        <v>0.0</v>
      </c>
      <c r="R93" s="83">
        <v>0.0</v>
      </c>
      <c r="S93" s="83">
        <v>0.0</v>
      </c>
      <c r="T93" s="83">
        <v>0.0</v>
      </c>
      <c r="U93" s="83">
        <v>0.0</v>
      </c>
      <c r="V93" s="83">
        <v>0.0</v>
      </c>
      <c r="W93" s="83">
        <v>0.0</v>
      </c>
      <c r="X93" s="370">
        <v>0.5</v>
      </c>
      <c r="Y93" s="83">
        <v>0.0</v>
      </c>
      <c r="Z93" s="370">
        <v>0.5</v>
      </c>
      <c r="AA93" s="83">
        <v>2.0</v>
      </c>
      <c r="AB93" s="370">
        <v>0.03</v>
      </c>
      <c r="AC93" s="354">
        <v>0.0</v>
      </c>
      <c r="AD93" s="371">
        <v>0.0</v>
      </c>
      <c r="AE93" s="354">
        <v>1.0</v>
      </c>
      <c r="AF93" s="354">
        <v>1.0</v>
      </c>
      <c r="AG93" s="354"/>
      <c r="AH93" s="83" t="s">
        <v>724</v>
      </c>
      <c r="AI93" s="83">
        <f>DPS_Ranged_Damage</f>
        <v>0</v>
      </c>
      <c r="AJ93" s="371">
        <f>DPS_Elemental_Damage</f>
        <v>0</v>
      </c>
      <c r="AK93" s="371"/>
      <c r="AL93" s="372">
        <v>3000.0</v>
      </c>
      <c r="AM93" s="83">
        <v>15.0</v>
      </c>
      <c r="AN93" s="83">
        <v>1.0</v>
      </c>
      <c r="AO93" s="83">
        <v>0.0</v>
      </c>
      <c r="AP93" s="372">
        <v>289.0</v>
      </c>
      <c r="AQ93" s="378">
        <v>1.0</v>
      </c>
      <c r="AR93" s="372">
        <v>2.25</v>
      </c>
      <c r="AS93" s="83" t="s">
        <v>733</v>
      </c>
      <c r="AT93" s="83" t="s">
        <v>733</v>
      </c>
      <c r="AU93" s="371"/>
    </row>
    <row r="94">
      <c r="A94" s="368" t="s">
        <v>916</v>
      </c>
      <c r="B94" s="369"/>
      <c r="C94" s="369" t="s">
        <v>733</v>
      </c>
      <c r="D94" s="83" t="s">
        <v>734</v>
      </c>
      <c r="E94" s="83">
        <v>250.0</v>
      </c>
      <c r="F94" s="83">
        <v>170.0</v>
      </c>
      <c r="G94" s="83">
        <v>800.0</v>
      </c>
      <c r="H94" s="83">
        <v>0.2</v>
      </c>
      <c r="I94" s="354">
        <v>0.03</v>
      </c>
      <c r="J94" s="83">
        <v>2.0</v>
      </c>
      <c r="K94" s="83">
        <v>1.0</v>
      </c>
      <c r="L94" s="83">
        <v>0.0</v>
      </c>
      <c r="M94" s="354">
        <v>0.5</v>
      </c>
      <c r="N94" s="83">
        <v>99.0</v>
      </c>
      <c r="O94" s="83">
        <v>0.5</v>
      </c>
      <c r="P94" s="83">
        <v>0.0</v>
      </c>
      <c r="Q94" s="83">
        <v>0.0</v>
      </c>
      <c r="R94" s="83">
        <v>0.0</v>
      </c>
      <c r="S94" s="83">
        <v>0.0</v>
      </c>
      <c r="T94" s="83">
        <v>0.0</v>
      </c>
      <c r="U94" s="83">
        <v>0.0</v>
      </c>
      <c r="V94" s="83">
        <v>0.0</v>
      </c>
      <c r="W94" s="83">
        <v>0.0</v>
      </c>
      <c r="X94" s="370">
        <v>0.5</v>
      </c>
      <c r="Y94" s="83">
        <v>0.0</v>
      </c>
      <c r="Z94" s="370">
        <v>0.5</v>
      </c>
      <c r="AA94" s="83">
        <v>2.0</v>
      </c>
      <c r="AB94" s="370">
        <v>0.03</v>
      </c>
      <c r="AC94" s="354">
        <v>0.0</v>
      </c>
      <c r="AD94" s="371">
        <v>0.0</v>
      </c>
      <c r="AE94" s="354">
        <v>10.0</v>
      </c>
      <c r="AF94" s="354"/>
      <c r="AG94" s="354"/>
      <c r="AH94" s="83" t="s">
        <v>724</v>
      </c>
      <c r="AI94" s="83">
        <f>DPS_Ranged_Damage</f>
        <v>0</v>
      </c>
      <c r="AJ94" s="371">
        <v>0.0</v>
      </c>
      <c r="AK94" s="371"/>
      <c r="AL94" s="372">
        <v>2000.0</v>
      </c>
      <c r="AM94" s="83">
        <v>0.0</v>
      </c>
      <c r="AN94" s="83">
        <v>1.0</v>
      </c>
      <c r="AO94" s="83">
        <v>0.0</v>
      </c>
      <c r="AP94" s="372">
        <v>127.0</v>
      </c>
      <c r="AQ94" s="370">
        <v>0.0</v>
      </c>
      <c r="AR94" s="83">
        <v>0.0</v>
      </c>
      <c r="AS94" s="83" t="s">
        <v>733</v>
      </c>
      <c r="AT94" s="83" t="s">
        <v>733</v>
      </c>
      <c r="AU94" s="371"/>
    </row>
    <row r="95">
      <c r="A95" s="368" t="s">
        <v>917</v>
      </c>
      <c r="B95" s="369"/>
      <c r="C95" s="369" t="s">
        <v>733</v>
      </c>
      <c r="D95" s="83" t="s">
        <v>734</v>
      </c>
      <c r="E95" s="83">
        <v>400.0</v>
      </c>
      <c r="F95" s="83">
        <v>170.0</v>
      </c>
      <c r="G95" s="83">
        <v>1000.0</v>
      </c>
      <c r="H95" s="83">
        <v>0.2</v>
      </c>
      <c r="I95" s="354">
        <v>0.03</v>
      </c>
      <c r="J95" s="83">
        <v>2.0</v>
      </c>
      <c r="K95" s="83">
        <v>1.0</v>
      </c>
      <c r="L95" s="83">
        <v>0.0</v>
      </c>
      <c r="M95" s="354">
        <v>0.5</v>
      </c>
      <c r="N95" s="83">
        <v>99.0</v>
      </c>
      <c r="O95" s="83">
        <v>0.5</v>
      </c>
      <c r="P95" s="83">
        <v>0.0</v>
      </c>
      <c r="Q95" s="83">
        <v>0.0</v>
      </c>
      <c r="R95" s="83">
        <v>0.0</v>
      </c>
      <c r="S95" s="83">
        <v>0.0</v>
      </c>
      <c r="T95" s="83">
        <v>0.0</v>
      </c>
      <c r="U95" s="83">
        <v>0.0</v>
      </c>
      <c r="V95" s="83">
        <v>0.0</v>
      </c>
      <c r="W95" s="83">
        <v>0.0</v>
      </c>
      <c r="X95" s="370">
        <v>0.5</v>
      </c>
      <c r="Y95" s="83">
        <v>0.0</v>
      </c>
      <c r="Z95" s="370">
        <v>0.5</v>
      </c>
      <c r="AA95" s="83">
        <v>2.0</v>
      </c>
      <c r="AB95" s="370">
        <v>0.03</v>
      </c>
      <c r="AC95" s="354">
        <v>0.0</v>
      </c>
      <c r="AD95" s="371">
        <v>0.0</v>
      </c>
      <c r="AE95" s="354">
        <v>15.0</v>
      </c>
      <c r="AF95" s="354"/>
      <c r="AG95" s="354"/>
      <c r="AH95" s="83" t="s">
        <v>724</v>
      </c>
      <c r="AI95" s="83">
        <f>DPS_Ranged_Damage</f>
        <v>0</v>
      </c>
      <c r="AJ95" s="371">
        <v>0.0</v>
      </c>
      <c r="AK95" s="371"/>
      <c r="AL95" s="372">
        <v>2000.0</v>
      </c>
      <c r="AM95" s="83">
        <v>0.0</v>
      </c>
      <c r="AN95" s="83">
        <v>1.0</v>
      </c>
      <c r="AO95" s="83">
        <v>0.0</v>
      </c>
      <c r="AP95" s="372">
        <v>255.0</v>
      </c>
      <c r="AQ95" s="370">
        <v>0.0</v>
      </c>
      <c r="AR95" s="83">
        <v>0.0</v>
      </c>
      <c r="AS95" s="83" t="s">
        <v>733</v>
      </c>
      <c r="AT95" s="83" t="s">
        <v>733</v>
      </c>
      <c r="AU95" s="371"/>
    </row>
    <row r="96">
      <c r="A96" s="368" t="s">
        <v>919</v>
      </c>
      <c r="B96" s="369"/>
      <c r="C96" s="369" t="s">
        <v>733</v>
      </c>
      <c r="D96" s="83" t="s">
        <v>734</v>
      </c>
      <c r="E96" s="83">
        <v>60.0</v>
      </c>
      <c r="F96" s="83">
        <v>100.0</v>
      </c>
      <c r="G96" s="83">
        <v>800.0</v>
      </c>
      <c r="H96" s="83">
        <v>0.142</v>
      </c>
      <c r="I96" s="354">
        <v>0.03</v>
      </c>
      <c r="J96" s="83">
        <v>2.0</v>
      </c>
      <c r="K96" s="83">
        <v>1.0</v>
      </c>
      <c r="L96" s="83">
        <v>-999999.0</v>
      </c>
      <c r="M96" s="354">
        <v>0.5</v>
      </c>
      <c r="N96" s="83">
        <v>99.0</v>
      </c>
      <c r="O96" s="83">
        <v>0.0</v>
      </c>
      <c r="P96" s="83">
        <v>0.0</v>
      </c>
      <c r="Q96" s="83">
        <v>0.0</v>
      </c>
      <c r="R96" s="83">
        <v>0.0</v>
      </c>
      <c r="S96" s="83">
        <v>8.0</v>
      </c>
      <c r="T96" s="83">
        <v>8.0</v>
      </c>
      <c r="U96" s="83">
        <v>0.0</v>
      </c>
      <c r="V96" s="83">
        <v>0.0</v>
      </c>
      <c r="W96" s="83">
        <v>0.0</v>
      </c>
      <c r="X96" s="370">
        <v>0.5</v>
      </c>
      <c r="Y96" s="83">
        <v>0.0</v>
      </c>
      <c r="Z96" s="370">
        <v>0.5</v>
      </c>
      <c r="AA96" s="83">
        <v>2.0</v>
      </c>
      <c r="AB96" s="370">
        <v>0.03</v>
      </c>
      <c r="AC96" s="354">
        <v>0.0</v>
      </c>
      <c r="AD96" s="371">
        <v>0.0</v>
      </c>
      <c r="AE96" s="354">
        <v>1.0</v>
      </c>
      <c r="AF96" s="354">
        <v>1.0</v>
      </c>
      <c r="AG96" s="354"/>
      <c r="AH96" s="83" t="s">
        <v>724</v>
      </c>
      <c r="AI96" s="371">
        <f>DPS_Elemental_Damage</f>
        <v>0</v>
      </c>
      <c r="AJ96" s="83">
        <f>DPS_Engineering</f>
        <v>0</v>
      </c>
      <c r="AL96" s="372">
        <v>500.0</v>
      </c>
      <c r="AM96" s="83">
        <v>0.0</v>
      </c>
      <c r="AN96" s="83">
        <v>1.0</v>
      </c>
      <c r="AO96" s="83">
        <v>0.0</v>
      </c>
      <c r="AP96" s="372">
        <v>144.0</v>
      </c>
      <c r="AQ96" s="370">
        <v>0.0</v>
      </c>
      <c r="AR96" s="83">
        <v>0.0</v>
      </c>
      <c r="AS96" s="83" t="s">
        <v>733</v>
      </c>
      <c r="AT96" s="83" t="s">
        <v>733</v>
      </c>
      <c r="AU96" s="372" t="s">
        <v>921</v>
      </c>
    </row>
    <row r="97">
      <c r="A97" s="368" t="s">
        <v>922</v>
      </c>
      <c r="B97" s="369"/>
      <c r="C97" s="369" t="s">
        <v>733</v>
      </c>
      <c r="D97" s="83" t="s">
        <v>734</v>
      </c>
      <c r="E97" s="83">
        <v>120.0</v>
      </c>
      <c r="F97" s="83">
        <v>80.0</v>
      </c>
      <c r="G97" s="83">
        <v>800.0</v>
      </c>
      <c r="H97" s="83">
        <v>0.142</v>
      </c>
      <c r="I97" s="354">
        <v>0.03</v>
      </c>
      <c r="J97" s="83">
        <v>2.0</v>
      </c>
      <c r="K97" s="83">
        <v>1.0</v>
      </c>
      <c r="L97" s="83">
        <v>-999999.0</v>
      </c>
      <c r="M97" s="354">
        <v>0.5</v>
      </c>
      <c r="N97" s="83">
        <v>99.0</v>
      </c>
      <c r="O97" s="83">
        <v>0.0</v>
      </c>
      <c r="P97" s="83">
        <v>0.0</v>
      </c>
      <c r="Q97" s="83">
        <v>0.0</v>
      </c>
      <c r="R97" s="83">
        <v>0.0</v>
      </c>
      <c r="S97" s="83">
        <v>10.0</v>
      </c>
      <c r="T97" s="83">
        <v>10.0</v>
      </c>
      <c r="U97" s="83">
        <v>0.0</v>
      </c>
      <c r="V97" s="83">
        <v>0.0</v>
      </c>
      <c r="W97" s="83">
        <v>0.0</v>
      </c>
      <c r="X97" s="370">
        <v>0.5</v>
      </c>
      <c r="Y97" s="83">
        <v>0.0</v>
      </c>
      <c r="Z97" s="370">
        <v>0.5</v>
      </c>
      <c r="AA97" s="83">
        <v>2.0</v>
      </c>
      <c r="AB97" s="370">
        <v>0.03</v>
      </c>
      <c r="AC97" s="354">
        <v>0.0</v>
      </c>
      <c r="AD97" s="371">
        <v>0.0</v>
      </c>
      <c r="AE97" s="354">
        <v>1.0</v>
      </c>
      <c r="AF97" s="354">
        <v>1.0</v>
      </c>
      <c r="AG97" s="354"/>
      <c r="AH97" s="83" t="s">
        <v>724</v>
      </c>
      <c r="AI97" s="371">
        <f>DPS_Elemental_Damage</f>
        <v>0</v>
      </c>
      <c r="AJ97" s="83">
        <f>DPS_Engineering</f>
        <v>0</v>
      </c>
      <c r="AL97" s="372">
        <v>500.0</v>
      </c>
      <c r="AM97" s="83">
        <v>0.0</v>
      </c>
      <c r="AN97" s="83">
        <v>1.0</v>
      </c>
      <c r="AO97" s="83">
        <v>0.0</v>
      </c>
      <c r="AP97" s="372">
        <v>289.0</v>
      </c>
      <c r="AQ97" s="370">
        <v>0.0</v>
      </c>
      <c r="AR97" s="83">
        <v>0.0</v>
      </c>
      <c r="AS97" s="83" t="s">
        <v>733</v>
      </c>
      <c r="AT97" s="83" t="s">
        <v>733</v>
      </c>
      <c r="AU97" s="372" t="s">
        <v>921</v>
      </c>
    </row>
    <row r="98">
      <c r="A98" s="368" t="s">
        <v>924</v>
      </c>
      <c r="B98" s="369"/>
      <c r="C98" s="369" t="s">
        <v>733</v>
      </c>
      <c r="D98" s="83" t="s">
        <v>734</v>
      </c>
      <c r="E98" s="83">
        <v>12.0</v>
      </c>
      <c r="F98" s="83">
        <v>60.0</v>
      </c>
      <c r="G98" s="83">
        <v>400.0</v>
      </c>
      <c r="H98" s="83">
        <v>0.1</v>
      </c>
      <c r="I98" s="354">
        <v>0.1</v>
      </c>
      <c r="J98" s="83">
        <v>2.0</v>
      </c>
      <c r="K98" s="83">
        <v>1.0</v>
      </c>
      <c r="L98" s="83">
        <v>0.0</v>
      </c>
      <c r="M98" s="354">
        <v>0.5</v>
      </c>
      <c r="N98" s="83">
        <v>1.0</v>
      </c>
      <c r="O98" s="83">
        <v>0.5</v>
      </c>
      <c r="P98" s="83">
        <v>0.0</v>
      </c>
      <c r="Q98" s="83">
        <v>0.0</v>
      </c>
      <c r="R98" s="83">
        <v>0.0</v>
      </c>
      <c r="S98" s="83">
        <v>0.0</v>
      </c>
      <c r="T98" s="83">
        <v>0.0</v>
      </c>
      <c r="U98" s="83">
        <v>0.0</v>
      </c>
      <c r="V98" s="83">
        <v>0.0</v>
      </c>
      <c r="W98" s="83">
        <v>0.0</v>
      </c>
      <c r="X98" s="370">
        <v>0.5</v>
      </c>
      <c r="Y98" s="83">
        <v>0.0</v>
      </c>
      <c r="Z98" s="370">
        <v>0.5</v>
      </c>
      <c r="AA98" s="83">
        <v>2.0</v>
      </c>
      <c r="AB98" s="370">
        <v>0.03</v>
      </c>
      <c r="AC98" s="354">
        <v>0.0</v>
      </c>
      <c r="AD98" s="371">
        <v>0.0</v>
      </c>
      <c r="AE98" s="354">
        <v>1.0</v>
      </c>
      <c r="AF98" s="354"/>
      <c r="AG98" s="354"/>
      <c r="AH98" s="83" t="s">
        <v>724</v>
      </c>
      <c r="AI98" s="83">
        <f>DPS_Ranged_Damage</f>
        <v>0</v>
      </c>
      <c r="AJ98" s="371">
        <v>0.0</v>
      </c>
      <c r="AK98" s="371"/>
      <c r="AL98" s="372">
        <v>3000.0</v>
      </c>
      <c r="AM98" s="83">
        <v>15.0</v>
      </c>
      <c r="AN98" s="83">
        <v>0.9</v>
      </c>
      <c r="AO98" s="83">
        <v>0.0</v>
      </c>
      <c r="AP98" s="372">
        <v>10.0</v>
      </c>
      <c r="AQ98" s="370">
        <v>0.0</v>
      </c>
      <c r="AR98" s="83">
        <v>0.0</v>
      </c>
      <c r="AS98" s="83" t="s">
        <v>733</v>
      </c>
      <c r="AT98" s="83" t="s">
        <v>733</v>
      </c>
      <c r="AU98" s="371"/>
    </row>
    <row r="99">
      <c r="A99" s="368" t="s">
        <v>925</v>
      </c>
      <c r="B99" s="369"/>
      <c r="C99" s="369" t="s">
        <v>733</v>
      </c>
      <c r="D99" s="83" t="s">
        <v>734</v>
      </c>
      <c r="E99" s="83">
        <v>20.0</v>
      </c>
      <c r="F99" s="83">
        <v>55.0</v>
      </c>
      <c r="G99" s="83">
        <v>400.0</v>
      </c>
      <c r="H99" s="83">
        <v>0.1</v>
      </c>
      <c r="I99" s="354">
        <v>0.15</v>
      </c>
      <c r="J99" s="83">
        <v>2.0</v>
      </c>
      <c r="K99" s="83">
        <v>1.0</v>
      </c>
      <c r="L99" s="83">
        <v>0.0</v>
      </c>
      <c r="M99" s="354">
        <v>0.5</v>
      </c>
      <c r="N99" s="83">
        <v>1.0</v>
      </c>
      <c r="O99" s="83">
        <v>0.5</v>
      </c>
      <c r="P99" s="83">
        <v>0.0</v>
      </c>
      <c r="Q99" s="83">
        <v>0.0</v>
      </c>
      <c r="R99" s="83">
        <v>0.0</v>
      </c>
      <c r="S99" s="83">
        <v>0.0</v>
      </c>
      <c r="T99" s="83">
        <v>0.0</v>
      </c>
      <c r="U99" s="83">
        <v>0.0</v>
      </c>
      <c r="V99" s="83">
        <v>0.0</v>
      </c>
      <c r="W99" s="83">
        <v>0.0</v>
      </c>
      <c r="X99" s="370">
        <v>0.5</v>
      </c>
      <c r="Y99" s="83">
        <v>0.0</v>
      </c>
      <c r="Z99" s="370">
        <v>0.5</v>
      </c>
      <c r="AA99" s="83">
        <v>2.0</v>
      </c>
      <c r="AB99" s="370">
        <v>0.03</v>
      </c>
      <c r="AC99" s="354">
        <v>0.0</v>
      </c>
      <c r="AD99" s="371">
        <v>0.0</v>
      </c>
      <c r="AE99" s="354">
        <v>1.0</v>
      </c>
      <c r="AF99" s="354"/>
      <c r="AG99" s="354"/>
      <c r="AH99" s="83" t="s">
        <v>724</v>
      </c>
      <c r="AI99" s="83">
        <f>DPS_Ranged_Damage</f>
        <v>0</v>
      </c>
      <c r="AJ99" s="371">
        <v>0.0</v>
      </c>
      <c r="AK99" s="371"/>
      <c r="AL99" s="372">
        <v>3000.0</v>
      </c>
      <c r="AM99" s="83">
        <v>15.0</v>
      </c>
      <c r="AN99" s="83">
        <v>0.9</v>
      </c>
      <c r="AO99" s="83">
        <v>0.0</v>
      </c>
      <c r="AP99" s="372">
        <v>22.0</v>
      </c>
      <c r="AQ99" s="370">
        <v>0.0</v>
      </c>
      <c r="AR99" s="83">
        <v>0.0</v>
      </c>
      <c r="AS99" s="83" t="s">
        <v>733</v>
      </c>
      <c r="AT99" s="83" t="s">
        <v>733</v>
      </c>
      <c r="AU99" s="371"/>
    </row>
    <row r="100">
      <c r="A100" s="368" t="s">
        <v>926</v>
      </c>
      <c r="B100" s="369"/>
      <c r="C100" s="369" t="s">
        <v>733</v>
      </c>
      <c r="D100" s="83" t="s">
        <v>734</v>
      </c>
      <c r="E100" s="83">
        <v>30.0</v>
      </c>
      <c r="F100" s="83">
        <v>50.0</v>
      </c>
      <c r="G100" s="83">
        <v>400.0</v>
      </c>
      <c r="H100" s="83">
        <v>0.1</v>
      </c>
      <c r="I100" s="354">
        <v>0.2</v>
      </c>
      <c r="J100" s="83">
        <v>2.0</v>
      </c>
      <c r="K100" s="83">
        <v>1.0</v>
      </c>
      <c r="L100" s="83">
        <v>0.0</v>
      </c>
      <c r="M100" s="354">
        <v>0.5</v>
      </c>
      <c r="N100" s="83">
        <v>1.0</v>
      </c>
      <c r="O100" s="83">
        <v>0.5</v>
      </c>
      <c r="P100" s="83">
        <v>0.0</v>
      </c>
      <c r="Q100" s="83">
        <v>0.0</v>
      </c>
      <c r="R100" s="83">
        <v>0.0</v>
      </c>
      <c r="S100" s="83">
        <v>0.0</v>
      </c>
      <c r="T100" s="83">
        <v>0.0</v>
      </c>
      <c r="U100" s="83">
        <v>0.0</v>
      </c>
      <c r="V100" s="83">
        <v>0.0</v>
      </c>
      <c r="W100" s="83">
        <v>0.0</v>
      </c>
      <c r="X100" s="370">
        <v>0.5</v>
      </c>
      <c r="Y100" s="83">
        <v>0.0</v>
      </c>
      <c r="Z100" s="370">
        <v>0.5</v>
      </c>
      <c r="AA100" s="83">
        <v>2.0</v>
      </c>
      <c r="AB100" s="370">
        <v>0.03</v>
      </c>
      <c r="AC100" s="354">
        <v>0.0</v>
      </c>
      <c r="AD100" s="371">
        <v>0.0</v>
      </c>
      <c r="AE100" s="354">
        <v>1.0</v>
      </c>
      <c r="AF100" s="354"/>
      <c r="AG100" s="354"/>
      <c r="AH100" s="83" t="s">
        <v>724</v>
      </c>
      <c r="AI100" s="83">
        <f>DPS_Ranged_Damage</f>
        <v>0</v>
      </c>
      <c r="AJ100" s="371">
        <v>0.0</v>
      </c>
      <c r="AK100" s="371"/>
      <c r="AL100" s="372">
        <v>3000.0</v>
      </c>
      <c r="AM100" s="83">
        <v>15.0</v>
      </c>
      <c r="AN100" s="83">
        <v>0.9</v>
      </c>
      <c r="AO100" s="83">
        <v>0.0</v>
      </c>
      <c r="AP100" s="372">
        <v>45.0</v>
      </c>
      <c r="AQ100" s="370">
        <v>0.0</v>
      </c>
      <c r="AR100" s="83">
        <v>0.0</v>
      </c>
      <c r="AS100" s="83" t="s">
        <v>733</v>
      </c>
      <c r="AT100" s="83" t="s">
        <v>733</v>
      </c>
      <c r="AU100" s="371"/>
    </row>
    <row r="101">
      <c r="A101" s="368" t="s">
        <v>928</v>
      </c>
      <c r="B101" s="369"/>
      <c r="C101" s="369" t="s">
        <v>733</v>
      </c>
      <c r="D101" s="83" t="s">
        <v>734</v>
      </c>
      <c r="E101" s="83">
        <v>50.0</v>
      </c>
      <c r="F101" s="83">
        <v>40.0</v>
      </c>
      <c r="G101" s="83">
        <v>400.0</v>
      </c>
      <c r="H101" s="83">
        <v>0.1</v>
      </c>
      <c r="I101" s="354">
        <v>0.25</v>
      </c>
      <c r="J101" s="83">
        <v>2.0</v>
      </c>
      <c r="K101" s="83">
        <v>1.0</v>
      </c>
      <c r="L101" s="83">
        <v>0.0</v>
      </c>
      <c r="M101" s="354">
        <v>0.5</v>
      </c>
      <c r="N101" s="83">
        <v>1.0</v>
      </c>
      <c r="O101" s="83">
        <v>0.5</v>
      </c>
      <c r="P101" s="83">
        <v>0.0</v>
      </c>
      <c r="Q101" s="83">
        <v>0.0</v>
      </c>
      <c r="R101" s="83">
        <v>0.0</v>
      </c>
      <c r="S101" s="83">
        <v>0.0</v>
      </c>
      <c r="T101" s="83">
        <v>0.0</v>
      </c>
      <c r="U101" s="83">
        <v>0.0</v>
      </c>
      <c r="V101" s="83">
        <v>0.0</v>
      </c>
      <c r="W101" s="83">
        <v>0.0</v>
      </c>
      <c r="X101" s="370">
        <v>0.5</v>
      </c>
      <c r="Y101" s="83">
        <v>0.0</v>
      </c>
      <c r="Z101" s="370">
        <v>0.5</v>
      </c>
      <c r="AA101" s="83">
        <v>2.0</v>
      </c>
      <c r="AB101" s="370">
        <v>0.03</v>
      </c>
      <c r="AC101" s="354">
        <v>0.0</v>
      </c>
      <c r="AD101" s="371">
        <v>0.0</v>
      </c>
      <c r="AE101" s="354">
        <v>1.0</v>
      </c>
      <c r="AF101" s="354"/>
      <c r="AG101" s="354"/>
      <c r="AH101" s="83" t="s">
        <v>724</v>
      </c>
      <c r="AI101" s="83">
        <f>DPS_Ranged_Damage</f>
        <v>0</v>
      </c>
      <c r="AJ101" s="371">
        <v>0.0</v>
      </c>
      <c r="AK101" s="371"/>
      <c r="AL101" s="372">
        <v>3000.0</v>
      </c>
      <c r="AM101" s="83">
        <v>15.0</v>
      </c>
      <c r="AN101" s="83">
        <v>1.0</v>
      </c>
      <c r="AO101" s="83">
        <v>0.0</v>
      </c>
      <c r="AP101" s="372">
        <v>91.0</v>
      </c>
      <c r="AQ101" s="370">
        <v>0.0</v>
      </c>
      <c r="AR101" s="83">
        <v>0.0</v>
      </c>
      <c r="AS101" s="83" t="s">
        <v>733</v>
      </c>
      <c r="AT101" s="83" t="s">
        <v>733</v>
      </c>
      <c r="AU101" s="371"/>
    </row>
    <row r="102">
      <c r="A102" s="368" t="s">
        <v>929</v>
      </c>
      <c r="B102" s="369"/>
      <c r="C102" s="369" t="s">
        <v>721</v>
      </c>
      <c r="D102" s="83" t="s">
        <v>722</v>
      </c>
      <c r="E102" s="83">
        <v>10.0</v>
      </c>
      <c r="F102" s="83">
        <v>40.0</v>
      </c>
      <c r="G102" s="83">
        <v>150.0</v>
      </c>
      <c r="H102" s="83">
        <v>0.1</v>
      </c>
      <c r="I102" s="354">
        <v>0.03</v>
      </c>
      <c r="J102" s="83">
        <v>2.0</v>
      </c>
      <c r="K102" s="83">
        <v>1.0</v>
      </c>
      <c r="L102" s="83">
        <v>0.0</v>
      </c>
      <c r="M102" s="354">
        <v>0.5</v>
      </c>
      <c r="N102" s="83">
        <v>0.0</v>
      </c>
      <c r="O102" s="83">
        <v>0.5</v>
      </c>
      <c r="P102" s="83">
        <v>0.0</v>
      </c>
      <c r="Q102" s="83">
        <v>0.0</v>
      </c>
      <c r="R102" s="83">
        <v>0.0</v>
      </c>
      <c r="S102" s="83">
        <v>0.0</v>
      </c>
      <c r="T102" s="83">
        <v>0.0</v>
      </c>
      <c r="U102" s="83">
        <v>0.0</v>
      </c>
      <c r="V102" s="83">
        <v>0.0</v>
      </c>
      <c r="W102" s="83">
        <v>0.0</v>
      </c>
      <c r="X102" s="370">
        <v>0.5</v>
      </c>
      <c r="Y102" s="83">
        <v>0.0</v>
      </c>
      <c r="Z102" s="370">
        <v>0.5</v>
      </c>
      <c r="AA102" s="83">
        <v>2.0</v>
      </c>
      <c r="AB102" s="370">
        <v>0.03</v>
      </c>
      <c r="AC102" s="354">
        <v>0.0</v>
      </c>
      <c r="AD102" s="371">
        <v>0.0</v>
      </c>
      <c r="AE102" s="354">
        <v>0.6</v>
      </c>
      <c r="AF102" s="354">
        <v>0.6</v>
      </c>
      <c r="AG102" s="354">
        <v>0.6</v>
      </c>
      <c r="AH102" s="83" t="s">
        <v>724</v>
      </c>
      <c r="AI102" s="83">
        <f>DPS_Melee_Damage</f>
        <v>0</v>
      </c>
      <c r="AJ102" s="83">
        <f>DPS_Elemental_Damage</f>
        <v>0</v>
      </c>
      <c r="AK102" s="115">
        <f>DPS_Engineering</f>
        <v>0</v>
      </c>
      <c r="AL102" s="372" t="s">
        <v>721</v>
      </c>
      <c r="AM102" s="83">
        <v>5.0</v>
      </c>
      <c r="AN102" s="83">
        <v>1.0</v>
      </c>
      <c r="AO102" s="83">
        <v>0.0</v>
      </c>
      <c r="AP102" s="372">
        <v>15.0</v>
      </c>
      <c r="AQ102" s="370">
        <v>0.25</v>
      </c>
      <c r="AR102" s="370">
        <v>0.75</v>
      </c>
      <c r="AS102" s="372">
        <v>72.0</v>
      </c>
      <c r="AT102" s="372">
        <v>16.0</v>
      </c>
      <c r="AU102" s="371"/>
    </row>
    <row r="103">
      <c r="A103" s="368" t="s">
        <v>931</v>
      </c>
      <c r="B103" s="369"/>
      <c r="C103" s="369" t="s">
        <v>721</v>
      </c>
      <c r="D103" s="83" t="s">
        <v>722</v>
      </c>
      <c r="E103" s="83">
        <v>15.0</v>
      </c>
      <c r="F103" s="83">
        <v>35.0</v>
      </c>
      <c r="G103" s="83">
        <v>150.0</v>
      </c>
      <c r="H103" s="83">
        <v>0.1</v>
      </c>
      <c r="I103" s="354">
        <v>0.03</v>
      </c>
      <c r="J103" s="83">
        <v>2.0</v>
      </c>
      <c r="K103" s="83">
        <v>1.0</v>
      </c>
      <c r="L103" s="83">
        <v>0.0</v>
      </c>
      <c r="M103" s="354">
        <v>0.5</v>
      </c>
      <c r="N103" s="83">
        <v>0.0</v>
      </c>
      <c r="O103" s="83">
        <v>0.5</v>
      </c>
      <c r="P103" s="83">
        <v>0.0</v>
      </c>
      <c r="Q103" s="83">
        <v>0.0</v>
      </c>
      <c r="R103" s="83">
        <v>0.0</v>
      </c>
      <c r="S103" s="83">
        <v>0.0</v>
      </c>
      <c r="T103" s="83">
        <v>0.0</v>
      </c>
      <c r="U103" s="83">
        <v>0.0</v>
      </c>
      <c r="V103" s="83">
        <v>0.0</v>
      </c>
      <c r="W103" s="83">
        <v>0.0</v>
      </c>
      <c r="X103" s="370">
        <v>0.5</v>
      </c>
      <c r="Y103" s="83">
        <v>0.0</v>
      </c>
      <c r="Z103" s="370">
        <v>0.5</v>
      </c>
      <c r="AA103" s="83">
        <v>2.0</v>
      </c>
      <c r="AB103" s="370">
        <v>0.03</v>
      </c>
      <c r="AC103" s="354">
        <v>0.0</v>
      </c>
      <c r="AD103" s="371">
        <v>0.0</v>
      </c>
      <c r="AE103" s="354">
        <v>0.7</v>
      </c>
      <c r="AF103" s="354">
        <v>0.7</v>
      </c>
      <c r="AG103" s="354">
        <v>0.7</v>
      </c>
      <c r="AH103" s="83" t="s">
        <v>724</v>
      </c>
      <c r="AI103" s="83">
        <f>DPS_Melee_Damage</f>
        <v>0</v>
      </c>
      <c r="AJ103" s="83">
        <f>DPS_Elemental_Damage</f>
        <v>0</v>
      </c>
      <c r="AK103" s="115">
        <f>DPS_Engineering</f>
        <v>0</v>
      </c>
      <c r="AL103" s="372" t="s">
        <v>721</v>
      </c>
      <c r="AM103" s="83">
        <v>5.0</v>
      </c>
      <c r="AN103" s="83">
        <v>1.0</v>
      </c>
      <c r="AO103" s="83">
        <v>0.0</v>
      </c>
      <c r="AP103" s="372">
        <v>31.0</v>
      </c>
      <c r="AQ103" s="370">
        <v>0.3</v>
      </c>
      <c r="AR103" s="370">
        <v>0.75</v>
      </c>
      <c r="AS103" s="372">
        <v>72.0</v>
      </c>
      <c r="AT103" s="372">
        <v>16.0</v>
      </c>
      <c r="AU103" s="371"/>
    </row>
    <row r="104">
      <c r="A104" s="368" t="s">
        <v>933</v>
      </c>
      <c r="B104" s="369"/>
      <c r="C104" s="369" t="s">
        <v>721</v>
      </c>
      <c r="D104" s="83" t="s">
        <v>722</v>
      </c>
      <c r="E104" s="83">
        <v>20.0</v>
      </c>
      <c r="F104" s="83">
        <v>30.0</v>
      </c>
      <c r="G104" s="83">
        <v>150.0</v>
      </c>
      <c r="H104" s="83">
        <v>0.1</v>
      </c>
      <c r="I104" s="354">
        <v>0.03</v>
      </c>
      <c r="J104" s="83">
        <v>2.0</v>
      </c>
      <c r="K104" s="83">
        <v>1.0</v>
      </c>
      <c r="L104" s="83">
        <v>0.0</v>
      </c>
      <c r="M104" s="354">
        <v>0.5</v>
      </c>
      <c r="N104" s="83">
        <v>0.0</v>
      </c>
      <c r="O104" s="83">
        <v>0.5</v>
      </c>
      <c r="P104" s="83">
        <v>0.0</v>
      </c>
      <c r="Q104" s="83">
        <v>0.0</v>
      </c>
      <c r="R104" s="83">
        <v>0.0</v>
      </c>
      <c r="S104" s="83">
        <v>0.0</v>
      </c>
      <c r="T104" s="83">
        <v>0.0</v>
      </c>
      <c r="U104" s="83">
        <v>0.0</v>
      </c>
      <c r="V104" s="83">
        <v>0.0</v>
      </c>
      <c r="W104" s="83">
        <v>0.0</v>
      </c>
      <c r="X104" s="370">
        <v>0.5</v>
      </c>
      <c r="Y104" s="83">
        <v>0.0</v>
      </c>
      <c r="Z104" s="370">
        <v>0.5</v>
      </c>
      <c r="AA104" s="83">
        <v>2.0</v>
      </c>
      <c r="AB104" s="370">
        <v>0.03</v>
      </c>
      <c r="AC104" s="354">
        <v>0.0</v>
      </c>
      <c r="AD104" s="371">
        <v>0.0</v>
      </c>
      <c r="AE104" s="354">
        <v>0.8</v>
      </c>
      <c r="AF104" s="354">
        <v>0.8</v>
      </c>
      <c r="AG104" s="354">
        <v>0.8</v>
      </c>
      <c r="AH104" s="83" t="s">
        <v>724</v>
      </c>
      <c r="AI104" s="83">
        <f>DPS_Melee_Damage</f>
        <v>0</v>
      </c>
      <c r="AJ104" s="83">
        <f>DPS_Elemental_Damage</f>
        <v>0</v>
      </c>
      <c r="AK104" s="115">
        <f>DPS_Engineering</f>
        <v>0</v>
      </c>
      <c r="AL104" s="372" t="s">
        <v>721</v>
      </c>
      <c r="AM104" s="83">
        <v>5.0</v>
      </c>
      <c r="AN104" s="83">
        <v>1.0</v>
      </c>
      <c r="AO104" s="83">
        <v>0.0</v>
      </c>
      <c r="AP104" s="372">
        <v>61.0</v>
      </c>
      <c r="AQ104" s="370">
        <v>0.4</v>
      </c>
      <c r="AR104" s="370">
        <v>0.75</v>
      </c>
      <c r="AS104" s="372">
        <v>72.0</v>
      </c>
      <c r="AT104" s="372">
        <v>16.0</v>
      </c>
      <c r="AU104" s="371"/>
    </row>
    <row r="105">
      <c r="A105" s="368" t="s">
        <v>934</v>
      </c>
      <c r="B105" s="369"/>
      <c r="C105" s="369" t="s">
        <v>721</v>
      </c>
      <c r="D105" s="83" t="s">
        <v>722</v>
      </c>
      <c r="E105" s="83">
        <v>30.0</v>
      </c>
      <c r="F105" s="83">
        <v>25.0</v>
      </c>
      <c r="G105" s="83">
        <v>150.0</v>
      </c>
      <c r="H105" s="83">
        <v>0.1</v>
      </c>
      <c r="I105" s="354">
        <v>0.03</v>
      </c>
      <c r="J105" s="83">
        <v>2.0</v>
      </c>
      <c r="K105" s="83">
        <v>1.0</v>
      </c>
      <c r="L105" s="83">
        <v>0.0</v>
      </c>
      <c r="M105" s="354">
        <v>0.5</v>
      </c>
      <c r="N105" s="83">
        <v>0.0</v>
      </c>
      <c r="O105" s="83">
        <v>0.5</v>
      </c>
      <c r="P105" s="83">
        <v>0.0</v>
      </c>
      <c r="Q105" s="83">
        <v>0.0</v>
      </c>
      <c r="R105" s="83">
        <v>0.0</v>
      </c>
      <c r="S105" s="83">
        <v>0.0</v>
      </c>
      <c r="T105" s="83">
        <v>0.0</v>
      </c>
      <c r="U105" s="83">
        <v>0.0</v>
      </c>
      <c r="V105" s="83">
        <v>0.0</v>
      </c>
      <c r="W105" s="83">
        <v>0.0</v>
      </c>
      <c r="X105" s="370">
        <v>0.5</v>
      </c>
      <c r="Y105" s="83">
        <v>0.0</v>
      </c>
      <c r="Z105" s="370">
        <v>0.5</v>
      </c>
      <c r="AA105" s="83">
        <v>2.0</v>
      </c>
      <c r="AB105" s="370">
        <v>0.03</v>
      </c>
      <c r="AC105" s="354">
        <v>0.0</v>
      </c>
      <c r="AD105" s="371">
        <v>0.0</v>
      </c>
      <c r="AE105" s="354">
        <v>0.9</v>
      </c>
      <c r="AF105" s="354">
        <v>0.9</v>
      </c>
      <c r="AG105" s="354">
        <v>0.9</v>
      </c>
      <c r="AH105" s="83" t="s">
        <v>724</v>
      </c>
      <c r="AI105" s="83">
        <f>DPS_Melee_Damage</f>
        <v>0</v>
      </c>
      <c r="AJ105" s="83">
        <f>DPS_Elemental_Damage</f>
        <v>0</v>
      </c>
      <c r="AK105" s="115">
        <f>DPS_Engineering</f>
        <v>0</v>
      </c>
      <c r="AL105" s="372" t="s">
        <v>721</v>
      </c>
      <c r="AM105" s="83">
        <v>5.0</v>
      </c>
      <c r="AN105" s="83">
        <v>1.0</v>
      </c>
      <c r="AO105" s="83">
        <v>0.0</v>
      </c>
      <c r="AP105" s="372">
        <v>122.0</v>
      </c>
      <c r="AQ105" s="370">
        <v>0.5</v>
      </c>
      <c r="AR105" s="370">
        <v>0.75</v>
      </c>
      <c r="AS105" s="372">
        <v>72.0</v>
      </c>
      <c r="AT105" s="372">
        <v>16.0</v>
      </c>
      <c r="AU105" s="371"/>
    </row>
    <row r="106">
      <c r="A106" s="368" t="s">
        <v>936</v>
      </c>
      <c r="B106" s="369"/>
      <c r="C106" s="369" t="s">
        <v>721</v>
      </c>
      <c r="D106" s="83" t="s">
        <v>722</v>
      </c>
      <c r="E106" s="83">
        <v>80.0</v>
      </c>
      <c r="F106" s="83">
        <v>58.0</v>
      </c>
      <c r="G106" s="83">
        <v>175.0</v>
      </c>
      <c r="H106" s="83">
        <v>0.1</v>
      </c>
      <c r="I106" s="354">
        <v>0.03</v>
      </c>
      <c r="J106" s="83">
        <v>1.75</v>
      </c>
      <c r="K106" s="83">
        <v>1.0</v>
      </c>
      <c r="L106" s="83">
        <v>0.0</v>
      </c>
      <c r="M106" s="354">
        <v>0.5</v>
      </c>
      <c r="N106" s="83">
        <v>0.0</v>
      </c>
      <c r="O106" s="83">
        <v>0.5</v>
      </c>
      <c r="P106" s="83">
        <v>0.0</v>
      </c>
      <c r="Q106" s="83">
        <v>0.0</v>
      </c>
      <c r="R106" s="83">
        <v>0.0</v>
      </c>
      <c r="S106" s="83">
        <v>0.0</v>
      </c>
      <c r="T106" s="83">
        <v>0.0</v>
      </c>
      <c r="U106" s="83">
        <v>0.0</v>
      </c>
      <c r="V106" s="83">
        <v>0.0</v>
      </c>
      <c r="W106" s="83">
        <v>0.0</v>
      </c>
      <c r="X106" s="370">
        <v>0.5</v>
      </c>
      <c r="Y106" s="83">
        <v>0.0</v>
      </c>
      <c r="Z106" s="370">
        <v>0.5</v>
      </c>
      <c r="AA106" s="83">
        <v>2.0</v>
      </c>
      <c r="AB106" s="370">
        <v>0.03</v>
      </c>
      <c r="AC106" s="354">
        <v>0.0</v>
      </c>
      <c r="AD106" s="371">
        <v>0.0</v>
      </c>
      <c r="AE106" s="354">
        <v>1.5</v>
      </c>
      <c r="AF106" s="354">
        <v>1.5</v>
      </c>
      <c r="AG106" s="354"/>
      <c r="AH106" s="83" t="s">
        <v>724</v>
      </c>
      <c r="AI106" s="83">
        <f>DPS_Melee_Damage</f>
        <v>0</v>
      </c>
      <c r="AJ106" s="371">
        <f>DPS_Elemental_Damage</f>
        <v>0</v>
      </c>
      <c r="AK106" s="371"/>
      <c r="AL106" s="372" t="s">
        <v>721</v>
      </c>
      <c r="AM106" s="83">
        <v>30.0</v>
      </c>
      <c r="AN106" s="83">
        <v>1.0</v>
      </c>
      <c r="AO106" s="83">
        <v>0.0</v>
      </c>
      <c r="AP106" s="372">
        <v>136.0</v>
      </c>
      <c r="AQ106" s="378">
        <v>0.25</v>
      </c>
      <c r="AR106" s="378">
        <v>1.0</v>
      </c>
      <c r="AS106" s="372">
        <v>89.0</v>
      </c>
      <c r="AT106" s="372">
        <v>32.0</v>
      </c>
      <c r="AU106" s="371"/>
    </row>
    <row r="107">
      <c r="A107" s="368" t="s">
        <v>937</v>
      </c>
      <c r="B107" s="369"/>
      <c r="C107" s="369" t="s">
        <v>721</v>
      </c>
      <c r="D107" s="83" t="s">
        <v>722</v>
      </c>
      <c r="E107" s="83">
        <v>120.0</v>
      </c>
      <c r="F107" s="83">
        <v>54.0</v>
      </c>
      <c r="G107" s="83">
        <v>175.0</v>
      </c>
      <c r="H107" s="83">
        <v>0.1</v>
      </c>
      <c r="I107" s="354">
        <v>0.03</v>
      </c>
      <c r="J107" s="83">
        <v>1.75</v>
      </c>
      <c r="K107" s="83">
        <v>1.0</v>
      </c>
      <c r="L107" s="83">
        <v>0.0</v>
      </c>
      <c r="M107" s="354">
        <v>0.5</v>
      </c>
      <c r="N107" s="83">
        <v>0.0</v>
      </c>
      <c r="O107" s="83">
        <v>0.5</v>
      </c>
      <c r="P107" s="83">
        <v>0.0</v>
      </c>
      <c r="Q107" s="83">
        <v>0.0</v>
      </c>
      <c r="R107" s="83">
        <v>0.0</v>
      </c>
      <c r="S107" s="83">
        <v>0.0</v>
      </c>
      <c r="T107" s="83">
        <v>0.0</v>
      </c>
      <c r="U107" s="83">
        <v>0.0</v>
      </c>
      <c r="V107" s="83">
        <v>0.0</v>
      </c>
      <c r="W107" s="83">
        <v>0.0</v>
      </c>
      <c r="X107" s="370">
        <v>0.5</v>
      </c>
      <c r="Y107" s="83">
        <v>0.0</v>
      </c>
      <c r="Z107" s="370">
        <v>0.5</v>
      </c>
      <c r="AA107" s="83">
        <v>2.0</v>
      </c>
      <c r="AB107" s="370">
        <v>0.03</v>
      </c>
      <c r="AC107" s="354">
        <v>0.0</v>
      </c>
      <c r="AD107" s="371">
        <v>0.0</v>
      </c>
      <c r="AE107" s="354">
        <v>2.0</v>
      </c>
      <c r="AF107" s="354">
        <v>2.0</v>
      </c>
      <c r="AG107" s="354"/>
      <c r="AH107" s="83" t="s">
        <v>724</v>
      </c>
      <c r="AI107" s="83">
        <f>DPS_Melee_Damage</f>
        <v>0</v>
      </c>
      <c r="AJ107" s="371">
        <f>DPS_Elemental_Damage</f>
        <v>0</v>
      </c>
      <c r="AK107" s="371"/>
      <c r="AL107" s="372" t="s">
        <v>721</v>
      </c>
      <c r="AM107" s="83">
        <v>30.0</v>
      </c>
      <c r="AN107" s="83">
        <v>1.0</v>
      </c>
      <c r="AO107" s="83">
        <v>0.0</v>
      </c>
      <c r="AP107" s="372">
        <v>272.0</v>
      </c>
      <c r="AQ107" s="378">
        <v>0.5</v>
      </c>
      <c r="AR107" s="378">
        <v>1.25</v>
      </c>
      <c r="AS107" s="372">
        <v>89.0</v>
      </c>
      <c r="AT107" s="372">
        <v>32.0</v>
      </c>
      <c r="AU107" s="371"/>
    </row>
    <row r="108">
      <c r="A108" s="368" t="s">
        <v>939</v>
      </c>
      <c r="B108" s="369"/>
      <c r="C108" s="369" t="s">
        <v>733</v>
      </c>
      <c r="D108" s="83" t="s">
        <v>734</v>
      </c>
      <c r="E108" s="83">
        <v>3.0</v>
      </c>
      <c r="F108" s="83">
        <v>15.0</v>
      </c>
      <c r="G108" s="83">
        <v>500.0</v>
      </c>
      <c r="H108" s="83">
        <v>0.1</v>
      </c>
      <c r="I108" s="354">
        <v>0.03</v>
      </c>
      <c r="J108" s="83">
        <v>1.5</v>
      </c>
      <c r="K108" s="83">
        <v>1.0</v>
      </c>
      <c r="L108" s="83">
        <v>0.0</v>
      </c>
      <c r="M108" s="354">
        <v>0.5</v>
      </c>
      <c r="N108" s="83">
        <v>0.0</v>
      </c>
      <c r="O108" s="83">
        <v>0.5</v>
      </c>
      <c r="P108" s="83">
        <v>0.0</v>
      </c>
      <c r="Q108" s="83">
        <v>0.0</v>
      </c>
      <c r="R108" s="83">
        <v>0.0</v>
      </c>
      <c r="S108" s="83">
        <v>0.0</v>
      </c>
      <c r="T108" s="83">
        <v>0.0</v>
      </c>
      <c r="U108" s="83">
        <v>0.0</v>
      </c>
      <c r="V108" s="83">
        <v>0.0</v>
      </c>
      <c r="W108" s="83">
        <v>0.0</v>
      </c>
      <c r="X108" s="370">
        <v>0.5</v>
      </c>
      <c r="Y108" s="83">
        <v>0.0</v>
      </c>
      <c r="Z108" s="370">
        <v>0.5</v>
      </c>
      <c r="AA108" s="83">
        <v>2.0</v>
      </c>
      <c r="AB108" s="370">
        <v>0.03</v>
      </c>
      <c r="AC108" s="354">
        <v>0.0</v>
      </c>
      <c r="AD108" s="371">
        <v>0.0</v>
      </c>
      <c r="AE108" s="354">
        <v>0.4</v>
      </c>
      <c r="AF108" s="354">
        <v>0.2</v>
      </c>
      <c r="AG108" s="354"/>
      <c r="AH108" s="83" t="s">
        <v>724</v>
      </c>
      <c r="AI108" s="83">
        <f>DPS_Ranged_Damage</f>
        <v>0</v>
      </c>
      <c r="AJ108" s="83">
        <f>DPS_Max_HP</f>
        <v>0</v>
      </c>
      <c r="AL108" s="372">
        <v>2000.0</v>
      </c>
      <c r="AM108" s="83">
        <v>20.0</v>
      </c>
      <c r="AN108" s="83">
        <v>0.9</v>
      </c>
      <c r="AO108" s="83">
        <v>0.0</v>
      </c>
      <c r="AP108" s="372">
        <v>36.0</v>
      </c>
      <c r="AQ108" s="370">
        <v>0.0</v>
      </c>
      <c r="AR108" s="83">
        <v>0.0</v>
      </c>
      <c r="AS108" s="83" t="s">
        <v>733</v>
      </c>
      <c r="AT108" s="83" t="s">
        <v>733</v>
      </c>
      <c r="AU108" s="371"/>
    </row>
    <row r="109">
      <c r="A109" s="368" t="s">
        <v>940</v>
      </c>
      <c r="B109" s="369"/>
      <c r="C109" s="369" t="s">
        <v>733</v>
      </c>
      <c r="D109" s="83" t="s">
        <v>734</v>
      </c>
      <c r="E109" s="83">
        <v>5.0</v>
      </c>
      <c r="F109" s="83">
        <v>10.0</v>
      </c>
      <c r="G109" s="83">
        <v>500.0</v>
      </c>
      <c r="H109" s="83">
        <v>0.1</v>
      </c>
      <c r="I109" s="354">
        <v>0.03</v>
      </c>
      <c r="J109" s="83">
        <v>1.5</v>
      </c>
      <c r="K109" s="83">
        <v>1.0</v>
      </c>
      <c r="L109" s="83">
        <v>0.0</v>
      </c>
      <c r="M109" s="354">
        <v>0.5</v>
      </c>
      <c r="N109" s="83">
        <v>0.0</v>
      </c>
      <c r="O109" s="83">
        <v>0.5</v>
      </c>
      <c r="P109" s="83">
        <v>0.0</v>
      </c>
      <c r="Q109" s="83">
        <v>0.0</v>
      </c>
      <c r="R109" s="83">
        <v>0.0</v>
      </c>
      <c r="S109" s="83">
        <v>0.0</v>
      </c>
      <c r="T109" s="83">
        <v>0.0</v>
      </c>
      <c r="U109" s="83">
        <v>0.0</v>
      </c>
      <c r="V109" s="83">
        <v>0.0</v>
      </c>
      <c r="W109" s="83">
        <v>0.0</v>
      </c>
      <c r="X109" s="370">
        <v>0.5</v>
      </c>
      <c r="Y109" s="83">
        <v>0.0</v>
      </c>
      <c r="Z109" s="370">
        <v>0.5</v>
      </c>
      <c r="AA109" s="83">
        <v>2.0</v>
      </c>
      <c r="AB109" s="370">
        <v>0.03</v>
      </c>
      <c r="AC109" s="354">
        <v>0.0</v>
      </c>
      <c r="AD109" s="371">
        <v>0.0</v>
      </c>
      <c r="AE109" s="354">
        <v>0.4</v>
      </c>
      <c r="AF109" s="354">
        <v>0.2</v>
      </c>
      <c r="AG109" s="354"/>
      <c r="AH109" s="83" t="s">
        <v>724</v>
      </c>
      <c r="AI109" s="83">
        <f>DPS_Ranged_Damage</f>
        <v>0</v>
      </c>
      <c r="AJ109" s="83">
        <f>DPS_Max_HP</f>
        <v>0</v>
      </c>
      <c r="AL109" s="372">
        <v>2000.0</v>
      </c>
      <c r="AM109" s="83">
        <v>25.0</v>
      </c>
      <c r="AN109" s="83">
        <v>0.9</v>
      </c>
      <c r="AO109" s="83">
        <v>0.0</v>
      </c>
      <c r="AP109" s="372">
        <v>69.0</v>
      </c>
      <c r="AQ109" s="370">
        <v>0.0</v>
      </c>
      <c r="AR109" s="83">
        <v>0.0</v>
      </c>
      <c r="AS109" s="83" t="s">
        <v>733</v>
      </c>
      <c r="AT109" s="83" t="s">
        <v>733</v>
      </c>
      <c r="AU109" s="371"/>
    </row>
    <row r="110">
      <c r="A110" s="368" t="s">
        <v>942</v>
      </c>
      <c r="B110" s="369"/>
      <c r="C110" s="369" t="s">
        <v>733</v>
      </c>
      <c r="D110" s="83" t="s">
        <v>734</v>
      </c>
      <c r="E110" s="83">
        <v>10.0</v>
      </c>
      <c r="F110" s="83">
        <v>5.0</v>
      </c>
      <c r="G110" s="83">
        <v>500.0</v>
      </c>
      <c r="H110" s="83">
        <v>0.1</v>
      </c>
      <c r="I110" s="354">
        <v>0.03</v>
      </c>
      <c r="J110" s="83">
        <v>1.5</v>
      </c>
      <c r="K110" s="83">
        <v>1.0</v>
      </c>
      <c r="L110" s="83">
        <v>0.0</v>
      </c>
      <c r="M110" s="354">
        <v>0.5</v>
      </c>
      <c r="N110" s="83">
        <v>0.0</v>
      </c>
      <c r="O110" s="83">
        <v>0.5</v>
      </c>
      <c r="P110" s="83">
        <v>0.0</v>
      </c>
      <c r="Q110" s="83">
        <v>0.0</v>
      </c>
      <c r="R110" s="83">
        <v>0.0</v>
      </c>
      <c r="S110" s="83">
        <v>0.0</v>
      </c>
      <c r="T110" s="83">
        <v>0.0</v>
      </c>
      <c r="U110" s="83">
        <v>0.0</v>
      </c>
      <c r="V110" s="83">
        <v>0.0</v>
      </c>
      <c r="W110" s="83">
        <v>0.0</v>
      </c>
      <c r="X110" s="370">
        <v>0.5</v>
      </c>
      <c r="Y110" s="83">
        <v>0.0</v>
      </c>
      <c r="Z110" s="370">
        <v>0.5</v>
      </c>
      <c r="AA110" s="83">
        <v>2.0</v>
      </c>
      <c r="AB110" s="370">
        <v>0.03</v>
      </c>
      <c r="AC110" s="354">
        <v>0.0</v>
      </c>
      <c r="AD110" s="371">
        <v>0.0</v>
      </c>
      <c r="AE110" s="354">
        <v>0.4</v>
      </c>
      <c r="AF110" s="354">
        <v>0.2</v>
      </c>
      <c r="AG110" s="354"/>
      <c r="AH110" s="83" t="s">
        <v>724</v>
      </c>
      <c r="AI110" s="83">
        <f>DPS_Ranged_Damage</f>
        <v>0</v>
      </c>
      <c r="AJ110" s="83">
        <f>DPS_Max_HP</f>
        <v>0</v>
      </c>
      <c r="AL110" s="372">
        <v>2000.0</v>
      </c>
      <c r="AM110" s="83">
        <v>30.0</v>
      </c>
      <c r="AN110" s="83">
        <v>0.9</v>
      </c>
      <c r="AO110" s="83">
        <v>0.0</v>
      </c>
      <c r="AP110" s="372">
        <v>139.0</v>
      </c>
      <c r="AQ110" s="370">
        <v>0.0</v>
      </c>
      <c r="AR110" s="83">
        <v>0.0</v>
      </c>
      <c r="AS110" s="83" t="s">
        <v>733</v>
      </c>
      <c r="AT110" s="83" t="s">
        <v>733</v>
      </c>
      <c r="AU110" s="371"/>
    </row>
    <row r="111">
      <c r="A111" s="368" t="s">
        <v>944</v>
      </c>
      <c r="B111" s="369"/>
      <c r="C111" s="369" t="s">
        <v>721</v>
      </c>
      <c r="D111" s="83" t="s">
        <v>752</v>
      </c>
      <c r="E111" s="83">
        <v>40.0</v>
      </c>
      <c r="F111" s="83">
        <v>8.0</v>
      </c>
      <c r="G111" s="83">
        <v>150.0</v>
      </c>
      <c r="H111" s="83">
        <v>0.1</v>
      </c>
      <c r="I111" s="354">
        <v>0.03</v>
      </c>
      <c r="J111" s="83">
        <v>2.0</v>
      </c>
      <c r="K111" s="83">
        <v>1.0</v>
      </c>
      <c r="L111" s="83">
        <v>0.0</v>
      </c>
      <c r="M111" s="354">
        <v>0.5</v>
      </c>
      <c r="N111" s="83">
        <v>0.0</v>
      </c>
      <c r="O111" s="83">
        <v>0.5</v>
      </c>
      <c r="P111" s="83">
        <v>0.0</v>
      </c>
      <c r="Q111" s="83">
        <v>0.0</v>
      </c>
      <c r="R111" s="83">
        <v>0.0</v>
      </c>
      <c r="S111" s="83">
        <v>0.0</v>
      </c>
      <c r="T111" s="83">
        <v>0.0</v>
      </c>
      <c r="U111" s="83">
        <v>0.0</v>
      </c>
      <c r="V111" s="83">
        <v>0.0</v>
      </c>
      <c r="W111" s="83">
        <v>0.0</v>
      </c>
      <c r="X111" s="370">
        <v>0.5</v>
      </c>
      <c r="Y111" s="83">
        <v>0.0</v>
      </c>
      <c r="Z111" s="370">
        <v>0.5</v>
      </c>
      <c r="AA111" s="83">
        <v>2.0</v>
      </c>
      <c r="AB111" s="370">
        <v>0.03</v>
      </c>
      <c r="AC111" s="354">
        <v>0.0</v>
      </c>
      <c r="AD111" s="371">
        <v>0.0</v>
      </c>
      <c r="AE111" s="354">
        <v>1.0</v>
      </c>
      <c r="AF111" s="354"/>
      <c r="AG111" s="354"/>
      <c r="AH111" s="83" t="s">
        <v>724</v>
      </c>
      <c r="AI111" s="83">
        <f>DPS_Melee_Damage</f>
        <v>0</v>
      </c>
      <c r="AJ111" s="371">
        <v>0.0</v>
      </c>
      <c r="AK111" s="371"/>
      <c r="AL111" s="372" t="s">
        <v>721</v>
      </c>
      <c r="AM111" s="83">
        <v>15.0</v>
      </c>
      <c r="AN111" s="83">
        <v>1.0</v>
      </c>
      <c r="AO111" s="83">
        <v>0.0</v>
      </c>
      <c r="AP111" s="372">
        <v>110.0</v>
      </c>
      <c r="AQ111" s="378">
        <v>0.25</v>
      </c>
      <c r="AR111" s="378">
        <v>1.0</v>
      </c>
      <c r="AS111" s="83">
        <v>48.0</v>
      </c>
      <c r="AT111" s="372">
        <v>20.0</v>
      </c>
      <c r="AU111" s="371"/>
    </row>
    <row r="112">
      <c r="A112" s="368" t="s">
        <v>945</v>
      </c>
      <c r="B112" s="369"/>
      <c r="C112" s="369" t="s">
        <v>721</v>
      </c>
      <c r="D112" s="83" t="s">
        <v>752</v>
      </c>
      <c r="E112" s="83">
        <v>80.0</v>
      </c>
      <c r="F112" s="83">
        <v>2.0</v>
      </c>
      <c r="G112" s="83">
        <v>150.0</v>
      </c>
      <c r="H112" s="83">
        <v>0.1</v>
      </c>
      <c r="I112" s="354">
        <v>0.03</v>
      </c>
      <c r="J112" s="83">
        <v>2.0</v>
      </c>
      <c r="K112" s="83">
        <v>1.0</v>
      </c>
      <c r="L112" s="83">
        <v>0.0</v>
      </c>
      <c r="M112" s="354">
        <v>0.5</v>
      </c>
      <c r="N112" s="83">
        <v>0.0</v>
      </c>
      <c r="O112" s="83">
        <v>0.5</v>
      </c>
      <c r="P112" s="83">
        <v>0.0</v>
      </c>
      <c r="Q112" s="83">
        <v>0.0</v>
      </c>
      <c r="R112" s="83">
        <v>0.0</v>
      </c>
      <c r="S112" s="83">
        <v>0.0</v>
      </c>
      <c r="T112" s="83">
        <v>0.0</v>
      </c>
      <c r="U112" s="83">
        <v>0.0</v>
      </c>
      <c r="V112" s="83">
        <v>0.0</v>
      </c>
      <c r="W112" s="83">
        <v>0.0</v>
      </c>
      <c r="X112" s="370">
        <v>0.5</v>
      </c>
      <c r="Y112" s="83">
        <v>0.0</v>
      </c>
      <c r="Z112" s="370">
        <v>0.5</v>
      </c>
      <c r="AA112" s="83">
        <v>2.0</v>
      </c>
      <c r="AB112" s="370">
        <v>0.03</v>
      </c>
      <c r="AC112" s="354">
        <v>0.0</v>
      </c>
      <c r="AD112" s="371">
        <v>0.0</v>
      </c>
      <c r="AE112" s="354">
        <v>1.0</v>
      </c>
      <c r="AF112" s="354"/>
      <c r="AG112" s="354"/>
      <c r="AH112" s="83" t="s">
        <v>724</v>
      </c>
      <c r="AI112" s="83">
        <f>DPS_Melee_Damage</f>
        <v>0</v>
      </c>
      <c r="AJ112" s="371">
        <v>0.0</v>
      </c>
      <c r="AK112" s="371"/>
      <c r="AL112" s="372" t="s">
        <v>721</v>
      </c>
      <c r="AM112" s="83">
        <v>15.0</v>
      </c>
      <c r="AN112" s="83">
        <v>1.0</v>
      </c>
      <c r="AO112" s="83">
        <v>0.0</v>
      </c>
      <c r="AP112" s="372">
        <v>221.0</v>
      </c>
      <c r="AQ112" s="378">
        <v>0.5</v>
      </c>
      <c r="AR112" s="378">
        <v>1.25</v>
      </c>
      <c r="AS112" s="83">
        <v>48.0</v>
      </c>
      <c r="AT112" s="372">
        <v>20.0</v>
      </c>
      <c r="AU112" s="371"/>
    </row>
    <row r="113">
      <c r="A113" s="368" t="s">
        <v>947</v>
      </c>
      <c r="B113" s="369"/>
      <c r="C113" s="369" t="s">
        <v>721</v>
      </c>
      <c r="D113" s="83" t="s">
        <v>752</v>
      </c>
      <c r="E113" s="83">
        <v>10.0</v>
      </c>
      <c r="F113" s="83">
        <v>35.0</v>
      </c>
      <c r="G113" s="83">
        <v>150.0</v>
      </c>
      <c r="H113" s="83">
        <v>0.1</v>
      </c>
      <c r="I113" s="354">
        <v>0.03</v>
      </c>
      <c r="J113" s="83">
        <v>1.25</v>
      </c>
      <c r="K113" s="83">
        <v>1.0</v>
      </c>
      <c r="L113" s="83">
        <v>0.0</v>
      </c>
      <c r="M113" s="354">
        <v>0.5</v>
      </c>
      <c r="N113" s="83">
        <v>0.0</v>
      </c>
      <c r="O113" s="83">
        <v>0.5</v>
      </c>
      <c r="P113" s="83">
        <v>0.0</v>
      </c>
      <c r="Q113" s="83">
        <v>0.0</v>
      </c>
      <c r="R113" s="83">
        <v>0.0</v>
      </c>
      <c r="S113" s="83">
        <v>0.0</v>
      </c>
      <c r="T113" s="83">
        <v>0.0</v>
      </c>
      <c r="U113" s="83">
        <v>0.0</v>
      </c>
      <c r="V113" s="83">
        <v>0.0</v>
      </c>
      <c r="W113" s="83">
        <v>0.0</v>
      </c>
      <c r="X113" s="370">
        <v>0.5</v>
      </c>
      <c r="Y113" s="83">
        <v>0.0</v>
      </c>
      <c r="Z113" s="370">
        <v>0.5</v>
      </c>
      <c r="AA113" s="83">
        <v>2.0</v>
      </c>
      <c r="AB113" s="370">
        <v>0.03</v>
      </c>
      <c r="AC113" s="354">
        <v>0.0</v>
      </c>
      <c r="AD113" s="371">
        <v>0.0</v>
      </c>
      <c r="AE113" s="354">
        <v>0.5</v>
      </c>
      <c r="AF113" s="354"/>
      <c r="AG113" s="354"/>
      <c r="AH113" s="83" t="s">
        <v>724</v>
      </c>
      <c r="AI113" s="83">
        <f>DPS_Melee_Damage</f>
        <v>0</v>
      </c>
      <c r="AJ113" s="371">
        <v>0.0</v>
      </c>
      <c r="AK113" s="371"/>
      <c r="AL113" s="372" t="s">
        <v>721</v>
      </c>
      <c r="AM113" s="83">
        <v>2.0</v>
      </c>
      <c r="AN113" s="83">
        <v>1.0</v>
      </c>
      <c r="AO113" s="83">
        <v>0.0</v>
      </c>
      <c r="AP113" s="372">
        <v>15.0</v>
      </c>
      <c r="AQ113" s="370">
        <v>0.0</v>
      </c>
      <c r="AR113" s="83">
        <v>0.0</v>
      </c>
      <c r="AS113" s="372">
        <v>72.0</v>
      </c>
      <c r="AT113" s="372">
        <v>16.0</v>
      </c>
      <c r="AU113" s="371"/>
    </row>
    <row r="114">
      <c r="A114" s="368" t="s">
        <v>950</v>
      </c>
      <c r="B114" s="369"/>
      <c r="C114" s="369" t="s">
        <v>721</v>
      </c>
      <c r="D114" s="83" t="s">
        <v>752</v>
      </c>
      <c r="E114" s="83">
        <v>15.0</v>
      </c>
      <c r="F114" s="83">
        <v>30.0</v>
      </c>
      <c r="G114" s="83">
        <v>150.0</v>
      </c>
      <c r="H114" s="83">
        <v>0.1</v>
      </c>
      <c r="I114" s="354">
        <v>0.06</v>
      </c>
      <c r="J114" s="83">
        <v>1.5</v>
      </c>
      <c r="K114" s="83">
        <v>1.0</v>
      </c>
      <c r="L114" s="83">
        <v>0.0</v>
      </c>
      <c r="M114" s="354">
        <v>0.5</v>
      </c>
      <c r="N114" s="83">
        <v>0.0</v>
      </c>
      <c r="O114" s="83">
        <v>0.5</v>
      </c>
      <c r="P114" s="83">
        <v>0.0</v>
      </c>
      <c r="Q114" s="83">
        <v>0.0</v>
      </c>
      <c r="R114" s="83">
        <v>0.0</v>
      </c>
      <c r="S114" s="83">
        <v>0.0</v>
      </c>
      <c r="T114" s="83">
        <v>0.0</v>
      </c>
      <c r="U114" s="83">
        <v>0.0</v>
      </c>
      <c r="V114" s="83">
        <v>0.0</v>
      </c>
      <c r="W114" s="83">
        <v>0.0</v>
      </c>
      <c r="X114" s="370">
        <v>0.5</v>
      </c>
      <c r="Y114" s="83">
        <v>0.0</v>
      </c>
      <c r="Z114" s="370">
        <v>0.5</v>
      </c>
      <c r="AA114" s="83">
        <v>2.0</v>
      </c>
      <c r="AB114" s="370">
        <v>0.03</v>
      </c>
      <c r="AC114" s="354">
        <v>0.0</v>
      </c>
      <c r="AD114" s="371">
        <v>0.0</v>
      </c>
      <c r="AE114" s="354">
        <v>0.65</v>
      </c>
      <c r="AF114" s="354"/>
      <c r="AG114" s="354"/>
      <c r="AH114" s="83" t="s">
        <v>724</v>
      </c>
      <c r="AI114" s="83">
        <f>DPS_Melee_Damage</f>
        <v>0</v>
      </c>
      <c r="AJ114" s="371">
        <v>0.0</v>
      </c>
      <c r="AK114" s="371"/>
      <c r="AL114" s="372" t="s">
        <v>721</v>
      </c>
      <c r="AM114" s="83">
        <v>2.0</v>
      </c>
      <c r="AN114" s="83">
        <v>1.0</v>
      </c>
      <c r="AO114" s="83">
        <v>0.0</v>
      </c>
      <c r="AP114" s="372">
        <v>28.0</v>
      </c>
      <c r="AQ114" s="370">
        <v>0.0</v>
      </c>
      <c r="AR114" s="83">
        <v>0.0</v>
      </c>
      <c r="AS114" s="372">
        <v>72.0</v>
      </c>
      <c r="AT114" s="372">
        <v>16.0</v>
      </c>
      <c r="AU114" s="371"/>
    </row>
    <row r="115">
      <c r="A115" s="368" t="s">
        <v>951</v>
      </c>
      <c r="B115" s="369"/>
      <c r="C115" s="369" t="s">
        <v>721</v>
      </c>
      <c r="D115" s="83" t="s">
        <v>752</v>
      </c>
      <c r="E115" s="83">
        <v>20.0</v>
      </c>
      <c r="F115" s="83">
        <v>25.0</v>
      </c>
      <c r="G115" s="83">
        <v>150.0</v>
      </c>
      <c r="H115" s="83">
        <v>0.1</v>
      </c>
      <c r="I115" s="354">
        <v>0.09</v>
      </c>
      <c r="J115" s="83">
        <v>1.75</v>
      </c>
      <c r="K115" s="83">
        <v>1.0</v>
      </c>
      <c r="L115" s="83">
        <v>0.0</v>
      </c>
      <c r="M115" s="354">
        <v>0.5</v>
      </c>
      <c r="N115" s="83">
        <v>0.0</v>
      </c>
      <c r="O115" s="83">
        <v>0.5</v>
      </c>
      <c r="P115" s="83">
        <v>0.0</v>
      </c>
      <c r="Q115" s="83">
        <v>0.0</v>
      </c>
      <c r="R115" s="83">
        <v>0.0</v>
      </c>
      <c r="S115" s="83">
        <v>0.0</v>
      </c>
      <c r="T115" s="83">
        <v>0.0</v>
      </c>
      <c r="U115" s="83">
        <v>0.0</v>
      </c>
      <c r="V115" s="83">
        <v>0.0</v>
      </c>
      <c r="W115" s="83">
        <v>0.0</v>
      </c>
      <c r="X115" s="370">
        <v>0.5</v>
      </c>
      <c r="Y115" s="83">
        <v>0.0</v>
      </c>
      <c r="Z115" s="370">
        <v>0.5</v>
      </c>
      <c r="AA115" s="83">
        <v>2.0</v>
      </c>
      <c r="AB115" s="370">
        <v>0.03</v>
      </c>
      <c r="AC115" s="354">
        <v>0.0</v>
      </c>
      <c r="AD115" s="371">
        <v>0.0</v>
      </c>
      <c r="AE115" s="354">
        <v>0.8</v>
      </c>
      <c r="AF115" s="354"/>
      <c r="AG115" s="354"/>
      <c r="AH115" s="83" t="s">
        <v>724</v>
      </c>
      <c r="AI115" s="83">
        <f>DPS_Melee_Damage</f>
        <v>0</v>
      </c>
      <c r="AJ115" s="371">
        <v>0.0</v>
      </c>
      <c r="AK115" s="371"/>
      <c r="AL115" s="372" t="s">
        <v>721</v>
      </c>
      <c r="AM115" s="83">
        <v>2.0</v>
      </c>
      <c r="AN115" s="83">
        <v>1.0</v>
      </c>
      <c r="AO115" s="83">
        <v>0.0</v>
      </c>
      <c r="AP115" s="372">
        <v>52.0</v>
      </c>
      <c r="AQ115" s="370">
        <v>0.0</v>
      </c>
      <c r="AR115" s="83">
        <v>0.0</v>
      </c>
      <c r="AS115" s="372">
        <v>72.0</v>
      </c>
      <c r="AT115" s="372">
        <v>16.0</v>
      </c>
      <c r="AU115" s="371"/>
    </row>
    <row r="116">
      <c r="A116" s="368" t="s">
        <v>953</v>
      </c>
      <c r="B116" s="369"/>
      <c r="C116" s="369" t="s">
        <v>721</v>
      </c>
      <c r="D116" s="83" t="s">
        <v>752</v>
      </c>
      <c r="E116" s="83">
        <v>25.0</v>
      </c>
      <c r="F116" s="83">
        <v>20.0</v>
      </c>
      <c r="G116" s="83">
        <v>150.0</v>
      </c>
      <c r="H116" s="83">
        <v>0.1</v>
      </c>
      <c r="I116" s="354">
        <v>0.12</v>
      </c>
      <c r="J116" s="83">
        <v>2.0</v>
      </c>
      <c r="K116" s="83">
        <v>1.0</v>
      </c>
      <c r="L116" s="83">
        <v>0.0</v>
      </c>
      <c r="M116" s="354">
        <v>0.5</v>
      </c>
      <c r="N116" s="83">
        <v>0.0</v>
      </c>
      <c r="O116" s="83">
        <v>0.5</v>
      </c>
      <c r="P116" s="83">
        <v>0.0</v>
      </c>
      <c r="Q116" s="83">
        <v>0.0</v>
      </c>
      <c r="R116" s="83">
        <v>0.0</v>
      </c>
      <c r="S116" s="83">
        <v>0.0</v>
      </c>
      <c r="T116" s="83">
        <v>0.0</v>
      </c>
      <c r="U116" s="83">
        <v>0.0</v>
      </c>
      <c r="V116" s="83">
        <v>0.0</v>
      </c>
      <c r="W116" s="83">
        <v>0.0</v>
      </c>
      <c r="X116" s="370">
        <v>0.5</v>
      </c>
      <c r="Y116" s="83">
        <v>0.0</v>
      </c>
      <c r="Z116" s="370">
        <v>0.5</v>
      </c>
      <c r="AA116" s="83">
        <v>2.0</v>
      </c>
      <c r="AB116" s="370">
        <v>0.03</v>
      </c>
      <c r="AC116" s="354">
        <v>0.0</v>
      </c>
      <c r="AD116" s="371">
        <v>0.0</v>
      </c>
      <c r="AE116" s="354">
        <v>1.0</v>
      </c>
      <c r="AF116" s="354"/>
      <c r="AG116" s="354"/>
      <c r="AH116" s="83" t="s">
        <v>724</v>
      </c>
      <c r="AI116" s="83">
        <f>DPS_Melee_Damage</f>
        <v>0</v>
      </c>
      <c r="AJ116" s="371">
        <v>0.0</v>
      </c>
      <c r="AK116" s="371"/>
      <c r="AL116" s="372" t="s">
        <v>721</v>
      </c>
      <c r="AM116" s="83">
        <v>2.0</v>
      </c>
      <c r="AN116" s="83">
        <v>1.0</v>
      </c>
      <c r="AO116" s="83">
        <v>0.0</v>
      </c>
      <c r="AP116" s="372">
        <v>95.0</v>
      </c>
      <c r="AQ116" s="370">
        <v>0.0</v>
      </c>
      <c r="AR116" s="83">
        <v>0.0</v>
      </c>
      <c r="AS116" s="372">
        <v>72.0</v>
      </c>
      <c r="AT116" s="372">
        <v>16.0</v>
      </c>
      <c r="AU116" s="371"/>
    </row>
    <row r="117">
      <c r="A117" s="368" t="s">
        <v>954</v>
      </c>
      <c r="B117" s="369"/>
      <c r="C117" s="369" t="s">
        <v>721</v>
      </c>
      <c r="D117" s="83" t="s">
        <v>955</v>
      </c>
      <c r="E117" s="83">
        <v>10.0</v>
      </c>
      <c r="F117" s="83">
        <v>50.0</v>
      </c>
      <c r="G117" s="83">
        <v>175.0</v>
      </c>
      <c r="H117" s="83">
        <v>0.1</v>
      </c>
      <c r="I117" s="354">
        <v>0.03</v>
      </c>
      <c r="J117" s="83">
        <v>1.5</v>
      </c>
      <c r="K117" s="83">
        <v>1.0</v>
      </c>
      <c r="L117" s="83">
        <v>0.0</v>
      </c>
      <c r="M117" s="354">
        <v>0.5</v>
      </c>
      <c r="N117" s="83">
        <v>0.0</v>
      </c>
      <c r="O117" s="83">
        <v>0.5</v>
      </c>
      <c r="P117" s="83">
        <v>0.0</v>
      </c>
      <c r="Q117" s="83">
        <v>0.0</v>
      </c>
      <c r="R117" s="83">
        <v>0.0</v>
      </c>
      <c r="S117" s="83">
        <v>0.0</v>
      </c>
      <c r="T117" s="83">
        <v>0.0</v>
      </c>
      <c r="U117" s="83">
        <v>0.0</v>
      </c>
      <c r="V117" s="83">
        <v>0.0</v>
      </c>
      <c r="W117" s="83">
        <v>0.0</v>
      </c>
      <c r="X117" s="370">
        <v>0.5</v>
      </c>
      <c r="Y117" s="83">
        <v>0.0</v>
      </c>
      <c r="Z117" s="370">
        <v>0.5</v>
      </c>
      <c r="AA117" s="83">
        <v>2.0</v>
      </c>
      <c r="AB117" s="370">
        <v>0.03</v>
      </c>
      <c r="AC117" s="354">
        <v>0.0</v>
      </c>
      <c r="AD117" s="371">
        <v>0.0</v>
      </c>
      <c r="AE117" s="354">
        <v>0.5</v>
      </c>
      <c r="AF117" s="354">
        <v>0.75</v>
      </c>
      <c r="AG117" s="354"/>
      <c r="AH117" s="83" t="s">
        <v>956</v>
      </c>
      <c r="AI117" s="83">
        <f>DPS_Melee_Damage</f>
        <v>0</v>
      </c>
      <c r="AJ117" s="83">
        <f>DPS_Special_Stat</f>
        <v>0</v>
      </c>
      <c r="AL117" s="372" t="s">
        <v>721</v>
      </c>
      <c r="AM117" s="83">
        <v>0.0</v>
      </c>
      <c r="AN117" s="83">
        <v>1.0</v>
      </c>
      <c r="AO117" s="83">
        <v>0.0</v>
      </c>
      <c r="AP117" s="372">
        <v>15.0</v>
      </c>
      <c r="AQ117" s="370">
        <v>0.0</v>
      </c>
      <c r="AR117" s="83">
        <v>0.0</v>
      </c>
      <c r="AS117" s="372">
        <v>92.0</v>
      </c>
      <c r="AT117" s="372">
        <v>20.5</v>
      </c>
      <c r="AU117" s="372"/>
    </row>
    <row r="118">
      <c r="A118" s="368" t="s">
        <v>958</v>
      </c>
      <c r="B118" s="369"/>
      <c r="C118" s="369" t="s">
        <v>721</v>
      </c>
      <c r="D118" s="83" t="s">
        <v>955</v>
      </c>
      <c r="E118" s="83">
        <v>15.0</v>
      </c>
      <c r="F118" s="83">
        <v>40.0</v>
      </c>
      <c r="G118" s="83">
        <v>175.0</v>
      </c>
      <c r="H118" s="83">
        <v>0.1</v>
      </c>
      <c r="I118" s="354">
        <v>0.03</v>
      </c>
      <c r="J118" s="83">
        <v>1.5</v>
      </c>
      <c r="K118" s="83">
        <v>1.0</v>
      </c>
      <c r="L118" s="83">
        <v>0.0</v>
      </c>
      <c r="M118" s="354">
        <v>0.5</v>
      </c>
      <c r="N118" s="83">
        <v>0.0</v>
      </c>
      <c r="O118" s="83">
        <v>0.5</v>
      </c>
      <c r="P118" s="83">
        <v>0.0</v>
      </c>
      <c r="Q118" s="83">
        <v>0.0</v>
      </c>
      <c r="R118" s="83">
        <v>0.0</v>
      </c>
      <c r="S118" s="83">
        <v>0.0</v>
      </c>
      <c r="T118" s="83">
        <v>0.0</v>
      </c>
      <c r="U118" s="83">
        <v>0.0</v>
      </c>
      <c r="V118" s="83">
        <v>0.0</v>
      </c>
      <c r="W118" s="83">
        <v>0.0</v>
      </c>
      <c r="X118" s="370">
        <v>0.5</v>
      </c>
      <c r="Y118" s="83">
        <v>0.0</v>
      </c>
      <c r="Z118" s="370">
        <v>0.5</v>
      </c>
      <c r="AA118" s="83">
        <v>2.0</v>
      </c>
      <c r="AB118" s="370">
        <v>0.03</v>
      </c>
      <c r="AC118" s="354">
        <v>0.0</v>
      </c>
      <c r="AD118" s="371">
        <v>0.0</v>
      </c>
      <c r="AE118" s="354">
        <v>0.65</v>
      </c>
      <c r="AF118" s="354">
        <v>0.85</v>
      </c>
      <c r="AG118" s="354"/>
      <c r="AH118" s="83" t="s">
        <v>956</v>
      </c>
      <c r="AI118" s="83">
        <f>DPS_Melee_Damage</f>
        <v>0</v>
      </c>
      <c r="AJ118" s="83">
        <f>DPS_Special_Stat</f>
        <v>0</v>
      </c>
      <c r="AL118" s="372" t="s">
        <v>721</v>
      </c>
      <c r="AM118" s="83">
        <v>0.0</v>
      </c>
      <c r="AN118" s="83">
        <v>1.0</v>
      </c>
      <c r="AO118" s="83">
        <v>0.0</v>
      </c>
      <c r="AP118" s="372">
        <v>31.0</v>
      </c>
      <c r="AQ118" s="370">
        <v>0.0</v>
      </c>
      <c r="AR118" s="83">
        <v>0.0</v>
      </c>
      <c r="AS118" s="372">
        <v>92.0</v>
      </c>
      <c r="AT118" s="372">
        <v>20.5</v>
      </c>
      <c r="AU118" s="372"/>
    </row>
    <row r="119">
      <c r="A119" s="368" t="s">
        <v>959</v>
      </c>
      <c r="B119" s="369"/>
      <c r="C119" s="369" t="s">
        <v>721</v>
      </c>
      <c r="D119" s="83" t="s">
        <v>955</v>
      </c>
      <c r="E119" s="83">
        <v>20.0</v>
      </c>
      <c r="F119" s="83">
        <v>30.0</v>
      </c>
      <c r="G119" s="83">
        <v>175.0</v>
      </c>
      <c r="H119" s="83">
        <v>0.1</v>
      </c>
      <c r="I119" s="354">
        <v>0.03</v>
      </c>
      <c r="J119" s="83">
        <v>1.5</v>
      </c>
      <c r="K119" s="83">
        <v>1.0</v>
      </c>
      <c r="L119" s="83">
        <v>0.0</v>
      </c>
      <c r="M119" s="354">
        <v>0.5</v>
      </c>
      <c r="N119" s="83">
        <v>0.0</v>
      </c>
      <c r="O119" s="83">
        <v>0.5</v>
      </c>
      <c r="P119" s="83">
        <v>0.0</v>
      </c>
      <c r="Q119" s="83">
        <v>0.0</v>
      </c>
      <c r="R119" s="83">
        <v>0.0</v>
      </c>
      <c r="S119" s="83">
        <v>0.0</v>
      </c>
      <c r="T119" s="83">
        <v>0.0</v>
      </c>
      <c r="U119" s="83">
        <v>0.0</v>
      </c>
      <c r="V119" s="83">
        <v>0.0</v>
      </c>
      <c r="W119" s="83">
        <v>0.0</v>
      </c>
      <c r="X119" s="370">
        <v>0.5</v>
      </c>
      <c r="Y119" s="83">
        <v>0.0</v>
      </c>
      <c r="Z119" s="370">
        <v>0.5</v>
      </c>
      <c r="AA119" s="83">
        <v>2.0</v>
      </c>
      <c r="AB119" s="370">
        <v>0.03</v>
      </c>
      <c r="AC119" s="354">
        <v>0.0</v>
      </c>
      <c r="AD119" s="371">
        <v>0.0</v>
      </c>
      <c r="AE119" s="354">
        <v>0.85</v>
      </c>
      <c r="AF119" s="354">
        <v>1.0</v>
      </c>
      <c r="AG119" s="354"/>
      <c r="AH119" s="83" t="s">
        <v>956</v>
      </c>
      <c r="AI119" s="83">
        <f>DPS_Melee_Damage</f>
        <v>0</v>
      </c>
      <c r="AJ119" s="83">
        <f>DPS_Special_Stat</f>
        <v>0</v>
      </c>
      <c r="AL119" s="372" t="s">
        <v>721</v>
      </c>
      <c r="AM119" s="83">
        <v>0.0</v>
      </c>
      <c r="AN119" s="83">
        <v>1.0</v>
      </c>
      <c r="AO119" s="83">
        <v>0.0</v>
      </c>
      <c r="AP119" s="372">
        <v>61.0</v>
      </c>
      <c r="AQ119" s="370">
        <v>0.0</v>
      </c>
      <c r="AR119" s="83">
        <v>0.0</v>
      </c>
      <c r="AS119" s="372">
        <v>92.0</v>
      </c>
      <c r="AT119" s="372">
        <v>20.5</v>
      </c>
      <c r="AU119" s="372"/>
    </row>
    <row r="120">
      <c r="A120" s="368" t="s">
        <v>961</v>
      </c>
      <c r="B120" s="369"/>
      <c r="C120" s="369" t="s">
        <v>721</v>
      </c>
      <c r="D120" s="83" t="s">
        <v>955</v>
      </c>
      <c r="E120" s="83">
        <v>30.0</v>
      </c>
      <c r="F120" s="83">
        <v>20.0</v>
      </c>
      <c r="G120" s="83">
        <v>175.0</v>
      </c>
      <c r="H120" s="83">
        <v>0.1</v>
      </c>
      <c r="I120" s="354">
        <v>0.03</v>
      </c>
      <c r="J120" s="83">
        <v>1.5</v>
      </c>
      <c r="K120" s="83">
        <v>1.0</v>
      </c>
      <c r="L120" s="83">
        <v>0.0</v>
      </c>
      <c r="M120" s="354">
        <v>0.5</v>
      </c>
      <c r="N120" s="83">
        <v>0.0</v>
      </c>
      <c r="O120" s="83">
        <v>0.5</v>
      </c>
      <c r="P120" s="83">
        <v>0.0</v>
      </c>
      <c r="Q120" s="83">
        <v>0.0</v>
      </c>
      <c r="R120" s="83">
        <v>0.0</v>
      </c>
      <c r="S120" s="83">
        <v>0.0</v>
      </c>
      <c r="T120" s="83">
        <v>0.0</v>
      </c>
      <c r="U120" s="83">
        <v>0.0</v>
      </c>
      <c r="V120" s="83">
        <v>0.0</v>
      </c>
      <c r="W120" s="83">
        <v>0.0</v>
      </c>
      <c r="X120" s="370">
        <v>0.5</v>
      </c>
      <c r="Y120" s="83">
        <v>0.0</v>
      </c>
      <c r="Z120" s="370">
        <v>0.5</v>
      </c>
      <c r="AA120" s="83">
        <v>2.0</v>
      </c>
      <c r="AB120" s="370">
        <v>0.03</v>
      </c>
      <c r="AC120" s="354">
        <v>0.0</v>
      </c>
      <c r="AD120" s="371">
        <v>0.0</v>
      </c>
      <c r="AE120" s="354">
        <v>1.0</v>
      </c>
      <c r="AF120" s="354">
        <v>1.25</v>
      </c>
      <c r="AG120" s="354"/>
      <c r="AH120" s="83" t="s">
        <v>956</v>
      </c>
      <c r="AI120" s="83">
        <f>DPS_Melee_Damage</f>
        <v>0</v>
      </c>
      <c r="AJ120" s="83">
        <f>DPS_Special_Stat</f>
        <v>0</v>
      </c>
      <c r="AL120" s="372" t="s">
        <v>721</v>
      </c>
      <c r="AM120" s="83">
        <v>0.0</v>
      </c>
      <c r="AN120" s="83">
        <v>1.0</v>
      </c>
      <c r="AO120" s="83">
        <v>0.0</v>
      </c>
      <c r="AP120" s="372">
        <v>122.0</v>
      </c>
      <c r="AQ120" s="370">
        <v>0.0</v>
      </c>
      <c r="AR120" s="83">
        <v>0.0</v>
      </c>
      <c r="AS120" s="372">
        <v>92.0</v>
      </c>
      <c r="AT120" s="372">
        <v>20.5</v>
      </c>
      <c r="AU120" s="372"/>
    </row>
    <row r="121">
      <c r="A121" s="368" t="s">
        <v>962</v>
      </c>
      <c r="B121" s="369"/>
      <c r="C121" s="369" t="s">
        <v>733</v>
      </c>
      <c r="D121" s="83" t="s">
        <v>734</v>
      </c>
      <c r="E121" s="83">
        <v>15.0</v>
      </c>
      <c r="F121" s="83">
        <v>14.0</v>
      </c>
      <c r="G121" s="83">
        <v>450.0</v>
      </c>
      <c r="H121" s="83">
        <v>0.1</v>
      </c>
      <c r="I121" s="354">
        <v>0.03</v>
      </c>
      <c r="J121" s="83">
        <v>2.0</v>
      </c>
      <c r="K121" s="83">
        <v>1.0</v>
      </c>
      <c r="L121" s="83">
        <v>0.0</v>
      </c>
      <c r="M121" s="354">
        <v>0.5</v>
      </c>
      <c r="N121" s="83">
        <v>0.0</v>
      </c>
      <c r="O121" s="83">
        <v>0.5</v>
      </c>
      <c r="P121" s="83">
        <v>0.0</v>
      </c>
      <c r="Q121" s="83">
        <v>6.0</v>
      </c>
      <c r="R121" s="83">
        <v>8.0</v>
      </c>
      <c r="S121" s="83">
        <v>0.0</v>
      </c>
      <c r="T121" s="83">
        <v>0.0</v>
      </c>
      <c r="U121" s="83">
        <v>0.0</v>
      </c>
      <c r="V121" s="83">
        <v>0.0</v>
      </c>
      <c r="W121" s="83">
        <v>0.0</v>
      </c>
      <c r="X121" s="370">
        <v>0.5</v>
      </c>
      <c r="Y121" s="83">
        <v>0.0</v>
      </c>
      <c r="Z121" s="370">
        <v>0.5</v>
      </c>
      <c r="AA121" s="83">
        <v>2.0</v>
      </c>
      <c r="AB121" s="370">
        <v>0.03</v>
      </c>
      <c r="AC121" s="354">
        <v>0.0</v>
      </c>
      <c r="AD121" s="371">
        <v>0.0</v>
      </c>
      <c r="AE121" s="354">
        <v>1.0</v>
      </c>
      <c r="AF121" s="354"/>
      <c r="AG121" s="354"/>
      <c r="AH121" s="83" t="s">
        <v>724</v>
      </c>
      <c r="AI121" s="83">
        <f>DPS_Ranged_Damage</f>
        <v>0</v>
      </c>
      <c r="AJ121" s="371">
        <v>0.0</v>
      </c>
      <c r="AK121" s="371"/>
      <c r="AL121" s="372">
        <v>3000.0</v>
      </c>
      <c r="AM121" s="83">
        <v>15.0</v>
      </c>
      <c r="AN121" s="83">
        <v>0.9</v>
      </c>
      <c r="AO121" s="83">
        <v>0.0</v>
      </c>
      <c r="AP121" s="372">
        <v>20.0</v>
      </c>
      <c r="AQ121" s="370">
        <v>0.0</v>
      </c>
      <c r="AR121" s="83">
        <v>0.0</v>
      </c>
      <c r="AS121" s="83" t="s">
        <v>733</v>
      </c>
      <c r="AT121" s="83" t="s">
        <v>733</v>
      </c>
      <c r="AU121" s="371"/>
    </row>
    <row r="122">
      <c r="A122" s="368" t="s">
        <v>964</v>
      </c>
      <c r="B122" s="369"/>
      <c r="C122" s="369" t="s">
        <v>733</v>
      </c>
      <c r="D122" s="83" t="s">
        <v>734</v>
      </c>
      <c r="E122" s="83">
        <v>20.0</v>
      </c>
      <c r="F122" s="83">
        <v>13.0</v>
      </c>
      <c r="G122" s="83">
        <v>450.0</v>
      </c>
      <c r="H122" s="83">
        <v>0.1</v>
      </c>
      <c r="I122" s="354">
        <v>0.03</v>
      </c>
      <c r="J122" s="83">
        <v>2.0</v>
      </c>
      <c r="K122" s="83">
        <v>1.0</v>
      </c>
      <c r="L122" s="83">
        <v>0.0</v>
      </c>
      <c r="M122" s="354">
        <v>0.5</v>
      </c>
      <c r="N122" s="83">
        <v>0.0</v>
      </c>
      <c r="O122" s="83">
        <v>0.5</v>
      </c>
      <c r="P122" s="83">
        <v>0.0</v>
      </c>
      <c r="Q122" s="83">
        <v>6.0</v>
      </c>
      <c r="R122" s="83">
        <v>8.0</v>
      </c>
      <c r="S122" s="83">
        <v>0.0</v>
      </c>
      <c r="T122" s="83">
        <v>0.0</v>
      </c>
      <c r="U122" s="83">
        <v>0.0</v>
      </c>
      <c r="V122" s="83">
        <v>0.0</v>
      </c>
      <c r="W122" s="83">
        <v>0.0</v>
      </c>
      <c r="X122" s="370">
        <v>0.5</v>
      </c>
      <c r="Y122" s="83">
        <v>0.0</v>
      </c>
      <c r="Z122" s="370">
        <v>0.5</v>
      </c>
      <c r="AA122" s="83">
        <v>2.0</v>
      </c>
      <c r="AB122" s="370">
        <v>0.03</v>
      </c>
      <c r="AC122" s="354">
        <v>0.0</v>
      </c>
      <c r="AD122" s="371">
        <v>0.0</v>
      </c>
      <c r="AE122" s="354">
        <v>1.3</v>
      </c>
      <c r="AF122" s="354"/>
      <c r="AG122" s="354"/>
      <c r="AH122" s="83" t="s">
        <v>724</v>
      </c>
      <c r="AI122" s="83">
        <f>DPS_Ranged_Damage</f>
        <v>0</v>
      </c>
      <c r="AJ122" s="371">
        <v>0.0</v>
      </c>
      <c r="AK122" s="371"/>
      <c r="AL122" s="372">
        <v>3000.0</v>
      </c>
      <c r="AM122" s="83">
        <v>15.0</v>
      </c>
      <c r="AN122" s="83">
        <v>0.9</v>
      </c>
      <c r="AO122" s="83">
        <v>0.0</v>
      </c>
      <c r="AP122" s="372">
        <v>34.0</v>
      </c>
      <c r="AQ122" s="370">
        <v>0.0</v>
      </c>
      <c r="AR122" s="83">
        <v>0.0</v>
      </c>
      <c r="AS122" s="83" t="s">
        <v>733</v>
      </c>
      <c r="AT122" s="83" t="s">
        <v>733</v>
      </c>
      <c r="AU122" s="371"/>
    </row>
    <row r="123">
      <c r="A123" s="368" t="s">
        <v>966</v>
      </c>
      <c r="B123" s="369"/>
      <c r="C123" s="369" t="s">
        <v>733</v>
      </c>
      <c r="D123" s="83" t="s">
        <v>734</v>
      </c>
      <c r="E123" s="83">
        <v>25.0</v>
      </c>
      <c r="F123" s="83">
        <v>12.0</v>
      </c>
      <c r="G123" s="83">
        <v>450.0</v>
      </c>
      <c r="H123" s="83">
        <v>0.1</v>
      </c>
      <c r="I123" s="354">
        <v>0.03</v>
      </c>
      <c r="J123" s="83">
        <v>2.0</v>
      </c>
      <c r="K123" s="83">
        <v>1.0</v>
      </c>
      <c r="L123" s="83">
        <v>0.0</v>
      </c>
      <c r="M123" s="354">
        <v>0.5</v>
      </c>
      <c r="N123" s="83">
        <v>0.0</v>
      </c>
      <c r="O123" s="83">
        <v>0.5</v>
      </c>
      <c r="P123" s="83">
        <v>0.0</v>
      </c>
      <c r="Q123" s="83">
        <v>6.0</v>
      </c>
      <c r="R123" s="83">
        <v>8.0</v>
      </c>
      <c r="S123" s="83">
        <v>0.0</v>
      </c>
      <c r="T123" s="83">
        <v>0.0</v>
      </c>
      <c r="U123" s="83">
        <v>0.0</v>
      </c>
      <c r="V123" s="83">
        <v>0.0</v>
      </c>
      <c r="W123" s="83">
        <v>0.0</v>
      </c>
      <c r="X123" s="370">
        <v>0.5</v>
      </c>
      <c r="Y123" s="83">
        <v>0.0</v>
      </c>
      <c r="Z123" s="370">
        <v>0.5</v>
      </c>
      <c r="AA123" s="83">
        <v>2.0</v>
      </c>
      <c r="AB123" s="370">
        <v>0.03</v>
      </c>
      <c r="AC123" s="354">
        <v>0.0</v>
      </c>
      <c r="AD123" s="371">
        <v>0.0</v>
      </c>
      <c r="AE123" s="354">
        <v>1.65</v>
      </c>
      <c r="AF123" s="354"/>
      <c r="AG123" s="354"/>
      <c r="AH123" s="83" t="s">
        <v>724</v>
      </c>
      <c r="AI123" s="83">
        <f>DPS_Ranged_Damage</f>
        <v>0</v>
      </c>
      <c r="AJ123" s="371">
        <v>0.0</v>
      </c>
      <c r="AK123" s="371"/>
      <c r="AL123" s="372">
        <v>3000.0</v>
      </c>
      <c r="AM123" s="83">
        <v>15.0</v>
      </c>
      <c r="AN123" s="83">
        <v>0.9</v>
      </c>
      <c r="AO123" s="83">
        <v>0.0</v>
      </c>
      <c r="AP123" s="372">
        <v>70.0</v>
      </c>
      <c r="AQ123" s="370">
        <v>0.0</v>
      </c>
      <c r="AR123" s="83">
        <v>0.0</v>
      </c>
      <c r="AS123" s="83" t="s">
        <v>733</v>
      </c>
      <c r="AT123" s="83" t="s">
        <v>733</v>
      </c>
      <c r="AU123" s="371"/>
    </row>
    <row r="124">
      <c r="A124" s="368" t="s">
        <v>967</v>
      </c>
      <c r="B124" s="369"/>
      <c r="C124" s="369" t="s">
        <v>733</v>
      </c>
      <c r="D124" s="83" t="s">
        <v>734</v>
      </c>
      <c r="E124" s="83">
        <v>40.0</v>
      </c>
      <c r="F124" s="83">
        <v>11.0</v>
      </c>
      <c r="G124" s="83">
        <v>450.0</v>
      </c>
      <c r="H124" s="83">
        <v>0.1</v>
      </c>
      <c r="I124" s="354">
        <v>0.03</v>
      </c>
      <c r="J124" s="83">
        <v>2.0</v>
      </c>
      <c r="K124" s="83">
        <v>1.0</v>
      </c>
      <c r="L124" s="83">
        <v>0.0</v>
      </c>
      <c r="M124" s="354">
        <v>0.5</v>
      </c>
      <c r="N124" s="83">
        <v>0.0</v>
      </c>
      <c r="O124" s="83">
        <v>0.5</v>
      </c>
      <c r="P124" s="83">
        <v>0.0</v>
      </c>
      <c r="Q124" s="83">
        <v>6.0</v>
      </c>
      <c r="R124" s="83">
        <v>8.0</v>
      </c>
      <c r="S124" s="83">
        <v>0.0</v>
      </c>
      <c r="T124" s="83">
        <v>0.0</v>
      </c>
      <c r="U124" s="83">
        <v>0.0</v>
      </c>
      <c r="V124" s="83">
        <v>0.0</v>
      </c>
      <c r="W124" s="83">
        <v>0.0</v>
      </c>
      <c r="X124" s="370">
        <v>0.5</v>
      </c>
      <c r="Y124" s="83">
        <v>0.0</v>
      </c>
      <c r="Z124" s="370">
        <v>0.5</v>
      </c>
      <c r="AA124" s="83">
        <v>2.0</v>
      </c>
      <c r="AB124" s="370">
        <v>0.03</v>
      </c>
      <c r="AC124" s="354">
        <v>0.0</v>
      </c>
      <c r="AD124" s="371">
        <v>0.0</v>
      </c>
      <c r="AE124" s="354">
        <v>2.0</v>
      </c>
      <c r="AF124" s="354"/>
      <c r="AG124" s="354"/>
      <c r="AH124" s="83" t="s">
        <v>724</v>
      </c>
      <c r="AI124" s="83">
        <f>DPS_Ranged_Damage</f>
        <v>0</v>
      </c>
      <c r="AJ124" s="371">
        <v>0.0</v>
      </c>
      <c r="AK124" s="371"/>
      <c r="AL124" s="372">
        <v>3000.0</v>
      </c>
      <c r="AM124" s="83">
        <v>15.0</v>
      </c>
      <c r="AN124" s="83">
        <v>1.0</v>
      </c>
      <c r="AO124" s="83">
        <v>0.0</v>
      </c>
      <c r="AP124" s="372">
        <v>130.0</v>
      </c>
      <c r="AQ124" s="370">
        <v>0.0</v>
      </c>
      <c r="AR124" s="83">
        <v>0.0</v>
      </c>
      <c r="AS124" s="83" t="s">
        <v>733</v>
      </c>
      <c r="AT124" s="83" t="s">
        <v>733</v>
      </c>
      <c r="AU124" s="371"/>
    </row>
    <row r="125">
      <c r="A125" s="368" t="s">
        <v>969</v>
      </c>
      <c r="B125" s="369"/>
      <c r="C125" s="369" t="s">
        <v>721</v>
      </c>
      <c r="D125" s="83" t="s">
        <v>752</v>
      </c>
      <c r="E125" s="83">
        <v>20.0</v>
      </c>
      <c r="F125" s="83">
        <v>67.0</v>
      </c>
      <c r="G125" s="83">
        <v>150.0</v>
      </c>
      <c r="H125" s="83">
        <v>0.1</v>
      </c>
      <c r="I125" s="354">
        <v>0.1</v>
      </c>
      <c r="J125" s="83">
        <v>1.5</v>
      </c>
      <c r="K125" s="83">
        <v>1.0</v>
      </c>
      <c r="L125" s="83">
        <v>0.0</v>
      </c>
      <c r="M125" s="354">
        <v>0.5</v>
      </c>
      <c r="N125" s="83">
        <v>0.0</v>
      </c>
      <c r="O125" s="83">
        <v>0.5</v>
      </c>
      <c r="P125" s="83">
        <v>0.0</v>
      </c>
      <c r="Q125" s="83">
        <v>0.0</v>
      </c>
      <c r="R125" s="83">
        <v>0.0</v>
      </c>
      <c r="S125" s="83">
        <v>0.0</v>
      </c>
      <c r="T125" s="83">
        <v>0.0</v>
      </c>
      <c r="U125" s="83">
        <v>0.0</v>
      </c>
      <c r="V125" s="83">
        <v>0.0</v>
      </c>
      <c r="W125" s="83">
        <v>0.0</v>
      </c>
      <c r="X125" s="370">
        <v>0.5</v>
      </c>
      <c r="Y125" s="83">
        <v>0.0</v>
      </c>
      <c r="Z125" s="370">
        <v>0.5</v>
      </c>
      <c r="AA125" s="83">
        <v>2.0</v>
      </c>
      <c r="AB125" s="370">
        <v>0.03</v>
      </c>
      <c r="AC125" s="354">
        <v>0.0</v>
      </c>
      <c r="AD125" s="371">
        <v>0.0</v>
      </c>
      <c r="AE125" s="354">
        <v>1.0</v>
      </c>
      <c r="AF125" s="354"/>
      <c r="AG125" s="354"/>
      <c r="AH125" s="83" t="s">
        <v>724</v>
      </c>
      <c r="AI125" s="83">
        <f>DPS_Melee_Damage</f>
        <v>0</v>
      </c>
      <c r="AJ125" s="371">
        <v>0.0</v>
      </c>
      <c r="AK125" s="371"/>
      <c r="AL125" s="372" t="s">
        <v>721</v>
      </c>
      <c r="AM125" s="83">
        <v>5.0</v>
      </c>
      <c r="AN125" s="83">
        <v>1.0</v>
      </c>
      <c r="AO125" s="83">
        <v>0.0</v>
      </c>
      <c r="AP125" s="372">
        <v>10.0</v>
      </c>
      <c r="AQ125" s="370">
        <v>0.0</v>
      </c>
      <c r="AR125" s="83">
        <v>0.0</v>
      </c>
      <c r="AS125" s="372">
        <v>50.0</v>
      </c>
      <c r="AT125" s="372">
        <v>25.0</v>
      </c>
      <c r="AU125" s="372" t="s">
        <v>971</v>
      </c>
    </row>
    <row r="126">
      <c r="A126" s="368" t="s">
        <v>972</v>
      </c>
      <c r="B126" s="369"/>
      <c r="C126" s="369" t="s">
        <v>721</v>
      </c>
      <c r="D126" s="83" t="s">
        <v>752</v>
      </c>
      <c r="E126" s="83">
        <v>35.0</v>
      </c>
      <c r="F126" s="83">
        <v>63.0</v>
      </c>
      <c r="G126" s="83">
        <v>150.0</v>
      </c>
      <c r="H126" s="83">
        <v>0.1</v>
      </c>
      <c r="I126" s="354">
        <v>0.15</v>
      </c>
      <c r="J126" s="83">
        <v>1.5</v>
      </c>
      <c r="K126" s="83">
        <v>1.0</v>
      </c>
      <c r="L126" s="83">
        <v>0.0</v>
      </c>
      <c r="M126" s="354">
        <v>0.5</v>
      </c>
      <c r="N126" s="83">
        <v>0.0</v>
      </c>
      <c r="O126" s="83">
        <v>0.5</v>
      </c>
      <c r="P126" s="83">
        <v>0.0</v>
      </c>
      <c r="Q126" s="83">
        <v>0.0</v>
      </c>
      <c r="R126" s="83">
        <v>0.0</v>
      </c>
      <c r="S126" s="83">
        <v>0.0</v>
      </c>
      <c r="T126" s="83">
        <v>0.0</v>
      </c>
      <c r="U126" s="83">
        <v>0.0</v>
      </c>
      <c r="V126" s="83">
        <v>0.0</v>
      </c>
      <c r="W126" s="83">
        <v>0.0</v>
      </c>
      <c r="X126" s="370">
        <v>0.5</v>
      </c>
      <c r="Y126" s="83">
        <v>0.0</v>
      </c>
      <c r="Z126" s="370">
        <v>0.5</v>
      </c>
      <c r="AA126" s="83">
        <v>2.0</v>
      </c>
      <c r="AB126" s="370">
        <v>0.03</v>
      </c>
      <c r="AC126" s="354">
        <v>0.0</v>
      </c>
      <c r="AD126" s="371">
        <v>0.0</v>
      </c>
      <c r="AE126" s="354">
        <v>1.0</v>
      </c>
      <c r="AF126" s="354"/>
      <c r="AG126" s="354"/>
      <c r="AH126" s="83" t="s">
        <v>724</v>
      </c>
      <c r="AI126" s="83">
        <f>DPS_Melee_Damage</f>
        <v>0</v>
      </c>
      <c r="AJ126" s="371">
        <v>0.0</v>
      </c>
      <c r="AK126" s="371"/>
      <c r="AL126" s="372" t="s">
        <v>721</v>
      </c>
      <c r="AM126" s="83">
        <v>5.0</v>
      </c>
      <c r="AN126" s="83">
        <v>1.0</v>
      </c>
      <c r="AO126" s="83">
        <v>0.0</v>
      </c>
      <c r="AP126" s="372">
        <v>22.0</v>
      </c>
      <c r="AQ126" s="370">
        <v>0.0</v>
      </c>
      <c r="AR126" s="83">
        <v>0.0</v>
      </c>
      <c r="AS126" s="372">
        <v>50.0</v>
      </c>
      <c r="AT126" s="372">
        <v>25.0</v>
      </c>
      <c r="AU126" s="372" t="s">
        <v>971</v>
      </c>
    </row>
    <row r="127">
      <c r="A127" s="368" t="s">
        <v>974</v>
      </c>
      <c r="B127" s="369"/>
      <c r="C127" s="369" t="s">
        <v>721</v>
      </c>
      <c r="D127" s="83" t="s">
        <v>752</v>
      </c>
      <c r="E127" s="83">
        <v>50.0</v>
      </c>
      <c r="F127" s="83">
        <v>58.0</v>
      </c>
      <c r="G127" s="83">
        <v>150.0</v>
      </c>
      <c r="H127" s="83">
        <v>0.1</v>
      </c>
      <c r="I127" s="354">
        <v>0.2</v>
      </c>
      <c r="J127" s="83">
        <v>1.5</v>
      </c>
      <c r="K127" s="83">
        <v>1.0</v>
      </c>
      <c r="L127" s="83">
        <v>0.0</v>
      </c>
      <c r="M127" s="354">
        <v>0.5</v>
      </c>
      <c r="N127" s="83">
        <v>0.0</v>
      </c>
      <c r="O127" s="83">
        <v>0.5</v>
      </c>
      <c r="P127" s="83">
        <v>0.0</v>
      </c>
      <c r="Q127" s="83">
        <v>0.0</v>
      </c>
      <c r="R127" s="83">
        <v>0.0</v>
      </c>
      <c r="S127" s="83">
        <v>0.0</v>
      </c>
      <c r="T127" s="83">
        <v>0.0</v>
      </c>
      <c r="U127" s="83">
        <v>0.0</v>
      </c>
      <c r="V127" s="83">
        <v>0.0</v>
      </c>
      <c r="W127" s="83">
        <v>0.0</v>
      </c>
      <c r="X127" s="370">
        <v>0.5</v>
      </c>
      <c r="Y127" s="83">
        <v>0.0</v>
      </c>
      <c r="Z127" s="370">
        <v>0.5</v>
      </c>
      <c r="AA127" s="83">
        <v>2.0</v>
      </c>
      <c r="AB127" s="370">
        <v>0.03</v>
      </c>
      <c r="AC127" s="354">
        <v>0.0</v>
      </c>
      <c r="AD127" s="371">
        <v>0.0</v>
      </c>
      <c r="AE127" s="354">
        <v>1.0</v>
      </c>
      <c r="AF127" s="354"/>
      <c r="AG127" s="354"/>
      <c r="AH127" s="83" t="s">
        <v>724</v>
      </c>
      <c r="AI127" s="83">
        <f>DPS_Melee_Damage</f>
        <v>0</v>
      </c>
      <c r="AJ127" s="371">
        <v>0.0</v>
      </c>
      <c r="AK127" s="371"/>
      <c r="AL127" s="372" t="s">
        <v>721</v>
      </c>
      <c r="AM127" s="83">
        <v>5.0</v>
      </c>
      <c r="AN127" s="83">
        <v>1.0</v>
      </c>
      <c r="AO127" s="83">
        <v>0.0</v>
      </c>
      <c r="AP127" s="372">
        <v>45.0</v>
      </c>
      <c r="AQ127" s="370">
        <v>0.0</v>
      </c>
      <c r="AR127" s="83">
        <v>0.0</v>
      </c>
      <c r="AS127" s="372">
        <v>50.0</v>
      </c>
      <c r="AT127" s="372">
        <v>25.0</v>
      </c>
      <c r="AU127" s="372" t="s">
        <v>971</v>
      </c>
    </row>
    <row r="128">
      <c r="A128" s="368" t="s">
        <v>976</v>
      </c>
      <c r="B128" s="369"/>
      <c r="C128" s="369" t="s">
        <v>721</v>
      </c>
      <c r="D128" s="83" t="s">
        <v>752</v>
      </c>
      <c r="E128" s="83">
        <v>70.0</v>
      </c>
      <c r="F128" s="83">
        <v>54.0</v>
      </c>
      <c r="G128" s="83">
        <v>150.0</v>
      </c>
      <c r="H128" s="83">
        <v>0.1</v>
      </c>
      <c r="I128" s="354">
        <v>0.25</v>
      </c>
      <c r="J128" s="83">
        <v>1.5</v>
      </c>
      <c r="K128" s="83">
        <v>1.0</v>
      </c>
      <c r="L128" s="83">
        <v>0.0</v>
      </c>
      <c r="M128" s="354">
        <v>0.5</v>
      </c>
      <c r="N128" s="83">
        <v>0.0</v>
      </c>
      <c r="O128" s="83">
        <v>0.5</v>
      </c>
      <c r="P128" s="83">
        <v>0.0</v>
      </c>
      <c r="Q128" s="83">
        <v>0.0</v>
      </c>
      <c r="R128" s="83">
        <v>0.0</v>
      </c>
      <c r="S128" s="83">
        <v>0.0</v>
      </c>
      <c r="T128" s="83">
        <v>0.0</v>
      </c>
      <c r="U128" s="83">
        <v>0.0</v>
      </c>
      <c r="V128" s="83">
        <v>0.0</v>
      </c>
      <c r="W128" s="83">
        <v>0.0</v>
      </c>
      <c r="X128" s="370">
        <v>0.5</v>
      </c>
      <c r="Y128" s="83">
        <v>0.0</v>
      </c>
      <c r="Z128" s="370">
        <v>0.5</v>
      </c>
      <c r="AA128" s="83">
        <v>2.0</v>
      </c>
      <c r="AB128" s="370">
        <v>0.03</v>
      </c>
      <c r="AC128" s="354">
        <v>0.0</v>
      </c>
      <c r="AD128" s="371">
        <v>0.0</v>
      </c>
      <c r="AE128" s="354">
        <v>1.0</v>
      </c>
      <c r="AF128" s="354"/>
      <c r="AG128" s="354"/>
      <c r="AH128" s="83" t="s">
        <v>724</v>
      </c>
      <c r="AI128" s="83">
        <f>DPS_Melee_Damage</f>
        <v>0</v>
      </c>
      <c r="AJ128" s="371">
        <v>0.0</v>
      </c>
      <c r="AK128" s="371"/>
      <c r="AL128" s="372" t="s">
        <v>721</v>
      </c>
      <c r="AM128" s="83">
        <v>5.0</v>
      </c>
      <c r="AN128" s="83">
        <v>1.0</v>
      </c>
      <c r="AO128" s="83">
        <v>0.0</v>
      </c>
      <c r="AP128" s="372">
        <v>91.0</v>
      </c>
      <c r="AQ128" s="370">
        <v>0.0</v>
      </c>
      <c r="AR128" s="83">
        <v>0.0</v>
      </c>
      <c r="AS128" s="372">
        <v>50.0</v>
      </c>
      <c r="AT128" s="372">
        <v>25.0</v>
      </c>
      <c r="AU128" s="372" t="s">
        <v>971</v>
      </c>
    </row>
    <row r="129">
      <c r="A129" s="368" t="s">
        <v>977</v>
      </c>
      <c r="B129" s="369"/>
      <c r="C129" s="369" t="s">
        <v>733</v>
      </c>
      <c r="D129" s="83" t="s">
        <v>734</v>
      </c>
      <c r="E129" s="83">
        <v>30.0</v>
      </c>
      <c r="F129" s="83">
        <v>90.0</v>
      </c>
      <c r="G129" s="83">
        <v>500.0</v>
      </c>
      <c r="H129" s="83">
        <v>0.142</v>
      </c>
      <c r="I129" s="354">
        <v>0.03</v>
      </c>
      <c r="J129" s="83">
        <v>2.0</v>
      </c>
      <c r="K129" s="83">
        <v>1.0</v>
      </c>
      <c r="L129" s="83">
        <v>0.0</v>
      </c>
      <c r="M129" s="354">
        <v>0.5</v>
      </c>
      <c r="N129" s="83">
        <v>0.0</v>
      </c>
      <c r="O129" s="83">
        <v>0.5</v>
      </c>
      <c r="P129" s="83">
        <v>0.0</v>
      </c>
      <c r="Q129" s="83">
        <v>0.0</v>
      </c>
      <c r="R129" s="83">
        <v>0.0</v>
      </c>
      <c r="S129" s="83">
        <v>0.0</v>
      </c>
      <c r="T129" s="83">
        <v>0.0</v>
      </c>
      <c r="U129" s="83">
        <v>0.0</v>
      </c>
      <c r="V129" s="83">
        <v>0.0</v>
      </c>
      <c r="W129" s="83">
        <v>0.0</v>
      </c>
      <c r="X129" s="370">
        <v>0.5</v>
      </c>
      <c r="Y129" s="83">
        <v>0.0</v>
      </c>
      <c r="Z129" s="370">
        <v>0.5</v>
      </c>
      <c r="AA129" s="83">
        <v>2.0</v>
      </c>
      <c r="AB129" s="370">
        <v>0.03</v>
      </c>
      <c r="AC129" s="354">
        <v>0.0</v>
      </c>
      <c r="AD129" s="371">
        <v>0.0</v>
      </c>
      <c r="AE129" s="354">
        <v>1.0</v>
      </c>
      <c r="AF129" s="354"/>
      <c r="AG129" s="354"/>
      <c r="AH129" s="83" t="s">
        <v>724</v>
      </c>
      <c r="AI129" s="83">
        <f>DPS_Ranged_Damage</f>
        <v>0</v>
      </c>
      <c r="AJ129" s="371">
        <v>0.0</v>
      </c>
      <c r="AK129" s="371"/>
      <c r="AL129" s="372">
        <v>2000.0</v>
      </c>
      <c r="AM129" s="83">
        <v>15.0</v>
      </c>
      <c r="AN129" s="83">
        <v>0.8</v>
      </c>
      <c r="AO129" s="83">
        <v>0.0</v>
      </c>
      <c r="AP129" s="372">
        <v>56.0</v>
      </c>
      <c r="AQ129" s="372">
        <v>1.0</v>
      </c>
      <c r="AR129" s="372">
        <v>1.2</v>
      </c>
      <c r="AS129" s="83" t="s">
        <v>733</v>
      </c>
      <c r="AT129" s="83" t="s">
        <v>733</v>
      </c>
      <c r="AU129" s="371"/>
    </row>
    <row r="130">
      <c r="A130" s="368" t="s">
        <v>981</v>
      </c>
      <c r="B130" s="369"/>
      <c r="C130" s="369" t="s">
        <v>733</v>
      </c>
      <c r="D130" s="83" t="s">
        <v>734</v>
      </c>
      <c r="E130" s="83">
        <v>50.0</v>
      </c>
      <c r="F130" s="83">
        <v>65.0</v>
      </c>
      <c r="G130" s="83">
        <v>550.0</v>
      </c>
      <c r="H130" s="83">
        <v>0.142</v>
      </c>
      <c r="I130" s="354">
        <v>0.03</v>
      </c>
      <c r="J130" s="83">
        <v>2.0</v>
      </c>
      <c r="K130" s="83">
        <v>1.0</v>
      </c>
      <c r="L130" s="83">
        <v>0.0</v>
      </c>
      <c r="M130" s="354">
        <v>0.5</v>
      </c>
      <c r="N130" s="83">
        <v>0.0</v>
      </c>
      <c r="O130" s="83">
        <v>0.5</v>
      </c>
      <c r="P130" s="83">
        <v>0.0</v>
      </c>
      <c r="Q130" s="83">
        <v>0.0</v>
      </c>
      <c r="R130" s="83">
        <v>0.0</v>
      </c>
      <c r="S130" s="83">
        <v>0.0</v>
      </c>
      <c r="T130" s="83">
        <v>0.0</v>
      </c>
      <c r="U130" s="83">
        <v>0.0</v>
      </c>
      <c r="V130" s="83">
        <v>0.0</v>
      </c>
      <c r="W130" s="83">
        <v>0.0</v>
      </c>
      <c r="X130" s="370">
        <v>0.5</v>
      </c>
      <c r="Y130" s="83">
        <v>0.0</v>
      </c>
      <c r="Z130" s="370">
        <v>0.5</v>
      </c>
      <c r="AA130" s="83">
        <v>2.0</v>
      </c>
      <c r="AB130" s="370">
        <v>0.03</v>
      </c>
      <c r="AC130" s="354">
        <v>0.0</v>
      </c>
      <c r="AD130" s="371">
        <v>0.0</v>
      </c>
      <c r="AE130" s="354">
        <v>1.0</v>
      </c>
      <c r="AF130" s="354"/>
      <c r="AG130" s="354"/>
      <c r="AH130" s="83" t="s">
        <v>724</v>
      </c>
      <c r="AI130" s="83">
        <f>DPS_Ranged_Damage</f>
        <v>0</v>
      </c>
      <c r="AJ130" s="371">
        <v>0.0</v>
      </c>
      <c r="AK130" s="371"/>
      <c r="AL130" s="372">
        <v>2000.0</v>
      </c>
      <c r="AM130" s="83">
        <v>15.0</v>
      </c>
      <c r="AN130" s="83">
        <v>0.9</v>
      </c>
      <c r="AO130" s="83">
        <v>0.0</v>
      </c>
      <c r="AP130" s="372">
        <v>103.0</v>
      </c>
      <c r="AQ130" s="372">
        <v>1.0</v>
      </c>
      <c r="AR130" s="372">
        <v>1.2</v>
      </c>
      <c r="AS130" s="83" t="s">
        <v>733</v>
      </c>
      <c r="AT130" s="83" t="s">
        <v>733</v>
      </c>
      <c r="AU130" s="371"/>
    </row>
    <row r="131">
      <c r="A131" s="368" t="s">
        <v>982</v>
      </c>
      <c r="B131" s="369"/>
      <c r="C131" s="369" t="s">
        <v>733</v>
      </c>
      <c r="D131" s="83" t="s">
        <v>734</v>
      </c>
      <c r="E131" s="83">
        <v>80.0</v>
      </c>
      <c r="F131" s="83">
        <v>45.0</v>
      </c>
      <c r="G131" s="83">
        <v>600.0</v>
      </c>
      <c r="H131" s="83">
        <v>0.142</v>
      </c>
      <c r="I131" s="354">
        <v>0.03</v>
      </c>
      <c r="J131" s="83">
        <v>2.0</v>
      </c>
      <c r="K131" s="83">
        <v>1.0</v>
      </c>
      <c r="L131" s="83">
        <v>0.0</v>
      </c>
      <c r="M131" s="354">
        <v>0.5</v>
      </c>
      <c r="N131" s="83">
        <v>0.0</v>
      </c>
      <c r="O131" s="83">
        <v>0.5</v>
      </c>
      <c r="P131" s="83">
        <v>0.0</v>
      </c>
      <c r="Q131" s="83">
        <v>0.0</v>
      </c>
      <c r="R131" s="83">
        <v>0.0</v>
      </c>
      <c r="S131" s="83">
        <v>0.0</v>
      </c>
      <c r="T131" s="83">
        <v>0.0</v>
      </c>
      <c r="U131" s="83">
        <v>0.0</v>
      </c>
      <c r="V131" s="83">
        <v>0.0</v>
      </c>
      <c r="W131" s="83">
        <v>0.0</v>
      </c>
      <c r="X131" s="370">
        <v>0.5</v>
      </c>
      <c r="Y131" s="83">
        <v>0.0</v>
      </c>
      <c r="Z131" s="370">
        <v>0.5</v>
      </c>
      <c r="AA131" s="83">
        <v>2.0</v>
      </c>
      <c r="AB131" s="370">
        <v>0.03</v>
      </c>
      <c r="AC131" s="354">
        <v>0.0</v>
      </c>
      <c r="AD131" s="371">
        <v>0.0</v>
      </c>
      <c r="AE131" s="354">
        <v>1.0</v>
      </c>
      <c r="AF131" s="354"/>
      <c r="AG131" s="354"/>
      <c r="AH131" s="83" t="s">
        <v>724</v>
      </c>
      <c r="AI131" s="83">
        <f>DPS_Ranged_Damage</f>
        <v>0</v>
      </c>
      <c r="AJ131" s="371">
        <v>0.0</v>
      </c>
      <c r="AK131" s="371"/>
      <c r="AL131" s="372">
        <v>2000.0</v>
      </c>
      <c r="AM131" s="83">
        <v>15.0</v>
      </c>
      <c r="AN131" s="83">
        <v>1.0</v>
      </c>
      <c r="AO131" s="83">
        <v>0.0</v>
      </c>
      <c r="AP131" s="372">
        <v>207.0</v>
      </c>
      <c r="AQ131" s="372">
        <v>1.0</v>
      </c>
      <c r="AR131" s="372">
        <v>1.2</v>
      </c>
      <c r="AS131" s="83" t="s">
        <v>733</v>
      </c>
      <c r="AT131" s="83" t="s">
        <v>733</v>
      </c>
      <c r="AU131" s="371"/>
    </row>
    <row r="132">
      <c r="A132" s="368" t="s">
        <v>983</v>
      </c>
      <c r="B132" s="369"/>
      <c r="C132" s="369" t="s">
        <v>721</v>
      </c>
      <c r="D132" s="83" t="s">
        <v>752</v>
      </c>
      <c r="E132" s="83">
        <v>5.0</v>
      </c>
      <c r="F132" s="83">
        <v>27.0</v>
      </c>
      <c r="G132" s="83">
        <v>150.0</v>
      </c>
      <c r="H132" s="83">
        <v>0.1</v>
      </c>
      <c r="I132" s="354">
        <v>0.1</v>
      </c>
      <c r="J132" s="83">
        <v>2.0</v>
      </c>
      <c r="K132" s="83">
        <v>1.0</v>
      </c>
      <c r="L132" s="83">
        <v>0.0</v>
      </c>
      <c r="M132" s="354">
        <v>0.5</v>
      </c>
      <c r="N132" s="83">
        <v>0.0</v>
      </c>
      <c r="O132" s="83">
        <v>0.5</v>
      </c>
      <c r="P132" s="83">
        <v>0.0</v>
      </c>
      <c r="Q132" s="83">
        <v>0.0</v>
      </c>
      <c r="R132" s="83">
        <v>0.0</v>
      </c>
      <c r="S132" s="83">
        <v>0.0</v>
      </c>
      <c r="T132" s="83">
        <v>0.0</v>
      </c>
      <c r="U132" s="83">
        <v>0.0</v>
      </c>
      <c r="V132" s="83">
        <v>0.0</v>
      </c>
      <c r="W132" s="83">
        <v>0.0</v>
      </c>
      <c r="X132" s="370">
        <v>0.5</v>
      </c>
      <c r="Y132" s="83">
        <v>0.0</v>
      </c>
      <c r="Z132" s="370">
        <v>0.5</v>
      </c>
      <c r="AA132" s="83">
        <v>2.0</v>
      </c>
      <c r="AB132" s="370">
        <v>0.03</v>
      </c>
      <c r="AC132" s="354">
        <v>0.0</v>
      </c>
      <c r="AD132" s="371">
        <v>0.0</v>
      </c>
      <c r="AE132" s="354">
        <v>0.8</v>
      </c>
      <c r="AF132" s="354"/>
      <c r="AG132" s="354"/>
      <c r="AH132" s="83" t="s">
        <v>724</v>
      </c>
      <c r="AI132" s="83">
        <f>DPS_Melee_Damage</f>
        <v>0</v>
      </c>
      <c r="AJ132" s="371">
        <v>0.0</v>
      </c>
      <c r="AK132" s="371"/>
      <c r="AL132" s="372" t="s">
        <v>721</v>
      </c>
      <c r="AM132" s="83">
        <v>2.0</v>
      </c>
      <c r="AN132" s="83">
        <v>1.0</v>
      </c>
      <c r="AO132" s="83">
        <v>0.0</v>
      </c>
      <c r="AP132" s="372">
        <v>15.0</v>
      </c>
      <c r="AQ132" s="370">
        <v>0.0</v>
      </c>
      <c r="AR132" s="83">
        <v>0.0</v>
      </c>
      <c r="AS132" s="372">
        <v>72.0</v>
      </c>
      <c r="AT132" s="372">
        <v>16.0</v>
      </c>
      <c r="AU132" s="371"/>
    </row>
    <row r="133">
      <c r="A133" s="368" t="s">
        <v>985</v>
      </c>
      <c r="B133" s="369"/>
      <c r="C133" s="369" t="s">
        <v>721</v>
      </c>
      <c r="D133" s="83" t="s">
        <v>752</v>
      </c>
      <c r="E133" s="83">
        <v>10.0</v>
      </c>
      <c r="F133" s="83">
        <v>25.0</v>
      </c>
      <c r="G133" s="83">
        <v>150.0</v>
      </c>
      <c r="H133" s="83">
        <v>0.1</v>
      </c>
      <c r="I133" s="354">
        <v>0.12</v>
      </c>
      <c r="J133" s="83">
        <v>2.15</v>
      </c>
      <c r="K133" s="83">
        <v>1.0</v>
      </c>
      <c r="L133" s="83">
        <v>0.0</v>
      </c>
      <c r="M133" s="354">
        <v>0.5</v>
      </c>
      <c r="N133" s="83">
        <v>0.0</v>
      </c>
      <c r="O133" s="83">
        <v>0.5</v>
      </c>
      <c r="P133" s="83">
        <v>0.0</v>
      </c>
      <c r="Q133" s="83">
        <v>0.0</v>
      </c>
      <c r="R133" s="83">
        <v>0.0</v>
      </c>
      <c r="S133" s="83">
        <v>0.0</v>
      </c>
      <c r="T133" s="83">
        <v>0.0</v>
      </c>
      <c r="U133" s="83">
        <v>0.0</v>
      </c>
      <c r="V133" s="83">
        <v>0.0</v>
      </c>
      <c r="W133" s="83">
        <v>0.0</v>
      </c>
      <c r="X133" s="370">
        <v>0.5</v>
      </c>
      <c r="Y133" s="83">
        <v>0.0</v>
      </c>
      <c r="Z133" s="370">
        <v>0.5</v>
      </c>
      <c r="AA133" s="83">
        <v>2.0</v>
      </c>
      <c r="AB133" s="370">
        <v>0.03</v>
      </c>
      <c r="AC133" s="354">
        <v>0.0</v>
      </c>
      <c r="AD133" s="371">
        <v>0.0</v>
      </c>
      <c r="AE133" s="354">
        <v>0.8</v>
      </c>
      <c r="AF133" s="354"/>
      <c r="AG133" s="354"/>
      <c r="AH133" s="83" t="s">
        <v>724</v>
      </c>
      <c r="AI133" s="83">
        <f>DPS_Melee_Damage</f>
        <v>0</v>
      </c>
      <c r="AJ133" s="371">
        <v>0.0</v>
      </c>
      <c r="AK133" s="371"/>
      <c r="AL133" s="372" t="s">
        <v>721</v>
      </c>
      <c r="AM133" s="83">
        <v>2.0</v>
      </c>
      <c r="AN133" s="83">
        <v>1.0</v>
      </c>
      <c r="AO133" s="83">
        <v>0.0</v>
      </c>
      <c r="AP133" s="372">
        <v>31.0</v>
      </c>
      <c r="AQ133" s="370">
        <v>0.0</v>
      </c>
      <c r="AR133" s="83">
        <v>0.0</v>
      </c>
      <c r="AS133" s="372">
        <v>72.0</v>
      </c>
      <c r="AT133" s="372">
        <v>16.0</v>
      </c>
      <c r="AU133" s="371"/>
    </row>
    <row r="134">
      <c r="A134" s="368" t="s">
        <v>987</v>
      </c>
      <c r="B134" s="369"/>
      <c r="C134" s="369" t="s">
        <v>721</v>
      </c>
      <c r="D134" s="83" t="s">
        <v>752</v>
      </c>
      <c r="E134" s="83">
        <v>15.0</v>
      </c>
      <c r="F134" s="83">
        <v>23.0</v>
      </c>
      <c r="G134" s="83">
        <v>150.0</v>
      </c>
      <c r="H134" s="83">
        <v>0.1</v>
      </c>
      <c r="I134" s="354">
        <v>0.15</v>
      </c>
      <c r="J134" s="83">
        <v>2.3</v>
      </c>
      <c r="K134" s="83">
        <v>1.0</v>
      </c>
      <c r="L134" s="83">
        <v>0.0</v>
      </c>
      <c r="M134" s="354">
        <v>0.5</v>
      </c>
      <c r="N134" s="83">
        <v>0.0</v>
      </c>
      <c r="O134" s="83">
        <v>0.5</v>
      </c>
      <c r="P134" s="83">
        <v>0.0</v>
      </c>
      <c r="Q134" s="83">
        <v>0.0</v>
      </c>
      <c r="R134" s="83">
        <v>0.0</v>
      </c>
      <c r="S134" s="83">
        <v>0.0</v>
      </c>
      <c r="T134" s="83">
        <v>0.0</v>
      </c>
      <c r="U134" s="83">
        <v>0.0</v>
      </c>
      <c r="V134" s="83">
        <v>0.0</v>
      </c>
      <c r="W134" s="83">
        <v>0.0</v>
      </c>
      <c r="X134" s="370">
        <v>0.5</v>
      </c>
      <c r="Y134" s="83">
        <v>0.0</v>
      </c>
      <c r="Z134" s="370">
        <v>0.5</v>
      </c>
      <c r="AA134" s="83">
        <v>2.0</v>
      </c>
      <c r="AB134" s="370">
        <v>0.03</v>
      </c>
      <c r="AC134" s="354">
        <v>0.0</v>
      </c>
      <c r="AD134" s="371">
        <v>0.0</v>
      </c>
      <c r="AE134" s="354">
        <v>0.8</v>
      </c>
      <c r="AF134" s="354"/>
      <c r="AG134" s="354"/>
      <c r="AH134" s="83" t="s">
        <v>724</v>
      </c>
      <c r="AI134" s="83">
        <f>DPS_Melee_Damage</f>
        <v>0</v>
      </c>
      <c r="AJ134" s="371">
        <v>0.0</v>
      </c>
      <c r="AK134" s="371"/>
      <c r="AL134" s="372" t="s">
        <v>721</v>
      </c>
      <c r="AM134" s="83">
        <v>2.0</v>
      </c>
      <c r="AN134" s="83">
        <v>1.0</v>
      </c>
      <c r="AO134" s="83">
        <v>0.0</v>
      </c>
      <c r="AP134" s="372">
        <v>61.0</v>
      </c>
      <c r="AQ134" s="370">
        <v>0.0</v>
      </c>
      <c r="AR134" s="83">
        <v>0.0</v>
      </c>
      <c r="AS134" s="372">
        <v>72.0</v>
      </c>
      <c r="AT134" s="372">
        <v>16.0</v>
      </c>
      <c r="AU134" s="371"/>
    </row>
    <row r="135">
      <c r="A135" s="368" t="s">
        <v>989</v>
      </c>
      <c r="B135" s="369"/>
      <c r="C135" s="369" t="s">
        <v>721</v>
      </c>
      <c r="D135" s="83" t="s">
        <v>752</v>
      </c>
      <c r="E135" s="83">
        <v>20.0</v>
      </c>
      <c r="F135" s="83">
        <v>18.0</v>
      </c>
      <c r="G135" s="83">
        <v>150.0</v>
      </c>
      <c r="H135" s="83">
        <v>0.1</v>
      </c>
      <c r="I135" s="354">
        <v>0.2</v>
      </c>
      <c r="J135" s="83">
        <v>2.5</v>
      </c>
      <c r="K135" s="83">
        <v>1.0</v>
      </c>
      <c r="L135" s="83">
        <v>0.0</v>
      </c>
      <c r="M135" s="354">
        <v>0.5</v>
      </c>
      <c r="N135" s="83">
        <v>0.0</v>
      </c>
      <c r="O135" s="83">
        <v>0.5</v>
      </c>
      <c r="P135" s="83">
        <v>0.0</v>
      </c>
      <c r="Q135" s="83">
        <v>0.0</v>
      </c>
      <c r="R135" s="83">
        <v>0.0</v>
      </c>
      <c r="S135" s="83">
        <v>0.0</v>
      </c>
      <c r="T135" s="83">
        <v>0.0</v>
      </c>
      <c r="U135" s="83">
        <v>0.0</v>
      </c>
      <c r="V135" s="83">
        <v>0.0</v>
      </c>
      <c r="W135" s="83">
        <v>0.0</v>
      </c>
      <c r="X135" s="370">
        <v>0.5</v>
      </c>
      <c r="Y135" s="83">
        <v>0.0</v>
      </c>
      <c r="Z135" s="370">
        <v>0.5</v>
      </c>
      <c r="AA135" s="83">
        <v>2.0</v>
      </c>
      <c r="AB135" s="370">
        <v>0.03</v>
      </c>
      <c r="AC135" s="354">
        <v>0.0</v>
      </c>
      <c r="AD135" s="371">
        <v>0.0</v>
      </c>
      <c r="AE135" s="354">
        <v>0.8</v>
      </c>
      <c r="AF135" s="354"/>
      <c r="AG135" s="354"/>
      <c r="AH135" s="83" t="s">
        <v>724</v>
      </c>
      <c r="AI135" s="83">
        <f>DPS_Melee_Damage</f>
        <v>0</v>
      </c>
      <c r="AJ135" s="371">
        <v>0.0</v>
      </c>
      <c r="AK135" s="371"/>
      <c r="AL135" s="372" t="s">
        <v>721</v>
      </c>
      <c r="AM135" s="83">
        <v>2.0</v>
      </c>
      <c r="AN135" s="83">
        <v>1.0</v>
      </c>
      <c r="AO135" s="83">
        <v>0.0</v>
      </c>
      <c r="AP135" s="372">
        <v>122.0</v>
      </c>
      <c r="AQ135" s="370">
        <v>0.0</v>
      </c>
      <c r="AR135" s="83">
        <v>0.0</v>
      </c>
      <c r="AS135" s="372">
        <v>72.0</v>
      </c>
      <c r="AT135" s="372">
        <v>16.0</v>
      </c>
      <c r="AU135" s="371"/>
    </row>
    <row r="136">
      <c r="A136" s="368" t="s">
        <v>990</v>
      </c>
      <c r="B136" s="369"/>
      <c r="C136" s="369" t="s">
        <v>721</v>
      </c>
      <c r="D136" s="83" t="s">
        <v>752</v>
      </c>
      <c r="E136" s="83">
        <v>8.0</v>
      </c>
      <c r="F136" s="83">
        <v>31.0</v>
      </c>
      <c r="G136" s="83">
        <v>135.0</v>
      </c>
      <c r="H136" s="83">
        <v>0.1</v>
      </c>
      <c r="I136" s="354">
        <v>0.1</v>
      </c>
      <c r="J136" s="83">
        <v>2.0</v>
      </c>
      <c r="K136" s="83">
        <v>1.0</v>
      </c>
      <c r="L136" s="83">
        <v>0.0</v>
      </c>
      <c r="M136" s="354">
        <v>0.5</v>
      </c>
      <c r="N136" s="83">
        <v>0.0</v>
      </c>
      <c r="O136" s="83">
        <v>0.5</v>
      </c>
      <c r="P136" s="83">
        <v>0.0</v>
      </c>
      <c r="Q136" s="83">
        <v>0.0</v>
      </c>
      <c r="R136" s="83">
        <v>0.0</v>
      </c>
      <c r="S136" s="83">
        <v>0.0</v>
      </c>
      <c r="T136" s="83">
        <v>0.0</v>
      </c>
      <c r="U136" s="83">
        <v>0.0</v>
      </c>
      <c r="V136" s="83">
        <v>0.0</v>
      </c>
      <c r="W136" s="83">
        <v>0.0</v>
      </c>
      <c r="X136" s="370">
        <v>0.5</v>
      </c>
      <c r="Y136" s="83">
        <v>0.0</v>
      </c>
      <c r="Z136" s="370">
        <v>0.5</v>
      </c>
      <c r="AA136" s="83">
        <v>2.0</v>
      </c>
      <c r="AB136" s="370">
        <v>0.03</v>
      </c>
      <c r="AC136" s="354">
        <v>0.0</v>
      </c>
      <c r="AD136" s="371">
        <v>0.0</v>
      </c>
      <c r="AE136" s="354">
        <v>0.5</v>
      </c>
      <c r="AF136" s="354">
        <v>0.5</v>
      </c>
      <c r="AG136" s="354"/>
      <c r="AH136" s="83" t="s">
        <v>724</v>
      </c>
      <c r="AI136" s="83">
        <f>DPS_Melee_Damage</f>
        <v>0</v>
      </c>
      <c r="AJ136" s="83">
        <f>DPS_Engineering</f>
        <v>0</v>
      </c>
      <c r="AL136" s="372" t="s">
        <v>721</v>
      </c>
      <c r="AM136" s="83">
        <v>3.0</v>
      </c>
      <c r="AN136" s="83">
        <v>1.0</v>
      </c>
      <c r="AO136" s="83">
        <v>0.0</v>
      </c>
      <c r="AP136" s="372">
        <v>10.0</v>
      </c>
      <c r="AQ136" s="370">
        <v>0.0</v>
      </c>
      <c r="AR136" s="83">
        <v>0.0</v>
      </c>
      <c r="AS136" s="372">
        <v>72.0</v>
      </c>
      <c r="AT136" s="372">
        <v>16.0</v>
      </c>
      <c r="AU136" s="371"/>
    </row>
    <row r="137">
      <c r="A137" s="368" t="s">
        <v>991</v>
      </c>
      <c r="B137" s="369"/>
      <c r="C137" s="369" t="s">
        <v>721</v>
      </c>
      <c r="D137" s="83" t="s">
        <v>752</v>
      </c>
      <c r="E137" s="83">
        <v>12.0</v>
      </c>
      <c r="F137" s="83">
        <v>28.0</v>
      </c>
      <c r="G137" s="83">
        <v>135.0</v>
      </c>
      <c r="H137" s="83">
        <v>0.1</v>
      </c>
      <c r="I137" s="354">
        <v>0.15</v>
      </c>
      <c r="J137" s="83">
        <v>2.15</v>
      </c>
      <c r="K137" s="83">
        <v>1.0</v>
      </c>
      <c r="L137" s="83">
        <v>0.0</v>
      </c>
      <c r="M137" s="354">
        <v>0.5</v>
      </c>
      <c r="N137" s="83">
        <v>0.0</v>
      </c>
      <c r="O137" s="83">
        <v>0.5</v>
      </c>
      <c r="P137" s="83">
        <v>0.0</v>
      </c>
      <c r="Q137" s="83">
        <v>0.0</v>
      </c>
      <c r="R137" s="83">
        <v>0.0</v>
      </c>
      <c r="S137" s="83">
        <v>0.0</v>
      </c>
      <c r="T137" s="83">
        <v>0.0</v>
      </c>
      <c r="U137" s="83">
        <v>0.0</v>
      </c>
      <c r="V137" s="83">
        <v>0.0</v>
      </c>
      <c r="W137" s="83">
        <v>0.0</v>
      </c>
      <c r="X137" s="370">
        <v>0.5</v>
      </c>
      <c r="Y137" s="83">
        <v>0.0</v>
      </c>
      <c r="Z137" s="370">
        <v>0.5</v>
      </c>
      <c r="AA137" s="83">
        <v>2.0</v>
      </c>
      <c r="AB137" s="370">
        <v>0.03</v>
      </c>
      <c r="AC137" s="354">
        <v>0.0</v>
      </c>
      <c r="AD137" s="371">
        <v>0.0</v>
      </c>
      <c r="AE137" s="354">
        <v>0.5</v>
      </c>
      <c r="AF137" s="354">
        <v>0.6</v>
      </c>
      <c r="AG137" s="354"/>
      <c r="AH137" s="83" t="s">
        <v>724</v>
      </c>
      <c r="AI137" s="83">
        <f>DPS_Melee_Damage</f>
        <v>0</v>
      </c>
      <c r="AJ137" s="83">
        <f>DPS_Engineering</f>
        <v>0</v>
      </c>
      <c r="AL137" s="372" t="s">
        <v>721</v>
      </c>
      <c r="AM137" s="83">
        <v>3.0</v>
      </c>
      <c r="AN137" s="83">
        <v>1.0</v>
      </c>
      <c r="AO137" s="83">
        <v>0.0</v>
      </c>
      <c r="AP137" s="372">
        <v>22.0</v>
      </c>
      <c r="AQ137" s="370">
        <v>0.0</v>
      </c>
      <c r="AR137" s="83">
        <v>0.0</v>
      </c>
      <c r="AS137" s="372">
        <v>72.0</v>
      </c>
      <c r="AT137" s="372">
        <v>16.0</v>
      </c>
      <c r="AU137" s="371"/>
    </row>
    <row r="138">
      <c r="A138" s="368" t="s">
        <v>992</v>
      </c>
      <c r="B138" s="369"/>
      <c r="C138" s="369" t="s">
        <v>721</v>
      </c>
      <c r="D138" s="83" t="s">
        <v>752</v>
      </c>
      <c r="E138" s="83">
        <v>16.0</v>
      </c>
      <c r="F138" s="83">
        <v>26.0</v>
      </c>
      <c r="G138" s="83">
        <v>135.0</v>
      </c>
      <c r="H138" s="83">
        <v>0.1</v>
      </c>
      <c r="I138" s="354">
        <v>0.2</v>
      </c>
      <c r="J138" s="83">
        <v>2.3</v>
      </c>
      <c r="K138" s="83">
        <v>1.0</v>
      </c>
      <c r="L138" s="83">
        <v>0.0</v>
      </c>
      <c r="M138" s="354">
        <v>0.5</v>
      </c>
      <c r="N138" s="83">
        <v>0.0</v>
      </c>
      <c r="O138" s="83">
        <v>0.5</v>
      </c>
      <c r="P138" s="83">
        <v>0.0</v>
      </c>
      <c r="Q138" s="83">
        <v>0.0</v>
      </c>
      <c r="R138" s="83">
        <v>0.0</v>
      </c>
      <c r="S138" s="83">
        <v>0.0</v>
      </c>
      <c r="T138" s="83">
        <v>0.0</v>
      </c>
      <c r="U138" s="83">
        <v>0.0</v>
      </c>
      <c r="V138" s="83">
        <v>0.0</v>
      </c>
      <c r="W138" s="83">
        <v>0.0</v>
      </c>
      <c r="X138" s="370">
        <v>0.5</v>
      </c>
      <c r="Y138" s="83">
        <v>0.0</v>
      </c>
      <c r="Z138" s="370">
        <v>0.5</v>
      </c>
      <c r="AA138" s="83">
        <v>2.0</v>
      </c>
      <c r="AB138" s="370">
        <v>0.03</v>
      </c>
      <c r="AC138" s="354">
        <v>0.0</v>
      </c>
      <c r="AD138" s="371">
        <v>0.0</v>
      </c>
      <c r="AE138" s="354">
        <v>0.5</v>
      </c>
      <c r="AF138" s="354">
        <v>0.7</v>
      </c>
      <c r="AG138" s="354"/>
      <c r="AH138" s="83" t="s">
        <v>724</v>
      </c>
      <c r="AI138" s="83">
        <f>DPS_Melee_Damage</f>
        <v>0</v>
      </c>
      <c r="AJ138" s="83">
        <f>DPS_Engineering</f>
        <v>0</v>
      </c>
      <c r="AL138" s="372" t="s">
        <v>721</v>
      </c>
      <c r="AM138" s="83">
        <v>3.0</v>
      </c>
      <c r="AN138" s="83">
        <v>1.0</v>
      </c>
      <c r="AO138" s="83">
        <v>0.0</v>
      </c>
      <c r="AP138" s="372">
        <v>45.0</v>
      </c>
      <c r="AQ138" s="370">
        <v>0.0</v>
      </c>
      <c r="AR138" s="83">
        <v>0.0</v>
      </c>
      <c r="AS138" s="372">
        <v>72.0</v>
      </c>
      <c r="AT138" s="372">
        <v>16.0</v>
      </c>
      <c r="AU138" s="371"/>
    </row>
    <row r="139">
      <c r="A139" s="368" t="s">
        <v>994</v>
      </c>
      <c r="B139" s="369"/>
      <c r="C139" s="369" t="s">
        <v>721</v>
      </c>
      <c r="D139" s="83" t="s">
        <v>752</v>
      </c>
      <c r="E139" s="83">
        <v>20.0</v>
      </c>
      <c r="F139" s="83">
        <v>20.0</v>
      </c>
      <c r="G139" s="83">
        <v>135.0</v>
      </c>
      <c r="H139" s="83">
        <v>0.1</v>
      </c>
      <c r="I139" s="354">
        <v>0.3</v>
      </c>
      <c r="J139" s="83">
        <v>2.5</v>
      </c>
      <c r="K139" s="83">
        <v>1.0</v>
      </c>
      <c r="L139" s="83">
        <v>0.0</v>
      </c>
      <c r="M139" s="354">
        <v>0.5</v>
      </c>
      <c r="N139" s="83">
        <v>0.0</v>
      </c>
      <c r="O139" s="83">
        <v>0.5</v>
      </c>
      <c r="P139" s="83">
        <v>0.0</v>
      </c>
      <c r="Q139" s="83">
        <v>0.0</v>
      </c>
      <c r="R139" s="83">
        <v>0.0</v>
      </c>
      <c r="S139" s="83">
        <v>0.0</v>
      </c>
      <c r="T139" s="83">
        <v>0.0</v>
      </c>
      <c r="U139" s="83">
        <v>0.0</v>
      </c>
      <c r="V139" s="83">
        <v>0.0</v>
      </c>
      <c r="W139" s="83">
        <v>0.0</v>
      </c>
      <c r="X139" s="370">
        <v>0.5</v>
      </c>
      <c r="Y139" s="83">
        <v>0.0</v>
      </c>
      <c r="Z139" s="370">
        <v>0.5</v>
      </c>
      <c r="AA139" s="83">
        <v>2.0</v>
      </c>
      <c r="AB139" s="370">
        <v>0.03</v>
      </c>
      <c r="AC139" s="354">
        <v>0.0</v>
      </c>
      <c r="AD139" s="371">
        <v>0.0</v>
      </c>
      <c r="AE139" s="354">
        <v>0.5</v>
      </c>
      <c r="AF139" s="354">
        <v>0.8</v>
      </c>
      <c r="AG139" s="354"/>
      <c r="AH139" s="83" t="s">
        <v>724</v>
      </c>
      <c r="AI139" s="83">
        <f>DPS_Melee_Damage</f>
        <v>0</v>
      </c>
      <c r="AJ139" s="83">
        <f>DPS_Engineering</f>
        <v>0</v>
      </c>
      <c r="AL139" s="372" t="s">
        <v>721</v>
      </c>
      <c r="AM139" s="83">
        <v>3.0</v>
      </c>
      <c r="AN139" s="83">
        <v>1.0</v>
      </c>
      <c r="AO139" s="83">
        <v>0.0</v>
      </c>
      <c r="AP139" s="372">
        <v>91.0</v>
      </c>
      <c r="AQ139" s="370">
        <v>0.0</v>
      </c>
      <c r="AR139" s="83">
        <v>0.0</v>
      </c>
      <c r="AS139" s="372">
        <v>72.0</v>
      </c>
      <c r="AT139" s="372">
        <v>16.0</v>
      </c>
      <c r="AU139" s="371"/>
    </row>
    <row r="140">
      <c r="A140" s="368" t="s">
        <v>995</v>
      </c>
      <c r="B140" s="369"/>
      <c r="C140" s="369" t="s">
        <v>721</v>
      </c>
      <c r="D140" s="83" t="s">
        <v>722</v>
      </c>
      <c r="E140" s="83">
        <v>150.0</v>
      </c>
      <c r="F140" s="83">
        <v>3.0</v>
      </c>
      <c r="G140" s="83">
        <v>250.0</v>
      </c>
      <c r="H140" s="83">
        <v>0.1</v>
      </c>
      <c r="I140" s="354">
        <v>0.03</v>
      </c>
      <c r="J140" s="83">
        <v>2.0</v>
      </c>
      <c r="K140" s="83">
        <v>1.0</v>
      </c>
      <c r="L140" s="83">
        <v>0.0</v>
      </c>
      <c r="M140" s="354">
        <v>0.5</v>
      </c>
      <c r="N140" s="83">
        <v>0.0</v>
      </c>
      <c r="O140" s="83">
        <v>0.5</v>
      </c>
      <c r="P140" s="83">
        <v>0.0</v>
      </c>
      <c r="Q140" s="83">
        <v>0.0</v>
      </c>
      <c r="R140" s="83">
        <v>0.0</v>
      </c>
      <c r="S140" s="83">
        <v>0.0</v>
      </c>
      <c r="T140" s="83">
        <v>0.0</v>
      </c>
      <c r="U140" s="83">
        <v>0.0</v>
      </c>
      <c r="V140" s="83">
        <v>0.0</v>
      </c>
      <c r="W140" s="83">
        <v>0.0</v>
      </c>
      <c r="X140" s="370">
        <v>0.5</v>
      </c>
      <c r="Y140" s="83">
        <v>0.0</v>
      </c>
      <c r="Z140" s="370">
        <v>0.5</v>
      </c>
      <c r="AA140" s="83">
        <v>2.0</v>
      </c>
      <c r="AB140" s="370">
        <v>0.03</v>
      </c>
      <c r="AC140" s="354">
        <v>0.0</v>
      </c>
      <c r="AD140" s="371">
        <v>0.0</v>
      </c>
      <c r="AE140" s="354">
        <v>1.5</v>
      </c>
      <c r="AF140" s="354">
        <v>1.0</v>
      </c>
      <c r="AG140" s="354"/>
      <c r="AH140" s="83" t="s">
        <v>154</v>
      </c>
      <c r="AI140" s="83">
        <f>DPS_Melee_Damage</f>
        <v>0</v>
      </c>
      <c r="AJ140" s="83">
        <f>DPS_Special_Stat</f>
        <v>0</v>
      </c>
      <c r="AK140" s="371"/>
      <c r="AL140" s="372" t="s">
        <v>721</v>
      </c>
      <c r="AM140" s="83">
        <v>5.0</v>
      </c>
      <c r="AN140" s="83">
        <v>1.0</v>
      </c>
      <c r="AO140" s="83">
        <v>0.0</v>
      </c>
      <c r="AP140" s="372">
        <v>285.0</v>
      </c>
      <c r="AQ140" s="370">
        <v>0.0</v>
      </c>
      <c r="AR140" s="83">
        <v>0.0</v>
      </c>
      <c r="AS140" s="372">
        <v>76.5</v>
      </c>
      <c r="AT140" s="372">
        <v>52.0</v>
      </c>
      <c r="AU140" s="372" t="s">
        <v>996</v>
      </c>
    </row>
    <row r="141">
      <c r="A141" s="368" t="s">
        <v>997</v>
      </c>
      <c r="B141" s="369"/>
      <c r="C141" s="369" t="s">
        <v>721</v>
      </c>
      <c r="D141" s="83" t="s">
        <v>752</v>
      </c>
      <c r="E141" s="83">
        <v>5.0</v>
      </c>
      <c r="F141" s="83">
        <v>35.0</v>
      </c>
      <c r="G141" s="83">
        <v>150.0</v>
      </c>
      <c r="H141" s="83">
        <v>0.1</v>
      </c>
      <c r="I141" s="354">
        <v>0.03</v>
      </c>
      <c r="J141" s="83">
        <v>2.0</v>
      </c>
      <c r="K141" s="83">
        <v>1.0</v>
      </c>
      <c r="L141" s="83">
        <v>0.0</v>
      </c>
      <c r="M141" s="354">
        <v>0.5</v>
      </c>
      <c r="N141" s="83">
        <v>0.0</v>
      </c>
      <c r="O141" s="83">
        <v>0.5</v>
      </c>
      <c r="P141" s="83">
        <v>0.0</v>
      </c>
      <c r="Q141" s="83">
        <v>0.0</v>
      </c>
      <c r="R141" s="83">
        <v>0.0</v>
      </c>
      <c r="S141" s="83">
        <v>0.0</v>
      </c>
      <c r="T141" s="83">
        <v>0.0</v>
      </c>
      <c r="U141" s="83">
        <v>0.0</v>
      </c>
      <c r="V141" s="83">
        <v>0.0</v>
      </c>
      <c r="W141" s="83">
        <v>0.0</v>
      </c>
      <c r="X141" s="370">
        <v>0.5</v>
      </c>
      <c r="Y141" s="83">
        <v>0.0</v>
      </c>
      <c r="Z141" s="370">
        <v>0.5</v>
      </c>
      <c r="AA141" s="83">
        <v>2.0</v>
      </c>
      <c r="AB141" s="370">
        <v>0.03</v>
      </c>
      <c r="AC141" s="354">
        <v>0.0</v>
      </c>
      <c r="AD141" s="371">
        <v>0.0</v>
      </c>
      <c r="AE141" s="354">
        <v>0.5</v>
      </c>
      <c r="AF141" s="354">
        <v>0.5</v>
      </c>
      <c r="AG141" s="354"/>
      <c r="AH141" s="83" t="s">
        <v>154</v>
      </c>
      <c r="AI141" s="83">
        <f>DPS_Melee_Damage</f>
        <v>0</v>
      </c>
      <c r="AJ141" s="83">
        <f>DPS_Special_Stat</f>
        <v>0</v>
      </c>
      <c r="AL141" s="372" t="s">
        <v>721</v>
      </c>
      <c r="AM141" s="83">
        <v>2.0</v>
      </c>
      <c r="AN141" s="83">
        <v>1.0</v>
      </c>
      <c r="AO141" s="83">
        <v>0.0</v>
      </c>
      <c r="AP141" s="372">
        <v>12.0</v>
      </c>
      <c r="AQ141" s="370">
        <v>0.0</v>
      </c>
      <c r="AR141" s="83">
        <v>0.0</v>
      </c>
      <c r="AS141" s="372">
        <v>72.0</v>
      </c>
      <c r="AT141" s="372">
        <v>16.0</v>
      </c>
      <c r="AU141" s="372"/>
    </row>
    <row r="142">
      <c r="A142" s="368" t="s">
        <v>999</v>
      </c>
      <c r="B142" s="369"/>
      <c r="C142" s="369" t="s">
        <v>721</v>
      </c>
      <c r="D142" s="83" t="s">
        <v>752</v>
      </c>
      <c r="E142" s="83">
        <v>8.0</v>
      </c>
      <c r="F142" s="83">
        <v>30.0</v>
      </c>
      <c r="G142" s="83">
        <v>160.0</v>
      </c>
      <c r="H142" s="83">
        <v>0.1</v>
      </c>
      <c r="I142" s="354">
        <v>0.03</v>
      </c>
      <c r="J142" s="83">
        <v>2.0</v>
      </c>
      <c r="K142" s="83">
        <v>1.0</v>
      </c>
      <c r="L142" s="83">
        <v>0.0</v>
      </c>
      <c r="M142" s="354">
        <v>0.5</v>
      </c>
      <c r="N142" s="83">
        <v>0.0</v>
      </c>
      <c r="O142" s="83">
        <v>0.5</v>
      </c>
      <c r="P142" s="83">
        <v>0.0</v>
      </c>
      <c r="Q142" s="83">
        <v>0.0</v>
      </c>
      <c r="R142" s="83">
        <v>0.0</v>
      </c>
      <c r="S142" s="83">
        <v>0.0</v>
      </c>
      <c r="T142" s="83">
        <v>0.0</v>
      </c>
      <c r="U142" s="83">
        <v>0.0</v>
      </c>
      <c r="V142" s="83">
        <v>0.0</v>
      </c>
      <c r="W142" s="83">
        <v>0.0</v>
      </c>
      <c r="X142" s="370">
        <v>0.5</v>
      </c>
      <c r="Y142" s="83">
        <v>0.0</v>
      </c>
      <c r="Z142" s="370">
        <v>0.5</v>
      </c>
      <c r="AA142" s="83">
        <v>2.0</v>
      </c>
      <c r="AB142" s="370">
        <v>0.03</v>
      </c>
      <c r="AC142" s="354">
        <v>0.0</v>
      </c>
      <c r="AD142" s="371">
        <v>0.0</v>
      </c>
      <c r="AE142" s="354">
        <v>0.5</v>
      </c>
      <c r="AF142" s="354">
        <v>0.65</v>
      </c>
      <c r="AG142" s="354"/>
      <c r="AH142" s="83" t="s">
        <v>154</v>
      </c>
      <c r="AI142" s="83">
        <f>DPS_Melee_Damage</f>
        <v>0</v>
      </c>
      <c r="AJ142" s="83">
        <f>DPS_Special_Stat</f>
        <v>0</v>
      </c>
      <c r="AL142" s="372" t="s">
        <v>721</v>
      </c>
      <c r="AM142" s="83">
        <v>2.0</v>
      </c>
      <c r="AN142" s="83">
        <v>1.0</v>
      </c>
      <c r="AO142" s="83">
        <v>0.0</v>
      </c>
      <c r="AP142" s="372">
        <v>26.0</v>
      </c>
      <c r="AQ142" s="370">
        <v>0.0</v>
      </c>
      <c r="AR142" s="83">
        <v>0.0</v>
      </c>
      <c r="AS142" s="372">
        <v>72.0</v>
      </c>
      <c r="AT142" s="372">
        <v>16.0</v>
      </c>
      <c r="AU142" s="372"/>
    </row>
    <row r="143">
      <c r="A143" s="368" t="s">
        <v>1003</v>
      </c>
      <c r="B143" s="369"/>
      <c r="C143" s="369" t="s">
        <v>721</v>
      </c>
      <c r="D143" s="83" t="s">
        <v>752</v>
      </c>
      <c r="E143" s="83">
        <v>11.0</v>
      </c>
      <c r="F143" s="83">
        <v>25.0</v>
      </c>
      <c r="G143" s="83">
        <v>170.0</v>
      </c>
      <c r="H143" s="83">
        <v>0.1</v>
      </c>
      <c r="I143" s="354">
        <v>0.03</v>
      </c>
      <c r="J143" s="83">
        <v>2.0</v>
      </c>
      <c r="K143" s="83">
        <v>1.0</v>
      </c>
      <c r="L143" s="83">
        <v>0.0</v>
      </c>
      <c r="M143" s="354">
        <v>0.5</v>
      </c>
      <c r="N143" s="83">
        <v>0.0</v>
      </c>
      <c r="O143" s="83">
        <v>0.5</v>
      </c>
      <c r="P143" s="83">
        <v>0.0</v>
      </c>
      <c r="Q143" s="83">
        <v>0.0</v>
      </c>
      <c r="R143" s="83">
        <v>0.0</v>
      </c>
      <c r="S143" s="83">
        <v>0.0</v>
      </c>
      <c r="T143" s="83">
        <v>0.0</v>
      </c>
      <c r="U143" s="83">
        <v>0.0</v>
      </c>
      <c r="V143" s="83">
        <v>0.0</v>
      </c>
      <c r="W143" s="83">
        <v>0.0</v>
      </c>
      <c r="X143" s="370">
        <v>0.5</v>
      </c>
      <c r="Y143" s="83">
        <v>0.0</v>
      </c>
      <c r="Z143" s="370">
        <v>0.5</v>
      </c>
      <c r="AA143" s="83">
        <v>2.0</v>
      </c>
      <c r="AB143" s="370">
        <v>0.03</v>
      </c>
      <c r="AC143" s="354">
        <v>0.0</v>
      </c>
      <c r="AD143" s="371">
        <v>0.0</v>
      </c>
      <c r="AE143" s="354">
        <v>0.5</v>
      </c>
      <c r="AF143" s="354">
        <v>0.8</v>
      </c>
      <c r="AG143" s="354"/>
      <c r="AH143" s="83" t="s">
        <v>154</v>
      </c>
      <c r="AI143" s="83">
        <f>DPS_Melee_Damage</f>
        <v>0</v>
      </c>
      <c r="AJ143" s="83">
        <f>DPS_Special_Stat</f>
        <v>0</v>
      </c>
      <c r="AL143" s="372" t="s">
        <v>721</v>
      </c>
      <c r="AM143" s="83">
        <v>2.0</v>
      </c>
      <c r="AN143" s="83">
        <v>1.0</v>
      </c>
      <c r="AO143" s="83">
        <v>0.0</v>
      </c>
      <c r="AP143" s="372">
        <v>52.0</v>
      </c>
      <c r="AQ143" s="370">
        <v>0.0</v>
      </c>
      <c r="AR143" s="83">
        <v>0.0</v>
      </c>
      <c r="AS143" s="372">
        <v>72.0</v>
      </c>
      <c r="AT143" s="372">
        <v>16.0</v>
      </c>
      <c r="AU143" s="372"/>
    </row>
    <row r="144">
      <c r="A144" s="368" t="s">
        <v>1005</v>
      </c>
      <c r="B144" s="369"/>
      <c r="C144" s="369" t="s">
        <v>721</v>
      </c>
      <c r="D144" s="83" t="s">
        <v>752</v>
      </c>
      <c r="E144" s="83">
        <v>15.0</v>
      </c>
      <c r="F144" s="83">
        <v>20.0</v>
      </c>
      <c r="G144" s="83">
        <v>180.0</v>
      </c>
      <c r="H144" s="83">
        <v>0.1</v>
      </c>
      <c r="I144" s="354">
        <v>0.03</v>
      </c>
      <c r="J144" s="83">
        <v>2.0</v>
      </c>
      <c r="K144" s="83">
        <v>1.0</v>
      </c>
      <c r="L144" s="83">
        <v>0.0</v>
      </c>
      <c r="M144" s="354">
        <v>0.5</v>
      </c>
      <c r="N144" s="83">
        <v>0.0</v>
      </c>
      <c r="O144" s="83">
        <v>0.5</v>
      </c>
      <c r="P144" s="83">
        <v>0.0</v>
      </c>
      <c r="Q144" s="83">
        <v>0.0</v>
      </c>
      <c r="R144" s="83">
        <v>0.0</v>
      </c>
      <c r="S144" s="83">
        <v>0.0</v>
      </c>
      <c r="T144" s="83">
        <v>0.0</v>
      </c>
      <c r="U144" s="83">
        <v>0.0</v>
      </c>
      <c r="V144" s="83">
        <v>0.0</v>
      </c>
      <c r="W144" s="83">
        <v>0.0</v>
      </c>
      <c r="X144" s="370">
        <v>0.5</v>
      </c>
      <c r="Y144" s="83">
        <v>0.0</v>
      </c>
      <c r="Z144" s="370">
        <v>0.5</v>
      </c>
      <c r="AA144" s="83">
        <v>2.0</v>
      </c>
      <c r="AB144" s="370">
        <v>0.03</v>
      </c>
      <c r="AC144" s="354">
        <v>0.0</v>
      </c>
      <c r="AD144" s="371">
        <v>0.0</v>
      </c>
      <c r="AE144" s="354">
        <v>0.5</v>
      </c>
      <c r="AF144" s="354">
        <v>1.0</v>
      </c>
      <c r="AG144" s="354"/>
      <c r="AH144" s="83" t="s">
        <v>154</v>
      </c>
      <c r="AI144" s="83">
        <f>DPS_Melee_Damage</f>
        <v>0</v>
      </c>
      <c r="AJ144" s="83">
        <f>DPS_Special_Stat</f>
        <v>0</v>
      </c>
      <c r="AL144" s="372" t="s">
        <v>721</v>
      </c>
      <c r="AM144" s="83">
        <v>2.0</v>
      </c>
      <c r="AN144" s="83">
        <v>1.0</v>
      </c>
      <c r="AO144" s="83">
        <v>0.0</v>
      </c>
      <c r="AP144" s="372">
        <v>105.0</v>
      </c>
      <c r="AQ144" s="370">
        <v>0.0</v>
      </c>
      <c r="AR144" s="83">
        <v>0.0</v>
      </c>
      <c r="AS144" s="372">
        <v>72.0</v>
      </c>
      <c r="AT144" s="372">
        <v>16.0</v>
      </c>
      <c r="AU144" s="372"/>
    </row>
    <row r="145">
      <c r="A145" s="368" t="s">
        <v>1008</v>
      </c>
      <c r="B145" s="369"/>
      <c r="C145" s="369" t="s">
        <v>733</v>
      </c>
      <c r="D145" s="83" t="s">
        <v>734</v>
      </c>
      <c r="E145" s="83">
        <v>5.0</v>
      </c>
      <c r="F145" s="83">
        <v>60.0</v>
      </c>
      <c r="G145" s="83">
        <v>450.0</v>
      </c>
      <c r="H145" s="83">
        <v>0.15</v>
      </c>
      <c r="I145" s="354">
        <v>0.03</v>
      </c>
      <c r="J145" s="83">
        <v>2.0</v>
      </c>
      <c r="K145" s="83">
        <v>1.0</v>
      </c>
      <c r="L145" s="83">
        <v>0.0</v>
      </c>
      <c r="M145" s="354">
        <v>0.5</v>
      </c>
      <c r="N145" s="83">
        <v>3.0</v>
      </c>
      <c r="O145" s="83">
        <v>0.0</v>
      </c>
      <c r="P145" s="83">
        <v>0.0</v>
      </c>
      <c r="Q145" s="83">
        <v>0.0</v>
      </c>
      <c r="R145" s="83">
        <v>0.0</v>
      </c>
      <c r="S145" s="83">
        <v>0.0</v>
      </c>
      <c r="T145" s="83">
        <v>0.0</v>
      </c>
      <c r="U145" s="83">
        <v>0.0</v>
      </c>
      <c r="V145" s="83">
        <v>0.0</v>
      </c>
      <c r="W145" s="83">
        <v>0.0</v>
      </c>
      <c r="X145" s="370">
        <v>0.5</v>
      </c>
      <c r="Y145" s="83">
        <v>0.0</v>
      </c>
      <c r="Z145" s="370">
        <v>0.5</v>
      </c>
      <c r="AA145" s="83">
        <v>2.0</v>
      </c>
      <c r="AB145" s="370">
        <v>0.03</v>
      </c>
      <c r="AC145" s="354">
        <v>0.0</v>
      </c>
      <c r="AD145" s="371">
        <v>0.0</v>
      </c>
      <c r="AE145" s="354">
        <v>0.5</v>
      </c>
      <c r="AF145" s="354"/>
      <c r="AG145" s="354"/>
      <c r="AH145" s="83" t="s">
        <v>724</v>
      </c>
      <c r="AI145" s="83">
        <f>DPS_Ranged_Damage</f>
        <v>0</v>
      </c>
      <c r="AJ145" s="371">
        <v>0.0</v>
      </c>
      <c r="AK145" s="371"/>
      <c r="AL145" s="372">
        <v>2500.0</v>
      </c>
      <c r="AM145" s="83">
        <v>0.0</v>
      </c>
      <c r="AN145" s="83">
        <v>1.0</v>
      </c>
      <c r="AO145" s="83">
        <v>0.0</v>
      </c>
      <c r="AP145" s="372">
        <v>15.0</v>
      </c>
      <c r="AQ145" s="370">
        <v>0.0</v>
      </c>
      <c r="AR145" s="83">
        <v>0.0</v>
      </c>
      <c r="AS145" s="83" t="s">
        <v>733</v>
      </c>
      <c r="AT145" s="83" t="s">
        <v>733</v>
      </c>
      <c r="AU145" s="371"/>
    </row>
    <row r="146">
      <c r="A146" s="368" t="s">
        <v>1011</v>
      </c>
      <c r="B146" s="369"/>
      <c r="C146" s="369" t="s">
        <v>733</v>
      </c>
      <c r="D146" s="83" t="s">
        <v>734</v>
      </c>
      <c r="E146" s="83">
        <v>10.0</v>
      </c>
      <c r="F146" s="83">
        <v>55.0</v>
      </c>
      <c r="G146" s="83">
        <v>450.0</v>
      </c>
      <c r="H146" s="83">
        <v>0.15</v>
      </c>
      <c r="I146" s="354">
        <v>0.03</v>
      </c>
      <c r="J146" s="83">
        <v>2.0</v>
      </c>
      <c r="K146" s="83">
        <v>1.0</v>
      </c>
      <c r="L146" s="83">
        <v>0.0</v>
      </c>
      <c r="M146" s="354">
        <v>0.5</v>
      </c>
      <c r="N146" s="83">
        <v>3.0</v>
      </c>
      <c r="O146" s="83">
        <v>0.0</v>
      </c>
      <c r="P146" s="83">
        <v>0.0</v>
      </c>
      <c r="Q146" s="83">
        <v>0.0</v>
      </c>
      <c r="R146" s="83">
        <v>0.0</v>
      </c>
      <c r="S146" s="83">
        <v>0.0</v>
      </c>
      <c r="T146" s="83">
        <v>0.0</v>
      </c>
      <c r="U146" s="83">
        <v>0.0</v>
      </c>
      <c r="V146" s="83">
        <v>0.0</v>
      </c>
      <c r="W146" s="83">
        <v>0.0</v>
      </c>
      <c r="X146" s="370">
        <v>0.5</v>
      </c>
      <c r="Y146" s="83">
        <v>0.0</v>
      </c>
      <c r="Z146" s="370">
        <v>0.5</v>
      </c>
      <c r="AA146" s="83">
        <v>2.0</v>
      </c>
      <c r="AB146" s="370">
        <v>0.03</v>
      </c>
      <c r="AC146" s="354">
        <v>0.0</v>
      </c>
      <c r="AD146" s="371">
        <v>0.0</v>
      </c>
      <c r="AE146" s="354">
        <v>0.5</v>
      </c>
      <c r="AF146" s="354"/>
      <c r="AG146" s="354"/>
      <c r="AH146" s="83" t="s">
        <v>724</v>
      </c>
      <c r="AI146" s="83">
        <f>DPS_Ranged_Damage</f>
        <v>0</v>
      </c>
      <c r="AJ146" s="371">
        <v>0.0</v>
      </c>
      <c r="AK146" s="371"/>
      <c r="AL146" s="372">
        <v>2500.0</v>
      </c>
      <c r="AM146" s="83">
        <v>0.0</v>
      </c>
      <c r="AN146" s="83">
        <v>1.0</v>
      </c>
      <c r="AO146" s="83">
        <v>0.0</v>
      </c>
      <c r="AP146" s="372">
        <v>31.0</v>
      </c>
      <c r="AQ146" s="370">
        <v>0.0</v>
      </c>
      <c r="AR146" s="83">
        <v>0.0</v>
      </c>
      <c r="AS146" s="83" t="s">
        <v>733</v>
      </c>
      <c r="AT146" s="83" t="s">
        <v>733</v>
      </c>
      <c r="AU146" s="371"/>
    </row>
    <row r="147">
      <c r="A147" s="368" t="s">
        <v>1012</v>
      </c>
      <c r="B147" s="369"/>
      <c r="C147" s="369" t="s">
        <v>733</v>
      </c>
      <c r="D147" s="83" t="s">
        <v>734</v>
      </c>
      <c r="E147" s="83">
        <v>15.0</v>
      </c>
      <c r="F147" s="83">
        <v>45.0</v>
      </c>
      <c r="G147" s="83">
        <v>450.0</v>
      </c>
      <c r="H147" s="83">
        <v>0.15</v>
      </c>
      <c r="I147" s="354">
        <v>0.03</v>
      </c>
      <c r="J147" s="83">
        <v>2.0</v>
      </c>
      <c r="K147" s="83">
        <v>1.0</v>
      </c>
      <c r="L147" s="83">
        <v>0.0</v>
      </c>
      <c r="M147" s="354">
        <v>0.5</v>
      </c>
      <c r="N147" s="83">
        <v>3.0</v>
      </c>
      <c r="O147" s="83">
        <v>0.0</v>
      </c>
      <c r="P147" s="83">
        <v>0.0</v>
      </c>
      <c r="Q147" s="83">
        <v>0.0</v>
      </c>
      <c r="R147" s="83">
        <v>0.0</v>
      </c>
      <c r="S147" s="83">
        <v>0.0</v>
      </c>
      <c r="T147" s="83">
        <v>0.0</v>
      </c>
      <c r="U147" s="83">
        <v>0.0</v>
      </c>
      <c r="V147" s="83">
        <v>0.0</v>
      </c>
      <c r="W147" s="83">
        <v>0.0</v>
      </c>
      <c r="X147" s="370">
        <v>0.5</v>
      </c>
      <c r="Y147" s="83">
        <v>0.0</v>
      </c>
      <c r="Z147" s="370">
        <v>0.5</v>
      </c>
      <c r="AA147" s="83">
        <v>2.0</v>
      </c>
      <c r="AB147" s="370">
        <v>0.03</v>
      </c>
      <c r="AC147" s="354">
        <v>0.0</v>
      </c>
      <c r="AD147" s="371">
        <v>0.0</v>
      </c>
      <c r="AE147" s="354">
        <v>0.5</v>
      </c>
      <c r="AF147" s="354"/>
      <c r="AG147" s="354"/>
      <c r="AH147" s="83" t="s">
        <v>724</v>
      </c>
      <c r="AI147" s="83">
        <f>DPS_Ranged_Damage</f>
        <v>0</v>
      </c>
      <c r="AJ147" s="371">
        <v>0.0</v>
      </c>
      <c r="AK147" s="371"/>
      <c r="AL147" s="372">
        <v>2500.0</v>
      </c>
      <c r="AM147" s="83">
        <v>0.0</v>
      </c>
      <c r="AN147" s="83">
        <v>1.0</v>
      </c>
      <c r="AO147" s="83">
        <v>0.0</v>
      </c>
      <c r="AP147" s="372">
        <v>61.0</v>
      </c>
      <c r="AQ147" s="370">
        <v>0.0</v>
      </c>
      <c r="AR147" s="83">
        <v>0.0</v>
      </c>
      <c r="AS147" s="83" t="s">
        <v>733</v>
      </c>
      <c r="AT147" s="83" t="s">
        <v>733</v>
      </c>
      <c r="AU147" s="371"/>
    </row>
    <row r="148">
      <c r="A148" s="368" t="s">
        <v>1014</v>
      </c>
      <c r="B148" s="369"/>
      <c r="C148" s="369" t="s">
        <v>733</v>
      </c>
      <c r="D148" s="83" t="s">
        <v>734</v>
      </c>
      <c r="E148" s="83">
        <v>25.0</v>
      </c>
      <c r="F148" s="83">
        <v>40.0</v>
      </c>
      <c r="G148" s="83">
        <v>450.0</v>
      </c>
      <c r="H148" s="83">
        <v>0.15</v>
      </c>
      <c r="I148" s="354">
        <v>0.03</v>
      </c>
      <c r="J148" s="83">
        <v>2.0</v>
      </c>
      <c r="K148" s="83">
        <v>1.0</v>
      </c>
      <c r="L148" s="83">
        <v>0.0</v>
      </c>
      <c r="M148" s="354">
        <v>0.5</v>
      </c>
      <c r="N148" s="83">
        <v>3.0</v>
      </c>
      <c r="O148" s="83">
        <v>0.0</v>
      </c>
      <c r="P148" s="83">
        <v>0.0</v>
      </c>
      <c r="Q148" s="83">
        <v>0.0</v>
      </c>
      <c r="R148" s="83">
        <v>0.0</v>
      </c>
      <c r="S148" s="83">
        <v>0.0</v>
      </c>
      <c r="T148" s="83">
        <v>0.0</v>
      </c>
      <c r="U148" s="83">
        <v>0.0</v>
      </c>
      <c r="V148" s="83">
        <v>0.0</v>
      </c>
      <c r="W148" s="83">
        <v>0.0</v>
      </c>
      <c r="X148" s="370">
        <v>0.5</v>
      </c>
      <c r="Y148" s="83">
        <v>0.0</v>
      </c>
      <c r="Z148" s="370">
        <v>0.5</v>
      </c>
      <c r="AA148" s="83">
        <v>2.0</v>
      </c>
      <c r="AB148" s="370">
        <v>0.03</v>
      </c>
      <c r="AC148" s="354">
        <v>0.0</v>
      </c>
      <c r="AD148" s="371">
        <v>0.0</v>
      </c>
      <c r="AE148" s="354">
        <v>0.5</v>
      </c>
      <c r="AF148" s="354"/>
      <c r="AG148" s="354"/>
      <c r="AH148" s="83" t="s">
        <v>724</v>
      </c>
      <c r="AI148" s="83">
        <f>DPS_Ranged_Damage</f>
        <v>0</v>
      </c>
      <c r="AJ148" s="371">
        <v>0.0</v>
      </c>
      <c r="AK148" s="371"/>
      <c r="AL148" s="372">
        <v>2500.0</v>
      </c>
      <c r="AM148" s="83">
        <v>0.0</v>
      </c>
      <c r="AN148" s="83">
        <v>1.0</v>
      </c>
      <c r="AO148" s="83">
        <v>0.0</v>
      </c>
      <c r="AP148" s="372">
        <v>122.0</v>
      </c>
      <c r="AQ148" s="370">
        <v>0.0</v>
      </c>
      <c r="AR148" s="83">
        <v>0.0</v>
      </c>
      <c r="AS148" s="83" t="s">
        <v>733</v>
      </c>
      <c r="AT148" s="83" t="s">
        <v>733</v>
      </c>
      <c r="AU148" s="371"/>
    </row>
    <row r="149">
      <c r="A149" s="368" t="s">
        <v>1015</v>
      </c>
      <c r="B149" s="369"/>
      <c r="C149" s="369" t="s">
        <v>733</v>
      </c>
      <c r="D149" s="83" t="s">
        <v>734</v>
      </c>
      <c r="E149" s="83">
        <v>7.0</v>
      </c>
      <c r="F149" s="83">
        <v>40.0</v>
      </c>
      <c r="G149" s="83">
        <v>350.0</v>
      </c>
      <c r="H149" s="83">
        <v>0.1</v>
      </c>
      <c r="I149" s="354">
        <v>0.35</v>
      </c>
      <c r="J149" s="83">
        <v>1.5</v>
      </c>
      <c r="K149" s="83">
        <v>1.0</v>
      </c>
      <c r="L149" s="83">
        <v>0.0</v>
      </c>
      <c r="M149" s="354">
        <v>0.0</v>
      </c>
      <c r="N149" s="83">
        <v>0.0</v>
      </c>
      <c r="O149" s="83">
        <v>0.5</v>
      </c>
      <c r="P149" s="83">
        <v>1.0</v>
      </c>
      <c r="Q149" s="83">
        <v>0.0</v>
      </c>
      <c r="R149" s="83">
        <v>0.0</v>
      </c>
      <c r="S149" s="83">
        <v>0.0</v>
      </c>
      <c r="T149" s="83">
        <v>0.0</v>
      </c>
      <c r="U149" s="83">
        <v>0.0</v>
      </c>
      <c r="V149" s="83">
        <v>0.0</v>
      </c>
      <c r="W149" s="83">
        <v>0.0</v>
      </c>
      <c r="X149" s="370">
        <v>0.5</v>
      </c>
      <c r="Y149" s="83">
        <v>0.0</v>
      </c>
      <c r="Z149" s="370">
        <v>0.5</v>
      </c>
      <c r="AA149" s="83">
        <v>2.0</v>
      </c>
      <c r="AB149" s="370">
        <v>0.03</v>
      </c>
      <c r="AC149" s="354">
        <v>0.0</v>
      </c>
      <c r="AD149" s="371">
        <v>0.0</v>
      </c>
      <c r="AE149" s="354">
        <v>0.25</v>
      </c>
      <c r="AF149" s="354"/>
      <c r="AG149" s="354"/>
      <c r="AH149" s="83" t="s">
        <v>724</v>
      </c>
      <c r="AI149" s="83">
        <f>DPS_Melee_Damage</f>
        <v>0</v>
      </c>
      <c r="AJ149" s="371">
        <v>0.0</v>
      </c>
      <c r="AK149" s="371"/>
      <c r="AL149" s="372">
        <v>1500.0</v>
      </c>
      <c r="AM149" s="83">
        <v>0.0</v>
      </c>
      <c r="AN149" s="83">
        <v>1.0</v>
      </c>
      <c r="AO149" s="83">
        <v>0.0</v>
      </c>
      <c r="AP149" s="372">
        <v>12.0</v>
      </c>
      <c r="AQ149" s="370">
        <v>0.0</v>
      </c>
      <c r="AR149" s="83">
        <v>0.0</v>
      </c>
      <c r="AS149" s="83" t="s">
        <v>733</v>
      </c>
      <c r="AT149" s="83" t="s">
        <v>733</v>
      </c>
      <c r="AU149" s="371"/>
    </row>
    <row r="150">
      <c r="A150" s="368" t="s">
        <v>1017</v>
      </c>
      <c r="B150" s="369"/>
      <c r="C150" s="369" t="s">
        <v>733</v>
      </c>
      <c r="D150" s="83" t="s">
        <v>734</v>
      </c>
      <c r="E150" s="83">
        <v>9.0</v>
      </c>
      <c r="F150" s="83">
        <v>38.0</v>
      </c>
      <c r="G150" s="83">
        <v>350.0</v>
      </c>
      <c r="H150" s="83">
        <v>0.1</v>
      </c>
      <c r="I150" s="354">
        <v>0.38</v>
      </c>
      <c r="J150" s="83">
        <v>1.5</v>
      </c>
      <c r="K150" s="83">
        <v>1.0</v>
      </c>
      <c r="L150" s="83">
        <v>0.0</v>
      </c>
      <c r="M150" s="354">
        <v>0.0</v>
      </c>
      <c r="N150" s="83">
        <v>0.0</v>
      </c>
      <c r="O150" s="83">
        <v>0.5</v>
      </c>
      <c r="P150" s="83">
        <v>2.0</v>
      </c>
      <c r="Q150" s="83">
        <v>0.0</v>
      </c>
      <c r="R150" s="83">
        <v>0.0</v>
      </c>
      <c r="S150" s="83">
        <v>0.0</v>
      </c>
      <c r="T150" s="83">
        <v>0.0</v>
      </c>
      <c r="U150" s="83">
        <v>0.0</v>
      </c>
      <c r="V150" s="83">
        <v>0.0</v>
      </c>
      <c r="W150" s="83">
        <v>0.0</v>
      </c>
      <c r="X150" s="370">
        <v>0.5</v>
      </c>
      <c r="Y150" s="83">
        <v>0.0</v>
      </c>
      <c r="Z150" s="370">
        <v>0.5</v>
      </c>
      <c r="AA150" s="83">
        <v>2.0</v>
      </c>
      <c r="AB150" s="370">
        <v>0.03</v>
      </c>
      <c r="AC150" s="354">
        <v>0.0</v>
      </c>
      <c r="AD150" s="371">
        <v>0.0</v>
      </c>
      <c r="AE150" s="354">
        <v>0.34</v>
      </c>
      <c r="AF150" s="354"/>
      <c r="AG150" s="354"/>
      <c r="AH150" s="83" t="s">
        <v>724</v>
      </c>
      <c r="AI150" s="83">
        <f>DPS_Melee_Damage</f>
        <v>0</v>
      </c>
      <c r="AJ150" s="371">
        <v>0.0</v>
      </c>
      <c r="AK150" s="371"/>
      <c r="AL150" s="372">
        <v>1500.0</v>
      </c>
      <c r="AM150" s="83">
        <v>0.0</v>
      </c>
      <c r="AN150" s="83">
        <v>1.0</v>
      </c>
      <c r="AO150" s="83">
        <v>0.0</v>
      </c>
      <c r="AP150" s="372">
        <v>26.0</v>
      </c>
      <c r="AQ150" s="370">
        <v>0.0</v>
      </c>
      <c r="AR150" s="83">
        <v>0.0</v>
      </c>
      <c r="AS150" s="83" t="s">
        <v>733</v>
      </c>
      <c r="AT150" s="83" t="s">
        <v>733</v>
      </c>
      <c r="AU150" s="371"/>
    </row>
    <row r="151">
      <c r="A151" s="368" t="s">
        <v>1019</v>
      </c>
      <c r="B151" s="369"/>
      <c r="C151" s="369" t="s">
        <v>733</v>
      </c>
      <c r="D151" s="83" t="s">
        <v>734</v>
      </c>
      <c r="E151" s="83">
        <v>11.0</v>
      </c>
      <c r="F151" s="83">
        <v>36.0</v>
      </c>
      <c r="G151" s="83">
        <v>350.0</v>
      </c>
      <c r="H151" s="83">
        <v>0.1</v>
      </c>
      <c r="I151" s="354">
        <v>0.41</v>
      </c>
      <c r="J151" s="83">
        <v>1.5</v>
      </c>
      <c r="K151" s="83">
        <v>1.0</v>
      </c>
      <c r="L151" s="83">
        <v>0.0</v>
      </c>
      <c r="M151" s="354">
        <v>0.0</v>
      </c>
      <c r="N151" s="83">
        <v>0.0</v>
      </c>
      <c r="O151" s="83">
        <v>0.5</v>
      </c>
      <c r="P151" s="83">
        <v>3.0</v>
      </c>
      <c r="Q151" s="83">
        <v>0.0</v>
      </c>
      <c r="R151" s="83">
        <v>0.0</v>
      </c>
      <c r="S151" s="83">
        <v>0.0</v>
      </c>
      <c r="T151" s="83">
        <v>0.0</v>
      </c>
      <c r="U151" s="83">
        <v>0.0</v>
      </c>
      <c r="V151" s="83">
        <v>0.0</v>
      </c>
      <c r="W151" s="83">
        <v>0.0</v>
      </c>
      <c r="X151" s="370">
        <v>0.5</v>
      </c>
      <c r="Y151" s="83">
        <v>0.0</v>
      </c>
      <c r="Z151" s="370">
        <v>0.5</v>
      </c>
      <c r="AA151" s="83">
        <v>2.0</v>
      </c>
      <c r="AB151" s="370">
        <v>0.03</v>
      </c>
      <c r="AC151" s="354">
        <v>0.0</v>
      </c>
      <c r="AD151" s="371">
        <v>0.0</v>
      </c>
      <c r="AE151" s="354">
        <v>0.42</v>
      </c>
      <c r="AF151" s="354"/>
      <c r="AG151" s="354"/>
      <c r="AH151" s="83" t="s">
        <v>724</v>
      </c>
      <c r="AI151" s="83">
        <f>DPS_Melee_Damage</f>
        <v>0</v>
      </c>
      <c r="AJ151" s="371">
        <v>0.0</v>
      </c>
      <c r="AK151" s="371"/>
      <c r="AL151" s="372">
        <v>1500.0</v>
      </c>
      <c r="AM151" s="83">
        <v>0.0</v>
      </c>
      <c r="AN151" s="83">
        <v>1.0</v>
      </c>
      <c r="AO151" s="83">
        <v>0.0</v>
      </c>
      <c r="AP151" s="372">
        <v>52.0</v>
      </c>
      <c r="AQ151" s="370">
        <v>0.0</v>
      </c>
      <c r="AR151" s="83">
        <v>0.0</v>
      </c>
      <c r="AS151" s="83" t="s">
        <v>733</v>
      </c>
      <c r="AT151" s="83" t="s">
        <v>733</v>
      </c>
      <c r="AU151" s="371"/>
    </row>
    <row r="152">
      <c r="A152" s="368" t="s">
        <v>1020</v>
      </c>
      <c r="B152" s="369"/>
      <c r="C152" s="369" t="s">
        <v>733</v>
      </c>
      <c r="D152" s="83" t="s">
        <v>734</v>
      </c>
      <c r="E152" s="83">
        <v>15.0</v>
      </c>
      <c r="F152" s="83">
        <v>30.0</v>
      </c>
      <c r="G152" s="83">
        <v>350.0</v>
      </c>
      <c r="H152" s="83">
        <v>0.1</v>
      </c>
      <c r="I152" s="354">
        <v>0.45</v>
      </c>
      <c r="J152" s="83">
        <v>1.5</v>
      </c>
      <c r="K152" s="83">
        <v>1.0</v>
      </c>
      <c r="L152" s="83">
        <v>0.0</v>
      </c>
      <c r="M152" s="354">
        <v>0.0</v>
      </c>
      <c r="N152" s="83">
        <v>0.0</v>
      </c>
      <c r="O152" s="83">
        <v>0.5</v>
      </c>
      <c r="P152" s="83">
        <v>4.0</v>
      </c>
      <c r="Q152" s="83">
        <v>0.0</v>
      </c>
      <c r="R152" s="83">
        <v>0.0</v>
      </c>
      <c r="S152" s="83">
        <v>0.0</v>
      </c>
      <c r="T152" s="83">
        <v>0.0</v>
      </c>
      <c r="U152" s="83">
        <v>0.0</v>
      </c>
      <c r="V152" s="83">
        <v>0.0</v>
      </c>
      <c r="W152" s="83">
        <v>0.0</v>
      </c>
      <c r="X152" s="370">
        <v>0.5</v>
      </c>
      <c r="Y152" s="83">
        <v>0.0</v>
      </c>
      <c r="Z152" s="370">
        <v>0.5</v>
      </c>
      <c r="AA152" s="83">
        <v>2.0</v>
      </c>
      <c r="AB152" s="370">
        <v>0.03</v>
      </c>
      <c r="AC152" s="354">
        <v>0.0</v>
      </c>
      <c r="AD152" s="371">
        <v>0.0</v>
      </c>
      <c r="AE152" s="354">
        <v>0.5</v>
      </c>
      <c r="AF152" s="354"/>
      <c r="AG152" s="354"/>
      <c r="AH152" s="83" t="s">
        <v>724</v>
      </c>
      <c r="AI152" s="83">
        <f>DPS_Melee_Damage</f>
        <v>0</v>
      </c>
      <c r="AJ152" s="371">
        <v>0.0</v>
      </c>
      <c r="AK152" s="371"/>
      <c r="AL152" s="372">
        <v>1500.0</v>
      </c>
      <c r="AM152" s="83">
        <v>0.0</v>
      </c>
      <c r="AN152" s="83">
        <v>1.0</v>
      </c>
      <c r="AO152" s="83">
        <v>0.0</v>
      </c>
      <c r="AP152" s="372">
        <v>105.0</v>
      </c>
      <c r="AQ152" s="370">
        <v>0.0</v>
      </c>
      <c r="AR152" s="83">
        <v>0.0</v>
      </c>
      <c r="AS152" s="83" t="s">
        <v>733</v>
      </c>
      <c r="AT152" s="83" t="s">
        <v>733</v>
      </c>
      <c r="AU152" s="371"/>
    </row>
    <row r="153">
      <c r="A153" s="368" t="s">
        <v>1023</v>
      </c>
      <c r="B153" s="369"/>
      <c r="C153" s="369" t="s">
        <v>733</v>
      </c>
      <c r="D153" s="83" t="s">
        <v>734</v>
      </c>
      <c r="E153" s="83">
        <v>10.0</v>
      </c>
      <c r="F153" s="83">
        <v>55.0</v>
      </c>
      <c r="G153" s="83">
        <v>300.0</v>
      </c>
      <c r="H153" s="83">
        <v>0.15</v>
      </c>
      <c r="I153" s="354">
        <v>0.03</v>
      </c>
      <c r="J153" s="83">
        <v>2.0</v>
      </c>
      <c r="K153" s="83">
        <v>1.0</v>
      </c>
      <c r="L153" s="83">
        <v>1.0</v>
      </c>
      <c r="M153" s="354">
        <v>0.0</v>
      </c>
      <c r="N153" s="83">
        <v>0.0</v>
      </c>
      <c r="O153" s="83">
        <v>0.5</v>
      </c>
      <c r="P153" s="83">
        <v>0.0</v>
      </c>
      <c r="Q153" s="83">
        <v>0.0</v>
      </c>
      <c r="R153" s="83">
        <v>0.0</v>
      </c>
      <c r="S153" s="83">
        <v>0.0</v>
      </c>
      <c r="T153" s="83">
        <v>0.0</v>
      </c>
      <c r="U153" s="83">
        <v>0.0</v>
      </c>
      <c r="V153" s="83">
        <v>0.0</v>
      </c>
      <c r="W153" s="83">
        <v>0.0</v>
      </c>
      <c r="X153" s="370">
        <v>0.5</v>
      </c>
      <c r="Y153" s="83">
        <v>0.0</v>
      </c>
      <c r="Z153" s="370">
        <v>0.5</v>
      </c>
      <c r="AA153" s="83">
        <v>2.0</v>
      </c>
      <c r="AB153" s="370">
        <v>0.03</v>
      </c>
      <c r="AC153" s="354">
        <v>0.0</v>
      </c>
      <c r="AD153" s="371">
        <v>0.0</v>
      </c>
      <c r="AE153" s="354">
        <v>0.8</v>
      </c>
      <c r="AF153" s="354"/>
      <c r="AG153" s="354"/>
      <c r="AH153" s="83" t="s">
        <v>724</v>
      </c>
      <c r="AI153" s="83">
        <f>DPS_Ranged_Damage</f>
        <v>0</v>
      </c>
      <c r="AJ153" s="371">
        <v>0.0</v>
      </c>
      <c r="AK153" s="371"/>
      <c r="AL153" s="372">
        <v>2000.0</v>
      </c>
      <c r="AM153" s="83">
        <v>5.0</v>
      </c>
      <c r="AN153" s="83">
        <v>1.0</v>
      </c>
      <c r="AO153" s="83">
        <v>0.0</v>
      </c>
      <c r="AP153" s="372">
        <v>15.0</v>
      </c>
      <c r="AQ153" s="370">
        <v>0.0</v>
      </c>
      <c r="AR153" s="83">
        <v>0.0</v>
      </c>
      <c r="AS153" s="83" t="s">
        <v>733</v>
      </c>
      <c r="AT153" s="83" t="s">
        <v>733</v>
      </c>
      <c r="AU153" s="371"/>
    </row>
    <row r="154">
      <c r="A154" s="368" t="s">
        <v>1025</v>
      </c>
      <c r="B154" s="369"/>
      <c r="C154" s="369" t="s">
        <v>733</v>
      </c>
      <c r="D154" s="83" t="s">
        <v>734</v>
      </c>
      <c r="E154" s="83">
        <v>13.0</v>
      </c>
      <c r="F154" s="83">
        <v>52.0</v>
      </c>
      <c r="G154" s="83">
        <v>300.0</v>
      </c>
      <c r="H154" s="83">
        <v>0.15</v>
      </c>
      <c r="I154" s="354">
        <v>0.03</v>
      </c>
      <c r="J154" s="83">
        <v>2.0</v>
      </c>
      <c r="K154" s="83">
        <v>1.0</v>
      </c>
      <c r="L154" s="83">
        <v>2.0</v>
      </c>
      <c r="M154" s="354">
        <v>0.0</v>
      </c>
      <c r="N154" s="83">
        <v>0.0</v>
      </c>
      <c r="O154" s="83">
        <v>0.5</v>
      </c>
      <c r="P154" s="83">
        <v>0.0</v>
      </c>
      <c r="Q154" s="83">
        <v>0.0</v>
      </c>
      <c r="R154" s="83">
        <v>0.0</v>
      </c>
      <c r="S154" s="83">
        <v>0.0</v>
      </c>
      <c r="T154" s="83">
        <v>0.0</v>
      </c>
      <c r="U154" s="83">
        <v>0.0</v>
      </c>
      <c r="V154" s="83">
        <v>0.0</v>
      </c>
      <c r="W154" s="83">
        <v>0.0</v>
      </c>
      <c r="X154" s="370">
        <v>0.5</v>
      </c>
      <c r="Y154" s="83">
        <v>0.0</v>
      </c>
      <c r="Z154" s="370">
        <v>0.5</v>
      </c>
      <c r="AA154" s="83">
        <v>2.0</v>
      </c>
      <c r="AB154" s="370">
        <v>0.03</v>
      </c>
      <c r="AC154" s="354">
        <v>0.0</v>
      </c>
      <c r="AD154" s="371">
        <v>0.0</v>
      </c>
      <c r="AE154" s="354">
        <v>0.8</v>
      </c>
      <c r="AF154" s="354"/>
      <c r="AG154" s="354"/>
      <c r="AH154" s="83" t="s">
        <v>724</v>
      </c>
      <c r="AI154" s="83">
        <f>DPS_Ranged_Damage</f>
        <v>0</v>
      </c>
      <c r="AJ154" s="371">
        <v>0.0</v>
      </c>
      <c r="AK154" s="371"/>
      <c r="AL154" s="372">
        <v>2000.0</v>
      </c>
      <c r="AM154" s="83">
        <v>5.0</v>
      </c>
      <c r="AN154" s="83">
        <v>1.0</v>
      </c>
      <c r="AO154" s="83">
        <v>0.0</v>
      </c>
      <c r="AP154" s="372">
        <v>31.0</v>
      </c>
      <c r="AQ154" s="370">
        <v>0.0</v>
      </c>
      <c r="AR154" s="83">
        <v>0.0</v>
      </c>
      <c r="AS154" s="83" t="s">
        <v>733</v>
      </c>
      <c r="AT154" s="83" t="s">
        <v>733</v>
      </c>
      <c r="AU154" s="371"/>
    </row>
    <row r="155">
      <c r="A155" s="368" t="s">
        <v>1026</v>
      </c>
      <c r="B155" s="369"/>
      <c r="C155" s="369" t="s">
        <v>733</v>
      </c>
      <c r="D155" s="83" t="s">
        <v>734</v>
      </c>
      <c r="E155" s="83">
        <v>16.0</v>
      </c>
      <c r="F155" s="83">
        <v>50.0</v>
      </c>
      <c r="G155" s="83">
        <v>300.0</v>
      </c>
      <c r="H155" s="83">
        <v>0.15</v>
      </c>
      <c r="I155" s="354">
        <v>0.03</v>
      </c>
      <c r="J155" s="83">
        <v>2.0</v>
      </c>
      <c r="K155" s="83">
        <v>1.0</v>
      </c>
      <c r="L155" s="83">
        <v>3.0</v>
      </c>
      <c r="M155" s="354">
        <v>0.0</v>
      </c>
      <c r="N155" s="83">
        <v>0.0</v>
      </c>
      <c r="O155" s="83">
        <v>0.5</v>
      </c>
      <c r="P155" s="83">
        <v>0.0</v>
      </c>
      <c r="Q155" s="83">
        <v>0.0</v>
      </c>
      <c r="R155" s="83">
        <v>0.0</v>
      </c>
      <c r="S155" s="83">
        <v>0.0</v>
      </c>
      <c r="T155" s="83">
        <v>0.0</v>
      </c>
      <c r="U155" s="83">
        <v>0.0</v>
      </c>
      <c r="V155" s="83">
        <v>0.0</v>
      </c>
      <c r="W155" s="83">
        <v>0.0</v>
      </c>
      <c r="X155" s="370">
        <v>0.5</v>
      </c>
      <c r="Y155" s="83">
        <v>0.0</v>
      </c>
      <c r="Z155" s="370">
        <v>0.5</v>
      </c>
      <c r="AA155" s="83">
        <v>2.0</v>
      </c>
      <c r="AB155" s="370">
        <v>0.03</v>
      </c>
      <c r="AC155" s="354">
        <v>0.0</v>
      </c>
      <c r="AD155" s="371">
        <v>0.0</v>
      </c>
      <c r="AE155" s="354">
        <v>0.8</v>
      </c>
      <c r="AF155" s="354"/>
      <c r="AG155" s="354"/>
      <c r="AH155" s="83" t="s">
        <v>724</v>
      </c>
      <c r="AI155" s="83">
        <f>DPS_Ranged_Damage</f>
        <v>0</v>
      </c>
      <c r="AJ155" s="371">
        <v>0.0</v>
      </c>
      <c r="AK155" s="371"/>
      <c r="AL155" s="372">
        <v>2000.0</v>
      </c>
      <c r="AM155" s="83">
        <v>5.0</v>
      </c>
      <c r="AN155" s="83">
        <v>1.0</v>
      </c>
      <c r="AO155" s="83">
        <v>0.0</v>
      </c>
      <c r="AP155" s="372">
        <v>61.0</v>
      </c>
      <c r="AQ155" s="370">
        <v>0.0</v>
      </c>
      <c r="AR155" s="83">
        <v>0.0</v>
      </c>
      <c r="AS155" s="83" t="s">
        <v>733</v>
      </c>
      <c r="AT155" s="83" t="s">
        <v>733</v>
      </c>
      <c r="AU155" s="371"/>
    </row>
    <row r="156">
      <c r="A156" s="368" t="s">
        <v>1028</v>
      </c>
      <c r="B156" s="369"/>
      <c r="C156" s="369" t="s">
        <v>733</v>
      </c>
      <c r="D156" s="83" t="s">
        <v>734</v>
      </c>
      <c r="E156" s="83">
        <v>20.0</v>
      </c>
      <c r="F156" s="83">
        <v>48.0</v>
      </c>
      <c r="G156" s="83">
        <v>300.0</v>
      </c>
      <c r="H156" s="83">
        <v>0.15</v>
      </c>
      <c r="I156" s="354">
        <v>0.03</v>
      </c>
      <c r="J156" s="83">
        <v>2.0</v>
      </c>
      <c r="K156" s="83">
        <v>1.0</v>
      </c>
      <c r="L156" s="83">
        <v>4.0</v>
      </c>
      <c r="M156" s="354">
        <v>0.0</v>
      </c>
      <c r="N156" s="83">
        <v>0.0</v>
      </c>
      <c r="O156" s="83">
        <v>0.5</v>
      </c>
      <c r="P156" s="83">
        <v>0.0</v>
      </c>
      <c r="Q156" s="83">
        <v>0.0</v>
      </c>
      <c r="R156" s="83">
        <v>0.0</v>
      </c>
      <c r="S156" s="83">
        <v>0.0</v>
      </c>
      <c r="T156" s="83">
        <v>0.0</v>
      </c>
      <c r="U156" s="83">
        <v>0.0</v>
      </c>
      <c r="V156" s="83">
        <v>0.0</v>
      </c>
      <c r="W156" s="83">
        <v>0.0</v>
      </c>
      <c r="X156" s="370">
        <v>0.5</v>
      </c>
      <c r="Y156" s="83">
        <v>0.0</v>
      </c>
      <c r="Z156" s="370">
        <v>0.5</v>
      </c>
      <c r="AA156" s="83">
        <v>2.0</v>
      </c>
      <c r="AB156" s="370">
        <v>0.03</v>
      </c>
      <c r="AC156" s="354">
        <v>0.0</v>
      </c>
      <c r="AD156" s="371">
        <v>0.0</v>
      </c>
      <c r="AE156" s="354">
        <v>0.8</v>
      </c>
      <c r="AF156" s="354"/>
      <c r="AG156" s="354"/>
      <c r="AH156" s="83" t="s">
        <v>724</v>
      </c>
      <c r="AI156" s="83">
        <f>DPS_Ranged_Damage</f>
        <v>0</v>
      </c>
      <c r="AJ156" s="371">
        <v>0.0</v>
      </c>
      <c r="AK156" s="371"/>
      <c r="AL156" s="372">
        <v>2000.0</v>
      </c>
      <c r="AM156" s="83">
        <v>5.0</v>
      </c>
      <c r="AN156" s="83">
        <v>1.0</v>
      </c>
      <c r="AO156" s="83">
        <v>0.0</v>
      </c>
      <c r="AP156" s="372">
        <v>122.0</v>
      </c>
      <c r="AQ156" s="370">
        <v>0.0</v>
      </c>
      <c r="AR156" s="83">
        <v>0.0</v>
      </c>
      <c r="AS156" s="83" t="s">
        <v>733</v>
      </c>
      <c r="AT156" s="83" t="s">
        <v>733</v>
      </c>
      <c r="AU156" s="371"/>
    </row>
    <row r="157">
      <c r="A157" s="368" t="s">
        <v>192</v>
      </c>
      <c r="B157" s="369"/>
      <c r="C157" s="369" t="s">
        <v>733</v>
      </c>
      <c r="D157" s="83" t="s">
        <v>734</v>
      </c>
      <c r="E157" s="83">
        <v>3.0</v>
      </c>
      <c r="F157" s="83">
        <v>4.0</v>
      </c>
      <c r="G157" s="83">
        <v>400.0</v>
      </c>
      <c r="H157" s="83">
        <v>0.05</v>
      </c>
      <c r="I157" s="354">
        <v>0.01</v>
      </c>
      <c r="J157" s="83">
        <v>1.5</v>
      </c>
      <c r="K157" s="83">
        <v>1.0</v>
      </c>
      <c r="L157" s="83">
        <v>0.0</v>
      </c>
      <c r="M157" s="354">
        <v>0.5</v>
      </c>
      <c r="N157" s="83">
        <v>0.0</v>
      </c>
      <c r="O157" s="83">
        <v>0.5</v>
      </c>
      <c r="P157" s="83">
        <v>0.0</v>
      </c>
      <c r="Q157" s="83">
        <v>0.0</v>
      </c>
      <c r="R157" s="83">
        <v>0.0</v>
      </c>
      <c r="S157" s="83">
        <v>0.0</v>
      </c>
      <c r="T157" s="83">
        <v>0.0</v>
      </c>
      <c r="U157" s="83">
        <v>0.0</v>
      </c>
      <c r="V157" s="83">
        <v>0.0</v>
      </c>
      <c r="W157" s="83">
        <v>0.0</v>
      </c>
      <c r="X157" s="370">
        <v>0.5</v>
      </c>
      <c r="Y157" s="83">
        <v>0.0</v>
      </c>
      <c r="Z157" s="370">
        <v>0.5</v>
      </c>
      <c r="AA157" s="83">
        <v>2.0</v>
      </c>
      <c r="AB157" s="370">
        <v>0.03</v>
      </c>
      <c r="AC157" s="354">
        <v>0.0</v>
      </c>
      <c r="AD157" s="371">
        <v>0.0</v>
      </c>
      <c r="AE157" s="354">
        <v>0.5</v>
      </c>
      <c r="AF157" s="354"/>
      <c r="AG157" s="354"/>
      <c r="AH157" s="83" t="s">
        <v>724</v>
      </c>
      <c r="AI157" s="83">
        <f>DPS_Ranged_Damage</f>
        <v>0</v>
      </c>
      <c r="AJ157" s="371">
        <v>0.0</v>
      </c>
      <c r="AK157" s="371"/>
      <c r="AL157" s="372">
        <v>3000.0</v>
      </c>
      <c r="AM157" s="83">
        <v>0.0</v>
      </c>
      <c r="AN157" s="83">
        <v>0.7</v>
      </c>
      <c r="AO157" s="83">
        <v>0.0</v>
      </c>
      <c r="AP157" s="372">
        <v>20.0</v>
      </c>
      <c r="AQ157" s="370">
        <v>0.0</v>
      </c>
      <c r="AR157" s="83">
        <v>0.0</v>
      </c>
      <c r="AS157" s="83" t="s">
        <v>733</v>
      </c>
      <c r="AT157" s="83" t="s">
        <v>733</v>
      </c>
      <c r="AU157" s="371"/>
    </row>
    <row r="158">
      <c r="A158" s="368" t="s">
        <v>1032</v>
      </c>
      <c r="B158" s="369"/>
      <c r="C158" s="369" t="s">
        <v>733</v>
      </c>
      <c r="D158" s="83" t="s">
        <v>734</v>
      </c>
      <c r="E158" s="83">
        <v>4.0</v>
      </c>
      <c r="F158" s="83">
        <v>4.0</v>
      </c>
      <c r="G158" s="83">
        <v>400.0</v>
      </c>
      <c r="H158" s="83">
        <v>0.05</v>
      </c>
      <c r="I158" s="354">
        <v>0.01</v>
      </c>
      <c r="J158" s="83">
        <v>1.5</v>
      </c>
      <c r="K158" s="83">
        <v>1.0</v>
      </c>
      <c r="L158" s="83">
        <v>0.0</v>
      </c>
      <c r="M158" s="354">
        <v>0.5</v>
      </c>
      <c r="N158" s="83">
        <v>0.0</v>
      </c>
      <c r="O158" s="83">
        <v>0.5</v>
      </c>
      <c r="P158" s="83">
        <v>0.0</v>
      </c>
      <c r="Q158" s="83">
        <v>0.0</v>
      </c>
      <c r="R158" s="83">
        <v>0.0</v>
      </c>
      <c r="S158" s="83">
        <v>0.0</v>
      </c>
      <c r="T158" s="83">
        <v>0.0</v>
      </c>
      <c r="U158" s="83">
        <v>0.0</v>
      </c>
      <c r="V158" s="83">
        <v>0.0</v>
      </c>
      <c r="W158" s="83">
        <v>0.0</v>
      </c>
      <c r="X158" s="370">
        <v>0.5</v>
      </c>
      <c r="Y158" s="83">
        <v>0.0</v>
      </c>
      <c r="Z158" s="370">
        <v>0.5</v>
      </c>
      <c r="AA158" s="83">
        <v>2.0</v>
      </c>
      <c r="AB158" s="370">
        <v>0.03</v>
      </c>
      <c r="AC158" s="354">
        <v>0.0</v>
      </c>
      <c r="AD158" s="371">
        <v>0.0</v>
      </c>
      <c r="AE158" s="354">
        <v>0.6</v>
      </c>
      <c r="AF158" s="354"/>
      <c r="AG158" s="354"/>
      <c r="AH158" s="83" t="s">
        <v>724</v>
      </c>
      <c r="AI158" s="83">
        <f>DPS_Ranged_Damage</f>
        <v>0</v>
      </c>
      <c r="AJ158" s="371">
        <v>0.0</v>
      </c>
      <c r="AK158" s="371"/>
      <c r="AL158" s="372">
        <v>3000.0</v>
      </c>
      <c r="AM158" s="83">
        <v>0.0</v>
      </c>
      <c r="AN158" s="83">
        <v>0.75</v>
      </c>
      <c r="AO158" s="83">
        <v>0.0</v>
      </c>
      <c r="AP158" s="372">
        <v>39.0</v>
      </c>
      <c r="AQ158" s="370">
        <v>0.0</v>
      </c>
      <c r="AR158" s="83">
        <v>0.0</v>
      </c>
      <c r="AS158" s="83" t="s">
        <v>733</v>
      </c>
      <c r="AT158" s="83" t="s">
        <v>733</v>
      </c>
      <c r="AU158" s="371"/>
    </row>
    <row r="159">
      <c r="A159" s="368" t="s">
        <v>1034</v>
      </c>
      <c r="B159" s="369"/>
      <c r="C159" s="369" t="s">
        <v>733</v>
      </c>
      <c r="D159" s="83" t="s">
        <v>734</v>
      </c>
      <c r="E159" s="83">
        <v>5.0</v>
      </c>
      <c r="F159" s="83">
        <v>4.0</v>
      </c>
      <c r="G159" s="83">
        <v>400.0</v>
      </c>
      <c r="H159" s="83">
        <v>0.05</v>
      </c>
      <c r="I159" s="354">
        <v>0.01</v>
      </c>
      <c r="J159" s="83">
        <v>1.5</v>
      </c>
      <c r="K159" s="83">
        <v>1.0</v>
      </c>
      <c r="L159" s="83">
        <v>0.0</v>
      </c>
      <c r="M159" s="354">
        <v>0.5</v>
      </c>
      <c r="N159" s="83">
        <v>0.0</v>
      </c>
      <c r="O159" s="83">
        <v>0.5</v>
      </c>
      <c r="P159" s="83">
        <v>0.0</v>
      </c>
      <c r="Q159" s="83">
        <v>0.0</v>
      </c>
      <c r="R159" s="83">
        <v>0.0</v>
      </c>
      <c r="S159" s="83">
        <v>0.0</v>
      </c>
      <c r="T159" s="83">
        <v>0.0</v>
      </c>
      <c r="U159" s="83">
        <v>0.0</v>
      </c>
      <c r="V159" s="83">
        <v>0.0</v>
      </c>
      <c r="W159" s="83">
        <v>0.0</v>
      </c>
      <c r="X159" s="370">
        <v>0.5</v>
      </c>
      <c r="Y159" s="83">
        <v>0.0</v>
      </c>
      <c r="Z159" s="370">
        <v>0.5</v>
      </c>
      <c r="AA159" s="83">
        <v>2.0</v>
      </c>
      <c r="AB159" s="370">
        <v>0.03</v>
      </c>
      <c r="AC159" s="354">
        <v>0.0</v>
      </c>
      <c r="AD159" s="371">
        <v>0.0</v>
      </c>
      <c r="AE159" s="354">
        <v>0.7</v>
      </c>
      <c r="AF159" s="354"/>
      <c r="AG159" s="354"/>
      <c r="AH159" s="83" t="s">
        <v>724</v>
      </c>
      <c r="AI159" s="83">
        <f>DPS_Ranged_Damage</f>
        <v>0</v>
      </c>
      <c r="AJ159" s="371">
        <v>0.0</v>
      </c>
      <c r="AK159" s="371"/>
      <c r="AL159" s="372">
        <v>3000.0</v>
      </c>
      <c r="AM159" s="83">
        <v>0.0</v>
      </c>
      <c r="AN159" s="83">
        <v>0.8</v>
      </c>
      <c r="AO159" s="83">
        <v>0.0</v>
      </c>
      <c r="AP159" s="372">
        <v>74.0</v>
      </c>
      <c r="AQ159" s="370">
        <v>0.0</v>
      </c>
      <c r="AR159" s="83">
        <v>0.0</v>
      </c>
      <c r="AS159" s="83" t="s">
        <v>733</v>
      </c>
      <c r="AT159" s="83" t="s">
        <v>733</v>
      </c>
      <c r="AU159" s="371"/>
    </row>
    <row r="160">
      <c r="A160" s="368" t="s">
        <v>1035</v>
      </c>
      <c r="B160" s="369"/>
      <c r="C160" s="369" t="s">
        <v>733</v>
      </c>
      <c r="D160" s="83" t="s">
        <v>734</v>
      </c>
      <c r="E160" s="83">
        <v>8.0</v>
      </c>
      <c r="F160" s="83">
        <v>3.0</v>
      </c>
      <c r="G160" s="83">
        <v>400.0</v>
      </c>
      <c r="H160" s="83">
        <v>0.05</v>
      </c>
      <c r="I160" s="354">
        <v>0.01</v>
      </c>
      <c r="J160" s="83">
        <v>1.5</v>
      </c>
      <c r="K160" s="83">
        <v>1.0</v>
      </c>
      <c r="L160" s="83">
        <v>0.0</v>
      </c>
      <c r="M160" s="354">
        <v>0.5</v>
      </c>
      <c r="N160" s="83">
        <v>0.0</v>
      </c>
      <c r="O160" s="83">
        <v>0.5</v>
      </c>
      <c r="P160" s="83">
        <v>0.0</v>
      </c>
      <c r="Q160" s="83">
        <v>0.0</v>
      </c>
      <c r="R160" s="83">
        <v>0.0</v>
      </c>
      <c r="S160" s="83">
        <v>0.0</v>
      </c>
      <c r="T160" s="83">
        <v>0.0</v>
      </c>
      <c r="U160" s="83">
        <v>0.0</v>
      </c>
      <c r="V160" s="83">
        <v>0.0</v>
      </c>
      <c r="W160" s="83">
        <v>0.0</v>
      </c>
      <c r="X160" s="370">
        <v>0.5</v>
      </c>
      <c r="Y160" s="83">
        <v>0.0</v>
      </c>
      <c r="Z160" s="370">
        <v>0.5</v>
      </c>
      <c r="AA160" s="83">
        <v>2.0</v>
      </c>
      <c r="AB160" s="370">
        <v>0.03</v>
      </c>
      <c r="AC160" s="354">
        <v>0.0</v>
      </c>
      <c r="AD160" s="371">
        <v>0.0</v>
      </c>
      <c r="AE160" s="354">
        <v>0.8</v>
      </c>
      <c r="AF160" s="354"/>
      <c r="AG160" s="354"/>
      <c r="AH160" s="83" t="s">
        <v>724</v>
      </c>
      <c r="AI160" s="83">
        <f>DPS_Ranged_Damage</f>
        <v>0</v>
      </c>
      <c r="AJ160" s="83">
        <v>0.0</v>
      </c>
      <c r="AL160" s="372">
        <v>3000.0</v>
      </c>
      <c r="AM160" s="83">
        <v>0.0</v>
      </c>
      <c r="AN160" s="83">
        <v>0.85</v>
      </c>
      <c r="AO160" s="83">
        <v>0.0</v>
      </c>
      <c r="AP160" s="372">
        <v>149.0</v>
      </c>
      <c r="AQ160" s="370">
        <v>0.0</v>
      </c>
      <c r="AR160" s="83">
        <v>0.0</v>
      </c>
      <c r="AS160" s="83" t="s">
        <v>733</v>
      </c>
      <c r="AT160" s="83" t="s">
        <v>733</v>
      </c>
      <c r="AU160" s="371"/>
    </row>
    <row r="161">
      <c r="A161" s="368" t="s">
        <v>1036</v>
      </c>
      <c r="B161" s="369"/>
      <c r="C161" s="369" t="s">
        <v>733</v>
      </c>
      <c r="D161" s="83" t="s">
        <v>734</v>
      </c>
      <c r="E161" s="83">
        <v>50.0</v>
      </c>
      <c r="F161" s="83">
        <v>120.0</v>
      </c>
      <c r="G161" s="83">
        <v>800.0</v>
      </c>
      <c r="H161" s="83">
        <v>0.2</v>
      </c>
      <c r="I161" s="354">
        <v>0.2</v>
      </c>
      <c r="J161" s="83">
        <v>3.0</v>
      </c>
      <c r="K161" s="83">
        <v>1.0</v>
      </c>
      <c r="L161" s="83">
        <v>0.0</v>
      </c>
      <c r="M161" s="354">
        <v>0.5</v>
      </c>
      <c r="N161" s="83">
        <v>0.0</v>
      </c>
      <c r="O161" s="83">
        <v>0.5</v>
      </c>
      <c r="P161" s="83">
        <v>0.0</v>
      </c>
      <c r="Q161" s="83">
        <v>0.0</v>
      </c>
      <c r="R161" s="83">
        <v>0.0</v>
      </c>
      <c r="S161" s="83">
        <v>0.0</v>
      </c>
      <c r="T161" s="83">
        <v>0.0</v>
      </c>
      <c r="U161" s="83">
        <v>5.0</v>
      </c>
      <c r="V161" s="83">
        <v>5.0</v>
      </c>
      <c r="W161" s="83">
        <v>0.0</v>
      </c>
      <c r="X161" s="370">
        <v>0.5</v>
      </c>
      <c r="Y161" s="83">
        <v>0.0</v>
      </c>
      <c r="Z161" s="370">
        <v>0.5</v>
      </c>
      <c r="AA161" s="83">
        <v>3.0</v>
      </c>
      <c r="AB161" s="370">
        <v>0.2</v>
      </c>
      <c r="AC161" s="354">
        <v>0.1</v>
      </c>
      <c r="AD161" s="371">
        <f>'DPS计算器'!$G$8</f>
        <v>0</v>
      </c>
      <c r="AE161" s="354">
        <v>1.0</v>
      </c>
      <c r="AF161" s="354">
        <v>0.2</v>
      </c>
      <c r="AG161" s="354"/>
      <c r="AH161" s="83" t="s">
        <v>724</v>
      </c>
      <c r="AI161" s="83">
        <f>DPS_Ranged_Damage</f>
        <v>0</v>
      </c>
      <c r="AJ161" s="371">
        <f>'DPS计算器'!$G$8</f>
        <v>0</v>
      </c>
      <c r="AK161" s="371"/>
      <c r="AL161" s="372">
        <v>3000.0</v>
      </c>
      <c r="AM161" s="83">
        <v>30.0</v>
      </c>
      <c r="AN161" s="83">
        <v>1.0</v>
      </c>
      <c r="AO161" s="83">
        <v>0.0</v>
      </c>
      <c r="AP161" s="372">
        <v>115.0</v>
      </c>
      <c r="AQ161" s="370">
        <v>0.0</v>
      </c>
      <c r="AR161" s="83">
        <v>0.0</v>
      </c>
      <c r="AS161" s="83" t="s">
        <v>733</v>
      </c>
      <c r="AT161" s="83" t="s">
        <v>733</v>
      </c>
      <c r="AU161" s="372" t="s">
        <v>1038</v>
      </c>
    </row>
    <row r="162">
      <c r="A162" s="368" t="s">
        <v>1039</v>
      </c>
      <c r="B162" s="369"/>
      <c r="C162" s="369" t="s">
        <v>733</v>
      </c>
      <c r="D162" s="83" t="s">
        <v>734</v>
      </c>
      <c r="E162" s="83">
        <v>80.0</v>
      </c>
      <c r="F162" s="83">
        <v>120.0</v>
      </c>
      <c r="G162" s="83">
        <v>1000.0</v>
      </c>
      <c r="H162" s="83">
        <v>0.2</v>
      </c>
      <c r="I162" s="354">
        <v>0.2</v>
      </c>
      <c r="J162" s="83">
        <v>4.0</v>
      </c>
      <c r="K162" s="83">
        <v>1.0</v>
      </c>
      <c r="L162" s="83">
        <v>0.0</v>
      </c>
      <c r="M162" s="354">
        <v>0.5</v>
      </c>
      <c r="N162" s="83">
        <v>0.0</v>
      </c>
      <c r="O162" s="83">
        <v>0.5</v>
      </c>
      <c r="P162" s="83">
        <v>0.0</v>
      </c>
      <c r="Q162" s="83">
        <v>0.0</v>
      </c>
      <c r="R162" s="83">
        <v>0.0</v>
      </c>
      <c r="S162" s="83">
        <v>0.0</v>
      </c>
      <c r="T162" s="83">
        <v>0.0</v>
      </c>
      <c r="U162" s="83">
        <v>5.0</v>
      </c>
      <c r="V162" s="83">
        <v>8.0</v>
      </c>
      <c r="W162" s="83">
        <v>0.0</v>
      </c>
      <c r="X162" s="370">
        <v>0.5</v>
      </c>
      <c r="Y162" s="83">
        <v>0.0</v>
      </c>
      <c r="Z162" s="370">
        <v>0.5</v>
      </c>
      <c r="AA162" s="83">
        <v>4.0</v>
      </c>
      <c r="AB162" s="370">
        <v>0.2</v>
      </c>
      <c r="AC162" s="354">
        <v>0.15</v>
      </c>
      <c r="AD162" s="371">
        <f>'DPS计算器'!$G$8</f>
        <v>0</v>
      </c>
      <c r="AE162" s="354">
        <v>1.0</v>
      </c>
      <c r="AF162" s="354">
        <v>0.3</v>
      </c>
      <c r="AG162" s="354"/>
      <c r="AH162" s="83" t="s">
        <v>724</v>
      </c>
      <c r="AI162" s="83">
        <f>DPS_Ranged_Damage</f>
        <v>0</v>
      </c>
      <c r="AJ162" s="371">
        <f>'DPS计算器'!$G$8</f>
        <v>0</v>
      </c>
      <c r="AK162" s="371"/>
      <c r="AL162" s="372">
        <v>3000.0</v>
      </c>
      <c r="AM162" s="83">
        <v>30.0</v>
      </c>
      <c r="AN162" s="83">
        <v>1.0</v>
      </c>
      <c r="AO162" s="83">
        <v>0.0</v>
      </c>
      <c r="AP162" s="372">
        <v>245.0</v>
      </c>
      <c r="AQ162" s="370">
        <v>0.0</v>
      </c>
      <c r="AR162" s="83">
        <v>0.0</v>
      </c>
      <c r="AS162" s="83" t="s">
        <v>733</v>
      </c>
      <c r="AT162" s="83" t="s">
        <v>733</v>
      </c>
      <c r="AU162" s="372" t="s">
        <v>1038</v>
      </c>
    </row>
    <row r="163">
      <c r="A163" s="368" t="s">
        <v>1040</v>
      </c>
      <c r="B163" s="369"/>
      <c r="C163" s="369" t="s">
        <v>721</v>
      </c>
      <c r="D163" s="83" t="s">
        <v>752</v>
      </c>
      <c r="E163" s="83">
        <v>15.0</v>
      </c>
      <c r="F163" s="83">
        <v>45.0</v>
      </c>
      <c r="G163" s="83">
        <v>350.0</v>
      </c>
      <c r="H163" s="83">
        <v>0.1</v>
      </c>
      <c r="I163" s="354">
        <v>0.03</v>
      </c>
      <c r="J163" s="83">
        <v>2.0</v>
      </c>
      <c r="K163" s="83">
        <v>1.0</v>
      </c>
      <c r="L163" s="83">
        <v>0.0</v>
      </c>
      <c r="M163" s="354">
        <v>0.5</v>
      </c>
      <c r="N163" s="83">
        <v>0.0</v>
      </c>
      <c r="O163" s="83">
        <v>0.5</v>
      </c>
      <c r="P163" s="83">
        <v>0.0</v>
      </c>
      <c r="Q163" s="83">
        <v>0.0</v>
      </c>
      <c r="R163" s="83">
        <v>0.0</v>
      </c>
      <c r="S163" s="83">
        <v>0.0</v>
      </c>
      <c r="T163" s="83">
        <v>0.0</v>
      </c>
      <c r="U163" s="83">
        <v>0.0</v>
      </c>
      <c r="V163" s="83">
        <v>0.0</v>
      </c>
      <c r="W163" s="83">
        <v>0.0</v>
      </c>
      <c r="X163" s="370">
        <v>0.5</v>
      </c>
      <c r="Y163" s="83">
        <v>0.0</v>
      </c>
      <c r="Z163" s="370">
        <v>0.5</v>
      </c>
      <c r="AA163" s="83">
        <v>2.0</v>
      </c>
      <c r="AB163" s="370">
        <v>0.03</v>
      </c>
      <c r="AC163" s="354">
        <v>0.0</v>
      </c>
      <c r="AD163" s="371">
        <v>0.0</v>
      </c>
      <c r="AE163" s="354">
        <v>1.0</v>
      </c>
      <c r="AF163" s="354"/>
      <c r="AG163" s="354"/>
      <c r="AH163" s="83" t="s">
        <v>724</v>
      </c>
      <c r="AI163" s="83">
        <f>DPS_Melee_Damage</f>
        <v>0</v>
      </c>
      <c r="AJ163" s="83">
        <v>0.0</v>
      </c>
      <c r="AL163" s="372" t="s">
        <v>721</v>
      </c>
      <c r="AM163" s="83">
        <v>0.0</v>
      </c>
      <c r="AN163" s="83">
        <v>1.0</v>
      </c>
      <c r="AO163" s="83">
        <v>0.0</v>
      </c>
      <c r="AP163" s="372">
        <v>20.0</v>
      </c>
      <c r="AQ163" s="370">
        <v>0.0</v>
      </c>
      <c r="AR163" s="83">
        <v>0.0</v>
      </c>
      <c r="AS163" s="372">
        <v>140.0</v>
      </c>
      <c r="AT163" s="372">
        <v>16.0</v>
      </c>
      <c r="AU163" s="371"/>
    </row>
    <row r="164">
      <c r="A164" s="368" t="s">
        <v>1041</v>
      </c>
      <c r="B164" s="369"/>
      <c r="C164" s="369" t="s">
        <v>721</v>
      </c>
      <c r="D164" s="83" t="s">
        <v>752</v>
      </c>
      <c r="E164" s="83">
        <v>25.0</v>
      </c>
      <c r="F164" s="83">
        <v>36.0</v>
      </c>
      <c r="G164" s="83">
        <v>375.0</v>
      </c>
      <c r="H164" s="83">
        <v>0.1</v>
      </c>
      <c r="I164" s="354">
        <v>0.03</v>
      </c>
      <c r="J164" s="83">
        <v>2.0</v>
      </c>
      <c r="K164" s="83">
        <v>1.0</v>
      </c>
      <c r="L164" s="83">
        <v>0.0</v>
      </c>
      <c r="M164" s="354">
        <v>0.5</v>
      </c>
      <c r="N164" s="83">
        <v>0.0</v>
      </c>
      <c r="O164" s="83">
        <v>0.5</v>
      </c>
      <c r="P164" s="83">
        <v>0.0</v>
      </c>
      <c r="Q164" s="83">
        <v>0.0</v>
      </c>
      <c r="R164" s="83">
        <v>0.0</v>
      </c>
      <c r="S164" s="83">
        <v>0.0</v>
      </c>
      <c r="T164" s="83">
        <v>0.0</v>
      </c>
      <c r="U164" s="83">
        <v>0.0</v>
      </c>
      <c r="V164" s="83">
        <v>0.0</v>
      </c>
      <c r="W164" s="83">
        <v>0.0</v>
      </c>
      <c r="X164" s="370">
        <v>0.5</v>
      </c>
      <c r="Y164" s="83">
        <v>0.0</v>
      </c>
      <c r="Z164" s="370">
        <v>0.5</v>
      </c>
      <c r="AA164" s="83">
        <v>2.0</v>
      </c>
      <c r="AB164" s="370">
        <v>0.03</v>
      </c>
      <c r="AC164" s="354">
        <v>0.0</v>
      </c>
      <c r="AD164" s="371">
        <v>0.0</v>
      </c>
      <c r="AE164" s="354">
        <v>1.0</v>
      </c>
      <c r="AF164" s="354"/>
      <c r="AG164" s="354"/>
      <c r="AH164" s="83" t="s">
        <v>724</v>
      </c>
      <c r="AI164" s="83">
        <f>DPS_Melee_Damage</f>
        <v>0</v>
      </c>
      <c r="AJ164" s="83">
        <v>0.0</v>
      </c>
      <c r="AL164" s="372" t="s">
        <v>721</v>
      </c>
      <c r="AM164" s="83">
        <v>0.0</v>
      </c>
      <c r="AN164" s="83">
        <v>1.0</v>
      </c>
      <c r="AO164" s="83">
        <v>0.0</v>
      </c>
      <c r="AP164" s="372">
        <v>39.0</v>
      </c>
      <c r="AQ164" s="370">
        <v>0.0</v>
      </c>
      <c r="AR164" s="83">
        <v>0.0</v>
      </c>
      <c r="AS164" s="372">
        <v>140.0</v>
      </c>
      <c r="AT164" s="372">
        <v>16.0</v>
      </c>
      <c r="AU164" s="371"/>
    </row>
    <row r="165">
      <c r="A165" s="368" t="s">
        <v>1042</v>
      </c>
      <c r="B165" s="369"/>
      <c r="C165" s="369" t="s">
        <v>721</v>
      </c>
      <c r="D165" s="83" t="s">
        <v>752</v>
      </c>
      <c r="E165" s="83">
        <v>40.0</v>
      </c>
      <c r="F165" s="83">
        <v>27.0</v>
      </c>
      <c r="G165" s="83">
        <v>400.0</v>
      </c>
      <c r="H165" s="83">
        <v>0.1</v>
      </c>
      <c r="I165" s="354">
        <v>0.03</v>
      </c>
      <c r="J165" s="83">
        <v>2.0</v>
      </c>
      <c r="K165" s="83">
        <v>1.0</v>
      </c>
      <c r="L165" s="83">
        <v>0.0</v>
      </c>
      <c r="M165" s="354">
        <v>0.5</v>
      </c>
      <c r="N165" s="83">
        <v>0.0</v>
      </c>
      <c r="O165" s="83">
        <v>0.5</v>
      </c>
      <c r="P165" s="83">
        <v>0.0</v>
      </c>
      <c r="Q165" s="83">
        <v>0.0</v>
      </c>
      <c r="R165" s="83">
        <v>0.0</v>
      </c>
      <c r="S165" s="83">
        <v>0.0</v>
      </c>
      <c r="T165" s="83">
        <v>0.0</v>
      </c>
      <c r="U165" s="83">
        <v>0.0</v>
      </c>
      <c r="V165" s="83">
        <v>0.0</v>
      </c>
      <c r="W165" s="83">
        <v>0.0</v>
      </c>
      <c r="X165" s="370">
        <v>0.5</v>
      </c>
      <c r="Y165" s="83">
        <v>0.0</v>
      </c>
      <c r="Z165" s="370">
        <v>0.5</v>
      </c>
      <c r="AA165" s="83">
        <v>2.0</v>
      </c>
      <c r="AB165" s="370">
        <v>0.03</v>
      </c>
      <c r="AC165" s="354">
        <v>0.0</v>
      </c>
      <c r="AD165" s="371">
        <v>0.0</v>
      </c>
      <c r="AE165" s="354">
        <v>1.0</v>
      </c>
      <c r="AF165" s="354"/>
      <c r="AG165" s="354"/>
      <c r="AH165" s="83" t="s">
        <v>724</v>
      </c>
      <c r="AI165" s="83">
        <f>DPS_Melee_Damage</f>
        <v>0</v>
      </c>
      <c r="AJ165" s="83">
        <v>0.0</v>
      </c>
      <c r="AL165" s="372" t="s">
        <v>721</v>
      </c>
      <c r="AM165" s="83">
        <v>0.0</v>
      </c>
      <c r="AN165" s="83">
        <v>1.0</v>
      </c>
      <c r="AO165" s="83">
        <v>0.0</v>
      </c>
      <c r="AP165" s="372">
        <v>74.0</v>
      </c>
      <c r="AQ165" s="370">
        <v>0.0</v>
      </c>
      <c r="AR165" s="83">
        <v>0.0</v>
      </c>
      <c r="AS165" s="372">
        <v>140.0</v>
      </c>
      <c r="AT165" s="372">
        <v>16.0</v>
      </c>
      <c r="AU165" s="371"/>
    </row>
    <row r="166">
      <c r="A166" s="368" t="s">
        <v>1043</v>
      </c>
      <c r="B166" s="369"/>
      <c r="C166" s="369" t="s">
        <v>721</v>
      </c>
      <c r="D166" s="83" t="s">
        <v>752</v>
      </c>
      <c r="E166" s="83">
        <v>60.0</v>
      </c>
      <c r="F166" s="83">
        <v>18.0</v>
      </c>
      <c r="G166" s="83">
        <v>500.0</v>
      </c>
      <c r="H166" s="83">
        <v>0.1</v>
      </c>
      <c r="I166" s="354">
        <v>0.03</v>
      </c>
      <c r="J166" s="83">
        <v>2.0</v>
      </c>
      <c r="K166" s="83">
        <v>1.0</v>
      </c>
      <c r="L166" s="83">
        <v>0.0</v>
      </c>
      <c r="M166" s="354">
        <v>0.5</v>
      </c>
      <c r="N166" s="83">
        <v>0.0</v>
      </c>
      <c r="O166" s="83">
        <v>0.5</v>
      </c>
      <c r="P166" s="83">
        <v>0.0</v>
      </c>
      <c r="Q166" s="83">
        <v>0.0</v>
      </c>
      <c r="R166" s="83">
        <v>0.0</v>
      </c>
      <c r="S166" s="83">
        <v>0.0</v>
      </c>
      <c r="T166" s="83">
        <v>0.0</v>
      </c>
      <c r="U166" s="83">
        <v>0.0</v>
      </c>
      <c r="V166" s="83">
        <v>0.0</v>
      </c>
      <c r="W166" s="83">
        <v>0.0</v>
      </c>
      <c r="X166" s="370">
        <v>0.5</v>
      </c>
      <c r="Y166" s="83">
        <v>0.0</v>
      </c>
      <c r="Z166" s="370">
        <v>0.5</v>
      </c>
      <c r="AA166" s="83">
        <v>2.0</v>
      </c>
      <c r="AB166" s="370">
        <v>0.03</v>
      </c>
      <c r="AC166" s="354">
        <v>0.0</v>
      </c>
      <c r="AD166" s="371">
        <v>0.0</v>
      </c>
      <c r="AE166" s="354">
        <v>1.0</v>
      </c>
      <c r="AF166" s="354"/>
      <c r="AG166" s="354"/>
      <c r="AH166" s="83" t="s">
        <v>724</v>
      </c>
      <c r="AI166" s="83">
        <f>DPS_Melee_Damage</f>
        <v>0</v>
      </c>
      <c r="AJ166" s="83">
        <v>0.0</v>
      </c>
      <c r="AL166" s="372" t="s">
        <v>721</v>
      </c>
      <c r="AM166" s="83">
        <v>0.0</v>
      </c>
      <c r="AN166" s="83">
        <v>1.0</v>
      </c>
      <c r="AO166" s="83">
        <v>0.0</v>
      </c>
      <c r="AP166" s="372">
        <v>149.0</v>
      </c>
      <c r="AQ166" s="370">
        <v>0.0</v>
      </c>
      <c r="AR166" s="83">
        <v>0.0</v>
      </c>
      <c r="AS166" s="372">
        <v>140.0</v>
      </c>
      <c r="AT166" s="372">
        <v>16.0</v>
      </c>
      <c r="AU166" s="371"/>
    </row>
    <row r="167">
      <c r="A167" s="368" t="s">
        <v>1044</v>
      </c>
      <c r="B167" s="369"/>
      <c r="C167" s="369" t="s">
        <v>721</v>
      </c>
      <c r="D167" s="83" t="s">
        <v>752</v>
      </c>
      <c r="E167" s="83">
        <v>10.0</v>
      </c>
      <c r="F167" s="83">
        <v>36.0</v>
      </c>
      <c r="G167" s="83">
        <v>150.0</v>
      </c>
      <c r="H167" s="83">
        <v>0.1</v>
      </c>
      <c r="I167" s="354">
        <v>0.03</v>
      </c>
      <c r="J167" s="83">
        <v>2.0</v>
      </c>
      <c r="K167" s="83">
        <v>1.0</v>
      </c>
      <c r="L167" s="83">
        <v>0.0</v>
      </c>
      <c r="M167" s="354">
        <v>0.5</v>
      </c>
      <c r="N167" s="83">
        <v>0.0</v>
      </c>
      <c r="O167" s="83">
        <v>0.5</v>
      </c>
      <c r="P167" s="83">
        <v>0.0</v>
      </c>
      <c r="Q167" s="83">
        <v>0.0</v>
      </c>
      <c r="R167" s="83">
        <v>0.0</v>
      </c>
      <c r="S167" s="83">
        <v>0.0</v>
      </c>
      <c r="T167" s="83">
        <v>0.0</v>
      </c>
      <c r="U167" s="83">
        <v>0.0</v>
      </c>
      <c r="V167" s="83">
        <v>0.0</v>
      </c>
      <c r="W167" s="83">
        <v>0.0</v>
      </c>
      <c r="X167" s="370">
        <v>0.5</v>
      </c>
      <c r="Y167" s="83">
        <v>0.0</v>
      </c>
      <c r="Z167" s="370">
        <v>0.5</v>
      </c>
      <c r="AA167" s="83">
        <v>2.0</v>
      </c>
      <c r="AB167" s="370">
        <v>0.03</v>
      </c>
      <c r="AC167" s="354">
        <v>0.0</v>
      </c>
      <c r="AD167" s="371">
        <v>0.0</v>
      </c>
      <c r="AE167" s="354">
        <v>0.0</v>
      </c>
      <c r="AF167" s="354">
        <v>1.0</v>
      </c>
      <c r="AG167" s="354"/>
      <c r="AH167" s="83" t="s">
        <v>65</v>
      </c>
      <c r="AI167" s="83">
        <v>0.0</v>
      </c>
      <c r="AJ167" s="83">
        <f>'DPS计算器'!$J$8</f>
        <v>0</v>
      </c>
      <c r="AL167" s="372" t="s">
        <v>721</v>
      </c>
      <c r="AM167" s="83">
        <v>20.0</v>
      </c>
      <c r="AN167" s="83">
        <v>1.0</v>
      </c>
      <c r="AO167" s="83">
        <v>0.0</v>
      </c>
      <c r="AP167" s="372">
        <v>15.0</v>
      </c>
      <c r="AQ167" s="370">
        <v>0.0</v>
      </c>
      <c r="AR167" s="83">
        <v>0.0</v>
      </c>
      <c r="AS167" s="372">
        <v>67.0</v>
      </c>
      <c r="AT167" s="372">
        <v>52.0</v>
      </c>
      <c r="AU167" s="372"/>
    </row>
    <row r="168">
      <c r="A168" s="368" t="s">
        <v>1046</v>
      </c>
      <c r="B168" s="369"/>
      <c r="C168" s="369" t="s">
        <v>721</v>
      </c>
      <c r="D168" s="83" t="s">
        <v>752</v>
      </c>
      <c r="E168" s="83">
        <v>15.0</v>
      </c>
      <c r="F168" s="83">
        <v>36.0</v>
      </c>
      <c r="G168" s="83">
        <v>150.0</v>
      </c>
      <c r="H168" s="83">
        <v>0.1</v>
      </c>
      <c r="I168" s="354">
        <v>0.03</v>
      </c>
      <c r="J168" s="83">
        <v>2.0</v>
      </c>
      <c r="K168" s="83">
        <v>1.0</v>
      </c>
      <c r="L168" s="83">
        <v>0.0</v>
      </c>
      <c r="M168" s="354">
        <v>0.5</v>
      </c>
      <c r="N168" s="83">
        <v>0.0</v>
      </c>
      <c r="O168" s="83">
        <v>0.5</v>
      </c>
      <c r="P168" s="83">
        <v>0.0</v>
      </c>
      <c r="Q168" s="83">
        <v>0.0</v>
      </c>
      <c r="R168" s="83">
        <v>0.0</v>
      </c>
      <c r="S168" s="83">
        <v>0.0</v>
      </c>
      <c r="T168" s="83">
        <v>0.0</v>
      </c>
      <c r="U168" s="83">
        <v>0.0</v>
      </c>
      <c r="V168" s="83">
        <v>0.0</v>
      </c>
      <c r="W168" s="83">
        <v>0.0</v>
      </c>
      <c r="X168" s="370">
        <v>0.5</v>
      </c>
      <c r="Y168" s="83">
        <v>0.0</v>
      </c>
      <c r="Z168" s="370">
        <v>0.5</v>
      </c>
      <c r="AA168" s="83">
        <v>2.0</v>
      </c>
      <c r="AB168" s="370">
        <v>0.03</v>
      </c>
      <c r="AC168" s="354">
        <v>0.0</v>
      </c>
      <c r="AD168" s="371">
        <v>0.0</v>
      </c>
      <c r="AE168" s="354">
        <v>0.0</v>
      </c>
      <c r="AF168" s="354">
        <v>1.25</v>
      </c>
      <c r="AG168" s="354"/>
      <c r="AH168" s="83" t="s">
        <v>65</v>
      </c>
      <c r="AI168" s="83">
        <v>0.0</v>
      </c>
      <c r="AJ168" s="83">
        <f>'DPS计算器'!$J$8</f>
        <v>0</v>
      </c>
      <c r="AL168" s="372" t="s">
        <v>721</v>
      </c>
      <c r="AM168" s="83">
        <v>20.0</v>
      </c>
      <c r="AN168" s="83">
        <v>1.0</v>
      </c>
      <c r="AO168" s="83">
        <v>0.0</v>
      </c>
      <c r="AP168" s="372">
        <v>31.0</v>
      </c>
      <c r="AQ168" s="370">
        <v>0.0</v>
      </c>
      <c r="AR168" s="83">
        <v>0.0</v>
      </c>
      <c r="AS168" s="372">
        <v>67.0</v>
      </c>
      <c r="AT168" s="372">
        <v>52.0</v>
      </c>
      <c r="AU168" s="372"/>
    </row>
    <row r="169">
      <c r="A169" s="368" t="s">
        <v>1048</v>
      </c>
      <c r="B169" s="369"/>
      <c r="C169" s="369" t="s">
        <v>721</v>
      </c>
      <c r="D169" s="83" t="s">
        <v>752</v>
      </c>
      <c r="E169" s="83">
        <v>20.0</v>
      </c>
      <c r="F169" s="83">
        <v>36.0</v>
      </c>
      <c r="G169" s="83">
        <v>150.0</v>
      </c>
      <c r="H169" s="83">
        <v>0.1</v>
      </c>
      <c r="I169" s="354">
        <v>0.03</v>
      </c>
      <c r="J169" s="83">
        <v>2.0</v>
      </c>
      <c r="K169" s="83">
        <v>1.0</v>
      </c>
      <c r="L169" s="83">
        <v>0.0</v>
      </c>
      <c r="M169" s="354">
        <v>0.5</v>
      </c>
      <c r="N169" s="83">
        <v>0.0</v>
      </c>
      <c r="O169" s="83">
        <v>0.5</v>
      </c>
      <c r="P169" s="83">
        <v>0.0</v>
      </c>
      <c r="Q169" s="83">
        <v>0.0</v>
      </c>
      <c r="R169" s="83">
        <v>0.0</v>
      </c>
      <c r="S169" s="83">
        <v>0.0</v>
      </c>
      <c r="T169" s="83">
        <v>0.0</v>
      </c>
      <c r="U169" s="83">
        <v>0.0</v>
      </c>
      <c r="V169" s="83">
        <v>0.0</v>
      </c>
      <c r="W169" s="83">
        <v>0.0</v>
      </c>
      <c r="X169" s="370">
        <v>0.5</v>
      </c>
      <c r="Y169" s="83">
        <v>0.0</v>
      </c>
      <c r="Z169" s="370">
        <v>0.5</v>
      </c>
      <c r="AA169" s="83">
        <v>2.0</v>
      </c>
      <c r="AB169" s="370">
        <v>0.03</v>
      </c>
      <c r="AC169" s="354">
        <v>0.0</v>
      </c>
      <c r="AD169" s="371">
        <v>0.0</v>
      </c>
      <c r="AE169" s="354">
        <v>0.0</v>
      </c>
      <c r="AF169" s="354">
        <v>1.5</v>
      </c>
      <c r="AG169" s="354"/>
      <c r="AH169" s="83" t="s">
        <v>65</v>
      </c>
      <c r="AI169" s="83">
        <v>0.0</v>
      </c>
      <c r="AJ169" s="83">
        <f>'DPS计算器'!$J$8</f>
        <v>0</v>
      </c>
      <c r="AL169" s="372" t="s">
        <v>721</v>
      </c>
      <c r="AM169" s="83">
        <v>20.0</v>
      </c>
      <c r="AN169" s="83">
        <v>1.0</v>
      </c>
      <c r="AO169" s="83">
        <v>0.0</v>
      </c>
      <c r="AP169" s="372">
        <v>61.0</v>
      </c>
      <c r="AQ169" s="370">
        <v>0.0</v>
      </c>
      <c r="AR169" s="83">
        <v>0.0</v>
      </c>
      <c r="AS169" s="372">
        <v>67.0</v>
      </c>
      <c r="AT169" s="372">
        <v>52.0</v>
      </c>
      <c r="AU169" s="372"/>
    </row>
    <row r="170">
      <c r="A170" s="368" t="s">
        <v>1049</v>
      </c>
      <c r="B170" s="369"/>
      <c r="C170" s="369" t="s">
        <v>721</v>
      </c>
      <c r="D170" s="83" t="s">
        <v>752</v>
      </c>
      <c r="E170" s="83">
        <v>30.0</v>
      </c>
      <c r="F170" s="83">
        <v>31.0</v>
      </c>
      <c r="G170" s="83">
        <v>150.0</v>
      </c>
      <c r="H170" s="83">
        <v>0.1</v>
      </c>
      <c r="I170" s="354">
        <v>0.03</v>
      </c>
      <c r="J170" s="83">
        <v>2.0</v>
      </c>
      <c r="K170" s="83">
        <v>1.0</v>
      </c>
      <c r="L170" s="83">
        <v>0.0</v>
      </c>
      <c r="M170" s="354">
        <v>0.5</v>
      </c>
      <c r="N170" s="83">
        <v>0.0</v>
      </c>
      <c r="O170" s="83">
        <v>0.5</v>
      </c>
      <c r="P170" s="83">
        <v>0.0</v>
      </c>
      <c r="Q170" s="83">
        <v>0.0</v>
      </c>
      <c r="R170" s="83">
        <v>0.0</v>
      </c>
      <c r="S170" s="83">
        <v>0.0</v>
      </c>
      <c r="T170" s="83">
        <v>0.0</v>
      </c>
      <c r="U170" s="83">
        <v>0.0</v>
      </c>
      <c r="V170" s="83">
        <v>0.0</v>
      </c>
      <c r="W170" s="83">
        <v>0.0</v>
      </c>
      <c r="X170" s="370">
        <v>0.5</v>
      </c>
      <c r="Y170" s="83">
        <v>0.0</v>
      </c>
      <c r="Z170" s="370">
        <v>0.5</v>
      </c>
      <c r="AA170" s="83">
        <v>2.0</v>
      </c>
      <c r="AB170" s="370">
        <v>0.03</v>
      </c>
      <c r="AC170" s="354">
        <v>0.0</v>
      </c>
      <c r="AD170" s="371">
        <v>0.0</v>
      </c>
      <c r="AE170" s="354">
        <v>0.0</v>
      </c>
      <c r="AF170" s="354">
        <v>2.0</v>
      </c>
      <c r="AG170" s="354"/>
      <c r="AH170" s="83" t="s">
        <v>65</v>
      </c>
      <c r="AI170" s="83">
        <v>0.0</v>
      </c>
      <c r="AJ170" s="83">
        <f>'DPS计算器'!$J$8</f>
        <v>0</v>
      </c>
      <c r="AL170" s="372" t="s">
        <v>721</v>
      </c>
      <c r="AM170" s="83">
        <v>20.0</v>
      </c>
      <c r="AN170" s="83">
        <v>1.0</v>
      </c>
      <c r="AO170" s="83">
        <v>0.0</v>
      </c>
      <c r="AP170" s="372">
        <v>122.0</v>
      </c>
      <c r="AQ170" s="370">
        <v>0.0</v>
      </c>
      <c r="AR170" s="83">
        <v>0.0</v>
      </c>
      <c r="AS170" s="372">
        <v>67.0</v>
      </c>
      <c r="AT170" s="372">
        <v>52.0</v>
      </c>
      <c r="AU170" s="372"/>
    </row>
    <row r="171">
      <c r="A171" s="368" t="s">
        <v>1050</v>
      </c>
      <c r="B171" s="369"/>
      <c r="C171" s="369" t="s">
        <v>721</v>
      </c>
      <c r="D171" s="83" t="s">
        <v>752</v>
      </c>
      <c r="E171" s="83">
        <v>8.0</v>
      </c>
      <c r="F171" s="83">
        <v>42.0</v>
      </c>
      <c r="G171" s="83">
        <v>175.0</v>
      </c>
      <c r="H171" s="83">
        <v>0.1</v>
      </c>
      <c r="I171" s="354">
        <v>0.03</v>
      </c>
      <c r="J171" s="83">
        <v>1.5</v>
      </c>
      <c r="K171" s="83">
        <v>1.0</v>
      </c>
      <c r="L171" s="83">
        <v>0.0</v>
      </c>
      <c r="M171" s="354">
        <v>0.5</v>
      </c>
      <c r="N171" s="83">
        <v>0.0</v>
      </c>
      <c r="O171" s="83">
        <v>0.5</v>
      </c>
      <c r="P171" s="83">
        <v>0.0</v>
      </c>
      <c r="Q171" s="83">
        <v>0.0</v>
      </c>
      <c r="R171" s="83">
        <v>0.0</v>
      </c>
      <c r="S171" s="83">
        <v>0.0</v>
      </c>
      <c r="T171" s="83">
        <v>0.0</v>
      </c>
      <c r="U171" s="83">
        <v>0.0</v>
      </c>
      <c r="V171" s="83">
        <v>0.0</v>
      </c>
      <c r="W171" s="83">
        <v>0.0</v>
      </c>
      <c r="X171" s="370">
        <v>0.5</v>
      </c>
      <c r="Y171" s="83">
        <v>0.0</v>
      </c>
      <c r="Z171" s="370">
        <v>0.5</v>
      </c>
      <c r="AA171" s="83">
        <v>2.0</v>
      </c>
      <c r="AB171" s="370">
        <v>0.03</v>
      </c>
      <c r="AC171" s="354">
        <v>0.0</v>
      </c>
      <c r="AD171" s="371">
        <v>0.0</v>
      </c>
      <c r="AE171" s="354">
        <v>1.0</v>
      </c>
      <c r="AF171" s="354">
        <v>4.0</v>
      </c>
      <c r="AG171" s="354"/>
      <c r="AH171" s="83" t="s">
        <v>1051</v>
      </c>
      <c r="AI171" s="83">
        <f>DPS_Melee_Damage</f>
        <v>0</v>
      </c>
      <c r="AJ171" s="83">
        <f>DPS_Special_Stat</f>
        <v>0</v>
      </c>
      <c r="AL171" s="372" t="s">
        <v>721</v>
      </c>
      <c r="AM171" s="83">
        <v>0.0</v>
      </c>
      <c r="AN171" s="83">
        <v>1.0</v>
      </c>
      <c r="AO171" s="83">
        <v>0.0</v>
      </c>
      <c r="AP171" s="372">
        <v>10.0</v>
      </c>
      <c r="AQ171" s="370">
        <v>0.0</v>
      </c>
      <c r="AR171" s="83">
        <v>0.0</v>
      </c>
      <c r="AS171" s="372">
        <v>83.0</v>
      </c>
      <c r="AT171" s="372">
        <v>18.0</v>
      </c>
      <c r="AU171" s="371"/>
    </row>
    <row r="172">
      <c r="A172" s="368" t="s">
        <v>1053</v>
      </c>
      <c r="B172" s="369"/>
      <c r="C172" s="369" t="s">
        <v>721</v>
      </c>
      <c r="D172" s="83" t="s">
        <v>752</v>
      </c>
      <c r="E172" s="83">
        <v>9.0</v>
      </c>
      <c r="F172" s="83">
        <v>38.0</v>
      </c>
      <c r="G172" s="83">
        <v>175.0</v>
      </c>
      <c r="H172" s="83">
        <v>0.1</v>
      </c>
      <c r="I172" s="354">
        <v>0.03</v>
      </c>
      <c r="J172" s="83">
        <v>1.5</v>
      </c>
      <c r="K172" s="83">
        <v>1.0</v>
      </c>
      <c r="L172" s="83">
        <v>0.0</v>
      </c>
      <c r="M172" s="354">
        <v>0.5</v>
      </c>
      <c r="N172" s="83">
        <v>0.0</v>
      </c>
      <c r="O172" s="83">
        <v>0.5</v>
      </c>
      <c r="P172" s="83">
        <v>0.0</v>
      </c>
      <c r="Q172" s="83">
        <v>0.0</v>
      </c>
      <c r="R172" s="83">
        <v>0.0</v>
      </c>
      <c r="S172" s="83">
        <v>0.0</v>
      </c>
      <c r="T172" s="83">
        <v>0.0</v>
      </c>
      <c r="U172" s="83">
        <v>0.0</v>
      </c>
      <c r="V172" s="83">
        <v>0.0</v>
      </c>
      <c r="W172" s="83">
        <v>0.0</v>
      </c>
      <c r="X172" s="370">
        <v>0.5</v>
      </c>
      <c r="Y172" s="83">
        <v>0.0</v>
      </c>
      <c r="Z172" s="370">
        <v>0.5</v>
      </c>
      <c r="AA172" s="83">
        <v>2.0</v>
      </c>
      <c r="AB172" s="370">
        <v>0.03</v>
      </c>
      <c r="AC172" s="354">
        <v>0.0</v>
      </c>
      <c r="AD172" s="371">
        <v>0.0</v>
      </c>
      <c r="AE172" s="354">
        <v>1.0</v>
      </c>
      <c r="AF172" s="354">
        <v>6.0</v>
      </c>
      <c r="AG172" s="354"/>
      <c r="AH172" s="83" t="s">
        <v>1051</v>
      </c>
      <c r="AI172" s="83">
        <f>DPS_Melee_Damage</f>
        <v>0</v>
      </c>
      <c r="AJ172" s="83">
        <f>DPS_Special_Stat</f>
        <v>0</v>
      </c>
      <c r="AL172" s="372" t="s">
        <v>721</v>
      </c>
      <c r="AM172" s="83">
        <v>0.0</v>
      </c>
      <c r="AN172" s="83">
        <v>1.0</v>
      </c>
      <c r="AO172" s="83">
        <v>0.0</v>
      </c>
      <c r="AP172" s="372">
        <v>22.0</v>
      </c>
      <c r="AQ172" s="370">
        <v>0.0</v>
      </c>
      <c r="AR172" s="83">
        <v>0.0</v>
      </c>
      <c r="AS172" s="372">
        <v>83.0</v>
      </c>
      <c r="AT172" s="372">
        <v>18.0</v>
      </c>
      <c r="AU172" s="371"/>
    </row>
    <row r="173">
      <c r="A173" s="368" t="s">
        <v>1055</v>
      </c>
      <c r="B173" s="369"/>
      <c r="C173" s="369" t="s">
        <v>721</v>
      </c>
      <c r="D173" s="83" t="s">
        <v>752</v>
      </c>
      <c r="E173" s="83">
        <v>10.0</v>
      </c>
      <c r="F173" s="83">
        <v>34.0</v>
      </c>
      <c r="G173" s="83">
        <v>175.0</v>
      </c>
      <c r="H173" s="83">
        <v>0.1</v>
      </c>
      <c r="I173" s="354">
        <v>0.03</v>
      </c>
      <c r="J173" s="83">
        <v>1.5</v>
      </c>
      <c r="K173" s="83">
        <v>1.0</v>
      </c>
      <c r="L173" s="83">
        <v>0.0</v>
      </c>
      <c r="M173" s="354">
        <v>0.5</v>
      </c>
      <c r="N173" s="83">
        <v>0.0</v>
      </c>
      <c r="O173" s="83">
        <v>0.5</v>
      </c>
      <c r="P173" s="83">
        <v>0.0</v>
      </c>
      <c r="Q173" s="83">
        <v>0.0</v>
      </c>
      <c r="R173" s="83">
        <v>0.0</v>
      </c>
      <c r="S173" s="83">
        <v>0.0</v>
      </c>
      <c r="T173" s="83">
        <v>0.0</v>
      </c>
      <c r="U173" s="83">
        <v>0.0</v>
      </c>
      <c r="V173" s="83">
        <v>0.0</v>
      </c>
      <c r="W173" s="83">
        <v>0.0</v>
      </c>
      <c r="X173" s="370">
        <v>0.5</v>
      </c>
      <c r="Y173" s="83">
        <v>0.0</v>
      </c>
      <c r="Z173" s="370">
        <v>0.5</v>
      </c>
      <c r="AA173" s="83">
        <v>2.0</v>
      </c>
      <c r="AB173" s="370">
        <v>0.03</v>
      </c>
      <c r="AC173" s="354">
        <v>0.0</v>
      </c>
      <c r="AD173" s="371">
        <v>0.0</v>
      </c>
      <c r="AE173" s="354">
        <v>1.0</v>
      </c>
      <c r="AF173" s="354">
        <v>8.0</v>
      </c>
      <c r="AG173" s="354"/>
      <c r="AH173" s="83" t="s">
        <v>1051</v>
      </c>
      <c r="AI173" s="83">
        <f>DPS_Melee_Damage</f>
        <v>0</v>
      </c>
      <c r="AJ173" s="83">
        <f>DPS_Special_Stat</f>
        <v>0</v>
      </c>
      <c r="AL173" s="372" t="s">
        <v>721</v>
      </c>
      <c r="AM173" s="83">
        <v>0.0</v>
      </c>
      <c r="AN173" s="83">
        <v>1.0</v>
      </c>
      <c r="AO173" s="83">
        <v>0.0</v>
      </c>
      <c r="AP173" s="372">
        <v>45.0</v>
      </c>
      <c r="AQ173" s="370">
        <v>0.0</v>
      </c>
      <c r="AR173" s="83">
        <v>0.0</v>
      </c>
      <c r="AS173" s="372">
        <v>83.0</v>
      </c>
      <c r="AT173" s="372">
        <v>18.0</v>
      </c>
      <c r="AU173" s="371"/>
    </row>
    <row r="174">
      <c r="A174" s="368" t="s">
        <v>1056</v>
      </c>
      <c r="B174" s="369"/>
      <c r="C174" s="369" t="s">
        <v>721</v>
      </c>
      <c r="D174" s="83" t="s">
        <v>752</v>
      </c>
      <c r="E174" s="83">
        <v>12.0</v>
      </c>
      <c r="F174" s="83">
        <v>30.0</v>
      </c>
      <c r="G174" s="83">
        <v>175.0</v>
      </c>
      <c r="H174" s="83">
        <v>0.1</v>
      </c>
      <c r="I174" s="354">
        <v>0.03</v>
      </c>
      <c r="J174" s="83">
        <v>1.5</v>
      </c>
      <c r="K174" s="83">
        <v>1.0</v>
      </c>
      <c r="L174" s="83">
        <v>0.0</v>
      </c>
      <c r="M174" s="354">
        <v>0.5</v>
      </c>
      <c r="N174" s="83">
        <v>0.0</v>
      </c>
      <c r="O174" s="83">
        <v>0.5</v>
      </c>
      <c r="P174" s="83">
        <v>0.0</v>
      </c>
      <c r="Q174" s="83">
        <v>0.0</v>
      </c>
      <c r="R174" s="83">
        <v>0.0</v>
      </c>
      <c r="S174" s="83">
        <v>0.0</v>
      </c>
      <c r="T174" s="83">
        <v>0.0</v>
      </c>
      <c r="U174" s="83">
        <v>0.0</v>
      </c>
      <c r="V174" s="83">
        <v>0.0</v>
      </c>
      <c r="W174" s="83">
        <v>0.0</v>
      </c>
      <c r="X174" s="370">
        <v>0.5</v>
      </c>
      <c r="Y174" s="83">
        <v>0.0</v>
      </c>
      <c r="Z174" s="370">
        <v>0.5</v>
      </c>
      <c r="AA174" s="83">
        <v>2.0</v>
      </c>
      <c r="AB174" s="370">
        <v>0.03</v>
      </c>
      <c r="AC174" s="354">
        <v>0.0</v>
      </c>
      <c r="AD174" s="371">
        <v>0.0</v>
      </c>
      <c r="AE174" s="354">
        <v>1.0</v>
      </c>
      <c r="AF174" s="354">
        <v>10.0</v>
      </c>
      <c r="AG174" s="354"/>
      <c r="AH174" s="83" t="s">
        <v>1051</v>
      </c>
      <c r="AI174" s="83">
        <f>DPS_Melee_Damage</f>
        <v>0</v>
      </c>
      <c r="AJ174" s="83">
        <f>DPS_Special_Stat</f>
        <v>0</v>
      </c>
      <c r="AL174" s="372" t="s">
        <v>721</v>
      </c>
      <c r="AM174" s="83">
        <v>0.0</v>
      </c>
      <c r="AN174" s="83">
        <v>1.0</v>
      </c>
      <c r="AO174" s="83">
        <v>0.0</v>
      </c>
      <c r="AP174" s="372">
        <v>91.0</v>
      </c>
      <c r="AQ174" s="370">
        <v>0.0</v>
      </c>
      <c r="AR174" s="83">
        <v>0.0</v>
      </c>
      <c r="AS174" s="372">
        <v>83.0</v>
      </c>
      <c r="AT174" s="372">
        <v>18.0</v>
      </c>
      <c r="AU174" s="371"/>
    </row>
    <row r="175">
      <c r="A175" s="368" t="s">
        <v>1057</v>
      </c>
      <c r="B175" s="369"/>
      <c r="C175" s="369" t="s">
        <v>721</v>
      </c>
      <c r="D175" s="83" t="s">
        <v>955</v>
      </c>
      <c r="E175" s="83">
        <v>30.0</v>
      </c>
      <c r="F175" s="83">
        <v>40.0</v>
      </c>
      <c r="G175" s="83">
        <v>200.0</v>
      </c>
      <c r="H175" s="83">
        <v>0.1</v>
      </c>
      <c r="I175" s="354">
        <v>0.03</v>
      </c>
      <c r="J175" s="83">
        <v>2.0</v>
      </c>
      <c r="K175" s="83">
        <v>1.0</v>
      </c>
      <c r="L175" s="83">
        <v>0.0</v>
      </c>
      <c r="M175" s="354">
        <v>0.5</v>
      </c>
      <c r="N175" s="83">
        <v>0.0</v>
      </c>
      <c r="O175" s="83">
        <v>0.5</v>
      </c>
      <c r="P175" s="83">
        <v>0.0</v>
      </c>
      <c r="Q175" s="83">
        <v>0.0</v>
      </c>
      <c r="R175" s="83">
        <v>0.0</v>
      </c>
      <c r="S175" s="83">
        <v>0.0</v>
      </c>
      <c r="T175" s="83">
        <v>0.0</v>
      </c>
      <c r="U175" s="83">
        <v>0.0</v>
      </c>
      <c r="V175" s="83">
        <v>0.0</v>
      </c>
      <c r="W175" s="83">
        <v>0.0</v>
      </c>
      <c r="X175" s="370">
        <v>0.5</v>
      </c>
      <c r="Y175" s="83">
        <v>0.0</v>
      </c>
      <c r="Z175" s="370">
        <v>0.5</v>
      </c>
      <c r="AA175" s="83">
        <v>2.0</v>
      </c>
      <c r="AB175" s="370">
        <v>0.03</v>
      </c>
      <c r="AC175" s="354">
        <v>0.0</v>
      </c>
      <c r="AD175" s="371">
        <v>0.0</v>
      </c>
      <c r="AE175" s="354">
        <v>1.0</v>
      </c>
      <c r="AF175" s="354"/>
      <c r="AG175" s="354"/>
      <c r="AH175" s="83" t="s">
        <v>724</v>
      </c>
      <c r="AI175" s="83">
        <f>DPS_Melee_Damage</f>
        <v>0</v>
      </c>
      <c r="AJ175" s="371">
        <v>0.0</v>
      </c>
      <c r="AK175" s="371"/>
      <c r="AL175" s="372" t="s">
        <v>721</v>
      </c>
      <c r="AM175" s="83">
        <v>5.0</v>
      </c>
      <c r="AN175" s="83">
        <v>1.0</v>
      </c>
      <c r="AO175" s="83">
        <v>0.0</v>
      </c>
      <c r="AP175" s="372">
        <v>51.0</v>
      </c>
      <c r="AQ175" s="370">
        <v>0.0</v>
      </c>
      <c r="AR175" s="83">
        <v>0.0</v>
      </c>
      <c r="AS175" s="372">
        <v>112.0</v>
      </c>
      <c r="AT175" s="372">
        <v>32.0</v>
      </c>
      <c r="AU175" s="371"/>
    </row>
    <row r="176">
      <c r="A176" s="368" t="s">
        <v>1058</v>
      </c>
      <c r="B176" s="369"/>
      <c r="C176" s="369" t="s">
        <v>721</v>
      </c>
      <c r="D176" s="83" t="s">
        <v>955</v>
      </c>
      <c r="E176" s="83">
        <v>45.0</v>
      </c>
      <c r="F176" s="83">
        <v>31.0</v>
      </c>
      <c r="G176" s="83">
        <v>200.0</v>
      </c>
      <c r="H176" s="83">
        <v>0.1</v>
      </c>
      <c r="I176" s="354">
        <v>0.03</v>
      </c>
      <c r="J176" s="83">
        <v>2.0</v>
      </c>
      <c r="K176" s="83">
        <v>1.0</v>
      </c>
      <c r="L176" s="83">
        <v>0.0</v>
      </c>
      <c r="M176" s="354">
        <v>0.5</v>
      </c>
      <c r="N176" s="83">
        <v>0.0</v>
      </c>
      <c r="O176" s="83">
        <v>0.5</v>
      </c>
      <c r="P176" s="83">
        <v>0.0</v>
      </c>
      <c r="Q176" s="83">
        <v>0.0</v>
      </c>
      <c r="R176" s="83">
        <v>0.0</v>
      </c>
      <c r="S176" s="83">
        <v>0.0</v>
      </c>
      <c r="T176" s="83">
        <v>0.0</v>
      </c>
      <c r="U176" s="83">
        <v>0.0</v>
      </c>
      <c r="V176" s="83">
        <v>0.0</v>
      </c>
      <c r="W176" s="83">
        <v>0.0</v>
      </c>
      <c r="X176" s="370">
        <v>0.5</v>
      </c>
      <c r="Y176" s="83">
        <v>0.0</v>
      </c>
      <c r="Z176" s="370">
        <v>0.5</v>
      </c>
      <c r="AA176" s="83">
        <v>2.0</v>
      </c>
      <c r="AB176" s="370">
        <v>0.03</v>
      </c>
      <c r="AC176" s="354">
        <v>0.0</v>
      </c>
      <c r="AD176" s="371">
        <v>0.0</v>
      </c>
      <c r="AE176" s="354">
        <v>1.0</v>
      </c>
      <c r="AF176" s="354"/>
      <c r="AG176" s="354"/>
      <c r="AH176" s="83" t="s">
        <v>724</v>
      </c>
      <c r="AI176" s="83">
        <f>DPS_Melee_Damage</f>
        <v>0</v>
      </c>
      <c r="AJ176" s="371">
        <v>0.0</v>
      </c>
      <c r="AK176" s="371"/>
      <c r="AL176" s="372" t="s">
        <v>721</v>
      </c>
      <c r="AM176" s="83">
        <v>5.0</v>
      </c>
      <c r="AN176" s="83">
        <v>1.0</v>
      </c>
      <c r="AO176" s="83">
        <v>0.0</v>
      </c>
      <c r="AP176" s="372">
        <v>95.0</v>
      </c>
      <c r="AQ176" s="370">
        <v>0.0</v>
      </c>
      <c r="AR176" s="83">
        <v>0.0</v>
      </c>
      <c r="AS176" s="372">
        <v>112.0</v>
      </c>
      <c r="AT176" s="372">
        <v>32.0</v>
      </c>
      <c r="AU176" s="371"/>
    </row>
    <row r="177">
      <c r="A177" s="368" t="s">
        <v>1060</v>
      </c>
      <c r="B177" s="369"/>
      <c r="C177" s="369" t="s">
        <v>721</v>
      </c>
      <c r="D177" s="83" t="s">
        <v>955</v>
      </c>
      <c r="E177" s="83">
        <v>65.0</v>
      </c>
      <c r="F177" s="83">
        <v>22.0</v>
      </c>
      <c r="G177" s="83">
        <v>200.0</v>
      </c>
      <c r="H177" s="83">
        <v>0.1</v>
      </c>
      <c r="I177" s="354">
        <v>0.03</v>
      </c>
      <c r="J177" s="83">
        <v>2.0</v>
      </c>
      <c r="K177" s="83">
        <v>1.0</v>
      </c>
      <c r="L177" s="83">
        <v>0.0</v>
      </c>
      <c r="M177" s="354">
        <v>0.5</v>
      </c>
      <c r="N177" s="83">
        <v>0.0</v>
      </c>
      <c r="O177" s="83">
        <v>0.5</v>
      </c>
      <c r="P177" s="83">
        <v>0.0</v>
      </c>
      <c r="Q177" s="83">
        <v>0.0</v>
      </c>
      <c r="R177" s="83">
        <v>0.0</v>
      </c>
      <c r="S177" s="83">
        <v>0.0</v>
      </c>
      <c r="T177" s="83">
        <v>0.0</v>
      </c>
      <c r="U177" s="83">
        <v>0.0</v>
      </c>
      <c r="V177" s="83">
        <v>0.0</v>
      </c>
      <c r="W177" s="83">
        <v>0.0</v>
      </c>
      <c r="X177" s="370">
        <v>0.5</v>
      </c>
      <c r="Y177" s="83">
        <v>0.0</v>
      </c>
      <c r="Z177" s="370">
        <v>0.5</v>
      </c>
      <c r="AA177" s="83">
        <v>2.0</v>
      </c>
      <c r="AB177" s="370">
        <v>0.03</v>
      </c>
      <c r="AC177" s="354">
        <v>0.0</v>
      </c>
      <c r="AD177" s="371">
        <v>0.0</v>
      </c>
      <c r="AE177" s="354">
        <v>1.0</v>
      </c>
      <c r="AF177" s="354"/>
      <c r="AG177" s="354"/>
      <c r="AH177" s="83" t="s">
        <v>724</v>
      </c>
      <c r="AI177" s="83">
        <f>DPS_Melee_Damage</f>
        <v>0</v>
      </c>
      <c r="AJ177" s="371">
        <v>0.0</v>
      </c>
      <c r="AK177" s="371"/>
      <c r="AL177" s="372" t="s">
        <v>721</v>
      </c>
      <c r="AM177" s="83">
        <v>5.0</v>
      </c>
      <c r="AN177" s="83">
        <v>1.0</v>
      </c>
      <c r="AO177" s="83">
        <v>0.0</v>
      </c>
      <c r="AP177" s="372">
        <v>190.0</v>
      </c>
      <c r="AQ177" s="370">
        <v>0.0</v>
      </c>
      <c r="AR177" s="83">
        <v>0.0</v>
      </c>
      <c r="AS177" s="372">
        <v>112.0</v>
      </c>
      <c r="AT177" s="372">
        <v>32.0</v>
      </c>
      <c r="AU177" s="371"/>
    </row>
    <row r="178">
      <c r="A178" s="368" t="s">
        <v>1061</v>
      </c>
      <c r="B178" s="369"/>
      <c r="C178" s="369" t="s">
        <v>733</v>
      </c>
      <c r="D178" s="83" t="s">
        <v>734</v>
      </c>
      <c r="E178" s="83">
        <v>7.0</v>
      </c>
      <c r="F178" s="83">
        <v>45.0</v>
      </c>
      <c r="G178" s="83">
        <v>200.0</v>
      </c>
      <c r="H178" s="83">
        <v>0.1</v>
      </c>
      <c r="I178" s="354">
        <v>0.03</v>
      </c>
      <c r="J178" s="83">
        <v>2.0</v>
      </c>
      <c r="K178" s="83">
        <v>1.0</v>
      </c>
      <c r="L178" s="83">
        <v>0.0</v>
      </c>
      <c r="M178" s="354">
        <v>0.5</v>
      </c>
      <c r="N178" s="83">
        <v>0.0</v>
      </c>
      <c r="O178" s="83">
        <v>0.5</v>
      </c>
      <c r="P178" s="83">
        <v>0.0</v>
      </c>
      <c r="Q178" s="83">
        <v>0.0</v>
      </c>
      <c r="R178" s="83">
        <v>0.0</v>
      </c>
      <c r="S178" s="83">
        <v>0.0</v>
      </c>
      <c r="T178" s="83">
        <v>0.0</v>
      </c>
      <c r="U178" s="83">
        <v>0.0</v>
      </c>
      <c r="V178" s="83">
        <v>0.0</v>
      </c>
      <c r="W178" s="83">
        <v>0.0</v>
      </c>
      <c r="X178" s="370">
        <v>0.5</v>
      </c>
      <c r="Y178" s="83">
        <v>0.0</v>
      </c>
      <c r="Z178" s="370">
        <v>0.5</v>
      </c>
      <c r="AA178" s="83">
        <v>2.0</v>
      </c>
      <c r="AB178" s="370">
        <v>0.03</v>
      </c>
      <c r="AC178" s="354">
        <v>0.0</v>
      </c>
      <c r="AD178" s="371">
        <v>0.0</v>
      </c>
      <c r="AE178" s="354">
        <v>0.8</v>
      </c>
      <c r="AF178" s="354"/>
      <c r="AG178" s="354"/>
      <c r="AH178" s="83" t="s">
        <v>724</v>
      </c>
      <c r="AI178" s="371">
        <f>DPS_Elemental_Damage</f>
        <v>0</v>
      </c>
      <c r="AJ178" s="371">
        <v>0.0</v>
      </c>
      <c r="AK178" s="371"/>
      <c r="AL178" s="372">
        <v>2000.0</v>
      </c>
      <c r="AM178" s="83">
        <v>0.0</v>
      </c>
      <c r="AN178" s="83">
        <v>1.0</v>
      </c>
      <c r="AO178" s="83">
        <v>0.0</v>
      </c>
      <c r="AP178" s="372">
        <v>15.0</v>
      </c>
      <c r="AQ178" s="370">
        <v>0.0</v>
      </c>
      <c r="AR178" s="83">
        <v>0.0</v>
      </c>
      <c r="AS178" s="83" t="s">
        <v>733</v>
      </c>
      <c r="AT178" s="83" t="s">
        <v>733</v>
      </c>
      <c r="AU178" s="371"/>
    </row>
    <row r="179">
      <c r="A179" s="368" t="s">
        <v>1063</v>
      </c>
      <c r="B179" s="369"/>
      <c r="C179" s="369" t="s">
        <v>733</v>
      </c>
      <c r="D179" s="83" t="s">
        <v>734</v>
      </c>
      <c r="E179" s="83">
        <v>7.0</v>
      </c>
      <c r="F179" s="83">
        <v>45.0</v>
      </c>
      <c r="G179" s="83">
        <v>200.0</v>
      </c>
      <c r="H179" s="83">
        <v>0.1</v>
      </c>
      <c r="I179" s="354">
        <v>0.03</v>
      </c>
      <c r="J179" s="83">
        <v>2.0</v>
      </c>
      <c r="K179" s="83">
        <v>2.0</v>
      </c>
      <c r="L179" s="83">
        <v>0.0</v>
      </c>
      <c r="M179" s="354">
        <v>0.5</v>
      </c>
      <c r="N179" s="83">
        <v>0.0</v>
      </c>
      <c r="O179" s="83">
        <v>0.5</v>
      </c>
      <c r="P179" s="83">
        <v>0.0</v>
      </c>
      <c r="Q179" s="83">
        <v>0.0</v>
      </c>
      <c r="R179" s="83">
        <v>0.0</v>
      </c>
      <c r="S179" s="83">
        <v>0.0</v>
      </c>
      <c r="T179" s="83">
        <v>0.0</v>
      </c>
      <c r="U179" s="83">
        <v>0.0</v>
      </c>
      <c r="V179" s="83">
        <v>0.0</v>
      </c>
      <c r="W179" s="83">
        <v>0.0</v>
      </c>
      <c r="X179" s="370">
        <v>0.5</v>
      </c>
      <c r="Y179" s="83">
        <v>0.0</v>
      </c>
      <c r="Z179" s="370">
        <v>0.5</v>
      </c>
      <c r="AA179" s="83">
        <v>2.0</v>
      </c>
      <c r="AB179" s="370">
        <v>0.03</v>
      </c>
      <c r="AC179" s="354">
        <v>0.0</v>
      </c>
      <c r="AD179" s="371">
        <v>0.0</v>
      </c>
      <c r="AE179" s="354">
        <v>0.8</v>
      </c>
      <c r="AF179" s="354"/>
      <c r="AG179" s="354"/>
      <c r="AH179" s="83" t="s">
        <v>724</v>
      </c>
      <c r="AI179" s="371">
        <f>DPS_Elemental_Damage</f>
        <v>0</v>
      </c>
      <c r="AJ179" s="371">
        <v>0.0</v>
      </c>
      <c r="AK179" s="371"/>
      <c r="AL179" s="372">
        <v>2000.0</v>
      </c>
      <c r="AM179" s="83">
        <v>0.0</v>
      </c>
      <c r="AN179" s="83">
        <v>1.0</v>
      </c>
      <c r="AO179" s="83">
        <v>0.5</v>
      </c>
      <c r="AP179" s="372">
        <v>31.0</v>
      </c>
      <c r="AQ179" s="370">
        <v>0.0</v>
      </c>
      <c r="AR179" s="83">
        <v>0.0</v>
      </c>
      <c r="AS179" s="83" t="s">
        <v>733</v>
      </c>
      <c r="AT179" s="83" t="s">
        <v>733</v>
      </c>
      <c r="AU179" s="371"/>
    </row>
    <row r="180">
      <c r="A180" s="368" t="s">
        <v>1064</v>
      </c>
      <c r="B180" s="369"/>
      <c r="C180" s="369" t="s">
        <v>733</v>
      </c>
      <c r="D180" s="83" t="s">
        <v>734</v>
      </c>
      <c r="E180" s="83">
        <v>7.0</v>
      </c>
      <c r="F180" s="83">
        <v>45.0</v>
      </c>
      <c r="G180" s="83">
        <v>200.0</v>
      </c>
      <c r="H180" s="83">
        <v>0.1</v>
      </c>
      <c r="I180" s="354">
        <v>0.03</v>
      </c>
      <c r="J180" s="83">
        <v>2.0</v>
      </c>
      <c r="K180" s="83">
        <v>3.0</v>
      </c>
      <c r="L180" s="83">
        <v>0.0</v>
      </c>
      <c r="M180" s="354">
        <v>0.5</v>
      </c>
      <c r="N180" s="83">
        <v>0.0</v>
      </c>
      <c r="O180" s="83">
        <v>0.5</v>
      </c>
      <c r="P180" s="83">
        <v>0.0</v>
      </c>
      <c r="Q180" s="83">
        <v>0.0</v>
      </c>
      <c r="R180" s="83">
        <v>0.0</v>
      </c>
      <c r="S180" s="83">
        <v>0.0</v>
      </c>
      <c r="T180" s="83">
        <v>0.0</v>
      </c>
      <c r="U180" s="83">
        <v>0.0</v>
      </c>
      <c r="V180" s="83">
        <v>0.0</v>
      </c>
      <c r="W180" s="83">
        <v>0.0</v>
      </c>
      <c r="X180" s="370">
        <v>0.5</v>
      </c>
      <c r="Y180" s="83">
        <v>0.0</v>
      </c>
      <c r="Z180" s="370">
        <v>0.5</v>
      </c>
      <c r="AA180" s="83">
        <v>2.0</v>
      </c>
      <c r="AB180" s="370">
        <v>0.03</v>
      </c>
      <c r="AC180" s="354">
        <v>0.0</v>
      </c>
      <c r="AD180" s="371">
        <v>0.0</v>
      </c>
      <c r="AE180" s="354">
        <v>0.8</v>
      </c>
      <c r="AF180" s="354"/>
      <c r="AG180" s="354"/>
      <c r="AH180" s="83" t="s">
        <v>724</v>
      </c>
      <c r="AI180" s="371">
        <f>DPS_Elemental_Damage</f>
        <v>0</v>
      </c>
      <c r="AJ180" s="371">
        <v>0.0</v>
      </c>
      <c r="AK180" s="371"/>
      <c r="AL180" s="372">
        <v>2000.0</v>
      </c>
      <c r="AM180" s="83">
        <v>0.0</v>
      </c>
      <c r="AN180" s="83">
        <v>1.0</v>
      </c>
      <c r="AO180" s="83">
        <v>0.7</v>
      </c>
      <c r="AP180" s="372">
        <v>61.0</v>
      </c>
      <c r="AQ180" s="370">
        <v>0.0</v>
      </c>
      <c r="AR180" s="83">
        <v>0.0</v>
      </c>
      <c r="AS180" s="83" t="s">
        <v>733</v>
      </c>
      <c r="AT180" s="83" t="s">
        <v>733</v>
      </c>
      <c r="AU180" s="371"/>
    </row>
    <row r="181">
      <c r="A181" s="368" t="s">
        <v>1066</v>
      </c>
      <c r="B181" s="369"/>
      <c r="C181" s="369" t="s">
        <v>733</v>
      </c>
      <c r="D181" s="83" t="s">
        <v>734</v>
      </c>
      <c r="E181" s="83">
        <v>14.0</v>
      </c>
      <c r="F181" s="83">
        <v>45.0</v>
      </c>
      <c r="G181" s="83">
        <v>200.0</v>
      </c>
      <c r="H181" s="83">
        <v>0.1</v>
      </c>
      <c r="I181" s="354">
        <v>0.03</v>
      </c>
      <c r="J181" s="83">
        <v>2.0</v>
      </c>
      <c r="K181" s="83">
        <v>4.0</v>
      </c>
      <c r="L181" s="83">
        <v>0.0</v>
      </c>
      <c r="M181" s="354">
        <v>0.5</v>
      </c>
      <c r="N181" s="83">
        <v>0.0</v>
      </c>
      <c r="O181" s="83">
        <v>0.5</v>
      </c>
      <c r="P181" s="83">
        <v>0.0</v>
      </c>
      <c r="Q181" s="83">
        <v>0.0</v>
      </c>
      <c r="R181" s="83">
        <v>0.0</v>
      </c>
      <c r="S181" s="83">
        <v>0.0</v>
      </c>
      <c r="T181" s="83">
        <v>0.0</v>
      </c>
      <c r="U181" s="83">
        <v>0.0</v>
      </c>
      <c r="V181" s="83">
        <v>0.0</v>
      </c>
      <c r="W181" s="83">
        <v>0.0</v>
      </c>
      <c r="X181" s="370">
        <v>0.5</v>
      </c>
      <c r="Y181" s="83">
        <v>0.0</v>
      </c>
      <c r="Z181" s="370">
        <v>0.5</v>
      </c>
      <c r="AA181" s="83">
        <v>2.0</v>
      </c>
      <c r="AB181" s="370">
        <v>0.03</v>
      </c>
      <c r="AC181" s="354">
        <v>0.0</v>
      </c>
      <c r="AD181" s="371">
        <v>0.0</v>
      </c>
      <c r="AE181" s="354">
        <v>0.8</v>
      </c>
      <c r="AF181" s="354"/>
      <c r="AG181" s="354"/>
      <c r="AH181" s="83" t="s">
        <v>724</v>
      </c>
      <c r="AI181" s="371">
        <f>DPS_Elemental_Damage</f>
        <v>0</v>
      </c>
      <c r="AJ181" s="371">
        <v>0.0</v>
      </c>
      <c r="AK181" s="371"/>
      <c r="AL181" s="372">
        <v>2000.0</v>
      </c>
      <c r="AM181" s="83">
        <v>0.0</v>
      </c>
      <c r="AN181" s="83">
        <v>1.0</v>
      </c>
      <c r="AO181" s="83">
        <v>0.7</v>
      </c>
      <c r="AP181" s="372">
        <v>122.0</v>
      </c>
      <c r="AQ181" s="370">
        <v>0.0</v>
      </c>
      <c r="AR181" s="83">
        <v>0.0</v>
      </c>
      <c r="AS181" s="83" t="s">
        <v>733</v>
      </c>
      <c r="AT181" s="83" t="s">
        <v>733</v>
      </c>
      <c r="AU181" s="371"/>
    </row>
    <row r="182">
      <c r="A182" s="368" t="s">
        <v>1067</v>
      </c>
      <c r="B182" s="369"/>
      <c r="C182" s="369" t="s">
        <v>721</v>
      </c>
      <c r="D182" s="83" t="s">
        <v>752</v>
      </c>
      <c r="E182" s="83">
        <v>6.0</v>
      </c>
      <c r="F182" s="83">
        <v>27.0</v>
      </c>
      <c r="G182" s="83">
        <v>150.0</v>
      </c>
      <c r="H182" s="83">
        <v>0.1</v>
      </c>
      <c r="I182" s="354">
        <v>0.2</v>
      </c>
      <c r="J182" s="83">
        <v>2.0</v>
      </c>
      <c r="K182" s="83">
        <v>1.0</v>
      </c>
      <c r="L182" s="83">
        <v>0.0</v>
      </c>
      <c r="M182" s="354">
        <v>0.5</v>
      </c>
      <c r="N182" s="83">
        <v>0.0</v>
      </c>
      <c r="O182" s="83">
        <v>0.5</v>
      </c>
      <c r="P182" s="83">
        <v>0.0</v>
      </c>
      <c r="Q182" s="83">
        <v>0.0</v>
      </c>
      <c r="R182" s="83">
        <v>0.0</v>
      </c>
      <c r="S182" s="83">
        <v>0.0</v>
      </c>
      <c r="T182" s="83">
        <v>0.0</v>
      </c>
      <c r="U182" s="83">
        <v>0.0</v>
      </c>
      <c r="V182" s="83">
        <v>0.0</v>
      </c>
      <c r="W182" s="83">
        <v>0.0</v>
      </c>
      <c r="X182" s="370">
        <v>0.5</v>
      </c>
      <c r="Y182" s="83">
        <v>0.0</v>
      </c>
      <c r="Z182" s="370">
        <v>0.5</v>
      </c>
      <c r="AA182" s="83">
        <v>2.0</v>
      </c>
      <c r="AB182" s="370">
        <v>0.03</v>
      </c>
      <c r="AC182" s="354">
        <v>0.0</v>
      </c>
      <c r="AD182" s="371">
        <v>0.0</v>
      </c>
      <c r="AE182" s="354">
        <v>0.5</v>
      </c>
      <c r="AF182" s="354"/>
      <c r="AG182" s="354"/>
      <c r="AH182" s="83" t="s">
        <v>724</v>
      </c>
      <c r="AI182" s="83">
        <f>DPS_Melee_Damage</f>
        <v>0</v>
      </c>
      <c r="AJ182" s="371">
        <v>0.0</v>
      </c>
      <c r="AK182" s="371"/>
      <c r="AL182" s="372" t="s">
        <v>721</v>
      </c>
      <c r="AM182" s="83">
        <v>2.0</v>
      </c>
      <c r="AN182" s="83">
        <v>1.0</v>
      </c>
      <c r="AO182" s="83">
        <v>0.0</v>
      </c>
      <c r="AP182" s="372">
        <v>12.0</v>
      </c>
      <c r="AQ182" s="370">
        <v>0.0</v>
      </c>
      <c r="AR182" s="83">
        <v>0.0</v>
      </c>
      <c r="AS182" s="372">
        <v>72.0</v>
      </c>
      <c r="AT182" s="372">
        <v>16.0</v>
      </c>
      <c r="AU182" s="372"/>
    </row>
    <row r="183">
      <c r="A183" s="368" t="s">
        <v>1068</v>
      </c>
      <c r="B183" s="369"/>
      <c r="C183" s="369" t="s">
        <v>721</v>
      </c>
      <c r="D183" s="83" t="s">
        <v>752</v>
      </c>
      <c r="E183" s="83">
        <v>12.0</v>
      </c>
      <c r="F183" s="83">
        <v>22.0</v>
      </c>
      <c r="G183" s="83">
        <v>150.0</v>
      </c>
      <c r="H183" s="83">
        <v>0.1</v>
      </c>
      <c r="I183" s="354">
        <v>0.25</v>
      </c>
      <c r="J183" s="83">
        <v>2.0</v>
      </c>
      <c r="K183" s="83">
        <v>1.0</v>
      </c>
      <c r="L183" s="83">
        <v>0.0</v>
      </c>
      <c r="M183" s="354">
        <v>0.5</v>
      </c>
      <c r="N183" s="83">
        <v>0.0</v>
      </c>
      <c r="O183" s="83">
        <v>0.5</v>
      </c>
      <c r="P183" s="83">
        <v>0.0</v>
      </c>
      <c r="Q183" s="83">
        <v>0.0</v>
      </c>
      <c r="R183" s="83">
        <v>0.0</v>
      </c>
      <c r="S183" s="83">
        <v>0.0</v>
      </c>
      <c r="T183" s="83">
        <v>0.0</v>
      </c>
      <c r="U183" s="83">
        <v>0.0</v>
      </c>
      <c r="V183" s="83">
        <v>0.0</v>
      </c>
      <c r="W183" s="83">
        <v>0.0</v>
      </c>
      <c r="X183" s="370">
        <v>0.5</v>
      </c>
      <c r="Y183" s="83">
        <v>0.0</v>
      </c>
      <c r="Z183" s="370">
        <v>0.5</v>
      </c>
      <c r="AA183" s="83">
        <v>2.0</v>
      </c>
      <c r="AB183" s="370">
        <v>0.03</v>
      </c>
      <c r="AC183" s="354">
        <v>0.0</v>
      </c>
      <c r="AD183" s="371">
        <v>0.0</v>
      </c>
      <c r="AE183" s="354">
        <v>0.5</v>
      </c>
      <c r="AF183" s="354"/>
      <c r="AG183" s="354"/>
      <c r="AH183" s="83" t="s">
        <v>724</v>
      </c>
      <c r="AI183" s="83">
        <f>DPS_Melee_Damage</f>
        <v>0</v>
      </c>
      <c r="AJ183" s="371">
        <v>0.0</v>
      </c>
      <c r="AK183" s="371"/>
      <c r="AL183" s="372" t="s">
        <v>721</v>
      </c>
      <c r="AM183" s="83">
        <v>2.0</v>
      </c>
      <c r="AN183" s="83">
        <v>1.0</v>
      </c>
      <c r="AO183" s="83">
        <v>0.0</v>
      </c>
      <c r="AP183" s="372">
        <v>26.0</v>
      </c>
      <c r="AQ183" s="370">
        <v>0.0</v>
      </c>
      <c r="AR183" s="83">
        <v>0.0</v>
      </c>
      <c r="AS183" s="372">
        <v>72.0</v>
      </c>
      <c r="AT183" s="372">
        <v>16.0</v>
      </c>
      <c r="AU183" s="372"/>
    </row>
    <row r="184">
      <c r="A184" s="368" t="s">
        <v>1069</v>
      </c>
      <c r="B184" s="369"/>
      <c r="C184" s="369" t="s">
        <v>721</v>
      </c>
      <c r="D184" s="83" t="s">
        <v>752</v>
      </c>
      <c r="E184" s="83">
        <v>18.0</v>
      </c>
      <c r="F184" s="83">
        <v>18.0</v>
      </c>
      <c r="G184" s="83">
        <v>150.0</v>
      </c>
      <c r="H184" s="83">
        <v>0.1</v>
      </c>
      <c r="I184" s="354">
        <v>0.3</v>
      </c>
      <c r="J184" s="83">
        <v>2.0</v>
      </c>
      <c r="K184" s="83">
        <v>1.0</v>
      </c>
      <c r="L184" s="83">
        <v>0.0</v>
      </c>
      <c r="M184" s="354">
        <v>0.5</v>
      </c>
      <c r="N184" s="83">
        <v>0.0</v>
      </c>
      <c r="O184" s="83">
        <v>0.5</v>
      </c>
      <c r="P184" s="83">
        <v>0.0</v>
      </c>
      <c r="Q184" s="83">
        <v>0.0</v>
      </c>
      <c r="R184" s="83">
        <v>0.0</v>
      </c>
      <c r="S184" s="83">
        <v>0.0</v>
      </c>
      <c r="T184" s="83">
        <v>0.0</v>
      </c>
      <c r="U184" s="83">
        <v>0.0</v>
      </c>
      <c r="V184" s="83">
        <v>0.0</v>
      </c>
      <c r="W184" s="83">
        <v>0.0</v>
      </c>
      <c r="X184" s="370">
        <v>0.5</v>
      </c>
      <c r="Y184" s="83">
        <v>0.0</v>
      </c>
      <c r="Z184" s="370">
        <v>0.5</v>
      </c>
      <c r="AA184" s="83">
        <v>2.0</v>
      </c>
      <c r="AB184" s="370">
        <v>0.03</v>
      </c>
      <c r="AC184" s="354">
        <v>0.0</v>
      </c>
      <c r="AD184" s="371">
        <v>0.0</v>
      </c>
      <c r="AE184" s="354">
        <v>0.5</v>
      </c>
      <c r="AF184" s="354"/>
      <c r="AG184" s="354"/>
      <c r="AH184" s="83" t="s">
        <v>724</v>
      </c>
      <c r="AI184" s="83">
        <f>DPS_Melee_Damage</f>
        <v>0</v>
      </c>
      <c r="AJ184" s="371">
        <v>0.0</v>
      </c>
      <c r="AK184" s="371"/>
      <c r="AL184" s="372" t="s">
        <v>721</v>
      </c>
      <c r="AM184" s="83">
        <v>2.0</v>
      </c>
      <c r="AN184" s="83">
        <v>1.0</v>
      </c>
      <c r="AO184" s="83">
        <v>0.0</v>
      </c>
      <c r="AP184" s="372">
        <v>52.0</v>
      </c>
      <c r="AQ184" s="370">
        <v>0.0</v>
      </c>
      <c r="AR184" s="83">
        <v>0.0</v>
      </c>
      <c r="AS184" s="372">
        <v>72.0</v>
      </c>
      <c r="AT184" s="372">
        <v>16.0</v>
      </c>
      <c r="AU184" s="372"/>
    </row>
    <row r="185">
      <c r="A185" s="368" t="s">
        <v>1071</v>
      </c>
      <c r="B185" s="369"/>
      <c r="C185" s="369" t="s">
        <v>721</v>
      </c>
      <c r="D185" s="83" t="s">
        <v>752</v>
      </c>
      <c r="E185" s="83">
        <v>30.0</v>
      </c>
      <c r="F185" s="83">
        <v>10.0</v>
      </c>
      <c r="G185" s="83">
        <v>150.0</v>
      </c>
      <c r="H185" s="83">
        <v>0.1</v>
      </c>
      <c r="I185" s="354">
        <v>0.4</v>
      </c>
      <c r="J185" s="83">
        <v>2.0</v>
      </c>
      <c r="K185" s="83">
        <v>1.0</v>
      </c>
      <c r="L185" s="83">
        <v>0.0</v>
      </c>
      <c r="M185" s="354">
        <v>0.5</v>
      </c>
      <c r="N185" s="83">
        <v>0.0</v>
      </c>
      <c r="O185" s="83">
        <v>0.5</v>
      </c>
      <c r="P185" s="83">
        <v>0.0</v>
      </c>
      <c r="Q185" s="83">
        <v>0.0</v>
      </c>
      <c r="R185" s="83">
        <v>0.0</v>
      </c>
      <c r="S185" s="83">
        <v>0.0</v>
      </c>
      <c r="T185" s="83">
        <v>0.0</v>
      </c>
      <c r="U185" s="83">
        <v>0.0</v>
      </c>
      <c r="V185" s="83">
        <v>0.0</v>
      </c>
      <c r="W185" s="83">
        <v>0.0</v>
      </c>
      <c r="X185" s="370">
        <v>0.5</v>
      </c>
      <c r="Y185" s="83">
        <v>0.0</v>
      </c>
      <c r="Z185" s="370">
        <v>0.5</v>
      </c>
      <c r="AA185" s="83">
        <v>2.0</v>
      </c>
      <c r="AB185" s="370">
        <v>0.03</v>
      </c>
      <c r="AC185" s="354">
        <v>0.0</v>
      </c>
      <c r="AD185" s="371">
        <v>0.0</v>
      </c>
      <c r="AE185" s="354">
        <v>0.5</v>
      </c>
      <c r="AF185" s="354"/>
      <c r="AG185" s="354"/>
      <c r="AH185" s="83" t="s">
        <v>724</v>
      </c>
      <c r="AI185" s="83">
        <f>DPS_Melee_Damage</f>
        <v>0</v>
      </c>
      <c r="AJ185" s="371">
        <v>0.0</v>
      </c>
      <c r="AK185" s="371"/>
      <c r="AL185" s="372" t="s">
        <v>721</v>
      </c>
      <c r="AM185" s="83">
        <v>2.0</v>
      </c>
      <c r="AN185" s="83">
        <v>1.0</v>
      </c>
      <c r="AO185" s="83">
        <v>0.0</v>
      </c>
      <c r="AP185" s="372">
        <v>105.0</v>
      </c>
      <c r="AQ185" s="370">
        <v>0.0</v>
      </c>
      <c r="AR185" s="83">
        <v>0.0</v>
      </c>
      <c r="AS185" s="372">
        <v>72.0</v>
      </c>
      <c r="AT185" s="372">
        <v>16.0</v>
      </c>
      <c r="AU185" s="372"/>
    </row>
    <row r="186">
      <c r="A186" s="368" t="s">
        <v>1073</v>
      </c>
      <c r="B186" s="369"/>
      <c r="C186" s="369" t="s">
        <v>721</v>
      </c>
      <c r="D186" s="83" t="s">
        <v>722</v>
      </c>
      <c r="E186" s="83">
        <v>40.0</v>
      </c>
      <c r="F186" s="83">
        <v>36.0</v>
      </c>
      <c r="G186" s="83">
        <v>150.0</v>
      </c>
      <c r="H186" s="83">
        <v>0.1</v>
      </c>
      <c r="I186" s="354">
        <v>0.03</v>
      </c>
      <c r="J186" s="83">
        <v>2.0</v>
      </c>
      <c r="K186" s="83">
        <v>1.0</v>
      </c>
      <c r="L186" s="83">
        <v>0.0</v>
      </c>
      <c r="M186" s="354">
        <v>0.5</v>
      </c>
      <c r="N186" s="83">
        <v>0.0</v>
      </c>
      <c r="O186" s="83">
        <v>0.5</v>
      </c>
      <c r="P186" s="83">
        <v>0.0</v>
      </c>
      <c r="Q186" s="83">
        <v>0.0</v>
      </c>
      <c r="R186" s="83">
        <v>0.0</v>
      </c>
      <c r="S186" s="83">
        <v>0.0</v>
      </c>
      <c r="T186" s="83">
        <v>0.0</v>
      </c>
      <c r="U186" s="83">
        <v>0.0</v>
      </c>
      <c r="V186" s="83">
        <v>2.0</v>
      </c>
      <c r="W186" s="83">
        <v>0.0</v>
      </c>
      <c r="X186" s="370">
        <v>0.5</v>
      </c>
      <c r="Y186" s="83">
        <v>0.0</v>
      </c>
      <c r="Z186" s="370">
        <v>0.5</v>
      </c>
      <c r="AA186" s="83">
        <v>2.0</v>
      </c>
      <c r="AB186" s="370">
        <v>0.03</v>
      </c>
      <c r="AC186" s="354">
        <v>1.0</v>
      </c>
      <c r="AD186" s="371">
        <f>DPS_Elemental_Damage</f>
        <v>0</v>
      </c>
      <c r="AE186" s="354">
        <v>1.25</v>
      </c>
      <c r="AF186" s="354">
        <v>1.25</v>
      </c>
      <c r="AG186" s="354"/>
      <c r="AH186" s="83" t="s">
        <v>724</v>
      </c>
      <c r="AI186" s="83">
        <f>DPS_Melee_Damage</f>
        <v>0</v>
      </c>
      <c r="AJ186" s="371">
        <f>DPS_Elemental_Damage</f>
        <v>0</v>
      </c>
      <c r="AK186" s="371"/>
      <c r="AL186" s="372" t="s">
        <v>721</v>
      </c>
      <c r="AM186" s="83">
        <v>5.0</v>
      </c>
      <c r="AN186" s="83">
        <v>1.0</v>
      </c>
      <c r="AO186" s="83">
        <v>0.0</v>
      </c>
      <c r="AP186" s="372">
        <v>119.0</v>
      </c>
      <c r="AQ186" s="370">
        <v>0.0</v>
      </c>
      <c r="AR186" s="83">
        <v>0.0</v>
      </c>
      <c r="AS186" s="372">
        <v>112.0</v>
      </c>
      <c r="AT186" s="372">
        <v>32.0</v>
      </c>
      <c r="AU186" s="371"/>
    </row>
    <row r="187">
      <c r="A187" s="368" t="s">
        <v>1074</v>
      </c>
      <c r="B187" s="369"/>
      <c r="C187" s="369" t="s">
        <v>721</v>
      </c>
      <c r="D187" s="83" t="s">
        <v>722</v>
      </c>
      <c r="E187" s="83">
        <v>75.0</v>
      </c>
      <c r="F187" s="83">
        <v>27.0</v>
      </c>
      <c r="G187" s="83">
        <v>150.0</v>
      </c>
      <c r="H187" s="83">
        <v>0.1</v>
      </c>
      <c r="I187" s="354">
        <v>0.03</v>
      </c>
      <c r="J187" s="83">
        <v>2.0</v>
      </c>
      <c r="K187" s="83">
        <v>1.0</v>
      </c>
      <c r="L187" s="83">
        <v>0.0</v>
      </c>
      <c r="M187" s="354">
        <v>0.5</v>
      </c>
      <c r="N187" s="83">
        <v>0.0</v>
      </c>
      <c r="O187" s="83">
        <v>0.5</v>
      </c>
      <c r="P187" s="83">
        <v>0.0</v>
      </c>
      <c r="Q187" s="83">
        <v>0.0</v>
      </c>
      <c r="R187" s="83">
        <v>0.0</v>
      </c>
      <c r="S187" s="83">
        <v>0.0</v>
      </c>
      <c r="T187" s="83">
        <v>0.0</v>
      </c>
      <c r="U187" s="83">
        <v>0.0</v>
      </c>
      <c r="V187" s="83">
        <v>4.0</v>
      </c>
      <c r="W187" s="83">
        <v>0.0</v>
      </c>
      <c r="X187" s="370">
        <v>0.5</v>
      </c>
      <c r="Y187" s="83">
        <v>0.0</v>
      </c>
      <c r="Z187" s="370">
        <v>0.5</v>
      </c>
      <c r="AA187" s="83">
        <v>2.0</v>
      </c>
      <c r="AB187" s="370">
        <v>0.03</v>
      </c>
      <c r="AC187" s="354">
        <v>1.0</v>
      </c>
      <c r="AD187" s="371">
        <f>DPS_Elemental_Damage</f>
        <v>0</v>
      </c>
      <c r="AE187" s="354">
        <v>1.5</v>
      </c>
      <c r="AF187" s="354">
        <v>1.5</v>
      </c>
      <c r="AG187" s="354"/>
      <c r="AH187" s="83" t="s">
        <v>724</v>
      </c>
      <c r="AI187" s="83">
        <f>DPS_Melee_Damage</f>
        <v>0</v>
      </c>
      <c r="AJ187" s="371">
        <f>DPS_Elemental_Damage</f>
        <v>0</v>
      </c>
      <c r="AK187" s="371"/>
      <c r="AL187" s="372" t="s">
        <v>721</v>
      </c>
      <c r="AM187" s="83">
        <v>5.0</v>
      </c>
      <c r="AN187" s="83">
        <v>1.0</v>
      </c>
      <c r="AO187" s="83">
        <v>0.0</v>
      </c>
      <c r="AP187" s="372">
        <v>238.0</v>
      </c>
      <c r="AQ187" s="370">
        <v>0.0</v>
      </c>
      <c r="AR187" s="83">
        <v>0.0</v>
      </c>
      <c r="AS187" s="372">
        <v>112.0</v>
      </c>
      <c r="AT187" s="372">
        <v>32.0</v>
      </c>
      <c r="AU187" s="371"/>
    </row>
    <row r="188">
      <c r="A188" s="368" t="s">
        <v>1075</v>
      </c>
      <c r="B188" s="369"/>
      <c r="C188" s="369" t="s">
        <v>721</v>
      </c>
      <c r="D188" s="83" t="s">
        <v>722</v>
      </c>
      <c r="E188" s="83">
        <v>1.0</v>
      </c>
      <c r="F188" s="83">
        <v>31.0</v>
      </c>
      <c r="G188" s="83">
        <v>175.0</v>
      </c>
      <c r="H188" s="83">
        <v>0.1</v>
      </c>
      <c r="I188" s="354">
        <v>0.0</v>
      </c>
      <c r="J188" s="83">
        <v>1.5</v>
      </c>
      <c r="K188" s="83">
        <v>1.0</v>
      </c>
      <c r="L188" s="83">
        <v>0.0</v>
      </c>
      <c r="M188" s="354">
        <v>0.5</v>
      </c>
      <c r="N188" s="83">
        <v>0.0</v>
      </c>
      <c r="O188" s="83">
        <v>0.5</v>
      </c>
      <c r="P188" s="83">
        <v>0.0</v>
      </c>
      <c r="Q188" s="83">
        <v>0.0</v>
      </c>
      <c r="R188" s="83">
        <v>0.0</v>
      </c>
      <c r="S188" s="83">
        <v>3.0</v>
      </c>
      <c r="T188" s="83">
        <v>3.0</v>
      </c>
      <c r="U188" s="83">
        <v>0.0</v>
      </c>
      <c r="V188" s="83">
        <v>0.0</v>
      </c>
      <c r="W188" s="83">
        <v>0.0</v>
      </c>
      <c r="X188" s="370">
        <v>0.5</v>
      </c>
      <c r="Y188" s="83">
        <v>0.0</v>
      </c>
      <c r="Z188" s="370">
        <v>0.5</v>
      </c>
      <c r="AA188" s="83">
        <v>2.0</v>
      </c>
      <c r="AB188" s="370">
        <v>0.03</v>
      </c>
      <c r="AC188" s="354">
        <v>0.0</v>
      </c>
      <c r="AD188" s="371">
        <v>0.0</v>
      </c>
      <c r="AE188" s="354">
        <v>0.5</v>
      </c>
      <c r="AF188" s="354">
        <v>0.5</v>
      </c>
      <c r="AG188" s="354"/>
      <c r="AH188" s="83" t="s">
        <v>724</v>
      </c>
      <c r="AI188" s="83">
        <f>DPS_Melee_Damage</f>
        <v>0</v>
      </c>
      <c r="AJ188" s="371">
        <f>DPS_Elemental_Damage</f>
        <v>0</v>
      </c>
      <c r="AK188" s="371"/>
      <c r="AL188" s="372" t="s">
        <v>721</v>
      </c>
      <c r="AM188" s="83">
        <v>20.0</v>
      </c>
      <c r="AN188" s="83">
        <v>1.0</v>
      </c>
      <c r="AO188" s="83">
        <v>0.0</v>
      </c>
      <c r="AP188" s="372">
        <v>10.0</v>
      </c>
      <c r="AQ188" s="370">
        <v>0.0</v>
      </c>
      <c r="AR188" s="83">
        <v>0.0</v>
      </c>
      <c r="AS188" s="372">
        <v>80.0</v>
      </c>
      <c r="AT188" s="372">
        <v>20.0</v>
      </c>
      <c r="AU188" s="371"/>
    </row>
    <row r="189">
      <c r="A189" s="368" t="s">
        <v>1076</v>
      </c>
      <c r="B189" s="369"/>
      <c r="C189" s="369" t="s">
        <v>721</v>
      </c>
      <c r="D189" s="83" t="s">
        <v>722</v>
      </c>
      <c r="E189" s="83">
        <v>1.0</v>
      </c>
      <c r="F189" s="83">
        <v>27.0</v>
      </c>
      <c r="G189" s="83">
        <v>175.0</v>
      </c>
      <c r="H189" s="83">
        <v>0.1</v>
      </c>
      <c r="I189" s="354">
        <v>0.0</v>
      </c>
      <c r="J189" s="83">
        <v>1.5</v>
      </c>
      <c r="K189" s="83">
        <v>1.0</v>
      </c>
      <c r="L189" s="83">
        <v>0.0</v>
      </c>
      <c r="M189" s="354">
        <v>0.5</v>
      </c>
      <c r="N189" s="83">
        <v>0.0</v>
      </c>
      <c r="O189" s="83">
        <v>0.5</v>
      </c>
      <c r="P189" s="83">
        <v>0.0</v>
      </c>
      <c r="Q189" s="83">
        <v>0.0</v>
      </c>
      <c r="R189" s="83">
        <v>0.0</v>
      </c>
      <c r="S189" s="83">
        <v>5.0</v>
      </c>
      <c r="T189" s="83">
        <v>5.0</v>
      </c>
      <c r="U189" s="83">
        <v>0.0</v>
      </c>
      <c r="V189" s="83">
        <v>0.0</v>
      </c>
      <c r="W189" s="83">
        <v>0.0</v>
      </c>
      <c r="X189" s="370">
        <v>0.5</v>
      </c>
      <c r="Y189" s="83">
        <v>0.0</v>
      </c>
      <c r="Z189" s="370">
        <v>0.5</v>
      </c>
      <c r="AA189" s="83">
        <v>2.0</v>
      </c>
      <c r="AB189" s="370">
        <v>0.03</v>
      </c>
      <c r="AC189" s="354">
        <v>0.0</v>
      </c>
      <c r="AD189" s="371">
        <v>0.0</v>
      </c>
      <c r="AE189" s="354">
        <v>0.65</v>
      </c>
      <c r="AF189" s="354">
        <v>0.65</v>
      </c>
      <c r="AG189" s="354"/>
      <c r="AH189" s="83" t="s">
        <v>724</v>
      </c>
      <c r="AI189" s="83">
        <f>DPS_Melee_Damage</f>
        <v>0</v>
      </c>
      <c r="AJ189" s="371">
        <f>DPS_Elemental_Damage</f>
        <v>0</v>
      </c>
      <c r="AK189" s="371"/>
      <c r="AL189" s="372" t="s">
        <v>721</v>
      </c>
      <c r="AM189" s="83">
        <v>20.0</v>
      </c>
      <c r="AN189" s="83">
        <v>1.0</v>
      </c>
      <c r="AO189" s="83">
        <v>0.0</v>
      </c>
      <c r="AP189" s="372">
        <v>22.0</v>
      </c>
      <c r="AQ189" s="370">
        <v>0.0</v>
      </c>
      <c r="AR189" s="83">
        <v>0.0</v>
      </c>
      <c r="AS189" s="372">
        <v>80.0</v>
      </c>
      <c r="AT189" s="372">
        <v>20.0</v>
      </c>
      <c r="AU189" s="371"/>
    </row>
    <row r="190">
      <c r="A190" s="368" t="s">
        <v>1078</v>
      </c>
      <c r="B190" s="369"/>
      <c r="C190" s="369" t="s">
        <v>721</v>
      </c>
      <c r="D190" s="83" t="s">
        <v>722</v>
      </c>
      <c r="E190" s="83">
        <v>1.0</v>
      </c>
      <c r="F190" s="83">
        <v>22.0</v>
      </c>
      <c r="G190" s="83">
        <v>175.0</v>
      </c>
      <c r="H190" s="83">
        <v>0.1</v>
      </c>
      <c r="I190" s="354">
        <v>0.0</v>
      </c>
      <c r="J190" s="83">
        <v>1.5</v>
      </c>
      <c r="K190" s="83">
        <v>1.0</v>
      </c>
      <c r="L190" s="83">
        <v>0.0</v>
      </c>
      <c r="M190" s="354">
        <v>0.5</v>
      </c>
      <c r="N190" s="83">
        <v>0.0</v>
      </c>
      <c r="O190" s="83">
        <v>0.5</v>
      </c>
      <c r="P190" s="83">
        <v>0.0</v>
      </c>
      <c r="Q190" s="83">
        <v>0.0</v>
      </c>
      <c r="R190" s="83">
        <v>0.0</v>
      </c>
      <c r="S190" s="83">
        <v>8.0</v>
      </c>
      <c r="T190" s="83">
        <v>6.0</v>
      </c>
      <c r="U190" s="83">
        <v>0.0</v>
      </c>
      <c r="V190" s="83">
        <v>0.0</v>
      </c>
      <c r="W190" s="83">
        <v>0.0</v>
      </c>
      <c r="X190" s="370">
        <v>0.5</v>
      </c>
      <c r="Y190" s="83">
        <v>0.0</v>
      </c>
      <c r="Z190" s="370">
        <v>0.5</v>
      </c>
      <c r="AA190" s="83">
        <v>2.0</v>
      </c>
      <c r="AB190" s="370">
        <v>0.03</v>
      </c>
      <c r="AC190" s="354">
        <v>0.0</v>
      </c>
      <c r="AD190" s="371">
        <v>0.0</v>
      </c>
      <c r="AE190" s="354">
        <v>0.8</v>
      </c>
      <c r="AF190" s="354">
        <v>0.8</v>
      </c>
      <c r="AG190" s="354"/>
      <c r="AH190" s="83" t="s">
        <v>724</v>
      </c>
      <c r="AI190" s="83">
        <f>DPS_Melee_Damage</f>
        <v>0</v>
      </c>
      <c r="AJ190" s="371">
        <f>DPS_Elemental_Damage</f>
        <v>0</v>
      </c>
      <c r="AK190" s="371"/>
      <c r="AL190" s="372" t="s">
        <v>721</v>
      </c>
      <c r="AM190" s="83">
        <v>20.0</v>
      </c>
      <c r="AN190" s="83">
        <v>1.0</v>
      </c>
      <c r="AO190" s="83">
        <v>0.0</v>
      </c>
      <c r="AP190" s="372">
        <v>45.0</v>
      </c>
      <c r="AQ190" s="370">
        <v>0.0</v>
      </c>
      <c r="AR190" s="83">
        <v>0.0</v>
      </c>
      <c r="AS190" s="372">
        <v>80.0</v>
      </c>
      <c r="AT190" s="372">
        <v>20.0</v>
      </c>
      <c r="AU190" s="371"/>
    </row>
    <row r="191">
      <c r="A191" s="368" t="s">
        <v>1081</v>
      </c>
      <c r="B191" s="369"/>
      <c r="C191" s="369" t="s">
        <v>721</v>
      </c>
      <c r="D191" s="83" t="s">
        <v>722</v>
      </c>
      <c r="E191" s="83">
        <v>1.0</v>
      </c>
      <c r="F191" s="83">
        <v>13.0</v>
      </c>
      <c r="G191" s="83">
        <v>175.0</v>
      </c>
      <c r="H191" s="83">
        <v>0.1</v>
      </c>
      <c r="I191" s="354">
        <v>0.0</v>
      </c>
      <c r="J191" s="83">
        <v>1.5</v>
      </c>
      <c r="K191" s="83">
        <v>1.0</v>
      </c>
      <c r="L191" s="83">
        <v>0.0</v>
      </c>
      <c r="M191" s="354">
        <v>0.5</v>
      </c>
      <c r="N191" s="83">
        <v>0.0</v>
      </c>
      <c r="O191" s="83">
        <v>0.5</v>
      </c>
      <c r="P191" s="83">
        <v>0.0</v>
      </c>
      <c r="Q191" s="83">
        <v>0.0</v>
      </c>
      <c r="R191" s="83">
        <v>0.0</v>
      </c>
      <c r="S191" s="83">
        <v>12.0</v>
      </c>
      <c r="T191" s="83">
        <v>9.0</v>
      </c>
      <c r="U191" s="83">
        <v>0.0</v>
      </c>
      <c r="V191" s="83">
        <v>0.0</v>
      </c>
      <c r="W191" s="83">
        <v>0.0</v>
      </c>
      <c r="X191" s="370">
        <v>0.5</v>
      </c>
      <c r="Y191" s="83">
        <v>0.0</v>
      </c>
      <c r="Z191" s="370">
        <v>0.5</v>
      </c>
      <c r="AA191" s="83">
        <v>2.0</v>
      </c>
      <c r="AB191" s="370">
        <v>0.03</v>
      </c>
      <c r="AC191" s="354">
        <v>0.0</v>
      </c>
      <c r="AD191" s="371">
        <v>0.0</v>
      </c>
      <c r="AE191" s="354">
        <v>1.0</v>
      </c>
      <c r="AF191" s="354">
        <v>1.0</v>
      </c>
      <c r="AG191" s="354"/>
      <c r="AH191" s="83" t="s">
        <v>724</v>
      </c>
      <c r="AI191" s="83">
        <f>DPS_Melee_Damage</f>
        <v>0</v>
      </c>
      <c r="AJ191" s="371">
        <f>DPS_Elemental_Damage</f>
        <v>0</v>
      </c>
      <c r="AK191" s="371"/>
      <c r="AL191" s="372" t="s">
        <v>721</v>
      </c>
      <c r="AM191" s="83">
        <v>20.0</v>
      </c>
      <c r="AN191" s="83">
        <v>1.0</v>
      </c>
      <c r="AO191" s="83">
        <v>0.0</v>
      </c>
      <c r="AP191" s="372">
        <v>91.0</v>
      </c>
      <c r="AQ191" s="370">
        <v>0.0</v>
      </c>
      <c r="AR191" s="83">
        <v>0.0</v>
      </c>
      <c r="AS191" s="372">
        <v>80.0</v>
      </c>
      <c r="AT191" s="372">
        <v>20.0</v>
      </c>
      <c r="AU191" s="371"/>
    </row>
    <row r="192">
      <c r="A192" s="368" t="s">
        <v>1082</v>
      </c>
      <c r="B192" s="369"/>
      <c r="C192" s="369" t="s">
        <v>733</v>
      </c>
      <c r="D192" s="83" t="s">
        <v>734</v>
      </c>
      <c r="E192" s="83">
        <v>1.0</v>
      </c>
      <c r="F192" s="83">
        <v>40.0</v>
      </c>
      <c r="G192" s="83">
        <v>350.0</v>
      </c>
      <c r="H192" s="83">
        <v>0.1</v>
      </c>
      <c r="I192" s="354">
        <v>0.0</v>
      </c>
      <c r="J192" s="83">
        <v>2.0</v>
      </c>
      <c r="K192" s="83">
        <v>1.0</v>
      </c>
      <c r="L192" s="83">
        <v>0.0</v>
      </c>
      <c r="M192" s="354">
        <v>0.5</v>
      </c>
      <c r="N192" s="83">
        <v>1.0</v>
      </c>
      <c r="O192" s="83">
        <v>0.5</v>
      </c>
      <c r="P192" s="83">
        <v>0.0</v>
      </c>
      <c r="Q192" s="83">
        <v>0.0</v>
      </c>
      <c r="R192" s="83">
        <v>0.0</v>
      </c>
      <c r="S192" s="83">
        <v>3.0</v>
      </c>
      <c r="T192" s="83">
        <v>3.0</v>
      </c>
      <c r="U192" s="83">
        <v>0.0</v>
      </c>
      <c r="V192" s="83">
        <v>0.0</v>
      </c>
      <c r="W192" s="83">
        <v>0.0</v>
      </c>
      <c r="X192" s="370">
        <v>0.5</v>
      </c>
      <c r="Y192" s="83">
        <v>0.0</v>
      </c>
      <c r="Z192" s="370">
        <v>0.5</v>
      </c>
      <c r="AA192" s="83">
        <v>2.0</v>
      </c>
      <c r="AB192" s="370">
        <v>0.03</v>
      </c>
      <c r="AC192" s="354">
        <v>0.0</v>
      </c>
      <c r="AD192" s="371">
        <v>0.0</v>
      </c>
      <c r="AE192" s="354">
        <v>0.5</v>
      </c>
      <c r="AF192" s="354"/>
      <c r="AG192" s="354"/>
      <c r="AH192" s="83" t="s">
        <v>724</v>
      </c>
      <c r="AI192" s="371">
        <f>DPS_Elemental_Damage</f>
        <v>0</v>
      </c>
      <c r="AJ192" s="371">
        <v>0.0</v>
      </c>
      <c r="AK192" s="371"/>
      <c r="AL192" s="372">
        <v>2000.0</v>
      </c>
      <c r="AM192" s="83">
        <v>10.0</v>
      </c>
      <c r="AN192" s="83">
        <v>1.0</v>
      </c>
      <c r="AO192" s="83">
        <v>0.0</v>
      </c>
      <c r="AP192" s="372">
        <v>10.0</v>
      </c>
      <c r="AQ192" s="370">
        <v>0.0</v>
      </c>
      <c r="AR192" s="83">
        <v>0.0</v>
      </c>
      <c r="AS192" s="83" t="s">
        <v>733</v>
      </c>
      <c r="AT192" s="83" t="s">
        <v>733</v>
      </c>
      <c r="AU192" s="371"/>
    </row>
    <row r="193">
      <c r="A193" s="368" t="s">
        <v>1083</v>
      </c>
      <c r="B193" s="369"/>
      <c r="C193" s="369" t="s">
        <v>733</v>
      </c>
      <c r="D193" s="83" t="s">
        <v>734</v>
      </c>
      <c r="E193" s="83">
        <v>1.0</v>
      </c>
      <c r="F193" s="83">
        <v>35.0</v>
      </c>
      <c r="G193" s="83">
        <v>375.0</v>
      </c>
      <c r="H193" s="83">
        <v>0.1</v>
      </c>
      <c r="I193" s="354">
        <v>0.0</v>
      </c>
      <c r="J193" s="83">
        <v>2.0</v>
      </c>
      <c r="K193" s="83">
        <v>1.0</v>
      </c>
      <c r="L193" s="83">
        <v>0.0</v>
      </c>
      <c r="M193" s="354">
        <v>0.5</v>
      </c>
      <c r="N193" s="83">
        <v>1.0</v>
      </c>
      <c r="O193" s="83">
        <v>0.5</v>
      </c>
      <c r="P193" s="83">
        <v>0.0</v>
      </c>
      <c r="Q193" s="83">
        <v>0.0</v>
      </c>
      <c r="R193" s="83">
        <v>0.0</v>
      </c>
      <c r="S193" s="83">
        <v>5.0</v>
      </c>
      <c r="T193" s="83">
        <v>5.0</v>
      </c>
      <c r="U193" s="83">
        <v>0.0</v>
      </c>
      <c r="V193" s="83">
        <v>0.0</v>
      </c>
      <c r="W193" s="83">
        <v>0.0</v>
      </c>
      <c r="X193" s="370">
        <v>0.5</v>
      </c>
      <c r="Y193" s="83">
        <v>0.0</v>
      </c>
      <c r="Z193" s="370">
        <v>0.5</v>
      </c>
      <c r="AA193" s="83">
        <v>2.0</v>
      </c>
      <c r="AB193" s="370">
        <v>0.03</v>
      </c>
      <c r="AC193" s="354">
        <v>0.0</v>
      </c>
      <c r="AD193" s="371">
        <v>0.0</v>
      </c>
      <c r="AE193" s="354">
        <v>0.65</v>
      </c>
      <c r="AF193" s="354"/>
      <c r="AG193" s="354"/>
      <c r="AH193" s="83" t="s">
        <v>724</v>
      </c>
      <c r="AI193" s="371">
        <f>DPS_Elemental_Damage</f>
        <v>0</v>
      </c>
      <c r="AJ193" s="371">
        <v>0.0</v>
      </c>
      <c r="AK193" s="371"/>
      <c r="AL193" s="372">
        <v>2000.0</v>
      </c>
      <c r="AM193" s="83">
        <v>10.0</v>
      </c>
      <c r="AN193" s="83">
        <v>1.0</v>
      </c>
      <c r="AO193" s="83">
        <v>0.0</v>
      </c>
      <c r="AP193" s="372">
        <v>22.0</v>
      </c>
      <c r="AQ193" s="370">
        <v>0.0</v>
      </c>
      <c r="AR193" s="83">
        <v>0.0</v>
      </c>
      <c r="AS193" s="83" t="s">
        <v>733</v>
      </c>
      <c r="AT193" s="83" t="s">
        <v>733</v>
      </c>
      <c r="AU193" s="371"/>
    </row>
    <row r="194">
      <c r="A194" s="368" t="s">
        <v>1085</v>
      </c>
      <c r="B194" s="369"/>
      <c r="C194" s="369" t="s">
        <v>733</v>
      </c>
      <c r="D194" s="83" t="s">
        <v>734</v>
      </c>
      <c r="E194" s="83">
        <v>1.0</v>
      </c>
      <c r="F194" s="83">
        <v>30.0</v>
      </c>
      <c r="G194" s="83">
        <v>400.0</v>
      </c>
      <c r="H194" s="83">
        <v>0.1</v>
      </c>
      <c r="I194" s="354">
        <v>0.0</v>
      </c>
      <c r="J194" s="83">
        <v>2.0</v>
      </c>
      <c r="K194" s="83">
        <v>1.0</v>
      </c>
      <c r="L194" s="83">
        <v>0.0</v>
      </c>
      <c r="M194" s="354">
        <v>0.5</v>
      </c>
      <c r="N194" s="83">
        <v>1.0</v>
      </c>
      <c r="O194" s="83">
        <v>0.5</v>
      </c>
      <c r="P194" s="83">
        <v>0.0</v>
      </c>
      <c r="Q194" s="83">
        <v>0.0</v>
      </c>
      <c r="R194" s="83">
        <v>0.0</v>
      </c>
      <c r="S194" s="83">
        <v>8.0</v>
      </c>
      <c r="T194" s="83">
        <v>6.0</v>
      </c>
      <c r="U194" s="83">
        <v>0.0</v>
      </c>
      <c r="V194" s="83">
        <v>0.0</v>
      </c>
      <c r="W194" s="83">
        <v>0.0</v>
      </c>
      <c r="X194" s="370">
        <v>0.5</v>
      </c>
      <c r="Y194" s="83">
        <v>0.0</v>
      </c>
      <c r="Z194" s="370">
        <v>0.5</v>
      </c>
      <c r="AA194" s="83">
        <v>2.0</v>
      </c>
      <c r="AB194" s="370">
        <v>0.03</v>
      </c>
      <c r="AC194" s="354">
        <v>0.0</v>
      </c>
      <c r="AD194" s="371">
        <v>0.0</v>
      </c>
      <c r="AE194" s="354">
        <v>0.8</v>
      </c>
      <c r="AF194" s="354"/>
      <c r="AG194" s="354"/>
      <c r="AH194" s="83" t="s">
        <v>724</v>
      </c>
      <c r="AI194" s="371">
        <f>DPS_Elemental_Damage</f>
        <v>0</v>
      </c>
      <c r="AJ194" s="371">
        <v>0.0</v>
      </c>
      <c r="AK194" s="371"/>
      <c r="AL194" s="372">
        <v>2000.0</v>
      </c>
      <c r="AM194" s="83">
        <v>10.0</v>
      </c>
      <c r="AN194" s="83">
        <v>1.0</v>
      </c>
      <c r="AO194" s="83">
        <v>0.0</v>
      </c>
      <c r="AP194" s="372">
        <v>45.0</v>
      </c>
      <c r="AQ194" s="370">
        <v>0.0</v>
      </c>
      <c r="AR194" s="83">
        <v>0.0</v>
      </c>
      <c r="AS194" s="83" t="s">
        <v>733</v>
      </c>
      <c r="AT194" s="83" t="s">
        <v>733</v>
      </c>
      <c r="AU194" s="371"/>
    </row>
    <row r="195">
      <c r="A195" s="368" t="s">
        <v>1086</v>
      </c>
      <c r="B195" s="369"/>
      <c r="C195" s="369" t="s">
        <v>733</v>
      </c>
      <c r="D195" s="83" t="s">
        <v>734</v>
      </c>
      <c r="E195" s="83">
        <v>1.0</v>
      </c>
      <c r="F195" s="83">
        <v>20.0</v>
      </c>
      <c r="G195" s="83">
        <v>425.0</v>
      </c>
      <c r="H195" s="83">
        <v>0.1</v>
      </c>
      <c r="I195" s="354">
        <v>0.0</v>
      </c>
      <c r="J195" s="83">
        <v>2.0</v>
      </c>
      <c r="K195" s="83">
        <v>1.0</v>
      </c>
      <c r="L195" s="83">
        <v>0.0</v>
      </c>
      <c r="M195" s="354">
        <v>0.5</v>
      </c>
      <c r="N195" s="83">
        <v>1.0</v>
      </c>
      <c r="O195" s="83">
        <v>0.5</v>
      </c>
      <c r="P195" s="83">
        <v>0.0</v>
      </c>
      <c r="Q195" s="83">
        <v>0.0</v>
      </c>
      <c r="R195" s="83">
        <v>0.0</v>
      </c>
      <c r="S195" s="83">
        <v>12.0</v>
      </c>
      <c r="T195" s="83">
        <v>9.0</v>
      </c>
      <c r="U195" s="83">
        <v>0.0</v>
      </c>
      <c r="V195" s="83">
        <v>0.0</v>
      </c>
      <c r="W195" s="83">
        <v>0.0</v>
      </c>
      <c r="X195" s="370">
        <v>0.5</v>
      </c>
      <c r="Y195" s="83">
        <v>0.0</v>
      </c>
      <c r="Z195" s="370">
        <v>0.5</v>
      </c>
      <c r="AA195" s="83">
        <v>2.0</v>
      </c>
      <c r="AB195" s="370">
        <v>0.03</v>
      </c>
      <c r="AC195" s="354">
        <v>0.0</v>
      </c>
      <c r="AD195" s="371">
        <v>0.0</v>
      </c>
      <c r="AE195" s="354">
        <v>1.0</v>
      </c>
      <c r="AF195" s="354"/>
      <c r="AG195" s="354"/>
      <c r="AH195" s="83" t="s">
        <v>724</v>
      </c>
      <c r="AI195" s="371">
        <f>DPS_Elemental_Damage</f>
        <v>0</v>
      </c>
      <c r="AJ195" s="371">
        <v>0.0</v>
      </c>
      <c r="AK195" s="371"/>
      <c r="AL195" s="372">
        <v>2000.0</v>
      </c>
      <c r="AM195" s="83">
        <v>10.0</v>
      </c>
      <c r="AN195" s="83">
        <v>1.0</v>
      </c>
      <c r="AO195" s="83">
        <v>0.0</v>
      </c>
      <c r="AP195" s="372">
        <v>91.0</v>
      </c>
      <c r="AQ195" s="370">
        <v>0.0</v>
      </c>
      <c r="AR195" s="83">
        <v>0.0</v>
      </c>
      <c r="AS195" s="83" t="s">
        <v>733</v>
      </c>
      <c r="AT195" s="83" t="s">
        <v>733</v>
      </c>
      <c r="AU195" s="371"/>
    </row>
    <row r="196">
      <c r="A196" s="368" t="s">
        <v>1088</v>
      </c>
      <c r="B196" s="369"/>
      <c r="C196" s="369" t="s">
        <v>721</v>
      </c>
      <c r="D196" s="83" t="s">
        <v>722</v>
      </c>
      <c r="E196" s="83">
        <v>12.0</v>
      </c>
      <c r="F196" s="83">
        <v>67.0</v>
      </c>
      <c r="G196" s="83">
        <v>175.0</v>
      </c>
      <c r="H196" s="83">
        <v>0.1</v>
      </c>
      <c r="I196" s="354">
        <v>0.03</v>
      </c>
      <c r="J196" s="83">
        <v>2.0</v>
      </c>
      <c r="K196" s="83">
        <v>1.0</v>
      </c>
      <c r="L196" s="83">
        <v>0.0</v>
      </c>
      <c r="M196" s="354">
        <v>0.5</v>
      </c>
      <c r="N196" s="83">
        <v>0.0</v>
      </c>
      <c r="O196" s="83">
        <v>0.5</v>
      </c>
      <c r="P196" s="83">
        <v>0.0</v>
      </c>
      <c r="Q196" s="83">
        <v>0.0</v>
      </c>
      <c r="R196" s="83">
        <v>0.0</v>
      </c>
      <c r="S196" s="83">
        <v>0.0</v>
      </c>
      <c r="T196" s="83">
        <v>0.0</v>
      </c>
      <c r="U196" s="83">
        <v>0.0</v>
      </c>
      <c r="V196" s="83">
        <v>0.0</v>
      </c>
      <c r="W196" s="83">
        <v>0.0</v>
      </c>
      <c r="X196" s="370">
        <v>0.5</v>
      </c>
      <c r="Y196" s="83">
        <v>0.0</v>
      </c>
      <c r="Z196" s="370">
        <v>0.5</v>
      </c>
      <c r="AA196" s="83">
        <v>2.0</v>
      </c>
      <c r="AB196" s="370">
        <v>0.03</v>
      </c>
      <c r="AC196" s="354">
        <v>0.0</v>
      </c>
      <c r="AD196" s="371">
        <v>0.0</v>
      </c>
      <c r="AE196" s="354">
        <v>1.0</v>
      </c>
      <c r="AF196" s="354"/>
      <c r="AG196" s="354"/>
      <c r="AH196" s="83" t="s">
        <v>724</v>
      </c>
      <c r="AI196" s="83">
        <f>DPS_Melee_Damage</f>
        <v>0</v>
      </c>
      <c r="AJ196" s="371">
        <v>0.0</v>
      </c>
      <c r="AK196" s="371"/>
      <c r="AL196" s="372" t="s">
        <v>721</v>
      </c>
      <c r="AM196" s="83">
        <v>20.0</v>
      </c>
      <c r="AN196" s="83">
        <v>1.0</v>
      </c>
      <c r="AO196" s="83">
        <v>0.0</v>
      </c>
      <c r="AP196" s="372">
        <v>20.0</v>
      </c>
      <c r="AQ196" s="370">
        <v>0.0</v>
      </c>
      <c r="AR196" s="83">
        <v>0.0</v>
      </c>
      <c r="AS196" s="372">
        <v>88.0</v>
      </c>
      <c r="AT196" s="372">
        <v>32.0</v>
      </c>
      <c r="AU196" s="371"/>
    </row>
    <row r="197">
      <c r="A197" s="368" t="s">
        <v>1090</v>
      </c>
      <c r="B197" s="369"/>
      <c r="C197" s="369" t="s">
        <v>721</v>
      </c>
      <c r="D197" s="83" t="s">
        <v>722</v>
      </c>
      <c r="E197" s="83">
        <v>16.0</v>
      </c>
      <c r="F197" s="83">
        <v>63.0</v>
      </c>
      <c r="G197" s="83">
        <v>175.0</v>
      </c>
      <c r="H197" s="83">
        <v>0.1</v>
      </c>
      <c r="I197" s="354">
        <v>0.03</v>
      </c>
      <c r="J197" s="83">
        <v>2.0</v>
      </c>
      <c r="K197" s="83">
        <v>1.0</v>
      </c>
      <c r="L197" s="83">
        <v>0.0</v>
      </c>
      <c r="M197" s="354">
        <v>0.5</v>
      </c>
      <c r="N197" s="83">
        <v>0.0</v>
      </c>
      <c r="O197" s="83">
        <v>0.5</v>
      </c>
      <c r="P197" s="83">
        <v>0.0</v>
      </c>
      <c r="Q197" s="83">
        <v>0.0</v>
      </c>
      <c r="R197" s="83">
        <v>0.0</v>
      </c>
      <c r="S197" s="83">
        <v>0.0</v>
      </c>
      <c r="T197" s="83">
        <v>0.0</v>
      </c>
      <c r="U197" s="83">
        <v>0.0</v>
      </c>
      <c r="V197" s="83">
        <v>0.0</v>
      </c>
      <c r="W197" s="83">
        <v>0.0</v>
      </c>
      <c r="X197" s="370">
        <v>0.5</v>
      </c>
      <c r="Y197" s="83">
        <v>0.0</v>
      </c>
      <c r="Z197" s="370">
        <v>0.5</v>
      </c>
      <c r="AA197" s="83">
        <v>2.0</v>
      </c>
      <c r="AB197" s="370">
        <v>0.03</v>
      </c>
      <c r="AC197" s="354">
        <v>0.0</v>
      </c>
      <c r="AD197" s="371">
        <v>0.0</v>
      </c>
      <c r="AE197" s="354">
        <v>1.0</v>
      </c>
      <c r="AF197" s="354"/>
      <c r="AG197" s="354"/>
      <c r="AH197" s="83" t="s">
        <v>724</v>
      </c>
      <c r="AI197" s="83">
        <f>DPS_Melee_Damage</f>
        <v>0</v>
      </c>
      <c r="AJ197" s="371">
        <v>0.0</v>
      </c>
      <c r="AK197" s="371"/>
      <c r="AL197" s="372" t="s">
        <v>721</v>
      </c>
      <c r="AM197" s="83">
        <v>20.0</v>
      </c>
      <c r="AN197" s="83">
        <v>1.0</v>
      </c>
      <c r="AO197" s="83">
        <v>0.0</v>
      </c>
      <c r="AP197" s="372">
        <v>39.0</v>
      </c>
      <c r="AQ197" s="370">
        <v>0.0</v>
      </c>
      <c r="AR197" s="83">
        <v>0.0</v>
      </c>
      <c r="AS197" s="372">
        <v>88.0</v>
      </c>
      <c r="AT197" s="372">
        <v>32.0</v>
      </c>
      <c r="AU197" s="371"/>
    </row>
    <row r="198">
      <c r="A198" s="368" t="s">
        <v>1092</v>
      </c>
      <c r="B198" s="369"/>
      <c r="C198" s="369" t="s">
        <v>721</v>
      </c>
      <c r="D198" s="83" t="s">
        <v>722</v>
      </c>
      <c r="E198" s="83">
        <v>20.0</v>
      </c>
      <c r="F198" s="83">
        <v>58.0</v>
      </c>
      <c r="G198" s="83">
        <v>175.0</v>
      </c>
      <c r="H198" s="83">
        <v>0.1</v>
      </c>
      <c r="I198" s="354">
        <v>0.03</v>
      </c>
      <c r="J198" s="83">
        <v>2.0</v>
      </c>
      <c r="K198" s="83">
        <v>1.0</v>
      </c>
      <c r="L198" s="83">
        <v>0.0</v>
      </c>
      <c r="M198" s="354">
        <v>0.5</v>
      </c>
      <c r="N198" s="83">
        <v>0.0</v>
      </c>
      <c r="O198" s="83">
        <v>0.5</v>
      </c>
      <c r="P198" s="83">
        <v>0.0</v>
      </c>
      <c r="Q198" s="83">
        <v>0.0</v>
      </c>
      <c r="R198" s="83">
        <v>0.0</v>
      </c>
      <c r="S198" s="83">
        <v>0.0</v>
      </c>
      <c r="T198" s="83">
        <v>0.0</v>
      </c>
      <c r="U198" s="83">
        <v>0.0</v>
      </c>
      <c r="V198" s="83">
        <v>0.0</v>
      </c>
      <c r="W198" s="83">
        <v>0.0</v>
      </c>
      <c r="X198" s="370">
        <v>0.5</v>
      </c>
      <c r="Y198" s="83">
        <v>0.0</v>
      </c>
      <c r="Z198" s="370">
        <v>0.5</v>
      </c>
      <c r="AA198" s="83">
        <v>2.0</v>
      </c>
      <c r="AB198" s="370">
        <v>0.03</v>
      </c>
      <c r="AC198" s="354">
        <v>0.0</v>
      </c>
      <c r="AD198" s="371">
        <v>0.0</v>
      </c>
      <c r="AE198" s="354">
        <v>1.0</v>
      </c>
      <c r="AF198" s="354"/>
      <c r="AG198" s="354"/>
      <c r="AH198" s="83" t="s">
        <v>724</v>
      </c>
      <c r="AI198" s="83">
        <f>DPS_Melee_Damage</f>
        <v>0</v>
      </c>
      <c r="AJ198" s="371">
        <v>0.0</v>
      </c>
      <c r="AK198" s="371"/>
      <c r="AL198" s="372" t="s">
        <v>721</v>
      </c>
      <c r="AM198" s="83">
        <v>20.0</v>
      </c>
      <c r="AN198" s="83">
        <v>1.0</v>
      </c>
      <c r="AO198" s="83">
        <v>0.0</v>
      </c>
      <c r="AP198" s="372">
        <v>74.0</v>
      </c>
      <c r="AQ198" s="370">
        <v>0.0</v>
      </c>
      <c r="AR198" s="83">
        <v>0.0</v>
      </c>
      <c r="AS198" s="372">
        <v>88.0</v>
      </c>
      <c r="AT198" s="372">
        <v>32.0</v>
      </c>
      <c r="AU198" s="371"/>
    </row>
    <row r="199">
      <c r="A199" s="368" t="s">
        <v>1094</v>
      </c>
      <c r="B199" s="369"/>
      <c r="C199" s="369" t="s">
        <v>721</v>
      </c>
      <c r="D199" s="83" t="s">
        <v>722</v>
      </c>
      <c r="E199" s="83">
        <v>24.0</v>
      </c>
      <c r="F199" s="83">
        <v>54.0</v>
      </c>
      <c r="G199" s="83">
        <v>175.0</v>
      </c>
      <c r="H199" s="83">
        <v>0.1</v>
      </c>
      <c r="I199" s="354">
        <v>0.03</v>
      </c>
      <c r="J199" s="83">
        <v>2.0</v>
      </c>
      <c r="K199" s="83">
        <v>1.0</v>
      </c>
      <c r="L199" s="83">
        <v>0.0</v>
      </c>
      <c r="M199" s="354">
        <v>0.5</v>
      </c>
      <c r="N199" s="83">
        <v>0.0</v>
      </c>
      <c r="O199" s="83">
        <v>0.5</v>
      </c>
      <c r="P199" s="83">
        <v>0.0</v>
      </c>
      <c r="Q199" s="83">
        <v>0.0</v>
      </c>
      <c r="R199" s="83">
        <v>0.0</v>
      </c>
      <c r="S199" s="83">
        <v>0.0</v>
      </c>
      <c r="T199" s="83">
        <v>0.0</v>
      </c>
      <c r="U199" s="83">
        <v>0.0</v>
      </c>
      <c r="V199" s="83">
        <v>0.0</v>
      </c>
      <c r="W199" s="83">
        <v>0.0</v>
      </c>
      <c r="X199" s="370">
        <v>0.5</v>
      </c>
      <c r="Y199" s="83">
        <v>0.0</v>
      </c>
      <c r="Z199" s="370">
        <v>0.5</v>
      </c>
      <c r="AA199" s="83">
        <v>2.0</v>
      </c>
      <c r="AB199" s="370">
        <v>0.03</v>
      </c>
      <c r="AC199" s="354">
        <v>0.0</v>
      </c>
      <c r="AD199" s="371">
        <v>0.0</v>
      </c>
      <c r="AE199" s="354">
        <v>1.0</v>
      </c>
      <c r="AF199" s="354"/>
      <c r="AG199" s="354"/>
      <c r="AH199" s="83" t="s">
        <v>724</v>
      </c>
      <c r="AI199" s="83">
        <f>DPS_Melee_Damage</f>
        <v>0</v>
      </c>
      <c r="AJ199" s="371">
        <v>0.0</v>
      </c>
      <c r="AK199" s="371"/>
      <c r="AL199" s="372" t="s">
        <v>721</v>
      </c>
      <c r="AM199" s="83">
        <v>20.0</v>
      </c>
      <c r="AN199" s="83">
        <v>1.0</v>
      </c>
      <c r="AO199" s="83">
        <v>0.0</v>
      </c>
      <c r="AP199" s="372">
        <v>149.0</v>
      </c>
      <c r="AQ199" s="370">
        <v>0.0</v>
      </c>
      <c r="AR199" s="83">
        <v>0.0</v>
      </c>
      <c r="AS199" s="372">
        <v>88.0</v>
      </c>
      <c r="AT199" s="372">
        <v>32.0</v>
      </c>
      <c r="AU199" s="371"/>
    </row>
    <row r="200">
      <c r="A200" s="384" t="s">
        <v>1095</v>
      </c>
      <c r="B200" s="385"/>
      <c r="C200" s="385"/>
      <c r="H200" s="115"/>
      <c r="I200" s="115"/>
      <c r="J200" s="115"/>
      <c r="K200" s="115"/>
      <c r="L200" s="115"/>
      <c r="M200" s="353"/>
      <c r="N200" s="115"/>
      <c r="O200" s="115"/>
      <c r="P200" s="115"/>
      <c r="Q200" s="115"/>
      <c r="R200" s="115"/>
      <c r="S200" s="115"/>
      <c r="T200" s="115"/>
      <c r="U200" s="115"/>
      <c r="V200" s="115"/>
      <c r="W200" s="115"/>
      <c r="X200" s="115"/>
      <c r="Y200" s="115"/>
      <c r="Z200" s="115"/>
      <c r="AA200" s="115"/>
      <c r="AB200" s="115"/>
      <c r="AH200" s="83" t="s">
        <v>724</v>
      </c>
      <c r="AI200" s="263"/>
      <c r="AJ200" s="371"/>
      <c r="AK200" s="371"/>
      <c r="AN200" s="115"/>
      <c r="AO200" s="115"/>
    </row>
    <row r="201">
      <c r="A201" s="384" t="s">
        <v>1099</v>
      </c>
      <c r="B201" s="385"/>
      <c r="C201" s="369" t="s">
        <v>721</v>
      </c>
      <c r="D201" s="83" t="s">
        <v>722</v>
      </c>
      <c r="E201" s="83">
        <v>45.0</v>
      </c>
      <c r="F201" s="83">
        <v>80.0</v>
      </c>
      <c r="G201" s="83">
        <v>175.0</v>
      </c>
      <c r="H201" s="83">
        <v>0.1</v>
      </c>
      <c r="I201" s="354">
        <v>0.03</v>
      </c>
      <c r="J201" s="83">
        <v>1.5</v>
      </c>
      <c r="K201" s="83">
        <v>1.0</v>
      </c>
      <c r="L201" s="83">
        <v>0.0</v>
      </c>
      <c r="M201" s="354">
        <v>0.5</v>
      </c>
      <c r="N201" s="83">
        <v>0.0</v>
      </c>
      <c r="O201" s="83">
        <v>0.5</v>
      </c>
      <c r="P201" s="83">
        <v>0.0</v>
      </c>
      <c r="Q201" s="83">
        <v>0.0</v>
      </c>
      <c r="R201" s="83">
        <v>0.0</v>
      </c>
      <c r="S201" s="83">
        <v>0.0</v>
      </c>
      <c r="T201" s="83">
        <v>0.0</v>
      </c>
      <c r="U201" s="83">
        <v>0.0</v>
      </c>
      <c r="V201" s="83">
        <v>0.0</v>
      </c>
      <c r="W201" s="83">
        <v>0.0</v>
      </c>
      <c r="X201" s="370">
        <v>0.5</v>
      </c>
      <c r="Y201" s="83">
        <v>0.0</v>
      </c>
      <c r="Z201" s="370">
        <v>0.5</v>
      </c>
      <c r="AA201" s="83">
        <v>2.0</v>
      </c>
      <c r="AB201" s="370">
        <v>0.03</v>
      </c>
      <c r="AC201" s="354">
        <v>0.0</v>
      </c>
      <c r="AD201" s="371">
        <v>0.0</v>
      </c>
      <c r="AE201" s="354">
        <v>1.0</v>
      </c>
      <c r="AF201" s="354">
        <v>0.75</v>
      </c>
      <c r="AG201" s="354"/>
      <c r="AH201" s="83" t="s">
        <v>724</v>
      </c>
      <c r="AI201" s="83">
        <f>DPS_Melee_Damage</f>
        <v>0</v>
      </c>
      <c r="AJ201" s="371">
        <f>DPS_Curse</f>
        <v>0</v>
      </c>
      <c r="AK201" s="371"/>
      <c r="AL201" s="372" t="s">
        <v>721</v>
      </c>
      <c r="AM201" s="83">
        <v>10.0</v>
      </c>
      <c r="AN201" s="83">
        <v>1.0</v>
      </c>
      <c r="AO201" s="83">
        <v>0.0</v>
      </c>
      <c r="AP201" s="83">
        <v>48.0</v>
      </c>
      <c r="AQ201" s="370">
        <v>0.0</v>
      </c>
      <c r="AR201" s="83">
        <v>0.0</v>
      </c>
      <c r="AS201" s="83">
        <v>86.0</v>
      </c>
      <c r="AT201" s="372">
        <v>32.0</v>
      </c>
    </row>
    <row r="202">
      <c r="A202" s="384" t="s">
        <v>1100</v>
      </c>
      <c r="B202" s="385"/>
      <c r="C202" s="369" t="s">
        <v>721</v>
      </c>
      <c r="D202" s="83" t="s">
        <v>722</v>
      </c>
      <c r="E202" s="83">
        <v>70.0</v>
      </c>
      <c r="F202" s="83">
        <v>75.0</v>
      </c>
      <c r="G202" s="83">
        <v>200.0</v>
      </c>
      <c r="H202" s="83">
        <v>0.1</v>
      </c>
      <c r="I202" s="354">
        <v>0.03</v>
      </c>
      <c r="J202" s="83">
        <v>1.5</v>
      </c>
      <c r="K202" s="83">
        <v>1.0</v>
      </c>
      <c r="L202" s="83">
        <v>0.0</v>
      </c>
      <c r="M202" s="354">
        <v>0.5</v>
      </c>
      <c r="N202" s="83">
        <v>0.0</v>
      </c>
      <c r="O202" s="83">
        <v>0.5</v>
      </c>
      <c r="P202" s="83">
        <v>0.0</v>
      </c>
      <c r="Q202" s="83">
        <v>0.0</v>
      </c>
      <c r="R202" s="83">
        <v>0.0</v>
      </c>
      <c r="S202" s="83">
        <v>0.0</v>
      </c>
      <c r="T202" s="83">
        <v>0.0</v>
      </c>
      <c r="U202" s="83">
        <v>0.0</v>
      </c>
      <c r="V202" s="83">
        <v>0.0</v>
      </c>
      <c r="W202" s="83">
        <v>0.0</v>
      </c>
      <c r="X202" s="370">
        <v>0.5</v>
      </c>
      <c r="Y202" s="83">
        <v>0.0</v>
      </c>
      <c r="Z202" s="370">
        <v>0.5</v>
      </c>
      <c r="AA202" s="83">
        <v>2.0</v>
      </c>
      <c r="AB202" s="370">
        <v>0.03</v>
      </c>
      <c r="AC202" s="354">
        <v>0.0</v>
      </c>
      <c r="AD202" s="371">
        <v>0.0</v>
      </c>
      <c r="AE202" s="370">
        <v>1.25</v>
      </c>
      <c r="AF202" s="370">
        <v>1.0</v>
      </c>
      <c r="AG202" s="370"/>
      <c r="AH202" s="83" t="s">
        <v>724</v>
      </c>
      <c r="AI202" s="83">
        <f>DPS_Melee_Damage</f>
        <v>0</v>
      </c>
      <c r="AJ202" s="371">
        <f>DPS_Curse</f>
        <v>0</v>
      </c>
      <c r="AK202" s="371"/>
      <c r="AL202" s="372" t="s">
        <v>721</v>
      </c>
      <c r="AM202" s="83">
        <v>10.0</v>
      </c>
      <c r="AN202" s="83">
        <v>1.0</v>
      </c>
      <c r="AO202" s="83">
        <v>0.0</v>
      </c>
      <c r="AP202" s="83">
        <v>90.0</v>
      </c>
      <c r="AQ202" s="370">
        <v>0.0</v>
      </c>
      <c r="AR202" s="83">
        <v>0.0</v>
      </c>
      <c r="AS202" s="83">
        <v>86.0</v>
      </c>
      <c r="AT202" s="372">
        <v>32.0</v>
      </c>
    </row>
    <row r="203">
      <c r="A203" s="384" t="s">
        <v>1101</v>
      </c>
      <c r="B203" s="385"/>
      <c r="C203" s="369" t="s">
        <v>721</v>
      </c>
      <c r="D203" s="83" t="s">
        <v>722</v>
      </c>
      <c r="E203" s="83">
        <v>110.0</v>
      </c>
      <c r="F203" s="83">
        <v>70.0</v>
      </c>
      <c r="G203" s="83">
        <v>225.0</v>
      </c>
      <c r="H203" s="83">
        <v>0.1</v>
      </c>
      <c r="I203" s="354">
        <v>0.03</v>
      </c>
      <c r="J203" s="83">
        <v>1.5</v>
      </c>
      <c r="K203" s="83">
        <v>1.0</v>
      </c>
      <c r="L203" s="83">
        <v>0.0</v>
      </c>
      <c r="M203" s="354">
        <v>0.5</v>
      </c>
      <c r="N203" s="83">
        <v>0.0</v>
      </c>
      <c r="O203" s="83">
        <v>0.5</v>
      </c>
      <c r="P203" s="83">
        <v>0.0</v>
      </c>
      <c r="Q203" s="83">
        <v>0.0</v>
      </c>
      <c r="R203" s="83">
        <v>0.0</v>
      </c>
      <c r="S203" s="83">
        <v>0.0</v>
      </c>
      <c r="T203" s="83">
        <v>0.0</v>
      </c>
      <c r="U203" s="83">
        <v>0.0</v>
      </c>
      <c r="V203" s="83">
        <v>0.0</v>
      </c>
      <c r="W203" s="83">
        <v>0.0</v>
      </c>
      <c r="X203" s="370">
        <v>0.5</v>
      </c>
      <c r="Y203" s="83">
        <v>0.0</v>
      </c>
      <c r="Z203" s="370">
        <v>0.5</v>
      </c>
      <c r="AA203" s="83">
        <v>2.0</v>
      </c>
      <c r="AB203" s="370">
        <v>0.03</v>
      </c>
      <c r="AC203" s="354">
        <v>0.0</v>
      </c>
      <c r="AD203" s="371">
        <v>0.0</v>
      </c>
      <c r="AE203" s="370">
        <v>1.5</v>
      </c>
      <c r="AF203" s="370">
        <v>1.25</v>
      </c>
      <c r="AG203" s="370"/>
      <c r="AH203" s="83" t="s">
        <v>724</v>
      </c>
      <c r="AI203" s="83">
        <f>DPS_Melee_Damage</f>
        <v>0</v>
      </c>
      <c r="AJ203" s="371">
        <f>DPS_Curse</f>
        <v>0</v>
      </c>
      <c r="AK203" s="371"/>
      <c r="AL203" s="372" t="s">
        <v>721</v>
      </c>
      <c r="AM203" s="83">
        <v>10.0</v>
      </c>
      <c r="AN203" s="83">
        <v>1.0</v>
      </c>
      <c r="AO203" s="83">
        <v>0.0</v>
      </c>
      <c r="AP203" s="83">
        <v>175.0</v>
      </c>
      <c r="AQ203" s="370">
        <v>0.0</v>
      </c>
      <c r="AR203" s="83">
        <v>0.0</v>
      </c>
      <c r="AS203" s="83">
        <v>86.0</v>
      </c>
      <c r="AT203" s="372">
        <v>32.0</v>
      </c>
    </row>
    <row r="204">
      <c r="A204" s="384" t="s">
        <v>1103</v>
      </c>
      <c r="B204" s="385"/>
      <c r="C204" s="369" t="s">
        <v>721</v>
      </c>
      <c r="D204" s="83" t="s">
        <v>722</v>
      </c>
      <c r="E204" s="83">
        <v>30.0</v>
      </c>
      <c r="F204" s="83">
        <v>50.0</v>
      </c>
      <c r="G204" s="83">
        <v>150.0</v>
      </c>
      <c r="H204" s="83">
        <v>0.1</v>
      </c>
      <c r="I204" s="354">
        <v>0.03</v>
      </c>
      <c r="J204" s="83">
        <v>1.5</v>
      </c>
      <c r="K204" s="83">
        <v>1.0</v>
      </c>
      <c r="L204" s="83">
        <v>0.0</v>
      </c>
      <c r="M204" s="354">
        <v>0.5</v>
      </c>
      <c r="N204" s="83">
        <v>0.0</v>
      </c>
      <c r="O204" s="83">
        <v>0.5</v>
      </c>
      <c r="P204" s="83">
        <v>0.0</v>
      </c>
      <c r="Q204" s="83">
        <v>0.0</v>
      </c>
      <c r="R204" s="83">
        <v>0.0</v>
      </c>
      <c r="S204" s="83">
        <v>0.0</v>
      </c>
      <c r="T204" s="83">
        <v>0.0</v>
      </c>
      <c r="U204" s="83">
        <v>0.0</v>
      </c>
      <c r="V204" s="83">
        <v>0.0</v>
      </c>
      <c r="W204" s="83">
        <v>0.0</v>
      </c>
      <c r="X204" s="370">
        <v>0.5</v>
      </c>
      <c r="Y204" s="83">
        <v>0.0</v>
      </c>
      <c r="Z204" s="370">
        <v>0.5</v>
      </c>
      <c r="AA204" s="83">
        <v>2.0</v>
      </c>
      <c r="AB204" s="370">
        <v>0.03</v>
      </c>
      <c r="AC204" s="354">
        <v>0.0</v>
      </c>
      <c r="AD204" s="371">
        <v>0.0</v>
      </c>
      <c r="AE204" s="354">
        <v>0.5</v>
      </c>
      <c r="AF204" s="354">
        <v>0.5</v>
      </c>
      <c r="AG204" s="354"/>
      <c r="AH204" s="83" t="s">
        <v>724</v>
      </c>
      <c r="AI204" s="83">
        <f>DPS_Melee_Damage</f>
        <v>0</v>
      </c>
      <c r="AJ204" s="83">
        <f>DPS_Engineering</f>
        <v>0</v>
      </c>
      <c r="AL204" s="372" t="s">
        <v>721</v>
      </c>
      <c r="AM204" s="83">
        <v>5.0</v>
      </c>
      <c r="AN204" s="83">
        <v>1.0</v>
      </c>
      <c r="AO204" s="83">
        <v>0.0</v>
      </c>
      <c r="AP204" s="83">
        <v>6.0</v>
      </c>
      <c r="AQ204" s="370">
        <v>0.0</v>
      </c>
      <c r="AR204" s="83">
        <v>0.0</v>
      </c>
      <c r="AS204" s="83">
        <v>65.5</v>
      </c>
      <c r="AT204" s="83">
        <v>16.0</v>
      </c>
    </row>
    <row r="205">
      <c r="A205" s="384" t="s">
        <v>1104</v>
      </c>
      <c r="B205" s="385"/>
      <c r="C205" s="369" t="s">
        <v>721</v>
      </c>
      <c r="D205" s="83" t="s">
        <v>722</v>
      </c>
      <c r="E205" s="83">
        <v>60.0</v>
      </c>
      <c r="F205" s="83">
        <v>50.0</v>
      </c>
      <c r="G205" s="83">
        <v>150.0</v>
      </c>
      <c r="H205" s="83">
        <v>0.1</v>
      </c>
      <c r="I205" s="354">
        <v>0.03</v>
      </c>
      <c r="J205" s="83">
        <v>1.5</v>
      </c>
      <c r="K205" s="83">
        <v>1.0</v>
      </c>
      <c r="L205" s="83">
        <v>0.0</v>
      </c>
      <c r="M205" s="354">
        <v>0.5</v>
      </c>
      <c r="N205" s="83">
        <v>0.0</v>
      </c>
      <c r="O205" s="83">
        <v>0.5</v>
      </c>
      <c r="P205" s="83">
        <v>0.0</v>
      </c>
      <c r="Q205" s="83">
        <v>0.0</v>
      </c>
      <c r="R205" s="83">
        <v>0.0</v>
      </c>
      <c r="S205" s="83">
        <v>0.0</v>
      </c>
      <c r="T205" s="83">
        <v>0.0</v>
      </c>
      <c r="U205" s="83">
        <v>0.0</v>
      </c>
      <c r="V205" s="83">
        <v>0.0</v>
      </c>
      <c r="W205" s="83">
        <v>0.0</v>
      </c>
      <c r="X205" s="370">
        <v>0.5</v>
      </c>
      <c r="Y205" s="83">
        <v>0.0</v>
      </c>
      <c r="Z205" s="370">
        <v>0.5</v>
      </c>
      <c r="AA205" s="83">
        <v>2.0</v>
      </c>
      <c r="AB205" s="370">
        <v>0.03</v>
      </c>
      <c r="AC205" s="354">
        <v>0.0</v>
      </c>
      <c r="AD205" s="371">
        <v>0.0</v>
      </c>
      <c r="AE205" s="354">
        <v>0.65</v>
      </c>
      <c r="AF205" s="354">
        <v>0.65</v>
      </c>
      <c r="AG205" s="354"/>
      <c r="AH205" s="83" t="s">
        <v>724</v>
      </c>
      <c r="AI205" s="83">
        <f>DPS_Melee_Damage</f>
        <v>0</v>
      </c>
      <c r="AJ205" s="83">
        <f>DPS_Engineering</f>
        <v>0</v>
      </c>
      <c r="AL205" s="372" t="s">
        <v>721</v>
      </c>
      <c r="AM205" s="83">
        <v>5.0</v>
      </c>
      <c r="AN205" s="83">
        <v>1.0</v>
      </c>
      <c r="AO205" s="83">
        <v>0.0</v>
      </c>
      <c r="AP205" s="83">
        <v>14.0</v>
      </c>
      <c r="AQ205" s="370">
        <v>0.0</v>
      </c>
      <c r="AR205" s="83">
        <v>0.0</v>
      </c>
      <c r="AS205" s="83">
        <v>65.5</v>
      </c>
      <c r="AT205" s="83">
        <v>16.0</v>
      </c>
    </row>
    <row r="206">
      <c r="A206" s="384" t="s">
        <v>1106</v>
      </c>
      <c r="B206" s="385"/>
      <c r="C206" s="369" t="s">
        <v>721</v>
      </c>
      <c r="D206" s="83" t="s">
        <v>722</v>
      </c>
      <c r="E206" s="83">
        <v>90.0</v>
      </c>
      <c r="F206" s="83">
        <v>50.0</v>
      </c>
      <c r="G206" s="83">
        <v>150.0</v>
      </c>
      <c r="H206" s="83">
        <v>0.1</v>
      </c>
      <c r="I206" s="354">
        <v>0.03</v>
      </c>
      <c r="J206" s="83">
        <v>1.5</v>
      </c>
      <c r="K206" s="83">
        <v>1.0</v>
      </c>
      <c r="L206" s="83">
        <v>0.0</v>
      </c>
      <c r="M206" s="354">
        <v>0.5</v>
      </c>
      <c r="N206" s="83">
        <v>0.0</v>
      </c>
      <c r="O206" s="83">
        <v>0.5</v>
      </c>
      <c r="P206" s="83">
        <v>0.0</v>
      </c>
      <c r="Q206" s="83">
        <v>0.0</v>
      </c>
      <c r="R206" s="83">
        <v>0.0</v>
      </c>
      <c r="S206" s="83">
        <v>0.0</v>
      </c>
      <c r="T206" s="83">
        <v>0.0</v>
      </c>
      <c r="U206" s="83">
        <v>0.0</v>
      </c>
      <c r="V206" s="83">
        <v>0.0</v>
      </c>
      <c r="W206" s="83">
        <v>0.0</v>
      </c>
      <c r="X206" s="370">
        <v>0.5</v>
      </c>
      <c r="Y206" s="83">
        <v>0.0</v>
      </c>
      <c r="Z206" s="370">
        <v>0.5</v>
      </c>
      <c r="AA206" s="83">
        <v>2.0</v>
      </c>
      <c r="AB206" s="370">
        <v>0.03</v>
      </c>
      <c r="AC206" s="354">
        <v>0.0</v>
      </c>
      <c r="AD206" s="371">
        <v>0.0</v>
      </c>
      <c r="AE206" s="370">
        <v>0.8</v>
      </c>
      <c r="AF206" s="370">
        <v>0.8</v>
      </c>
      <c r="AG206" s="370"/>
      <c r="AH206" s="83" t="s">
        <v>724</v>
      </c>
      <c r="AI206" s="83">
        <f>DPS_Melee_Damage</f>
        <v>0</v>
      </c>
      <c r="AJ206" s="83">
        <f>DPS_Engineering</f>
        <v>0</v>
      </c>
      <c r="AL206" s="372" t="s">
        <v>721</v>
      </c>
      <c r="AM206" s="83">
        <v>5.0</v>
      </c>
      <c r="AN206" s="83">
        <v>1.0</v>
      </c>
      <c r="AO206" s="83">
        <v>0.0</v>
      </c>
      <c r="AP206" s="83">
        <v>22.0</v>
      </c>
      <c r="AQ206" s="370">
        <v>0.0</v>
      </c>
      <c r="AR206" s="83">
        <v>0.0</v>
      </c>
      <c r="AS206" s="83">
        <v>65.5</v>
      </c>
      <c r="AT206" s="83">
        <v>16.0</v>
      </c>
    </row>
    <row r="207">
      <c r="A207" s="384" t="s">
        <v>1107</v>
      </c>
      <c r="B207" s="385"/>
      <c r="C207" s="369" t="s">
        <v>721</v>
      </c>
      <c r="D207" s="83" t="s">
        <v>722</v>
      </c>
      <c r="E207" s="83">
        <v>120.0</v>
      </c>
      <c r="F207" s="83">
        <v>50.0</v>
      </c>
      <c r="G207" s="83">
        <v>150.0</v>
      </c>
      <c r="H207" s="83">
        <v>0.1</v>
      </c>
      <c r="I207" s="354">
        <v>0.03</v>
      </c>
      <c r="J207" s="83">
        <v>1.5</v>
      </c>
      <c r="K207" s="83">
        <v>1.0</v>
      </c>
      <c r="L207" s="83">
        <v>0.0</v>
      </c>
      <c r="M207" s="354">
        <v>0.5</v>
      </c>
      <c r="N207" s="83">
        <v>0.0</v>
      </c>
      <c r="O207" s="83">
        <v>0.5</v>
      </c>
      <c r="P207" s="83">
        <v>0.0</v>
      </c>
      <c r="Q207" s="83">
        <v>0.0</v>
      </c>
      <c r="R207" s="83">
        <v>0.0</v>
      </c>
      <c r="S207" s="83">
        <v>0.0</v>
      </c>
      <c r="T207" s="83">
        <v>0.0</v>
      </c>
      <c r="U207" s="83">
        <v>0.0</v>
      </c>
      <c r="V207" s="83">
        <v>0.0</v>
      </c>
      <c r="W207" s="83">
        <v>0.0</v>
      </c>
      <c r="X207" s="370">
        <v>0.5</v>
      </c>
      <c r="Y207" s="83">
        <v>0.0</v>
      </c>
      <c r="Z207" s="370">
        <v>0.5</v>
      </c>
      <c r="AA207" s="83">
        <v>2.0</v>
      </c>
      <c r="AB207" s="370">
        <v>0.03</v>
      </c>
      <c r="AC207" s="354">
        <v>0.0</v>
      </c>
      <c r="AD207" s="371">
        <v>0.0</v>
      </c>
      <c r="AE207" s="370">
        <v>1.0</v>
      </c>
      <c r="AF207" s="370">
        <v>1.0</v>
      </c>
      <c r="AG207" s="370"/>
      <c r="AH207" s="83" t="s">
        <v>724</v>
      </c>
      <c r="AI207" s="83">
        <f>DPS_Melee_Damage</f>
        <v>0</v>
      </c>
      <c r="AJ207" s="83">
        <f>DPS_Engineering</f>
        <v>0</v>
      </c>
      <c r="AL207" s="372" t="s">
        <v>721</v>
      </c>
      <c r="AM207" s="83">
        <v>5.0</v>
      </c>
      <c r="AN207" s="83">
        <v>1.0</v>
      </c>
      <c r="AO207" s="83">
        <v>0.0</v>
      </c>
      <c r="AP207" s="83">
        <v>40.0</v>
      </c>
      <c r="AQ207" s="370">
        <v>0.0</v>
      </c>
      <c r="AR207" s="83">
        <v>0.0</v>
      </c>
      <c r="AS207" s="83">
        <v>65.5</v>
      </c>
      <c r="AT207" s="83">
        <v>16.0</v>
      </c>
    </row>
    <row r="208">
      <c r="A208" s="384" t="s">
        <v>1109</v>
      </c>
      <c r="B208" s="385"/>
      <c r="C208" s="369" t="s">
        <v>721</v>
      </c>
      <c r="D208" s="83" t="s">
        <v>955</v>
      </c>
      <c r="E208" s="83">
        <v>50.0</v>
      </c>
      <c r="F208" s="83">
        <v>25.0</v>
      </c>
      <c r="G208" s="83">
        <v>200.0</v>
      </c>
      <c r="H208" s="83">
        <v>0.1</v>
      </c>
      <c r="I208" s="354">
        <v>0.03</v>
      </c>
      <c r="J208" s="83">
        <v>2.0</v>
      </c>
      <c r="K208" s="83">
        <v>1.0</v>
      </c>
      <c r="L208" s="83">
        <v>0.0</v>
      </c>
      <c r="M208" s="354">
        <v>0.5</v>
      </c>
      <c r="N208" s="83">
        <v>0.0</v>
      </c>
      <c r="O208" s="83">
        <v>0.5</v>
      </c>
      <c r="P208" s="83">
        <v>0.0</v>
      </c>
      <c r="Q208" s="83">
        <v>0.0</v>
      </c>
      <c r="R208" s="83">
        <v>0.0</v>
      </c>
      <c r="S208" s="83">
        <v>0.0</v>
      </c>
      <c r="T208" s="83">
        <v>0.0</v>
      </c>
      <c r="U208" s="83">
        <v>0.0</v>
      </c>
      <c r="V208" s="83">
        <v>0.0</v>
      </c>
      <c r="W208" s="83">
        <v>0.0</v>
      </c>
      <c r="X208" s="370">
        <v>0.5</v>
      </c>
      <c r="Y208" s="83">
        <v>0.0</v>
      </c>
      <c r="Z208" s="370">
        <v>0.5</v>
      </c>
      <c r="AA208" s="83">
        <v>2.0</v>
      </c>
      <c r="AB208" s="370">
        <v>0.03</v>
      </c>
      <c r="AC208" s="354">
        <v>0.0</v>
      </c>
      <c r="AD208" s="371">
        <v>0.0</v>
      </c>
      <c r="AE208" s="354">
        <v>1.0</v>
      </c>
      <c r="AF208" s="354">
        <v>1.0</v>
      </c>
      <c r="AG208" s="354">
        <v>15.0</v>
      </c>
      <c r="AH208" s="83" t="s">
        <v>1110</v>
      </c>
      <c r="AI208" s="83">
        <f>DPS_Melee_Damage</f>
        <v>0</v>
      </c>
      <c r="AJ208" s="371">
        <f>DPS_Curse</f>
        <v>0</v>
      </c>
      <c r="AK208" s="83">
        <f>DPS_Special_Stat</f>
        <v>0</v>
      </c>
      <c r="AL208" s="372" t="s">
        <v>721</v>
      </c>
      <c r="AM208" s="83">
        <v>5.0</v>
      </c>
      <c r="AN208" s="83">
        <v>1.0</v>
      </c>
      <c r="AO208" s="83">
        <v>0.0</v>
      </c>
      <c r="AP208" s="83">
        <v>110.0</v>
      </c>
      <c r="AQ208" s="370">
        <v>0.0</v>
      </c>
      <c r="AR208" s="83">
        <v>0.0</v>
      </c>
      <c r="AS208" s="83">
        <v>112.0</v>
      </c>
      <c r="AT208" s="83">
        <v>32.0</v>
      </c>
    </row>
    <row r="209">
      <c r="A209" s="384" t="s">
        <v>1112</v>
      </c>
      <c r="B209" s="385"/>
      <c r="C209" s="369" t="s">
        <v>721</v>
      </c>
      <c r="D209" s="83" t="s">
        <v>955</v>
      </c>
      <c r="E209" s="83">
        <v>80.0</v>
      </c>
      <c r="F209" s="83">
        <v>20.0</v>
      </c>
      <c r="G209" s="83">
        <v>200.0</v>
      </c>
      <c r="H209" s="83">
        <v>0.1</v>
      </c>
      <c r="I209" s="354">
        <v>0.03</v>
      </c>
      <c r="J209" s="83">
        <v>2.0</v>
      </c>
      <c r="K209" s="83">
        <v>1.0</v>
      </c>
      <c r="L209" s="83">
        <v>0.0</v>
      </c>
      <c r="M209" s="354">
        <v>0.5</v>
      </c>
      <c r="N209" s="83">
        <v>0.0</v>
      </c>
      <c r="O209" s="83">
        <v>0.5</v>
      </c>
      <c r="P209" s="83">
        <v>0.0</v>
      </c>
      <c r="Q209" s="83">
        <v>0.0</v>
      </c>
      <c r="R209" s="83">
        <v>0.0</v>
      </c>
      <c r="S209" s="83">
        <v>0.0</v>
      </c>
      <c r="T209" s="83">
        <v>0.0</v>
      </c>
      <c r="U209" s="83">
        <v>0.0</v>
      </c>
      <c r="V209" s="83">
        <v>0.0</v>
      </c>
      <c r="W209" s="83">
        <v>0.0</v>
      </c>
      <c r="X209" s="370">
        <v>0.5</v>
      </c>
      <c r="Y209" s="83">
        <v>0.0</v>
      </c>
      <c r="Z209" s="370">
        <v>0.5</v>
      </c>
      <c r="AA209" s="83">
        <v>2.0</v>
      </c>
      <c r="AB209" s="370">
        <v>0.03</v>
      </c>
      <c r="AC209" s="354">
        <v>0.0</v>
      </c>
      <c r="AD209" s="371">
        <v>0.0</v>
      </c>
      <c r="AE209" s="370">
        <v>1.25</v>
      </c>
      <c r="AF209" s="370">
        <v>1.25</v>
      </c>
      <c r="AG209" s="370">
        <v>30.0</v>
      </c>
      <c r="AH209" s="83" t="s">
        <v>1110</v>
      </c>
      <c r="AI209" s="83">
        <f>DPS_Melee_Damage</f>
        <v>0</v>
      </c>
      <c r="AJ209" s="371">
        <f>DPS_Curse</f>
        <v>0</v>
      </c>
      <c r="AK209" s="83">
        <f>DPS_Special_Stat</f>
        <v>0</v>
      </c>
      <c r="AL209" s="372" t="s">
        <v>721</v>
      </c>
      <c r="AM209" s="83">
        <v>5.0</v>
      </c>
      <c r="AN209" s="83">
        <v>1.0</v>
      </c>
      <c r="AO209" s="83">
        <v>0.0</v>
      </c>
      <c r="AP209" s="83">
        <v>210.0</v>
      </c>
      <c r="AQ209" s="370">
        <v>0.0</v>
      </c>
      <c r="AR209" s="83">
        <v>0.0</v>
      </c>
      <c r="AS209" s="83">
        <v>112.0</v>
      </c>
      <c r="AT209" s="83">
        <v>32.0</v>
      </c>
    </row>
    <row r="210">
      <c r="A210" s="384" t="s">
        <v>1114</v>
      </c>
      <c r="B210" s="385"/>
      <c r="C210" s="369" t="s">
        <v>721</v>
      </c>
      <c r="D210" s="83" t="s">
        <v>752</v>
      </c>
      <c r="E210" s="83">
        <v>10.0</v>
      </c>
      <c r="F210" s="83">
        <v>2.0</v>
      </c>
      <c r="G210" s="83">
        <v>175.0</v>
      </c>
      <c r="H210" s="83">
        <v>0.1</v>
      </c>
      <c r="I210" s="354">
        <v>0.03</v>
      </c>
      <c r="J210" s="83">
        <v>1.5</v>
      </c>
      <c r="K210" s="83">
        <v>1.0</v>
      </c>
      <c r="L210" s="83">
        <v>0.0</v>
      </c>
      <c r="M210" s="354">
        <v>0.5</v>
      </c>
      <c r="N210" s="83">
        <v>0.0</v>
      </c>
      <c r="O210" s="83">
        <v>0.5</v>
      </c>
      <c r="P210" s="83">
        <v>0.0</v>
      </c>
      <c r="Q210" s="83">
        <v>30.0</v>
      </c>
      <c r="R210" s="83">
        <v>40.0</v>
      </c>
      <c r="S210" s="83">
        <v>0.0</v>
      </c>
      <c r="T210" s="83">
        <v>0.0</v>
      </c>
      <c r="U210" s="83">
        <v>0.0</v>
      </c>
      <c r="V210" s="83">
        <v>0.0</v>
      </c>
      <c r="W210" s="83">
        <v>0.0</v>
      </c>
      <c r="X210" s="370">
        <v>0.5</v>
      </c>
      <c r="Y210" s="83">
        <v>0.0</v>
      </c>
      <c r="Z210" s="370">
        <v>0.5</v>
      </c>
      <c r="AA210" s="83">
        <v>2.0</v>
      </c>
      <c r="AB210" s="370">
        <v>0.03</v>
      </c>
      <c r="AC210" s="354">
        <v>0.0</v>
      </c>
      <c r="AD210" s="371">
        <v>0.0</v>
      </c>
      <c r="AE210" s="370">
        <v>0.75</v>
      </c>
      <c r="AF210" s="370">
        <v>0.75</v>
      </c>
      <c r="AG210" s="370">
        <v>0.75</v>
      </c>
      <c r="AH210" s="83" t="s">
        <v>154</v>
      </c>
      <c r="AI210" s="83">
        <f>DPS_Melee_Damage</f>
        <v>0</v>
      </c>
      <c r="AJ210" s="83">
        <f>DPS_Engineering</f>
        <v>0</v>
      </c>
      <c r="AK210" s="83">
        <f>DPS_Special_Stat</f>
        <v>0</v>
      </c>
      <c r="AL210" s="372" t="s">
        <v>721</v>
      </c>
      <c r="AM210" s="83">
        <v>0.0</v>
      </c>
      <c r="AN210" s="83">
        <v>1.0</v>
      </c>
      <c r="AO210" s="83">
        <v>0.0</v>
      </c>
      <c r="AP210" s="83">
        <v>112.0</v>
      </c>
      <c r="AQ210" s="370">
        <v>0.0</v>
      </c>
      <c r="AR210" s="83">
        <v>0.0</v>
      </c>
      <c r="AS210" s="83">
        <v>80.5</v>
      </c>
      <c r="AT210" s="83">
        <v>24.0</v>
      </c>
      <c r="AU210" s="83" t="s">
        <v>1115</v>
      </c>
    </row>
    <row r="211">
      <c r="A211" s="384" t="s">
        <v>1116</v>
      </c>
      <c r="B211" s="385"/>
      <c r="C211" s="369" t="s">
        <v>721</v>
      </c>
      <c r="D211" s="83" t="s">
        <v>752</v>
      </c>
      <c r="E211" s="83">
        <v>20.0</v>
      </c>
      <c r="F211" s="83">
        <v>2.0</v>
      </c>
      <c r="G211" s="83">
        <v>200.0</v>
      </c>
      <c r="H211" s="83">
        <v>0.1</v>
      </c>
      <c r="I211" s="354">
        <v>0.03</v>
      </c>
      <c r="J211" s="83">
        <v>1.5</v>
      </c>
      <c r="K211" s="83">
        <v>1.0</v>
      </c>
      <c r="L211" s="83">
        <v>0.0</v>
      </c>
      <c r="M211" s="354">
        <v>0.5</v>
      </c>
      <c r="N211" s="83">
        <v>0.0</v>
      </c>
      <c r="O211" s="83">
        <v>0.5</v>
      </c>
      <c r="P211" s="83">
        <v>0.0</v>
      </c>
      <c r="Q211" s="83">
        <v>40.0</v>
      </c>
      <c r="R211" s="83">
        <v>30.0</v>
      </c>
      <c r="S211" s="83">
        <v>0.0</v>
      </c>
      <c r="T211" s="83">
        <v>0.0</v>
      </c>
      <c r="U211" s="83">
        <v>0.0</v>
      </c>
      <c r="V211" s="83">
        <v>0.0</v>
      </c>
      <c r="W211" s="83">
        <v>0.0</v>
      </c>
      <c r="X211" s="370">
        <v>0.5</v>
      </c>
      <c r="Y211" s="83">
        <v>0.0</v>
      </c>
      <c r="Z211" s="370">
        <v>0.5</v>
      </c>
      <c r="AA211" s="83">
        <v>2.0</v>
      </c>
      <c r="AB211" s="370">
        <v>0.03</v>
      </c>
      <c r="AC211" s="354">
        <v>0.0</v>
      </c>
      <c r="AD211" s="371">
        <v>0.0</v>
      </c>
      <c r="AE211" s="370">
        <v>1.0</v>
      </c>
      <c r="AF211" s="370">
        <v>1.0</v>
      </c>
      <c r="AG211" s="370">
        <v>1.0</v>
      </c>
      <c r="AH211" s="83" t="s">
        <v>154</v>
      </c>
      <c r="AI211" s="83">
        <f>DPS_Melee_Damage</f>
        <v>0</v>
      </c>
      <c r="AJ211" s="83">
        <f>DPS_Engineering</f>
        <v>0</v>
      </c>
      <c r="AK211" s="83">
        <f>DPS_Special_Stat</f>
        <v>0</v>
      </c>
      <c r="AL211" s="372" t="s">
        <v>721</v>
      </c>
      <c r="AM211" s="83">
        <v>0.0</v>
      </c>
      <c r="AN211" s="83">
        <v>1.0</v>
      </c>
      <c r="AO211" s="83">
        <v>0.0</v>
      </c>
      <c r="AP211" s="83">
        <v>242.0</v>
      </c>
      <c r="AQ211" s="370">
        <v>0.0</v>
      </c>
      <c r="AR211" s="83">
        <v>0.0</v>
      </c>
      <c r="AS211" s="83">
        <v>80.5</v>
      </c>
      <c r="AT211" s="83">
        <v>24.0</v>
      </c>
      <c r="AU211" s="83" t="s">
        <v>1115</v>
      </c>
    </row>
    <row r="212">
      <c r="A212" s="384" t="s">
        <v>1118</v>
      </c>
      <c r="B212" s="385"/>
      <c r="C212" s="369" t="s">
        <v>721</v>
      </c>
      <c r="D212" s="83" t="s">
        <v>752</v>
      </c>
      <c r="E212" s="83">
        <v>12.0</v>
      </c>
      <c r="F212" s="83">
        <v>50.0</v>
      </c>
      <c r="G212" s="83">
        <v>175.0</v>
      </c>
      <c r="H212" s="83">
        <v>0.1</v>
      </c>
      <c r="I212" s="354">
        <v>0.03</v>
      </c>
      <c r="J212" s="83">
        <v>1.5</v>
      </c>
      <c r="K212" s="83">
        <v>1.0</v>
      </c>
      <c r="L212" s="83">
        <v>0.0</v>
      </c>
      <c r="M212" s="354">
        <v>0.5</v>
      </c>
      <c r="N212" s="83">
        <v>0.0</v>
      </c>
      <c r="O212" s="83">
        <v>0.5</v>
      </c>
      <c r="P212" s="83">
        <v>0.0</v>
      </c>
      <c r="Q212" s="83">
        <v>0.0</v>
      </c>
      <c r="R212" s="83">
        <v>0.0</v>
      </c>
      <c r="S212" s="83">
        <v>0.0</v>
      </c>
      <c r="T212" s="83">
        <v>0.0</v>
      </c>
      <c r="U212" s="83">
        <v>0.0</v>
      </c>
      <c r="V212" s="83">
        <v>0.0</v>
      </c>
      <c r="W212" s="83">
        <v>0.0</v>
      </c>
      <c r="X212" s="370">
        <v>0.5</v>
      </c>
      <c r="Y212" s="83">
        <v>0.0</v>
      </c>
      <c r="Z212" s="370">
        <v>0.5</v>
      </c>
      <c r="AA212" s="83">
        <v>2.0</v>
      </c>
      <c r="AB212" s="370">
        <v>0.03</v>
      </c>
      <c r="AC212" s="354">
        <v>0.0</v>
      </c>
      <c r="AD212" s="371">
        <v>0.0</v>
      </c>
      <c r="AE212" s="370">
        <v>0.5</v>
      </c>
      <c r="AF212" s="370">
        <v>0.1</v>
      </c>
      <c r="AH212" s="83" t="s">
        <v>724</v>
      </c>
      <c r="AI212" s="83">
        <f>DPS_Melee_Damage</f>
        <v>0</v>
      </c>
      <c r="AJ212" s="371">
        <f>DPS_Range_Stat</f>
        <v>0</v>
      </c>
      <c r="AK212" s="371"/>
      <c r="AL212" s="372" t="s">
        <v>721</v>
      </c>
      <c r="AM212" s="83">
        <v>0.0</v>
      </c>
      <c r="AN212" s="83">
        <v>1.0</v>
      </c>
      <c r="AO212" s="83">
        <v>0.0</v>
      </c>
      <c r="AP212" s="83">
        <v>17.0</v>
      </c>
      <c r="AQ212" s="370">
        <v>0.0</v>
      </c>
      <c r="AR212" s="83">
        <v>0.0</v>
      </c>
      <c r="AS212" s="83">
        <v>92.0</v>
      </c>
      <c r="AT212" s="83">
        <v>20.5</v>
      </c>
    </row>
    <row r="213">
      <c r="A213" s="384" t="s">
        <v>1119</v>
      </c>
      <c r="B213" s="385"/>
      <c r="C213" s="369" t="s">
        <v>721</v>
      </c>
      <c r="D213" s="83" t="s">
        <v>752</v>
      </c>
      <c r="E213" s="83">
        <v>18.0</v>
      </c>
      <c r="F213" s="83">
        <v>45.0</v>
      </c>
      <c r="G213" s="83">
        <v>175.0</v>
      </c>
      <c r="H213" s="83">
        <v>0.1</v>
      </c>
      <c r="I213" s="354">
        <v>0.03</v>
      </c>
      <c r="J213" s="83">
        <v>1.5</v>
      </c>
      <c r="K213" s="83">
        <v>1.0</v>
      </c>
      <c r="L213" s="83">
        <v>0.0</v>
      </c>
      <c r="M213" s="354">
        <v>0.5</v>
      </c>
      <c r="N213" s="83">
        <v>0.0</v>
      </c>
      <c r="O213" s="83">
        <v>0.5</v>
      </c>
      <c r="P213" s="83">
        <v>0.0</v>
      </c>
      <c r="Q213" s="83">
        <v>0.0</v>
      </c>
      <c r="R213" s="83">
        <v>0.0</v>
      </c>
      <c r="S213" s="83">
        <v>0.0</v>
      </c>
      <c r="T213" s="83">
        <v>0.0</v>
      </c>
      <c r="U213" s="83">
        <v>0.0</v>
      </c>
      <c r="V213" s="83">
        <v>0.0</v>
      </c>
      <c r="W213" s="83">
        <v>0.0</v>
      </c>
      <c r="X213" s="370">
        <v>0.5</v>
      </c>
      <c r="Y213" s="83">
        <v>0.0</v>
      </c>
      <c r="Z213" s="370">
        <v>0.5</v>
      </c>
      <c r="AA213" s="83">
        <v>2.0</v>
      </c>
      <c r="AB213" s="370">
        <v>0.03</v>
      </c>
      <c r="AC213" s="354">
        <v>0.0</v>
      </c>
      <c r="AD213" s="371">
        <v>0.0</v>
      </c>
      <c r="AE213" s="370">
        <v>0.5</v>
      </c>
      <c r="AF213" s="370">
        <v>0.12</v>
      </c>
      <c r="AH213" s="83" t="s">
        <v>724</v>
      </c>
      <c r="AI213" s="83">
        <f>DPS_Melee_Damage</f>
        <v>0</v>
      </c>
      <c r="AJ213" s="371">
        <f>DPS_Range_Stat</f>
        <v>0</v>
      </c>
      <c r="AK213" s="371"/>
      <c r="AL213" s="372" t="s">
        <v>721</v>
      </c>
      <c r="AM213" s="83">
        <v>0.0</v>
      </c>
      <c r="AN213" s="83">
        <v>1.0</v>
      </c>
      <c r="AO213" s="83">
        <v>0.0</v>
      </c>
      <c r="AP213" s="83">
        <v>34.0</v>
      </c>
      <c r="AQ213" s="370">
        <v>0.0</v>
      </c>
      <c r="AR213" s="83">
        <v>0.0</v>
      </c>
      <c r="AS213" s="83">
        <v>92.0</v>
      </c>
      <c r="AT213" s="83">
        <v>20.5</v>
      </c>
    </row>
    <row r="214">
      <c r="A214" s="384" t="s">
        <v>1120</v>
      </c>
      <c r="B214" s="385"/>
      <c r="C214" s="369" t="s">
        <v>721</v>
      </c>
      <c r="D214" s="83" t="s">
        <v>752</v>
      </c>
      <c r="E214" s="83">
        <v>24.0</v>
      </c>
      <c r="F214" s="83">
        <v>40.0</v>
      </c>
      <c r="G214" s="83">
        <v>175.0</v>
      </c>
      <c r="H214" s="83">
        <v>0.1</v>
      </c>
      <c r="I214" s="354">
        <v>0.03</v>
      </c>
      <c r="J214" s="83">
        <v>1.5</v>
      </c>
      <c r="K214" s="83">
        <v>1.0</v>
      </c>
      <c r="L214" s="83">
        <v>0.0</v>
      </c>
      <c r="M214" s="354">
        <v>0.5</v>
      </c>
      <c r="N214" s="83">
        <v>0.0</v>
      </c>
      <c r="O214" s="83">
        <v>0.5</v>
      </c>
      <c r="P214" s="83">
        <v>0.0</v>
      </c>
      <c r="Q214" s="83">
        <v>0.0</v>
      </c>
      <c r="R214" s="83">
        <v>0.0</v>
      </c>
      <c r="S214" s="83">
        <v>0.0</v>
      </c>
      <c r="T214" s="83">
        <v>0.0</v>
      </c>
      <c r="U214" s="83">
        <v>0.0</v>
      </c>
      <c r="V214" s="83">
        <v>0.0</v>
      </c>
      <c r="W214" s="83">
        <v>0.0</v>
      </c>
      <c r="X214" s="370">
        <v>0.5</v>
      </c>
      <c r="Y214" s="83">
        <v>0.0</v>
      </c>
      <c r="Z214" s="370">
        <v>0.5</v>
      </c>
      <c r="AA214" s="83">
        <v>2.0</v>
      </c>
      <c r="AB214" s="370">
        <v>0.03</v>
      </c>
      <c r="AC214" s="354">
        <v>0.0</v>
      </c>
      <c r="AD214" s="371">
        <v>0.0</v>
      </c>
      <c r="AE214" s="370">
        <v>0.5</v>
      </c>
      <c r="AF214" s="370">
        <v>0.15</v>
      </c>
      <c r="AH214" s="83" t="s">
        <v>724</v>
      </c>
      <c r="AI214" s="83">
        <f>DPS_Melee_Damage</f>
        <v>0</v>
      </c>
      <c r="AJ214" s="371">
        <f>DPS_Range_Stat</f>
        <v>0</v>
      </c>
      <c r="AK214" s="371"/>
      <c r="AL214" s="372" t="s">
        <v>721</v>
      </c>
      <c r="AM214" s="83">
        <v>0.0</v>
      </c>
      <c r="AN214" s="83">
        <v>1.0</v>
      </c>
      <c r="AO214" s="83">
        <v>0.0</v>
      </c>
      <c r="AP214" s="83">
        <v>66.0</v>
      </c>
      <c r="AQ214" s="370">
        <v>0.0</v>
      </c>
      <c r="AR214" s="83">
        <v>0.0</v>
      </c>
      <c r="AS214" s="83">
        <v>92.0</v>
      </c>
      <c r="AT214" s="83">
        <v>20.5</v>
      </c>
    </row>
    <row r="215">
      <c r="A215" s="384" t="s">
        <v>1121</v>
      </c>
      <c r="B215" s="385"/>
      <c r="C215" s="369" t="s">
        <v>721</v>
      </c>
      <c r="D215" s="83" t="s">
        <v>752</v>
      </c>
      <c r="E215" s="83">
        <v>30.0</v>
      </c>
      <c r="F215" s="83">
        <v>35.0</v>
      </c>
      <c r="G215" s="83">
        <v>175.0</v>
      </c>
      <c r="H215" s="83">
        <v>0.1</v>
      </c>
      <c r="I215" s="354">
        <v>0.03</v>
      </c>
      <c r="J215" s="83">
        <v>1.5</v>
      </c>
      <c r="K215" s="83">
        <v>1.0</v>
      </c>
      <c r="L215" s="83">
        <v>0.0</v>
      </c>
      <c r="M215" s="354">
        <v>0.5</v>
      </c>
      <c r="N215" s="83">
        <v>0.0</v>
      </c>
      <c r="O215" s="83">
        <v>0.5</v>
      </c>
      <c r="P215" s="83">
        <v>0.0</v>
      </c>
      <c r="Q215" s="83">
        <v>0.0</v>
      </c>
      <c r="R215" s="83">
        <v>0.0</v>
      </c>
      <c r="S215" s="83">
        <v>0.0</v>
      </c>
      <c r="T215" s="83">
        <v>0.0</v>
      </c>
      <c r="U215" s="83">
        <v>0.0</v>
      </c>
      <c r="V215" s="83">
        <v>0.0</v>
      </c>
      <c r="W215" s="83">
        <v>0.0</v>
      </c>
      <c r="X215" s="370">
        <v>0.5</v>
      </c>
      <c r="Y215" s="83">
        <v>0.0</v>
      </c>
      <c r="Z215" s="370">
        <v>0.5</v>
      </c>
      <c r="AA215" s="83">
        <v>2.0</v>
      </c>
      <c r="AB215" s="370">
        <v>0.03</v>
      </c>
      <c r="AC215" s="354">
        <v>0.0</v>
      </c>
      <c r="AD215" s="371">
        <v>0.0</v>
      </c>
      <c r="AE215" s="370">
        <v>0.5</v>
      </c>
      <c r="AF215" s="370">
        <v>0.2</v>
      </c>
      <c r="AH215" s="83" t="s">
        <v>724</v>
      </c>
      <c r="AI215" s="83">
        <f>DPS_Melee_Damage</f>
        <v>0</v>
      </c>
      <c r="AJ215" s="371">
        <f>DPS_Range_Stat</f>
        <v>0</v>
      </c>
      <c r="AK215" s="371"/>
      <c r="AL215" s="372" t="s">
        <v>721</v>
      </c>
      <c r="AM215" s="83">
        <v>0.0</v>
      </c>
      <c r="AN215" s="83">
        <v>1.0</v>
      </c>
      <c r="AO215" s="83">
        <v>0.0</v>
      </c>
      <c r="AP215" s="83">
        <v>130.0</v>
      </c>
      <c r="AQ215" s="370">
        <v>0.0</v>
      </c>
      <c r="AR215" s="83">
        <v>0.0</v>
      </c>
      <c r="AS215" s="83">
        <v>92.0</v>
      </c>
      <c r="AT215" s="83">
        <v>20.5</v>
      </c>
    </row>
    <row r="216">
      <c r="A216" s="384" t="s">
        <v>1122</v>
      </c>
      <c r="B216" s="385"/>
      <c r="C216" s="369" t="s">
        <v>721</v>
      </c>
      <c r="D216" s="83" t="s">
        <v>722</v>
      </c>
      <c r="E216" s="83">
        <v>4.0</v>
      </c>
      <c r="F216" s="83">
        <v>45.0</v>
      </c>
      <c r="G216" s="83">
        <v>150.0</v>
      </c>
      <c r="H216" s="83">
        <v>0.1</v>
      </c>
      <c r="I216" s="354">
        <v>0.03</v>
      </c>
      <c r="J216" s="83">
        <v>1.5</v>
      </c>
      <c r="K216" s="83">
        <v>1.0</v>
      </c>
      <c r="L216" s="83">
        <v>0.0</v>
      </c>
      <c r="M216" s="354">
        <v>0.5</v>
      </c>
      <c r="N216" s="83">
        <v>0.0</v>
      </c>
      <c r="O216" s="83">
        <v>0.5</v>
      </c>
      <c r="P216" s="83">
        <v>0.0</v>
      </c>
      <c r="Q216" s="83">
        <v>0.0</v>
      </c>
      <c r="R216" s="83">
        <v>0.0</v>
      </c>
      <c r="S216" s="83">
        <v>0.0</v>
      </c>
      <c r="T216" s="83">
        <v>0.0</v>
      </c>
      <c r="U216" s="83">
        <v>0.0</v>
      </c>
      <c r="V216" s="83">
        <v>0.0</v>
      </c>
      <c r="W216" s="83">
        <v>0.0</v>
      </c>
      <c r="X216" s="370">
        <v>0.5</v>
      </c>
      <c r="Y216" s="83">
        <v>0.0</v>
      </c>
      <c r="Z216" s="370">
        <v>0.5</v>
      </c>
      <c r="AA216" s="83">
        <v>2.0</v>
      </c>
      <c r="AB216" s="370">
        <v>0.03</v>
      </c>
      <c r="AC216" s="354">
        <v>0.0</v>
      </c>
      <c r="AD216" s="371">
        <v>0.0</v>
      </c>
      <c r="AE216" s="370">
        <v>0.5</v>
      </c>
      <c r="AF216" s="370">
        <v>0.1</v>
      </c>
      <c r="AH216" s="83" t="s">
        <v>138</v>
      </c>
      <c r="AI216" s="83">
        <f>DPS_Melee_Damage</f>
        <v>0</v>
      </c>
      <c r="AJ216" s="371">
        <f>DPS_Special_Stat</f>
        <v>0</v>
      </c>
      <c r="AK216" s="371"/>
      <c r="AL216" s="372" t="s">
        <v>721</v>
      </c>
      <c r="AM216" s="83">
        <v>2.0</v>
      </c>
      <c r="AN216" s="83">
        <v>1.0</v>
      </c>
      <c r="AO216" s="83">
        <v>0.0</v>
      </c>
      <c r="AP216" s="83">
        <v>15.0</v>
      </c>
      <c r="AQ216" s="370">
        <v>0.0</v>
      </c>
      <c r="AR216" s="83">
        <v>0.0</v>
      </c>
      <c r="AS216" s="83">
        <v>73.5</v>
      </c>
      <c r="AT216" s="83">
        <v>21.5</v>
      </c>
    </row>
    <row r="217">
      <c r="A217" s="384" t="s">
        <v>1123</v>
      </c>
      <c r="B217" s="385"/>
      <c r="C217" s="369" t="s">
        <v>721</v>
      </c>
      <c r="D217" s="83" t="s">
        <v>722</v>
      </c>
      <c r="E217" s="83">
        <v>8.0</v>
      </c>
      <c r="F217" s="83">
        <v>40.0</v>
      </c>
      <c r="G217" s="83">
        <v>175.0</v>
      </c>
      <c r="H217" s="83">
        <v>0.1</v>
      </c>
      <c r="I217" s="354">
        <v>0.03</v>
      </c>
      <c r="J217" s="83">
        <v>1.5</v>
      </c>
      <c r="K217" s="83">
        <v>1.0</v>
      </c>
      <c r="L217" s="83">
        <v>0.0</v>
      </c>
      <c r="M217" s="354">
        <v>0.5</v>
      </c>
      <c r="N217" s="83">
        <v>0.0</v>
      </c>
      <c r="O217" s="83">
        <v>0.5</v>
      </c>
      <c r="P217" s="83">
        <v>0.0</v>
      </c>
      <c r="Q217" s="83">
        <v>0.0</v>
      </c>
      <c r="R217" s="83">
        <v>0.0</v>
      </c>
      <c r="S217" s="83">
        <v>0.0</v>
      </c>
      <c r="T217" s="83">
        <v>0.0</v>
      </c>
      <c r="U217" s="83">
        <v>0.0</v>
      </c>
      <c r="V217" s="83">
        <v>0.0</v>
      </c>
      <c r="W217" s="83">
        <v>0.0</v>
      </c>
      <c r="X217" s="370">
        <v>0.5</v>
      </c>
      <c r="Y217" s="83">
        <v>0.0</v>
      </c>
      <c r="Z217" s="370">
        <v>0.5</v>
      </c>
      <c r="AA217" s="83">
        <v>2.0</v>
      </c>
      <c r="AB217" s="370">
        <v>0.03</v>
      </c>
      <c r="AC217" s="354">
        <v>0.0</v>
      </c>
      <c r="AD217" s="371">
        <v>0.0</v>
      </c>
      <c r="AE217" s="370">
        <v>0.5</v>
      </c>
      <c r="AF217" s="370">
        <v>0.15</v>
      </c>
      <c r="AH217" s="83" t="s">
        <v>138</v>
      </c>
      <c r="AI217" s="83">
        <f>DPS_Melee_Damage</f>
        <v>0</v>
      </c>
      <c r="AJ217" s="371">
        <f>DPS_Special_Stat</f>
        <v>0</v>
      </c>
      <c r="AK217" s="371"/>
      <c r="AL217" s="372" t="s">
        <v>721</v>
      </c>
      <c r="AM217" s="83">
        <v>2.0</v>
      </c>
      <c r="AN217" s="83">
        <v>1.0</v>
      </c>
      <c r="AO217" s="83">
        <v>0.0</v>
      </c>
      <c r="AP217" s="83">
        <v>31.0</v>
      </c>
      <c r="AQ217" s="370">
        <v>0.0</v>
      </c>
      <c r="AR217" s="83">
        <v>0.0</v>
      </c>
      <c r="AS217" s="83">
        <v>73.5</v>
      </c>
      <c r="AT217" s="83">
        <v>21.5</v>
      </c>
    </row>
    <row r="218">
      <c r="A218" s="384" t="s">
        <v>1125</v>
      </c>
      <c r="B218" s="385"/>
      <c r="C218" s="369" t="s">
        <v>721</v>
      </c>
      <c r="D218" s="83" t="s">
        <v>722</v>
      </c>
      <c r="E218" s="83">
        <v>12.0</v>
      </c>
      <c r="F218" s="83">
        <v>35.0</v>
      </c>
      <c r="G218" s="83">
        <v>200.0</v>
      </c>
      <c r="H218" s="83">
        <v>0.1</v>
      </c>
      <c r="I218" s="354">
        <v>0.03</v>
      </c>
      <c r="J218" s="83">
        <v>1.5</v>
      </c>
      <c r="K218" s="83">
        <v>1.0</v>
      </c>
      <c r="L218" s="83">
        <v>0.0</v>
      </c>
      <c r="M218" s="354">
        <v>0.5</v>
      </c>
      <c r="N218" s="83">
        <v>0.0</v>
      </c>
      <c r="O218" s="83">
        <v>0.5</v>
      </c>
      <c r="P218" s="83">
        <v>0.0</v>
      </c>
      <c r="Q218" s="83">
        <v>0.0</v>
      </c>
      <c r="R218" s="83">
        <v>0.0</v>
      </c>
      <c r="S218" s="83">
        <v>0.0</v>
      </c>
      <c r="T218" s="83">
        <v>0.0</v>
      </c>
      <c r="U218" s="83">
        <v>0.0</v>
      </c>
      <c r="V218" s="83">
        <v>0.0</v>
      </c>
      <c r="W218" s="83">
        <v>0.0</v>
      </c>
      <c r="X218" s="370">
        <v>0.5</v>
      </c>
      <c r="Y218" s="83">
        <v>0.0</v>
      </c>
      <c r="Z218" s="370">
        <v>0.5</v>
      </c>
      <c r="AA218" s="83">
        <v>2.0</v>
      </c>
      <c r="AB218" s="370">
        <v>0.03</v>
      </c>
      <c r="AC218" s="354">
        <v>0.0</v>
      </c>
      <c r="AD218" s="371">
        <v>0.0</v>
      </c>
      <c r="AE218" s="370">
        <v>0.5</v>
      </c>
      <c r="AF218" s="370">
        <v>0.2</v>
      </c>
      <c r="AH218" s="83" t="s">
        <v>138</v>
      </c>
      <c r="AI218" s="83">
        <f>DPS_Melee_Damage</f>
        <v>0</v>
      </c>
      <c r="AJ218" s="371">
        <f>DPS_Special_Stat</f>
        <v>0</v>
      </c>
      <c r="AK218" s="371"/>
      <c r="AL218" s="372" t="s">
        <v>721</v>
      </c>
      <c r="AM218" s="83">
        <v>2.0</v>
      </c>
      <c r="AN218" s="83">
        <v>1.0</v>
      </c>
      <c r="AO218" s="83">
        <v>0.0</v>
      </c>
      <c r="AP218" s="83">
        <v>61.0</v>
      </c>
      <c r="AQ218" s="370">
        <v>0.0</v>
      </c>
      <c r="AR218" s="83">
        <v>0.0</v>
      </c>
      <c r="AS218" s="83">
        <v>73.5</v>
      </c>
      <c r="AT218" s="83">
        <v>21.5</v>
      </c>
    </row>
    <row r="219">
      <c r="A219" s="384" t="s">
        <v>1127</v>
      </c>
      <c r="B219" s="385"/>
      <c r="C219" s="369" t="s">
        <v>721</v>
      </c>
      <c r="D219" s="83" t="s">
        <v>722</v>
      </c>
      <c r="E219" s="83">
        <v>16.0</v>
      </c>
      <c r="F219" s="83">
        <v>30.0</v>
      </c>
      <c r="G219" s="83">
        <v>225.0</v>
      </c>
      <c r="H219" s="83">
        <v>0.1</v>
      </c>
      <c r="I219" s="354">
        <v>0.03</v>
      </c>
      <c r="J219" s="83">
        <v>1.5</v>
      </c>
      <c r="K219" s="83">
        <v>1.0</v>
      </c>
      <c r="L219" s="83">
        <v>0.0</v>
      </c>
      <c r="M219" s="354">
        <v>0.5</v>
      </c>
      <c r="N219" s="83">
        <v>0.0</v>
      </c>
      <c r="O219" s="83">
        <v>0.5</v>
      </c>
      <c r="P219" s="83">
        <v>0.0</v>
      </c>
      <c r="Q219" s="83">
        <v>0.0</v>
      </c>
      <c r="R219" s="83">
        <v>0.0</v>
      </c>
      <c r="S219" s="83">
        <v>0.0</v>
      </c>
      <c r="T219" s="83">
        <v>0.0</v>
      </c>
      <c r="U219" s="83">
        <v>0.0</v>
      </c>
      <c r="V219" s="83">
        <v>0.0</v>
      </c>
      <c r="W219" s="83">
        <v>0.0</v>
      </c>
      <c r="X219" s="370">
        <v>0.5</v>
      </c>
      <c r="Y219" s="83">
        <v>0.0</v>
      </c>
      <c r="Z219" s="370">
        <v>0.5</v>
      </c>
      <c r="AA219" s="83">
        <v>2.0</v>
      </c>
      <c r="AB219" s="370">
        <v>0.03</v>
      </c>
      <c r="AC219" s="354">
        <v>0.0</v>
      </c>
      <c r="AD219" s="371">
        <v>0.0</v>
      </c>
      <c r="AE219" s="370">
        <v>0.5</v>
      </c>
      <c r="AF219" s="370">
        <v>0.25</v>
      </c>
      <c r="AH219" s="83" t="s">
        <v>138</v>
      </c>
      <c r="AI219" s="83">
        <f>DPS_Melee_Damage</f>
        <v>0</v>
      </c>
      <c r="AJ219" s="371">
        <f>DPS_Special_Stat</f>
        <v>0</v>
      </c>
      <c r="AK219" s="371"/>
      <c r="AL219" s="372" t="s">
        <v>721</v>
      </c>
      <c r="AM219" s="83">
        <v>2.0</v>
      </c>
      <c r="AN219" s="83">
        <v>1.0</v>
      </c>
      <c r="AO219" s="83">
        <v>0.0</v>
      </c>
      <c r="AP219" s="83">
        <v>122.0</v>
      </c>
      <c r="AQ219" s="370">
        <v>0.0</v>
      </c>
      <c r="AR219" s="83">
        <v>0.0</v>
      </c>
      <c r="AS219" s="83">
        <v>73.5</v>
      </c>
      <c r="AT219" s="83">
        <v>21.5</v>
      </c>
    </row>
    <row r="220">
      <c r="A220" s="384" t="s">
        <v>1128</v>
      </c>
      <c r="B220" s="385"/>
      <c r="C220" s="369" t="s">
        <v>721</v>
      </c>
      <c r="D220" s="83" t="s">
        <v>722</v>
      </c>
      <c r="E220" s="83">
        <v>40.0</v>
      </c>
      <c r="F220" s="83">
        <v>50.0</v>
      </c>
      <c r="G220" s="83">
        <v>150.0</v>
      </c>
      <c r="H220" s="83">
        <v>0.1</v>
      </c>
      <c r="I220" s="354">
        <v>0.04</v>
      </c>
      <c r="J220" s="83">
        <v>1.5</v>
      </c>
      <c r="K220" s="83">
        <v>1.0</v>
      </c>
      <c r="L220" s="83">
        <v>0.0</v>
      </c>
      <c r="M220" s="354">
        <v>0.5</v>
      </c>
      <c r="N220" s="83">
        <v>0.0</v>
      </c>
      <c r="O220" s="83">
        <v>0.5</v>
      </c>
      <c r="P220" s="83">
        <v>0.0</v>
      </c>
      <c r="Q220" s="83">
        <v>0.0</v>
      </c>
      <c r="R220" s="83">
        <v>0.0</v>
      </c>
      <c r="S220" s="83">
        <v>0.0</v>
      </c>
      <c r="T220" s="83">
        <v>0.0</v>
      </c>
      <c r="U220" s="83">
        <v>0.0</v>
      </c>
      <c r="V220" s="83">
        <v>0.0</v>
      </c>
      <c r="W220" s="83">
        <v>0.0</v>
      </c>
      <c r="X220" s="370">
        <v>0.5</v>
      </c>
      <c r="Y220" s="83">
        <v>0.0</v>
      </c>
      <c r="Z220" s="370">
        <v>0.5</v>
      </c>
      <c r="AA220" s="83">
        <v>2.0</v>
      </c>
      <c r="AB220" s="370">
        <v>0.03</v>
      </c>
      <c r="AC220" s="354">
        <v>0.0</v>
      </c>
      <c r="AD220" s="371">
        <v>0.0</v>
      </c>
      <c r="AE220" s="370">
        <v>1.0</v>
      </c>
      <c r="AF220" s="370">
        <v>-0.5</v>
      </c>
      <c r="AH220" s="83" t="s">
        <v>724</v>
      </c>
      <c r="AI220" s="263">
        <f>DPS_Melee_Damage</f>
        <v>0</v>
      </c>
      <c r="AJ220" s="371">
        <f>DPS_Attack_Speed*100</f>
        <v>5</v>
      </c>
      <c r="AK220" s="371"/>
      <c r="AL220" s="372" t="s">
        <v>721</v>
      </c>
      <c r="AM220" s="83">
        <v>5.0</v>
      </c>
      <c r="AN220" s="83">
        <v>1.0</v>
      </c>
      <c r="AO220" s="83">
        <v>0.0</v>
      </c>
      <c r="AP220" s="83">
        <v>46.0</v>
      </c>
      <c r="AQ220" s="370">
        <v>0.0</v>
      </c>
      <c r="AR220" s="83">
        <v>0.0</v>
      </c>
      <c r="AS220" s="83">
        <v>88.0</v>
      </c>
      <c r="AT220" s="83">
        <v>32.0</v>
      </c>
    </row>
    <row r="221">
      <c r="A221" s="384" t="s">
        <v>1130</v>
      </c>
      <c r="B221" s="385"/>
      <c r="C221" s="369" t="s">
        <v>721</v>
      </c>
      <c r="D221" s="83" t="s">
        <v>722</v>
      </c>
      <c r="E221" s="83">
        <v>60.0</v>
      </c>
      <c r="F221" s="83">
        <v>45.0</v>
      </c>
      <c r="G221" s="83">
        <v>150.0</v>
      </c>
      <c r="H221" s="83">
        <v>0.1</v>
      </c>
      <c r="I221" s="354">
        <v>0.08</v>
      </c>
      <c r="J221" s="83">
        <v>1.5</v>
      </c>
      <c r="K221" s="83">
        <v>1.0</v>
      </c>
      <c r="L221" s="83">
        <v>0.0</v>
      </c>
      <c r="M221" s="354">
        <v>0.5</v>
      </c>
      <c r="N221" s="83">
        <v>0.0</v>
      </c>
      <c r="O221" s="83">
        <v>0.5</v>
      </c>
      <c r="P221" s="83">
        <v>0.0</v>
      </c>
      <c r="Q221" s="83">
        <v>0.0</v>
      </c>
      <c r="R221" s="83">
        <v>0.0</v>
      </c>
      <c r="S221" s="83">
        <v>0.0</v>
      </c>
      <c r="T221" s="83">
        <v>0.0</v>
      </c>
      <c r="U221" s="83">
        <v>0.0</v>
      </c>
      <c r="V221" s="83">
        <v>0.0</v>
      </c>
      <c r="W221" s="83">
        <v>0.0</v>
      </c>
      <c r="X221" s="370">
        <v>0.5</v>
      </c>
      <c r="Y221" s="83">
        <v>0.0</v>
      </c>
      <c r="Z221" s="370">
        <v>0.5</v>
      </c>
      <c r="AA221" s="83">
        <v>2.0</v>
      </c>
      <c r="AB221" s="370">
        <v>0.03</v>
      </c>
      <c r="AC221" s="354">
        <v>0.0</v>
      </c>
      <c r="AD221" s="371">
        <v>0.0</v>
      </c>
      <c r="AE221" s="370">
        <v>1.0</v>
      </c>
      <c r="AF221" s="370">
        <v>-0.75</v>
      </c>
      <c r="AH221" s="83" t="s">
        <v>724</v>
      </c>
      <c r="AI221" s="263">
        <f>DPS_Melee_Damage</f>
        <v>0</v>
      </c>
      <c r="AJ221" s="371">
        <f>DPS_Attack_Speed*100</f>
        <v>5</v>
      </c>
      <c r="AK221" s="371"/>
      <c r="AL221" s="372" t="s">
        <v>721</v>
      </c>
      <c r="AM221" s="83">
        <v>5.0</v>
      </c>
      <c r="AN221" s="83">
        <v>1.0</v>
      </c>
      <c r="AO221" s="83">
        <v>0.0</v>
      </c>
      <c r="AP221" s="83">
        <v>92.0</v>
      </c>
      <c r="AQ221" s="370">
        <v>0.0</v>
      </c>
      <c r="AR221" s="83">
        <v>0.0</v>
      </c>
      <c r="AS221" s="83">
        <v>88.0</v>
      </c>
      <c r="AT221" s="83">
        <v>32.0</v>
      </c>
    </row>
    <row r="222">
      <c r="A222" s="384" t="s">
        <v>1131</v>
      </c>
      <c r="B222" s="385"/>
      <c r="C222" s="369" t="s">
        <v>721</v>
      </c>
      <c r="D222" s="83" t="s">
        <v>722</v>
      </c>
      <c r="E222" s="83">
        <v>100.0</v>
      </c>
      <c r="F222" s="83">
        <v>40.0</v>
      </c>
      <c r="G222" s="83">
        <v>150.0</v>
      </c>
      <c r="H222" s="83">
        <v>0.1</v>
      </c>
      <c r="I222" s="354">
        <v>0.12</v>
      </c>
      <c r="J222" s="83">
        <v>1.5</v>
      </c>
      <c r="K222" s="83">
        <v>1.0</v>
      </c>
      <c r="L222" s="83">
        <v>0.0</v>
      </c>
      <c r="M222" s="354">
        <v>0.5</v>
      </c>
      <c r="N222" s="83">
        <v>0.0</v>
      </c>
      <c r="O222" s="83">
        <v>0.5</v>
      </c>
      <c r="P222" s="83">
        <v>0.0</v>
      </c>
      <c r="Q222" s="83">
        <v>0.0</v>
      </c>
      <c r="R222" s="83">
        <v>0.0</v>
      </c>
      <c r="S222" s="83">
        <v>0.0</v>
      </c>
      <c r="T222" s="83">
        <v>0.0</v>
      </c>
      <c r="U222" s="83">
        <v>0.0</v>
      </c>
      <c r="V222" s="83">
        <v>0.0</v>
      </c>
      <c r="W222" s="83">
        <v>0.0</v>
      </c>
      <c r="X222" s="370">
        <v>0.5</v>
      </c>
      <c r="Y222" s="83">
        <v>0.0</v>
      </c>
      <c r="Z222" s="370">
        <v>0.5</v>
      </c>
      <c r="AA222" s="83">
        <v>2.0</v>
      </c>
      <c r="AB222" s="370">
        <v>0.03</v>
      </c>
      <c r="AC222" s="354">
        <v>0.0</v>
      </c>
      <c r="AD222" s="371">
        <v>0.0</v>
      </c>
      <c r="AE222" s="370">
        <v>1.0</v>
      </c>
      <c r="AF222" s="370">
        <v>-1.0</v>
      </c>
      <c r="AH222" s="83" t="s">
        <v>724</v>
      </c>
      <c r="AI222" s="263">
        <f>DPS_Melee_Damage</f>
        <v>0</v>
      </c>
      <c r="AJ222" s="371">
        <f>DPS_Attack_Speed*100</f>
        <v>5</v>
      </c>
      <c r="AK222" s="371"/>
      <c r="AL222" s="372" t="s">
        <v>721</v>
      </c>
      <c r="AM222" s="83">
        <v>5.0</v>
      </c>
      <c r="AN222" s="83">
        <v>1.0</v>
      </c>
      <c r="AO222" s="83">
        <v>0.0</v>
      </c>
      <c r="AP222" s="83">
        <v>185.0</v>
      </c>
      <c r="AQ222" s="370">
        <v>0.0</v>
      </c>
      <c r="AR222" s="83">
        <v>0.0</v>
      </c>
      <c r="AS222" s="83">
        <v>88.0</v>
      </c>
      <c r="AT222" s="83">
        <v>32.0</v>
      </c>
    </row>
    <row r="223">
      <c r="A223" s="384" t="s">
        <v>1134</v>
      </c>
      <c r="B223" s="385"/>
      <c r="C223" s="369" t="s">
        <v>721</v>
      </c>
      <c r="D223" s="83" t="s">
        <v>722</v>
      </c>
      <c r="E223" s="83">
        <v>5.0</v>
      </c>
      <c r="F223" s="83">
        <v>20.0</v>
      </c>
      <c r="G223" s="83">
        <v>125.0</v>
      </c>
      <c r="H223" s="83">
        <v>0.1</v>
      </c>
      <c r="I223" s="354">
        <v>0.03</v>
      </c>
      <c r="J223" s="83">
        <v>2.0</v>
      </c>
      <c r="K223" s="83">
        <v>1.0</v>
      </c>
      <c r="L223" s="83">
        <v>0.0</v>
      </c>
      <c r="M223" s="354">
        <v>0.5</v>
      </c>
      <c r="N223" s="83">
        <v>0.0</v>
      </c>
      <c r="O223" s="83">
        <v>0.5</v>
      </c>
      <c r="P223" s="83">
        <v>0.0</v>
      </c>
      <c r="Q223" s="83">
        <v>0.0</v>
      </c>
      <c r="R223" s="83">
        <v>0.0</v>
      </c>
      <c r="S223" s="83">
        <v>0.0</v>
      </c>
      <c r="T223" s="83">
        <v>0.0</v>
      </c>
      <c r="U223" s="83">
        <v>0.0</v>
      </c>
      <c r="V223" s="83">
        <v>0.0</v>
      </c>
      <c r="W223" s="83">
        <v>0.0</v>
      </c>
      <c r="X223" s="370">
        <v>0.5</v>
      </c>
      <c r="Y223" s="83">
        <v>0.0</v>
      </c>
      <c r="Z223" s="370">
        <v>0.5</v>
      </c>
      <c r="AA223" s="83">
        <v>2.0</v>
      </c>
      <c r="AB223" s="370">
        <v>0.03</v>
      </c>
      <c r="AC223" s="354">
        <v>0.0</v>
      </c>
      <c r="AD223" s="371">
        <v>0.0</v>
      </c>
      <c r="AE223" s="370">
        <v>0.8</v>
      </c>
      <c r="AF223" s="370">
        <v>0.1</v>
      </c>
      <c r="AH223" s="83" t="s">
        <v>104</v>
      </c>
      <c r="AI223" s="83">
        <f>DPS_Melee_Damage</f>
        <v>0</v>
      </c>
      <c r="AJ223" s="371">
        <f>DPS_Special_Stat</f>
        <v>0</v>
      </c>
      <c r="AK223" s="371"/>
      <c r="AL223" s="372" t="s">
        <v>721</v>
      </c>
      <c r="AM223" s="83">
        <v>2.0</v>
      </c>
      <c r="AN223" s="83">
        <v>1.0</v>
      </c>
      <c r="AO223" s="83">
        <v>0.0</v>
      </c>
      <c r="AP223" s="83">
        <v>15.0</v>
      </c>
      <c r="AQ223" s="370">
        <v>0.0</v>
      </c>
      <c r="AR223" s="83">
        <v>0.0</v>
      </c>
      <c r="AS223" s="83">
        <v>74.0</v>
      </c>
      <c r="AT223" s="83">
        <v>28.0</v>
      </c>
    </row>
    <row r="224">
      <c r="A224" s="384" t="s">
        <v>1135</v>
      </c>
      <c r="B224" s="385"/>
      <c r="C224" s="369" t="s">
        <v>721</v>
      </c>
      <c r="D224" s="83" t="s">
        <v>722</v>
      </c>
      <c r="E224" s="83">
        <v>8.0</v>
      </c>
      <c r="F224" s="83">
        <v>17.0</v>
      </c>
      <c r="G224" s="83">
        <v>125.0</v>
      </c>
      <c r="H224" s="83">
        <v>0.1</v>
      </c>
      <c r="I224" s="354">
        <v>0.03</v>
      </c>
      <c r="J224" s="83">
        <v>2.0</v>
      </c>
      <c r="K224" s="83">
        <v>1.0</v>
      </c>
      <c r="L224" s="83">
        <v>0.0</v>
      </c>
      <c r="M224" s="354">
        <v>0.5</v>
      </c>
      <c r="N224" s="83">
        <v>0.0</v>
      </c>
      <c r="O224" s="83">
        <v>0.5</v>
      </c>
      <c r="P224" s="83">
        <v>0.0</v>
      </c>
      <c r="Q224" s="83">
        <v>0.0</v>
      </c>
      <c r="R224" s="83">
        <v>0.0</v>
      </c>
      <c r="S224" s="83">
        <v>0.0</v>
      </c>
      <c r="T224" s="83">
        <v>0.0</v>
      </c>
      <c r="U224" s="83">
        <v>0.0</v>
      </c>
      <c r="V224" s="83">
        <v>0.0</v>
      </c>
      <c r="W224" s="83">
        <v>0.0</v>
      </c>
      <c r="X224" s="370">
        <v>0.5</v>
      </c>
      <c r="Y224" s="83">
        <v>0.0</v>
      </c>
      <c r="Z224" s="370">
        <v>0.5</v>
      </c>
      <c r="AA224" s="83">
        <v>2.0</v>
      </c>
      <c r="AB224" s="370">
        <v>0.03</v>
      </c>
      <c r="AC224" s="354">
        <v>0.0</v>
      </c>
      <c r="AD224" s="371">
        <v>0.0</v>
      </c>
      <c r="AE224" s="370">
        <v>0.8</v>
      </c>
      <c r="AF224" s="370">
        <v>0.15</v>
      </c>
      <c r="AH224" s="83" t="s">
        <v>104</v>
      </c>
      <c r="AI224" s="83">
        <f>DPS_Melee_Damage</f>
        <v>0</v>
      </c>
      <c r="AJ224" s="371">
        <f>DPS_Special_Stat</f>
        <v>0</v>
      </c>
      <c r="AK224" s="371"/>
      <c r="AL224" s="372" t="s">
        <v>721</v>
      </c>
      <c r="AM224" s="83">
        <v>2.0</v>
      </c>
      <c r="AN224" s="83">
        <v>1.0</v>
      </c>
      <c r="AO224" s="83">
        <v>0.0</v>
      </c>
      <c r="AP224" s="83">
        <v>31.0</v>
      </c>
      <c r="AQ224" s="370">
        <v>0.0</v>
      </c>
      <c r="AR224" s="83">
        <v>0.0</v>
      </c>
      <c r="AS224" s="83">
        <v>74.0</v>
      </c>
      <c r="AT224" s="83">
        <v>28.0</v>
      </c>
    </row>
    <row r="225">
      <c r="A225" s="384" t="s">
        <v>1137</v>
      </c>
      <c r="B225" s="385"/>
      <c r="C225" s="369" t="s">
        <v>721</v>
      </c>
      <c r="D225" s="83" t="s">
        <v>722</v>
      </c>
      <c r="E225" s="83">
        <v>12.0</v>
      </c>
      <c r="F225" s="83">
        <v>14.0</v>
      </c>
      <c r="G225" s="83">
        <v>125.0</v>
      </c>
      <c r="H225" s="83">
        <v>0.1</v>
      </c>
      <c r="I225" s="354">
        <v>0.03</v>
      </c>
      <c r="J225" s="83">
        <v>2.0</v>
      </c>
      <c r="K225" s="83">
        <v>1.0</v>
      </c>
      <c r="L225" s="83">
        <v>0.0</v>
      </c>
      <c r="M225" s="354">
        <v>0.5</v>
      </c>
      <c r="N225" s="83">
        <v>0.0</v>
      </c>
      <c r="O225" s="83">
        <v>0.5</v>
      </c>
      <c r="P225" s="83">
        <v>0.0</v>
      </c>
      <c r="Q225" s="83">
        <v>0.0</v>
      </c>
      <c r="R225" s="83">
        <v>0.0</v>
      </c>
      <c r="S225" s="83">
        <v>0.0</v>
      </c>
      <c r="T225" s="83">
        <v>0.0</v>
      </c>
      <c r="U225" s="83">
        <v>0.0</v>
      </c>
      <c r="V225" s="83">
        <v>0.0</v>
      </c>
      <c r="W225" s="83">
        <v>0.0</v>
      </c>
      <c r="X225" s="370">
        <v>0.5</v>
      </c>
      <c r="Y225" s="83">
        <v>0.0</v>
      </c>
      <c r="Z225" s="370">
        <v>0.5</v>
      </c>
      <c r="AA225" s="83">
        <v>2.0</v>
      </c>
      <c r="AB225" s="370">
        <v>0.03</v>
      </c>
      <c r="AC225" s="354">
        <v>0.0</v>
      </c>
      <c r="AD225" s="371">
        <v>0.0</v>
      </c>
      <c r="AE225" s="370">
        <v>0.8</v>
      </c>
      <c r="AF225" s="370">
        <v>0.2</v>
      </c>
      <c r="AH225" s="83" t="s">
        <v>104</v>
      </c>
      <c r="AI225" s="83">
        <f>DPS_Melee_Damage</f>
        <v>0</v>
      </c>
      <c r="AJ225" s="371">
        <f>DPS_Special_Stat</f>
        <v>0</v>
      </c>
      <c r="AK225" s="371"/>
      <c r="AL225" s="372" t="s">
        <v>721</v>
      </c>
      <c r="AM225" s="83">
        <v>2.0</v>
      </c>
      <c r="AN225" s="83">
        <v>1.0</v>
      </c>
      <c r="AO225" s="83">
        <v>0.0</v>
      </c>
      <c r="AP225" s="83">
        <v>61.0</v>
      </c>
      <c r="AQ225" s="370">
        <v>0.0</v>
      </c>
      <c r="AR225" s="83">
        <v>0.0</v>
      </c>
      <c r="AS225" s="83">
        <v>74.0</v>
      </c>
      <c r="AT225" s="83">
        <v>28.0</v>
      </c>
    </row>
    <row r="226">
      <c r="A226" s="384" t="s">
        <v>1140</v>
      </c>
      <c r="B226" s="385"/>
      <c r="C226" s="369" t="s">
        <v>721</v>
      </c>
      <c r="D226" s="83" t="s">
        <v>722</v>
      </c>
      <c r="E226" s="83">
        <v>15.0</v>
      </c>
      <c r="F226" s="83">
        <v>10.0</v>
      </c>
      <c r="G226" s="83">
        <v>125.0</v>
      </c>
      <c r="H226" s="83">
        <v>0.1</v>
      </c>
      <c r="I226" s="354">
        <v>0.03</v>
      </c>
      <c r="J226" s="83">
        <v>2.0</v>
      </c>
      <c r="K226" s="83">
        <v>1.0</v>
      </c>
      <c r="L226" s="83">
        <v>0.0</v>
      </c>
      <c r="M226" s="354">
        <v>0.5</v>
      </c>
      <c r="N226" s="83">
        <v>0.0</v>
      </c>
      <c r="O226" s="83">
        <v>0.5</v>
      </c>
      <c r="P226" s="83">
        <v>0.0</v>
      </c>
      <c r="Q226" s="83">
        <v>0.0</v>
      </c>
      <c r="R226" s="83">
        <v>0.0</v>
      </c>
      <c r="S226" s="83">
        <v>0.0</v>
      </c>
      <c r="T226" s="83">
        <v>0.0</v>
      </c>
      <c r="U226" s="83">
        <v>0.0</v>
      </c>
      <c r="V226" s="83">
        <v>0.0</v>
      </c>
      <c r="W226" s="83">
        <v>0.0</v>
      </c>
      <c r="X226" s="370">
        <v>0.5</v>
      </c>
      <c r="Y226" s="83">
        <v>0.0</v>
      </c>
      <c r="Z226" s="370">
        <v>0.5</v>
      </c>
      <c r="AA226" s="83">
        <v>2.0</v>
      </c>
      <c r="AB226" s="370">
        <v>0.03</v>
      </c>
      <c r="AC226" s="354">
        <v>0.0</v>
      </c>
      <c r="AD226" s="371">
        <v>0.0</v>
      </c>
      <c r="AE226" s="370">
        <v>0.8</v>
      </c>
      <c r="AF226" s="370">
        <v>0.25</v>
      </c>
      <c r="AH226" s="83" t="s">
        <v>104</v>
      </c>
      <c r="AI226" s="83">
        <f>DPS_Melee_Damage</f>
        <v>0</v>
      </c>
      <c r="AJ226" s="371">
        <f>DPS_Special_Stat</f>
        <v>0</v>
      </c>
      <c r="AK226" s="371"/>
      <c r="AL226" s="372" t="s">
        <v>721</v>
      </c>
      <c r="AM226" s="83">
        <v>2.0</v>
      </c>
      <c r="AN226" s="83">
        <v>1.0</v>
      </c>
      <c r="AO226" s="83">
        <v>0.0</v>
      </c>
      <c r="AP226" s="83">
        <v>122.0</v>
      </c>
      <c r="AQ226" s="370">
        <v>0.0</v>
      </c>
      <c r="AR226" s="83">
        <v>0.0</v>
      </c>
      <c r="AS226" s="83">
        <v>74.0</v>
      </c>
      <c r="AT226" s="83">
        <v>28.0</v>
      </c>
    </row>
    <row r="227">
      <c r="A227" s="384" t="s">
        <v>1142</v>
      </c>
      <c r="B227" s="385"/>
      <c r="C227" s="369" t="s">
        <v>721</v>
      </c>
      <c r="D227" s="83" t="s">
        <v>722</v>
      </c>
      <c r="E227" s="83">
        <v>10.0</v>
      </c>
      <c r="F227" s="371">
        <v>30.0</v>
      </c>
      <c r="G227" s="83">
        <v>150.0</v>
      </c>
      <c r="H227" s="83">
        <v>0.1</v>
      </c>
      <c r="I227" s="370">
        <v>0.0</v>
      </c>
      <c r="J227" s="83">
        <v>2.0</v>
      </c>
      <c r="K227" s="83">
        <v>1.0</v>
      </c>
      <c r="L227" s="83">
        <v>0.0</v>
      </c>
      <c r="M227" s="354">
        <v>0.5</v>
      </c>
      <c r="N227" s="83">
        <v>0.0</v>
      </c>
      <c r="O227" s="83">
        <v>0.5</v>
      </c>
      <c r="P227" s="83">
        <v>0.0</v>
      </c>
      <c r="Q227" s="83">
        <v>0.0</v>
      </c>
      <c r="R227" s="83">
        <v>0.0</v>
      </c>
      <c r="S227" s="83">
        <v>0.0</v>
      </c>
      <c r="T227" s="83">
        <v>0.0</v>
      </c>
      <c r="U227" s="83">
        <v>0.0</v>
      </c>
      <c r="V227" s="83">
        <v>0.0</v>
      </c>
      <c r="W227" s="83">
        <v>0.0</v>
      </c>
      <c r="X227" s="370">
        <v>0.5</v>
      </c>
      <c r="Y227" s="83">
        <v>0.0</v>
      </c>
      <c r="Z227" s="370">
        <v>0.5</v>
      </c>
      <c r="AA227" s="83">
        <v>2.0</v>
      </c>
      <c r="AB227" s="370">
        <v>0.03</v>
      </c>
      <c r="AC227" s="354">
        <v>0.0</v>
      </c>
      <c r="AD227" s="371">
        <v>0.0</v>
      </c>
      <c r="AE227" s="370">
        <v>0.5</v>
      </c>
      <c r="AF227" s="370">
        <v>0.15</v>
      </c>
      <c r="AH227" s="83" t="s">
        <v>724</v>
      </c>
      <c r="AI227" s="83">
        <f>DPS_Melee_Damage</f>
        <v>0</v>
      </c>
      <c r="AJ227" s="83">
        <f>DPS_Max_HP</f>
        <v>0</v>
      </c>
      <c r="AK227" s="371"/>
      <c r="AL227" s="372" t="s">
        <v>721</v>
      </c>
      <c r="AM227" s="83">
        <v>2.0</v>
      </c>
      <c r="AN227" s="83">
        <v>1.0</v>
      </c>
      <c r="AO227" s="83">
        <v>0.0</v>
      </c>
      <c r="AP227" s="83">
        <v>15.0</v>
      </c>
      <c r="AQ227" s="370">
        <v>0.0</v>
      </c>
      <c r="AR227" s="83">
        <v>0.0</v>
      </c>
      <c r="AS227" s="83">
        <v>72.0</v>
      </c>
      <c r="AT227" s="83">
        <v>16.0</v>
      </c>
      <c r="AU227" s="83" t="s">
        <v>1143</v>
      </c>
    </row>
    <row r="228">
      <c r="A228" s="384" t="s">
        <v>1144</v>
      </c>
      <c r="B228" s="385"/>
      <c r="C228" s="369" t="s">
        <v>721</v>
      </c>
      <c r="D228" s="83" t="s">
        <v>722</v>
      </c>
      <c r="E228" s="83">
        <v>15.0</v>
      </c>
      <c r="F228" s="371">
        <v>25.0</v>
      </c>
      <c r="G228" s="83">
        <v>165.0</v>
      </c>
      <c r="H228" s="83">
        <v>0.1</v>
      </c>
      <c r="I228" s="370">
        <v>0.0</v>
      </c>
      <c r="J228" s="83">
        <v>2.25</v>
      </c>
      <c r="K228" s="83">
        <v>1.0</v>
      </c>
      <c r="L228" s="83">
        <v>0.0</v>
      </c>
      <c r="M228" s="354">
        <v>0.5</v>
      </c>
      <c r="N228" s="83">
        <v>0.0</v>
      </c>
      <c r="O228" s="83">
        <v>0.5</v>
      </c>
      <c r="P228" s="83">
        <v>0.0</v>
      </c>
      <c r="Q228" s="83">
        <v>0.0</v>
      </c>
      <c r="R228" s="83">
        <v>0.0</v>
      </c>
      <c r="S228" s="83">
        <v>0.0</v>
      </c>
      <c r="T228" s="83">
        <v>0.0</v>
      </c>
      <c r="U228" s="83">
        <v>0.0</v>
      </c>
      <c r="V228" s="83">
        <v>0.0</v>
      </c>
      <c r="W228" s="83">
        <v>0.0</v>
      </c>
      <c r="X228" s="370">
        <v>0.5</v>
      </c>
      <c r="Y228" s="83">
        <v>0.0</v>
      </c>
      <c r="Z228" s="370">
        <v>0.5</v>
      </c>
      <c r="AA228" s="83">
        <v>2.0</v>
      </c>
      <c r="AB228" s="370">
        <v>0.03</v>
      </c>
      <c r="AC228" s="354">
        <v>0.0</v>
      </c>
      <c r="AD228" s="371">
        <v>0.0</v>
      </c>
      <c r="AE228" s="370">
        <v>0.5</v>
      </c>
      <c r="AF228" s="370">
        <v>0.2</v>
      </c>
      <c r="AH228" s="83" t="s">
        <v>724</v>
      </c>
      <c r="AI228" s="83">
        <f>DPS_Melee_Damage</f>
        <v>0</v>
      </c>
      <c r="AJ228" s="83">
        <f>DPS_Max_HP</f>
        <v>0</v>
      </c>
      <c r="AK228" s="371"/>
      <c r="AL228" s="372" t="s">
        <v>721</v>
      </c>
      <c r="AM228" s="83">
        <v>2.0</v>
      </c>
      <c r="AN228" s="83">
        <v>1.0</v>
      </c>
      <c r="AO228" s="83">
        <v>0.0</v>
      </c>
      <c r="AP228" s="83">
        <v>31.0</v>
      </c>
      <c r="AQ228" s="370">
        <v>0.0</v>
      </c>
      <c r="AR228" s="83">
        <v>0.0</v>
      </c>
      <c r="AS228" s="83">
        <v>72.0</v>
      </c>
      <c r="AT228" s="83">
        <v>16.0</v>
      </c>
      <c r="AU228" s="83" t="s">
        <v>1143</v>
      </c>
    </row>
    <row r="229">
      <c r="A229" s="384" t="s">
        <v>1146</v>
      </c>
      <c r="B229" s="385"/>
      <c r="C229" s="369" t="s">
        <v>721</v>
      </c>
      <c r="D229" s="83" t="s">
        <v>722</v>
      </c>
      <c r="E229" s="83">
        <v>20.0</v>
      </c>
      <c r="F229" s="371">
        <v>20.0</v>
      </c>
      <c r="G229" s="83">
        <v>180.0</v>
      </c>
      <c r="H229" s="83">
        <v>0.1</v>
      </c>
      <c r="I229" s="370">
        <v>0.0</v>
      </c>
      <c r="J229" s="83">
        <v>2.5</v>
      </c>
      <c r="K229" s="83">
        <v>1.0</v>
      </c>
      <c r="L229" s="83">
        <v>0.0</v>
      </c>
      <c r="M229" s="354">
        <v>0.5</v>
      </c>
      <c r="N229" s="83">
        <v>0.0</v>
      </c>
      <c r="O229" s="83">
        <v>0.5</v>
      </c>
      <c r="P229" s="83">
        <v>0.0</v>
      </c>
      <c r="Q229" s="83">
        <v>0.0</v>
      </c>
      <c r="R229" s="83">
        <v>0.0</v>
      </c>
      <c r="S229" s="83">
        <v>0.0</v>
      </c>
      <c r="T229" s="83">
        <v>0.0</v>
      </c>
      <c r="U229" s="83">
        <v>0.0</v>
      </c>
      <c r="V229" s="83">
        <v>0.0</v>
      </c>
      <c r="W229" s="83">
        <v>0.0</v>
      </c>
      <c r="X229" s="370">
        <v>0.5</v>
      </c>
      <c r="Y229" s="83">
        <v>0.0</v>
      </c>
      <c r="Z229" s="370">
        <v>0.5</v>
      </c>
      <c r="AA229" s="83">
        <v>2.0</v>
      </c>
      <c r="AB229" s="370">
        <v>0.03</v>
      </c>
      <c r="AC229" s="354">
        <v>0.0</v>
      </c>
      <c r="AD229" s="371">
        <v>0.0</v>
      </c>
      <c r="AE229" s="370">
        <v>0.5</v>
      </c>
      <c r="AF229" s="370">
        <v>0.25</v>
      </c>
      <c r="AH229" s="83" t="s">
        <v>724</v>
      </c>
      <c r="AI229" s="83">
        <f>DPS_Melee_Damage</f>
        <v>0</v>
      </c>
      <c r="AJ229" s="83">
        <f>DPS_Max_HP</f>
        <v>0</v>
      </c>
      <c r="AK229" s="371"/>
      <c r="AL229" s="372" t="s">
        <v>721</v>
      </c>
      <c r="AM229" s="83">
        <v>2.0</v>
      </c>
      <c r="AN229" s="83">
        <v>1.0</v>
      </c>
      <c r="AO229" s="83">
        <v>0.0</v>
      </c>
      <c r="AP229" s="83">
        <v>61.0</v>
      </c>
      <c r="AQ229" s="370">
        <v>0.0</v>
      </c>
      <c r="AR229" s="83">
        <v>0.0</v>
      </c>
      <c r="AS229" s="83">
        <v>72.0</v>
      </c>
      <c r="AT229" s="83">
        <v>16.0</v>
      </c>
      <c r="AU229" s="83" t="s">
        <v>1143</v>
      </c>
    </row>
    <row r="230">
      <c r="A230" s="384" t="s">
        <v>1147</v>
      </c>
      <c r="B230" s="385"/>
      <c r="C230" s="369" t="s">
        <v>721</v>
      </c>
      <c r="D230" s="83" t="s">
        <v>722</v>
      </c>
      <c r="E230" s="83">
        <v>25.0</v>
      </c>
      <c r="F230" s="371">
        <v>15.0</v>
      </c>
      <c r="G230" s="83">
        <v>200.0</v>
      </c>
      <c r="H230" s="83">
        <v>0.1</v>
      </c>
      <c r="I230" s="370">
        <v>0.0</v>
      </c>
      <c r="J230" s="83">
        <v>3.0</v>
      </c>
      <c r="K230" s="83">
        <v>1.0</v>
      </c>
      <c r="L230" s="83">
        <v>0.0</v>
      </c>
      <c r="M230" s="354">
        <v>0.5</v>
      </c>
      <c r="N230" s="83">
        <v>0.0</v>
      </c>
      <c r="O230" s="83">
        <v>0.5</v>
      </c>
      <c r="P230" s="83">
        <v>0.0</v>
      </c>
      <c r="Q230" s="83">
        <v>0.0</v>
      </c>
      <c r="R230" s="83">
        <v>0.0</v>
      </c>
      <c r="S230" s="83">
        <v>0.0</v>
      </c>
      <c r="T230" s="83">
        <v>0.0</v>
      </c>
      <c r="U230" s="83">
        <v>0.0</v>
      </c>
      <c r="V230" s="83">
        <v>0.0</v>
      </c>
      <c r="W230" s="83">
        <v>0.0</v>
      </c>
      <c r="X230" s="370">
        <v>0.5</v>
      </c>
      <c r="Y230" s="83">
        <v>0.0</v>
      </c>
      <c r="Z230" s="370">
        <v>0.5</v>
      </c>
      <c r="AA230" s="83">
        <v>2.0</v>
      </c>
      <c r="AB230" s="370">
        <v>0.03</v>
      </c>
      <c r="AC230" s="354">
        <v>0.0</v>
      </c>
      <c r="AD230" s="371">
        <v>0.0</v>
      </c>
      <c r="AE230" s="370">
        <v>0.5</v>
      </c>
      <c r="AF230" s="370">
        <v>0.25</v>
      </c>
      <c r="AH230" s="83" t="s">
        <v>724</v>
      </c>
      <c r="AI230" s="83">
        <f>DPS_Melee_Damage</f>
        <v>0</v>
      </c>
      <c r="AJ230" s="83">
        <f>DPS_Max_HP</f>
        <v>0</v>
      </c>
      <c r="AK230" s="371"/>
      <c r="AL230" s="372" t="s">
        <v>721</v>
      </c>
      <c r="AM230" s="83">
        <v>2.0</v>
      </c>
      <c r="AN230" s="83">
        <v>1.0</v>
      </c>
      <c r="AO230" s="83">
        <v>0.0</v>
      </c>
      <c r="AP230" s="83">
        <v>122.0</v>
      </c>
      <c r="AQ230" s="370">
        <v>0.0</v>
      </c>
      <c r="AR230" s="83">
        <v>0.0</v>
      </c>
      <c r="AS230" s="83">
        <v>72.0</v>
      </c>
      <c r="AT230" s="83">
        <v>16.0</v>
      </c>
      <c r="AU230" s="83" t="s">
        <v>1143</v>
      </c>
    </row>
    <row r="231">
      <c r="A231" s="384" t="s">
        <v>1148</v>
      </c>
      <c r="B231" s="385"/>
      <c r="C231" s="369" t="s">
        <v>721</v>
      </c>
      <c r="D231" s="83" t="s">
        <v>752</v>
      </c>
      <c r="E231" s="83">
        <v>30.0</v>
      </c>
      <c r="F231" s="83">
        <v>50.0</v>
      </c>
      <c r="G231" s="83">
        <v>325.0</v>
      </c>
      <c r="H231" s="83">
        <v>0.1</v>
      </c>
      <c r="I231" s="354">
        <v>0.03</v>
      </c>
      <c r="J231" s="83">
        <v>2.0</v>
      </c>
      <c r="K231" s="83">
        <v>1.0</v>
      </c>
      <c r="L231" s="83">
        <v>0.0</v>
      </c>
      <c r="M231" s="354">
        <v>0.5</v>
      </c>
      <c r="N231" s="83">
        <v>0.0</v>
      </c>
      <c r="O231" s="83">
        <v>0.5</v>
      </c>
      <c r="P231" s="83">
        <v>0.0</v>
      </c>
      <c r="Q231" s="83">
        <v>0.0</v>
      </c>
      <c r="R231" s="83">
        <v>0.0</v>
      </c>
      <c r="S231" s="83">
        <v>0.0</v>
      </c>
      <c r="T231" s="83">
        <v>0.0</v>
      </c>
      <c r="U231" s="83">
        <v>0.0</v>
      </c>
      <c r="V231" s="83">
        <v>0.0</v>
      </c>
      <c r="W231" s="83">
        <v>0.0</v>
      </c>
      <c r="X231" s="370">
        <v>0.5</v>
      </c>
      <c r="Y231" s="83">
        <v>0.0</v>
      </c>
      <c r="Z231" s="370">
        <v>0.5</v>
      </c>
      <c r="AA231" s="83">
        <v>2.0</v>
      </c>
      <c r="AB231" s="370">
        <v>0.03</v>
      </c>
      <c r="AC231" s="354">
        <v>0.0</v>
      </c>
      <c r="AD231" s="371">
        <v>0.0</v>
      </c>
      <c r="AE231" s="370">
        <v>1.0</v>
      </c>
      <c r="AF231" s="370">
        <v>0.15</v>
      </c>
      <c r="AH231" s="83" t="s">
        <v>724</v>
      </c>
      <c r="AI231" s="83">
        <f>DPS_Melee_Damage</f>
        <v>0</v>
      </c>
      <c r="AJ231" s="371">
        <f>DPS_Curse</f>
        <v>0</v>
      </c>
      <c r="AK231" s="371"/>
      <c r="AL231" s="372" t="s">
        <v>721</v>
      </c>
      <c r="AM231" s="83">
        <v>0.0</v>
      </c>
      <c r="AN231" s="83">
        <v>1.0</v>
      </c>
      <c r="AO231" s="83">
        <v>0.0</v>
      </c>
      <c r="AP231" s="83">
        <v>49.0</v>
      </c>
      <c r="AQ231" s="370">
        <v>0.0</v>
      </c>
      <c r="AR231" s="83">
        <v>0.0</v>
      </c>
      <c r="AS231" s="83">
        <v>139.5</v>
      </c>
      <c r="AT231" s="83">
        <v>25.0</v>
      </c>
    </row>
    <row r="232">
      <c r="A232" s="384" t="s">
        <v>1150</v>
      </c>
      <c r="B232" s="385"/>
      <c r="C232" s="369" t="s">
        <v>721</v>
      </c>
      <c r="D232" s="83" t="s">
        <v>752</v>
      </c>
      <c r="E232" s="83">
        <v>50.0</v>
      </c>
      <c r="F232" s="83">
        <v>45.0</v>
      </c>
      <c r="G232" s="83">
        <v>325.0</v>
      </c>
      <c r="H232" s="83">
        <v>0.1</v>
      </c>
      <c r="I232" s="354">
        <v>0.03</v>
      </c>
      <c r="J232" s="83">
        <v>2.0</v>
      </c>
      <c r="K232" s="83">
        <v>1.0</v>
      </c>
      <c r="L232" s="83">
        <v>0.0</v>
      </c>
      <c r="M232" s="354">
        <v>0.5</v>
      </c>
      <c r="N232" s="83">
        <v>0.0</v>
      </c>
      <c r="O232" s="83">
        <v>0.5</v>
      </c>
      <c r="P232" s="83">
        <v>0.0</v>
      </c>
      <c r="Q232" s="83">
        <v>0.0</v>
      </c>
      <c r="R232" s="83">
        <v>0.0</v>
      </c>
      <c r="S232" s="83">
        <v>0.0</v>
      </c>
      <c r="T232" s="83">
        <v>0.0</v>
      </c>
      <c r="U232" s="83">
        <v>0.0</v>
      </c>
      <c r="V232" s="83">
        <v>0.0</v>
      </c>
      <c r="W232" s="83">
        <v>0.0</v>
      </c>
      <c r="X232" s="370">
        <v>0.5</v>
      </c>
      <c r="Y232" s="83">
        <v>0.0</v>
      </c>
      <c r="Z232" s="370">
        <v>0.5</v>
      </c>
      <c r="AA232" s="83">
        <v>2.0</v>
      </c>
      <c r="AB232" s="370">
        <v>0.03</v>
      </c>
      <c r="AC232" s="354">
        <v>0.0</v>
      </c>
      <c r="AD232" s="371">
        <v>0.0</v>
      </c>
      <c r="AE232" s="370">
        <v>1.0</v>
      </c>
      <c r="AF232" s="370">
        <v>0.3</v>
      </c>
      <c r="AH232" s="83" t="s">
        <v>724</v>
      </c>
      <c r="AI232" s="83">
        <f>DPS_Melee_Damage</f>
        <v>0</v>
      </c>
      <c r="AJ232" s="371">
        <f>DPS_Curse</f>
        <v>0</v>
      </c>
      <c r="AK232" s="263"/>
      <c r="AL232" s="372" t="s">
        <v>721</v>
      </c>
      <c r="AM232" s="83">
        <v>0.0</v>
      </c>
      <c r="AN232" s="83">
        <v>1.0</v>
      </c>
      <c r="AO232" s="83">
        <v>0.0</v>
      </c>
      <c r="AP232" s="83">
        <v>96.0</v>
      </c>
      <c r="AQ232" s="370">
        <v>0.0</v>
      </c>
      <c r="AR232" s="83">
        <v>0.0</v>
      </c>
      <c r="AS232" s="83">
        <v>139.5</v>
      </c>
      <c r="AT232" s="83">
        <v>25.0</v>
      </c>
    </row>
    <row r="233">
      <c r="A233" s="384" t="s">
        <v>1151</v>
      </c>
      <c r="B233" s="385"/>
      <c r="C233" s="369" t="s">
        <v>721</v>
      </c>
      <c r="D233" s="83" t="s">
        <v>752</v>
      </c>
      <c r="E233" s="83">
        <v>80.0</v>
      </c>
      <c r="F233" s="83">
        <v>40.0</v>
      </c>
      <c r="G233" s="83">
        <v>325.0</v>
      </c>
      <c r="H233" s="83">
        <v>0.1</v>
      </c>
      <c r="I233" s="354">
        <v>0.03</v>
      </c>
      <c r="J233" s="83">
        <v>2.0</v>
      </c>
      <c r="K233" s="83">
        <v>1.0</v>
      </c>
      <c r="L233" s="83">
        <v>0.0</v>
      </c>
      <c r="M233" s="354">
        <v>0.5</v>
      </c>
      <c r="N233" s="83">
        <v>0.0</v>
      </c>
      <c r="O233" s="83">
        <v>0.5</v>
      </c>
      <c r="P233" s="83">
        <v>0.0</v>
      </c>
      <c r="Q233" s="83">
        <v>0.0</v>
      </c>
      <c r="R233" s="83">
        <v>0.0</v>
      </c>
      <c r="S233" s="83">
        <v>0.0</v>
      </c>
      <c r="T233" s="83">
        <v>0.0</v>
      </c>
      <c r="U233" s="83">
        <v>0.0</v>
      </c>
      <c r="V233" s="83">
        <v>0.0</v>
      </c>
      <c r="W233" s="83">
        <v>0.0</v>
      </c>
      <c r="X233" s="370">
        <v>0.5</v>
      </c>
      <c r="Y233" s="83">
        <v>0.0</v>
      </c>
      <c r="Z233" s="370">
        <v>0.5</v>
      </c>
      <c r="AA233" s="83">
        <v>2.0</v>
      </c>
      <c r="AB233" s="370">
        <v>0.03</v>
      </c>
      <c r="AC233" s="354">
        <v>0.0</v>
      </c>
      <c r="AD233" s="371">
        <v>0.0</v>
      </c>
      <c r="AE233" s="370">
        <v>1.0</v>
      </c>
      <c r="AF233" s="370">
        <v>0.5</v>
      </c>
      <c r="AH233" s="83" t="s">
        <v>724</v>
      </c>
      <c r="AI233" s="83">
        <f>DPS_Melee_Damage</f>
        <v>0</v>
      </c>
      <c r="AJ233" s="371">
        <f>DPS_Curse</f>
        <v>0</v>
      </c>
      <c r="AK233" s="263"/>
      <c r="AL233" s="372" t="s">
        <v>721</v>
      </c>
      <c r="AM233" s="83">
        <v>0.0</v>
      </c>
      <c r="AN233" s="83">
        <v>1.0</v>
      </c>
      <c r="AO233" s="83">
        <v>0.0</v>
      </c>
      <c r="AP233" s="83">
        <v>200.0</v>
      </c>
      <c r="AQ233" s="370">
        <v>0.0</v>
      </c>
      <c r="AR233" s="83">
        <v>0.0</v>
      </c>
      <c r="AS233" s="83">
        <v>139.5</v>
      </c>
      <c r="AT233" s="83">
        <v>25.0</v>
      </c>
    </row>
    <row r="234">
      <c r="A234" s="384" t="s">
        <v>1152</v>
      </c>
      <c r="B234" s="385"/>
      <c r="C234" s="369" t="s">
        <v>721</v>
      </c>
      <c r="D234" s="83" t="s">
        <v>722</v>
      </c>
      <c r="E234" s="83">
        <v>100.0</v>
      </c>
      <c r="F234" s="83">
        <v>90.0</v>
      </c>
      <c r="G234" s="83">
        <v>200.0</v>
      </c>
      <c r="H234" s="83">
        <v>0.1</v>
      </c>
      <c r="I234" s="354">
        <v>0.03</v>
      </c>
      <c r="J234" s="83">
        <v>1.5</v>
      </c>
      <c r="K234" s="83">
        <v>1.0</v>
      </c>
      <c r="L234" s="83">
        <v>0.0</v>
      </c>
      <c r="M234" s="354">
        <v>0.5</v>
      </c>
      <c r="N234" s="83">
        <v>0.0</v>
      </c>
      <c r="O234" s="83">
        <v>0.5</v>
      </c>
      <c r="P234" s="83">
        <v>0.0</v>
      </c>
      <c r="Q234" s="83">
        <v>0.0</v>
      </c>
      <c r="R234" s="83">
        <v>0.0</v>
      </c>
      <c r="S234" s="83">
        <v>0.0</v>
      </c>
      <c r="T234" s="83">
        <v>0.0</v>
      </c>
      <c r="U234" s="83">
        <v>0.0</v>
      </c>
      <c r="V234" s="83">
        <v>0.0</v>
      </c>
      <c r="W234" s="83">
        <v>0.0</v>
      </c>
      <c r="X234" s="370">
        <v>0.5</v>
      </c>
      <c r="Y234" s="83">
        <v>0.0</v>
      </c>
      <c r="Z234" s="370">
        <v>0.5</v>
      </c>
      <c r="AA234" s="83">
        <v>2.0</v>
      </c>
      <c r="AB234" s="370">
        <v>0.03</v>
      </c>
      <c r="AC234" s="354">
        <v>0.0</v>
      </c>
      <c r="AD234" s="371">
        <v>0.0</v>
      </c>
      <c r="AE234" s="370">
        <v>1.5</v>
      </c>
      <c r="AF234" s="370">
        <v>1.5</v>
      </c>
      <c r="AH234" s="83" t="s">
        <v>724</v>
      </c>
      <c r="AI234" s="83">
        <f>DPS_Melee_Damage</f>
        <v>0</v>
      </c>
      <c r="AJ234" s="263">
        <f>DPS_Engineering</f>
        <v>0</v>
      </c>
      <c r="AK234" s="263"/>
      <c r="AL234" s="372" t="s">
        <v>721</v>
      </c>
      <c r="AM234" s="83">
        <v>20.0</v>
      </c>
      <c r="AN234" s="83">
        <v>1.0</v>
      </c>
      <c r="AO234" s="83">
        <v>0.0</v>
      </c>
      <c r="AP234" s="83">
        <v>130.0</v>
      </c>
      <c r="AQ234" s="370">
        <v>0.0</v>
      </c>
      <c r="AR234" s="83">
        <v>0.0</v>
      </c>
      <c r="AS234" s="83">
        <v>84.0</v>
      </c>
      <c r="AT234" s="83">
        <v>32.0</v>
      </c>
      <c r="AU234" s="83" t="s">
        <v>1154</v>
      </c>
    </row>
    <row r="235">
      <c r="A235" s="384" t="s">
        <v>1155</v>
      </c>
      <c r="B235" s="385"/>
      <c r="C235" s="369" t="s">
        <v>721</v>
      </c>
      <c r="D235" s="83" t="s">
        <v>722</v>
      </c>
      <c r="E235" s="83">
        <v>200.0</v>
      </c>
      <c r="F235" s="83">
        <v>80.0</v>
      </c>
      <c r="G235" s="83">
        <v>200.0</v>
      </c>
      <c r="H235" s="83">
        <v>0.1</v>
      </c>
      <c r="I235" s="354">
        <v>0.03</v>
      </c>
      <c r="J235" s="83">
        <v>1.5</v>
      </c>
      <c r="K235" s="83">
        <v>1.0</v>
      </c>
      <c r="L235" s="83">
        <v>0.0</v>
      </c>
      <c r="M235" s="354">
        <v>0.5</v>
      </c>
      <c r="N235" s="83">
        <v>0.0</v>
      </c>
      <c r="O235" s="83">
        <v>0.5</v>
      </c>
      <c r="P235" s="83">
        <v>0.0</v>
      </c>
      <c r="Q235" s="83">
        <v>0.0</v>
      </c>
      <c r="R235" s="83">
        <v>0.0</v>
      </c>
      <c r="S235" s="83">
        <v>0.0</v>
      </c>
      <c r="T235" s="83">
        <v>0.0</v>
      </c>
      <c r="U235" s="83">
        <v>0.0</v>
      </c>
      <c r="V235" s="83">
        <v>0.0</v>
      </c>
      <c r="W235" s="83">
        <v>0.0</v>
      </c>
      <c r="X235" s="370">
        <v>0.5</v>
      </c>
      <c r="Y235" s="83">
        <v>0.0</v>
      </c>
      <c r="Z235" s="370">
        <v>0.5</v>
      </c>
      <c r="AA235" s="83">
        <v>2.0</v>
      </c>
      <c r="AB235" s="370">
        <v>0.03</v>
      </c>
      <c r="AC235" s="354">
        <v>0.0</v>
      </c>
      <c r="AD235" s="371">
        <v>0.0</v>
      </c>
      <c r="AE235" s="370">
        <v>2.0</v>
      </c>
      <c r="AF235" s="370">
        <v>2.0</v>
      </c>
      <c r="AH235" s="83" t="s">
        <v>724</v>
      </c>
      <c r="AI235" s="83">
        <f>DPS_Melee_Damage</f>
        <v>0</v>
      </c>
      <c r="AJ235" s="263">
        <f>DPS_Engineering</f>
        <v>0</v>
      </c>
      <c r="AK235" s="263"/>
      <c r="AL235" s="372" t="s">
        <v>721</v>
      </c>
      <c r="AM235" s="83">
        <v>25.0</v>
      </c>
      <c r="AN235" s="83">
        <v>1.0</v>
      </c>
      <c r="AO235" s="83">
        <v>0.0</v>
      </c>
      <c r="AP235" s="83">
        <v>255.0</v>
      </c>
      <c r="AQ235" s="370">
        <v>0.0</v>
      </c>
      <c r="AR235" s="83">
        <v>0.0</v>
      </c>
      <c r="AS235" s="83">
        <v>84.0</v>
      </c>
      <c r="AT235" s="83">
        <v>32.0</v>
      </c>
      <c r="AU235" s="83" t="s">
        <v>1154</v>
      </c>
    </row>
    <row r="236">
      <c r="A236" s="384" t="s">
        <v>1157</v>
      </c>
      <c r="B236" s="385"/>
      <c r="C236" s="369" t="s">
        <v>733</v>
      </c>
      <c r="D236" s="83" t="s">
        <v>734</v>
      </c>
      <c r="E236" s="83">
        <v>22.0</v>
      </c>
      <c r="F236" s="83">
        <v>300.0</v>
      </c>
      <c r="G236" s="83">
        <v>325.0</v>
      </c>
      <c r="H236" s="83">
        <v>0.1</v>
      </c>
      <c r="I236" s="354">
        <v>0.03</v>
      </c>
      <c r="J236" s="83">
        <v>2.0</v>
      </c>
      <c r="K236" s="83">
        <v>1.0</v>
      </c>
      <c r="L236" s="83">
        <v>0.0</v>
      </c>
      <c r="M236" s="354">
        <v>0.5</v>
      </c>
      <c r="N236" s="83">
        <v>2.0</v>
      </c>
      <c r="O236" s="83">
        <v>0.25</v>
      </c>
      <c r="P236" s="83">
        <v>0.0</v>
      </c>
      <c r="Q236" s="83">
        <v>0.0</v>
      </c>
      <c r="R236" s="83">
        <v>0.0</v>
      </c>
      <c r="S236" s="83">
        <v>0.0</v>
      </c>
      <c r="T236" s="83">
        <v>0.0</v>
      </c>
      <c r="U236" s="83">
        <v>0.0</v>
      </c>
      <c r="V236" s="83">
        <v>0.0</v>
      </c>
      <c r="W236" s="83">
        <v>0.0</v>
      </c>
      <c r="X236" s="370">
        <v>0.5</v>
      </c>
      <c r="Y236" s="83">
        <v>0.0</v>
      </c>
      <c r="Z236" s="370">
        <v>0.5</v>
      </c>
      <c r="AA236" s="83">
        <v>2.0</v>
      </c>
      <c r="AB236" s="370">
        <v>0.03</v>
      </c>
      <c r="AC236" s="354">
        <v>0.0</v>
      </c>
      <c r="AD236" s="371">
        <v>0.0</v>
      </c>
      <c r="AE236" s="370">
        <v>1.1</v>
      </c>
      <c r="AH236" s="83" t="s">
        <v>724</v>
      </c>
      <c r="AI236" s="83">
        <f>DPS_Ranged_Damage</f>
        <v>0</v>
      </c>
      <c r="AJ236" s="263"/>
      <c r="AK236" s="263"/>
      <c r="AL236" s="83">
        <v>3000.0</v>
      </c>
      <c r="AM236" s="83">
        <v>10.0</v>
      </c>
      <c r="AN236" s="396">
        <v>0.9</v>
      </c>
      <c r="AO236" s="83">
        <v>0.0</v>
      </c>
      <c r="AP236" s="83">
        <v>45.0</v>
      </c>
      <c r="AQ236" s="370">
        <v>0.0</v>
      </c>
      <c r="AR236" s="83">
        <v>0.0</v>
      </c>
      <c r="AS236" s="83" t="s">
        <v>733</v>
      </c>
      <c r="AT236" s="83" t="s">
        <v>733</v>
      </c>
      <c r="AU236" s="83" t="s">
        <v>1158</v>
      </c>
    </row>
    <row r="237">
      <c r="A237" s="384" t="s">
        <v>1159</v>
      </c>
      <c r="B237" s="385"/>
      <c r="C237" s="369" t="s">
        <v>733</v>
      </c>
      <c r="D237" s="83" t="s">
        <v>734</v>
      </c>
      <c r="E237" s="83">
        <v>45.0</v>
      </c>
      <c r="F237" s="83">
        <v>300.0</v>
      </c>
      <c r="G237" s="83">
        <v>350.0</v>
      </c>
      <c r="H237" s="83">
        <v>0.1</v>
      </c>
      <c r="I237" s="354">
        <v>0.03</v>
      </c>
      <c r="J237" s="83">
        <v>2.25</v>
      </c>
      <c r="K237" s="83">
        <v>1.0</v>
      </c>
      <c r="L237" s="83">
        <v>0.0</v>
      </c>
      <c r="M237" s="354">
        <v>0.5</v>
      </c>
      <c r="N237" s="83">
        <v>2.0</v>
      </c>
      <c r="O237" s="83">
        <v>0.25</v>
      </c>
      <c r="P237" s="83">
        <v>0.0</v>
      </c>
      <c r="Q237" s="83">
        <v>0.0</v>
      </c>
      <c r="R237" s="83">
        <v>0.0</v>
      </c>
      <c r="S237" s="83">
        <v>0.0</v>
      </c>
      <c r="T237" s="83">
        <v>0.0</v>
      </c>
      <c r="U237" s="83">
        <v>0.0</v>
      </c>
      <c r="V237" s="83">
        <v>0.0</v>
      </c>
      <c r="W237" s="83">
        <v>0.0</v>
      </c>
      <c r="X237" s="370">
        <v>0.5</v>
      </c>
      <c r="Y237" s="83">
        <v>0.0</v>
      </c>
      <c r="Z237" s="370">
        <v>0.5</v>
      </c>
      <c r="AA237" s="83">
        <v>2.0</v>
      </c>
      <c r="AB237" s="370">
        <v>0.03</v>
      </c>
      <c r="AC237" s="354">
        <v>0.0</v>
      </c>
      <c r="AD237" s="371">
        <v>0.0</v>
      </c>
      <c r="AE237" s="370">
        <v>1.35</v>
      </c>
      <c r="AH237" s="83" t="s">
        <v>724</v>
      </c>
      <c r="AI237" s="83">
        <f>DPS_Ranged_Damage</f>
        <v>0</v>
      </c>
      <c r="AJ237" s="263"/>
      <c r="AK237" s="263"/>
      <c r="AL237" s="83">
        <v>3000.0</v>
      </c>
      <c r="AM237" s="83">
        <v>20.0</v>
      </c>
      <c r="AN237" s="396">
        <v>0.9</v>
      </c>
      <c r="AO237" s="83">
        <v>0.0</v>
      </c>
      <c r="AP237" s="83">
        <v>95.0</v>
      </c>
      <c r="AQ237" s="370">
        <v>0.0</v>
      </c>
      <c r="AR237" s="83">
        <v>0.0</v>
      </c>
      <c r="AS237" s="83" t="s">
        <v>733</v>
      </c>
      <c r="AT237" s="83" t="s">
        <v>733</v>
      </c>
      <c r="AU237" s="83" t="s">
        <v>1158</v>
      </c>
    </row>
    <row r="238">
      <c r="A238" s="384" t="s">
        <v>1160</v>
      </c>
      <c r="B238" s="385"/>
      <c r="C238" s="369" t="s">
        <v>733</v>
      </c>
      <c r="D238" s="83" t="s">
        <v>734</v>
      </c>
      <c r="E238" s="83">
        <v>70.0</v>
      </c>
      <c r="F238" s="83">
        <v>300.0</v>
      </c>
      <c r="G238" s="83">
        <v>375.0</v>
      </c>
      <c r="H238" s="83">
        <v>0.1</v>
      </c>
      <c r="I238" s="354">
        <v>0.03</v>
      </c>
      <c r="J238" s="83">
        <v>2.5</v>
      </c>
      <c r="K238" s="83">
        <v>1.0</v>
      </c>
      <c r="L238" s="83">
        <v>0.0</v>
      </c>
      <c r="M238" s="354">
        <v>0.5</v>
      </c>
      <c r="N238" s="83">
        <v>2.0</v>
      </c>
      <c r="O238" s="83">
        <v>0.25</v>
      </c>
      <c r="P238" s="83">
        <v>0.0</v>
      </c>
      <c r="Q238" s="83">
        <v>0.0</v>
      </c>
      <c r="R238" s="83">
        <v>0.0</v>
      </c>
      <c r="S238" s="83">
        <v>0.0</v>
      </c>
      <c r="T238" s="83">
        <v>0.0</v>
      </c>
      <c r="U238" s="83">
        <v>0.0</v>
      </c>
      <c r="V238" s="83">
        <v>0.0</v>
      </c>
      <c r="W238" s="83">
        <v>0.0</v>
      </c>
      <c r="X238" s="370">
        <v>0.5</v>
      </c>
      <c r="Y238" s="83">
        <v>0.0</v>
      </c>
      <c r="Z238" s="370">
        <v>0.5</v>
      </c>
      <c r="AA238" s="83">
        <v>2.0</v>
      </c>
      <c r="AB238" s="370">
        <v>0.03</v>
      </c>
      <c r="AC238" s="354">
        <v>0.0</v>
      </c>
      <c r="AD238" s="371">
        <v>0.0</v>
      </c>
      <c r="AE238" s="370">
        <v>1.7</v>
      </c>
      <c r="AH238" s="83" t="s">
        <v>724</v>
      </c>
      <c r="AI238" s="83">
        <f>DPS_Ranged_Damage</f>
        <v>0</v>
      </c>
      <c r="AJ238" s="263"/>
      <c r="AK238" s="263"/>
      <c r="AL238" s="83">
        <v>3000.0</v>
      </c>
      <c r="AM238" s="83">
        <v>30.0</v>
      </c>
      <c r="AN238" s="396">
        <v>0.9</v>
      </c>
      <c r="AO238" s="83">
        <v>0.0</v>
      </c>
      <c r="AP238" s="83">
        <v>192.0</v>
      </c>
      <c r="AQ238" s="370">
        <v>0.0</v>
      </c>
      <c r="AR238" s="83">
        <v>0.0</v>
      </c>
      <c r="AS238" s="83" t="s">
        <v>733</v>
      </c>
      <c r="AT238" s="83" t="s">
        <v>733</v>
      </c>
      <c r="AU238" s="83" t="s">
        <v>1158</v>
      </c>
    </row>
    <row r="239">
      <c r="A239" s="384" t="s">
        <v>1162</v>
      </c>
      <c r="B239" s="385"/>
      <c r="C239" s="369" t="s">
        <v>733</v>
      </c>
      <c r="D239" s="83" t="s">
        <v>734</v>
      </c>
      <c r="E239" s="83">
        <v>6.0</v>
      </c>
      <c r="F239" s="83">
        <v>50.0</v>
      </c>
      <c r="G239" s="83">
        <v>300.0</v>
      </c>
      <c r="H239" s="83">
        <v>0.1</v>
      </c>
      <c r="I239" s="354">
        <v>0.03</v>
      </c>
      <c r="J239" s="83">
        <v>1.5</v>
      </c>
      <c r="K239" s="83">
        <v>1.0</v>
      </c>
      <c r="L239" s="83">
        <v>0.0</v>
      </c>
      <c r="M239" s="354">
        <v>0.5</v>
      </c>
      <c r="N239" s="83">
        <v>0.0</v>
      </c>
      <c r="O239" s="83">
        <v>0.5</v>
      </c>
      <c r="P239" s="83">
        <v>0.0</v>
      </c>
      <c r="Q239" s="83">
        <v>0.0</v>
      </c>
      <c r="R239" s="83">
        <v>0.0</v>
      </c>
      <c r="S239" s="83">
        <v>0.0</v>
      </c>
      <c r="T239" s="83">
        <v>0.0</v>
      </c>
      <c r="U239" s="83">
        <v>0.0</v>
      </c>
      <c r="V239" s="83">
        <v>0.0</v>
      </c>
      <c r="W239" s="83">
        <v>0.0</v>
      </c>
      <c r="X239" s="370">
        <v>0.5</v>
      </c>
      <c r="Y239" s="83">
        <v>0.0</v>
      </c>
      <c r="Z239" s="370">
        <v>0.5</v>
      </c>
      <c r="AA239" s="83">
        <v>2.0</v>
      </c>
      <c r="AB239" s="370">
        <v>0.03</v>
      </c>
      <c r="AC239" s="354">
        <v>0.0</v>
      </c>
      <c r="AD239" s="371">
        <v>0.0</v>
      </c>
      <c r="AE239" s="370">
        <v>0.5</v>
      </c>
      <c r="AF239" s="370">
        <v>0.1</v>
      </c>
      <c r="AH239" s="83" t="s">
        <v>138</v>
      </c>
      <c r="AI239" s="83">
        <f>DPS_Ranged_Damage</f>
        <v>0</v>
      </c>
      <c r="AJ239" s="371">
        <f>DPS_Special_Stat</f>
        <v>0</v>
      </c>
      <c r="AK239" s="263"/>
      <c r="AL239" s="83">
        <v>2000.0</v>
      </c>
      <c r="AM239" s="83">
        <v>0.0</v>
      </c>
      <c r="AN239" s="83">
        <v>1.0</v>
      </c>
      <c r="AO239" s="83">
        <v>0.0</v>
      </c>
      <c r="AP239" s="83">
        <v>20.0</v>
      </c>
      <c r="AQ239" s="370">
        <v>0.0</v>
      </c>
      <c r="AR239" s="83">
        <v>0.0</v>
      </c>
      <c r="AS239" s="83" t="s">
        <v>733</v>
      </c>
      <c r="AT239" s="83" t="s">
        <v>733</v>
      </c>
    </row>
    <row r="240">
      <c r="A240" s="384" t="s">
        <v>1164</v>
      </c>
      <c r="B240" s="385"/>
      <c r="C240" s="369" t="s">
        <v>733</v>
      </c>
      <c r="D240" s="83" t="s">
        <v>734</v>
      </c>
      <c r="E240" s="83">
        <v>8.0</v>
      </c>
      <c r="F240" s="83">
        <v>45.0</v>
      </c>
      <c r="G240" s="83">
        <v>325.0</v>
      </c>
      <c r="H240" s="83">
        <v>0.1</v>
      </c>
      <c r="I240" s="354">
        <v>0.03</v>
      </c>
      <c r="J240" s="83">
        <v>1.5</v>
      </c>
      <c r="K240" s="83">
        <v>1.0</v>
      </c>
      <c r="L240" s="83">
        <v>0.0</v>
      </c>
      <c r="M240" s="354">
        <v>0.5</v>
      </c>
      <c r="N240" s="83">
        <v>0.0</v>
      </c>
      <c r="O240" s="83">
        <v>0.5</v>
      </c>
      <c r="P240" s="83">
        <v>0.0</v>
      </c>
      <c r="Q240" s="83">
        <v>0.0</v>
      </c>
      <c r="R240" s="83">
        <v>0.0</v>
      </c>
      <c r="S240" s="83">
        <v>0.0</v>
      </c>
      <c r="T240" s="83">
        <v>0.0</v>
      </c>
      <c r="U240" s="83">
        <v>0.0</v>
      </c>
      <c r="V240" s="83">
        <v>0.0</v>
      </c>
      <c r="W240" s="83">
        <v>0.0</v>
      </c>
      <c r="X240" s="370">
        <v>0.5</v>
      </c>
      <c r="Y240" s="83">
        <v>0.0</v>
      </c>
      <c r="Z240" s="370">
        <v>0.5</v>
      </c>
      <c r="AA240" s="83">
        <v>2.0</v>
      </c>
      <c r="AB240" s="370">
        <v>0.03</v>
      </c>
      <c r="AC240" s="354">
        <v>0.0</v>
      </c>
      <c r="AD240" s="371">
        <v>0.0</v>
      </c>
      <c r="AE240" s="370">
        <v>0.5</v>
      </c>
      <c r="AF240" s="370">
        <v>0.15</v>
      </c>
      <c r="AH240" s="83" t="s">
        <v>138</v>
      </c>
      <c r="AI240" s="83">
        <f>DPS_Ranged_Damage</f>
        <v>0</v>
      </c>
      <c r="AJ240" s="371">
        <f>DPS_Special_Stat</f>
        <v>0</v>
      </c>
      <c r="AK240" s="263"/>
      <c r="AL240" s="83">
        <v>2000.0</v>
      </c>
      <c r="AM240" s="83">
        <v>0.0</v>
      </c>
      <c r="AN240" s="83">
        <v>1.0</v>
      </c>
      <c r="AO240" s="83">
        <v>0.0</v>
      </c>
      <c r="AP240" s="83">
        <v>45.0</v>
      </c>
      <c r="AQ240" s="370">
        <v>0.0</v>
      </c>
      <c r="AR240" s="83">
        <v>0.0</v>
      </c>
      <c r="AS240" s="83" t="s">
        <v>733</v>
      </c>
      <c r="AT240" s="83" t="s">
        <v>733</v>
      </c>
    </row>
    <row r="241">
      <c r="A241" s="384" t="s">
        <v>1166</v>
      </c>
      <c r="B241" s="385"/>
      <c r="C241" s="369" t="s">
        <v>733</v>
      </c>
      <c r="D241" s="83" t="s">
        <v>734</v>
      </c>
      <c r="E241" s="83">
        <v>11.0</v>
      </c>
      <c r="F241" s="83">
        <v>40.0</v>
      </c>
      <c r="G241" s="83">
        <v>350.0</v>
      </c>
      <c r="H241" s="83">
        <v>0.1</v>
      </c>
      <c r="I241" s="354">
        <v>0.03</v>
      </c>
      <c r="J241" s="83">
        <v>1.5</v>
      </c>
      <c r="K241" s="83">
        <v>1.0</v>
      </c>
      <c r="L241" s="83">
        <v>0.0</v>
      </c>
      <c r="M241" s="354">
        <v>0.5</v>
      </c>
      <c r="N241" s="83">
        <v>0.0</v>
      </c>
      <c r="O241" s="83">
        <v>0.5</v>
      </c>
      <c r="P241" s="83">
        <v>0.0</v>
      </c>
      <c r="Q241" s="83">
        <v>0.0</v>
      </c>
      <c r="R241" s="83">
        <v>0.0</v>
      </c>
      <c r="S241" s="83">
        <v>0.0</v>
      </c>
      <c r="T241" s="83">
        <v>0.0</v>
      </c>
      <c r="U241" s="83">
        <v>0.0</v>
      </c>
      <c r="V241" s="83">
        <v>0.0</v>
      </c>
      <c r="W241" s="83">
        <v>0.0</v>
      </c>
      <c r="X241" s="370">
        <v>0.5</v>
      </c>
      <c r="Y241" s="83">
        <v>0.0</v>
      </c>
      <c r="Z241" s="370">
        <v>0.5</v>
      </c>
      <c r="AA241" s="83">
        <v>2.0</v>
      </c>
      <c r="AB241" s="370">
        <v>0.03</v>
      </c>
      <c r="AC241" s="354">
        <v>0.0</v>
      </c>
      <c r="AD241" s="371">
        <v>0.0</v>
      </c>
      <c r="AE241" s="370">
        <v>0.5</v>
      </c>
      <c r="AF241" s="370">
        <v>0.2</v>
      </c>
      <c r="AH241" s="83" t="s">
        <v>138</v>
      </c>
      <c r="AI241" s="83">
        <f>DPS_Ranged_Damage</f>
        <v>0</v>
      </c>
      <c r="AJ241" s="371">
        <f>DPS_Special_Stat</f>
        <v>0</v>
      </c>
      <c r="AK241" s="263"/>
      <c r="AL241" s="83">
        <v>2000.0</v>
      </c>
      <c r="AM241" s="83">
        <v>0.0</v>
      </c>
      <c r="AN241" s="83">
        <v>1.0</v>
      </c>
      <c r="AO241" s="83">
        <v>0.0</v>
      </c>
      <c r="AP241" s="83">
        <v>80.0</v>
      </c>
      <c r="AQ241" s="370">
        <v>0.0</v>
      </c>
      <c r="AR241" s="83">
        <v>0.0</v>
      </c>
      <c r="AS241" s="83" t="s">
        <v>733</v>
      </c>
      <c r="AT241" s="83" t="s">
        <v>733</v>
      </c>
    </row>
    <row r="242">
      <c r="A242" s="384" t="s">
        <v>1168</v>
      </c>
      <c r="B242" s="385"/>
      <c r="C242" s="369" t="s">
        <v>733</v>
      </c>
      <c r="D242" s="83" t="s">
        <v>734</v>
      </c>
      <c r="E242" s="83">
        <v>15.0</v>
      </c>
      <c r="F242" s="83">
        <v>35.0</v>
      </c>
      <c r="G242" s="83">
        <v>375.0</v>
      </c>
      <c r="H242" s="83">
        <v>0.1</v>
      </c>
      <c r="I242" s="354">
        <v>0.03</v>
      </c>
      <c r="J242" s="83">
        <v>1.5</v>
      </c>
      <c r="K242" s="83">
        <v>1.0</v>
      </c>
      <c r="L242" s="83">
        <v>0.0</v>
      </c>
      <c r="M242" s="354">
        <v>0.5</v>
      </c>
      <c r="N242" s="83">
        <v>0.0</v>
      </c>
      <c r="O242" s="83">
        <v>0.5</v>
      </c>
      <c r="P242" s="83">
        <v>0.0</v>
      </c>
      <c r="Q242" s="83">
        <v>0.0</v>
      </c>
      <c r="R242" s="83">
        <v>0.0</v>
      </c>
      <c r="S242" s="83">
        <v>0.0</v>
      </c>
      <c r="T242" s="83">
        <v>0.0</v>
      </c>
      <c r="U242" s="83">
        <v>0.0</v>
      </c>
      <c r="V242" s="83">
        <v>0.0</v>
      </c>
      <c r="W242" s="83">
        <v>0.0</v>
      </c>
      <c r="X242" s="370">
        <v>0.5</v>
      </c>
      <c r="Y242" s="83">
        <v>0.0</v>
      </c>
      <c r="Z242" s="370">
        <v>0.5</v>
      </c>
      <c r="AA242" s="83">
        <v>2.0</v>
      </c>
      <c r="AB242" s="370">
        <v>0.03</v>
      </c>
      <c r="AC242" s="354">
        <v>0.0</v>
      </c>
      <c r="AD242" s="371">
        <v>0.0</v>
      </c>
      <c r="AE242" s="370">
        <v>0.5</v>
      </c>
      <c r="AF242" s="370">
        <v>0.25</v>
      </c>
      <c r="AH242" s="83" t="s">
        <v>138</v>
      </c>
      <c r="AI242" s="83">
        <f>DPS_Ranged_Damage</f>
        <v>0</v>
      </c>
      <c r="AJ242" s="371">
        <f>DPS_Special_Stat</f>
        <v>0</v>
      </c>
      <c r="AK242" s="263"/>
      <c r="AL242" s="83">
        <v>2000.0</v>
      </c>
      <c r="AM242" s="83">
        <v>0.0</v>
      </c>
      <c r="AN242" s="83">
        <v>1.0</v>
      </c>
      <c r="AO242" s="83">
        <v>0.0</v>
      </c>
      <c r="AP242" s="83">
        <v>165.0</v>
      </c>
      <c r="AQ242" s="370">
        <v>0.0</v>
      </c>
      <c r="AR242" s="83">
        <v>0.0</v>
      </c>
      <c r="AS242" s="83" t="s">
        <v>733</v>
      </c>
      <c r="AT242" s="83" t="s">
        <v>733</v>
      </c>
    </row>
    <row r="243">
      <c r="A243" s="384" t="s">
        <v>1169</v>
      </c>
      <c r="B243" s="385"/>
      <c r="C243" s="369" t="s">
        <v>733</v>
      </c>
      <c r="D243" s="83" t="s">
        <v>734</v>
      </c>
      <c r="E243" s="83">
        <v>12.0</v>
      </c>
      <c r="F243" s="83">
        <v>10.0</v>
      </c>
      <c r="G243" s="83">
        <v>350.0</v>
      </c>
      <c r="H243" s="83">
        <v>0.1</v>
      </c>
      <c r="I243" s="370">
        <v>0.05</v>
      </c>
      <c r="J243" s="83">
        <v>2.5</v>
      </c>
      <c r="K243" s="83">
        <v>1.0</v>
      </c>
      <c r="L243" s="83">
        <v>1.0</v>
      </c>
      <c r="M243" s="370">
        <v>0.0</v>
      </c>
      <c r="N243" s="83">
        <v>0.0</v>
      </c>
      <c r="O243" s="83">
        <v>0.5</v>
      </c>
      <c r="P243" s="83">
        <v>0.0</v>
      </c>
      <c r="Q243" s="83">
        <v>2.0</v>
      </c>
      <c r="R243" s="83">
        <v>21.0</v>
      </c>
      <c r="S243" s="83">
        <v>0.0</v>
      </c>
      <c r="T243" s="83">
        <v>0.0</v>
      </c>
      <c r="U243" s="83">
        <v>0.0</v>
      </c>
      <c r="V243" s="83">
        <v>0.0</v>
      </c>
      <c r="W243" s="83">
        <v>0.0</v>
      </c>
      <c r="X243" s="370">
        <v>0.5</v>
      </c>
      <c r="Y243" s="83">
        <v>0.0</v>
      </c>
      <c r="Z243" s="370">
        <v>0.5</v>
      </c>
      <c r="AA243" s="83">
        <v>2.0</v>
      </c>
      <c r="AB243" s="370">
        <v>0.03</v>
      </c>
      <c r="AC243" s="354">
        <v>0.0</v>
      </c>
      <c r="AD243" s="371">
        <v>0.0</v>
      </c>
      <c r="AE243" s="370">
        <v>1.0</v>
      </c>
      <c r="AH243" s="83" t="s">
        <v>724</v>
      </c>
      <c r="AI243" s="83">
        <f>DPS_Ranged_Damage</f>
        <v>0</v>
      </c>
      <c r="AJ243" s="263"/>
      <c r="AK243" s="263"/>
      <c r="AL243" s="83">
        <v>2000.0</v>
      </c>
      <c r="AM243" s="83">
        <v>0.0</v>
      </c>
      <c r="AN243" s="83">
        <v>0.8</v>
      </c>
      <c r="AO243" s="83">
        <v>0.0</v>
      </c>
      <c r="AP243" s="83">
        <v>58.0</v>
      </c>
      <c r="AQ243" s="370">
        <v>1.0</v>
      </c>
      <c r="AR243" s="83">
        <v>0.75</v>
      </c>
      <c r="AS243" s="83" t="s">
        <v>733</v>
      </c>
      <c r="AT243" s="83" t="s">
        <v>733</v>
      </c>
    </row>
    <row r="244">
      <c r="A244" s="384" t="s">
        <v>1172</v>
      </c>
      <c r="B244" s="385"/>
      <c r="C244" s="369" t="s">
        <v>733</v>
      </c>
      <c r="D244" s="83" t="s">
        <v>734</v>
      </c>
      <c r="E244" s="83">
        <v>18.0</v>
      </c>
      <c r="F244" s="83">
        <v>10.0</v>
      </c>
      <c r="G244" s="83">
        <v>400.0</v>
      </c>
      <c r="H244" s="83">
        <v>0.1</v>
      </c>
      <c r="I244" s="370">
        <v>0.1</v>
      </c>
      <c r="J244" s="83">
        <v>3.0</v>
      </c>
      <c r="K244" s="83">
        <v>1.0</v>
      </c>
      <c r="L244" s="83">
        <v>1.0</v>
      </c>
      <c r="M244" s="370">
        <v>0.0</v>
      </c>
      <c r="N244" s="83">
        <v>0.0</v>
      </c>
      <c r="O244" s="83">
        <v>0.5</v>
      </c>
      <c r="P244" s="83">
        <v>0.0</v>
      </c>
      <c r="Q244" s="83">
        <v>3.0</v>
      </c>
      <c r="R244" s="83">
        <v>18.0</v>
      </c>
      <c r="S244" s="83">
        <v>0.0</v>
      </c>
      <c r="T244" s="83">
        <v>0.0</v>
      </c>
      <c r="U244" s="83">
        <v>0.0</v>
      </c>
      <c r="V244" s="83">
        <v>0.0</v>
      </c>
      <c r="W244" s="83">
        <v>0.0</v>
      </c>
      <c r="X244" s="370">
        <v>0.5</v>
      </c>
      <c r="Y244" s="83">
        <v>0.0</v>
      </c>
      <c r="Z244" s="370">
        <v>0.5</v>
      </c>
      <c r="AA244" s="83">
        <v>2.0</v>
      </c>
      <c r="AB244" s="370">
        <v>0.03</v>
      </c>
      <c r="AC244" s="354">
        <v>0.0</v>
      </c>
      <c r="AD244" s="371">
        <v>0.0</v>
      </c>
      <c r="AE244" s="370">
        <v>1.0</v>
      </c>
      <c r="AH244" s="83" t="s">
        <v>724</v>
      </c>
      <c r="AI244" s="83">
        <f>DPS_Ranged_Damage</f>
        <v>0</v>
      </c>
      <c r="AJ244" s="263"/>
      <c r="AK244" s="263"/>
      <c r="AL244" s="83">
        <v>2000.0</v>
      </c>
      <c r="AM244" s="83">
        <v>0.0</v>
      </c>
      <c r="AN244" s="83">
        <v>0.8</v>
      </c>
      <c r="AO244" s="83">
        <v>0.0</v>
      </c>
      <c r="AP244" s="83">
        <v>108.0</v>
      </c>
      <c r="AQ244" s="370">
        <v>1.0</v>
      </c>
      <c r="AR244" s="83">
        <v>0.75</v>
      </c>
      <c r="AS244" s="83" t="s">
        <v>733</v>
      </c>
      <c r="AT244" s="83" t="s">
        <v>733</v>
      </c>
    </row>
    <row r="245">
      <c r="A245" s="384" t="s">
        <v>1173</v>
      </c>
      <c r="B245" s="385"/>
      <c r="C245" s="369" t="s">
        <v>733</v>
      </c>
      <c r="D245" s="83" t="s">
        <v>734</v>
      </c>
      <c r="E245" s="83">
        <v>30.0</v>
      </c>
      <c r="F245" s="83">
        <v>10.0</v>
      </c>
      <c r="G245" s="83">
        <v>450.0</v>
      </c>
      <c r="H245" s="83">
        <v>0.1</v>
      </c>
      <c r="I245" s="370">
        <v>0.2</v>
      </c>
      <c r="J245" s="83">
        <v>3.5</v>
      </c>
      <c r="K245" s="83">
        <v>1.0</v>
      </c>
      <c r="L245" s="83">
        <v>1.0</v>
      </c>
      <c r="M245" s="370">
        <v>0.0</v>
      </c>
      <c r="N245" s="83">
        <v>0.0</v>
      </c>
      <c r="O245" s="83">
        <v>0.5</v>
      </c>
      <c r="P245" s="83">
        <v>0.0</v>
      </c>
      <c r="Q245" s="83">
        <v>4.0</v>
      </c>
      <c r="R245" s="83">
        <v>15.0</v>
      </c>
      <c r="S245" s="83">
        <v>0.0</v>
      </c>
      <c r="T245" s="83">
        <v>0.0</v>
      </c>
      <c r="U245" s="83">
        <v>0.0</v>
      </c>
      <c r="V245" s="83">
        <v>0.0</v>
      </c>
      <c r="W245" s="83">
        <v>0.0</v>
      </c>
      <c r="X245" s="370">
        <v>0.5</v>
      </c>
      <c r="Y245" s="83">
        <v>0.0</v>
      </c>
      <c r="Z245" s="370">
        <v>0.5</v>
      </c>
      <c r="AA245" s="83">
        <v>2.0</v>
      </c>
      <c r="AB245" s="370">
        <v>0.03</v>
      </c>
      <c r="AC245" s="354">
        <v>0.0</v>
      </c>
      <c r="AD245" s="371">
        <v>0.0</v>
      </c>
      <c r="AE245" s="370">
        <v>1.0</v>
      </c>
      <c r="AH245" s="83" t="s">
        <v>724</v>
      </c>
      <c r="AI245" s="83">
        <f>DPS_Ranged_Damage</f>
        <v>0</v>
      </c>
      <c r="AJ245" s="263"/>
      <c r="AK245" s="263"/>
      <c r="AL245" s="83">
        <v>2000.0</v>
      </c>
      <c r="AM245" s="83">
        <v>0.0</v>
      </c>
      <c r="AN245" s="83">
        <v>0.8</v>
      </c>
      <c r="AO245" s="83">
        <v>0.0</v>
      </c>
      <c r="AP245" s="83">
        <v>212.0</v>
      </c>
      <c r="AQ245" s="370">
        <v>1.0</v>
      </c>
      <c r="AR245" s="83">
        <v>0.75</v>
      </c>
      <c r="AS245" s="83" t="s">
        <v>733</v>
      </c>
      <c r="AT245" s="83" t="s">
        <v>733</v>
      </c>
    </row>
    <row r="246">
      <c r="A246" s="384" t="s">
        <v>1174</v>
      </c>
      <c r="B246" s="385"/>
      <c r="C246" s="369" t="s">
        <v>733</v>
      </c>
      <c r="D246" s="83" t="s">
        <v>734</v>
      </c>
      <c r="E246" s="83">
        <v>5.0</v>
      </c>
      <c r="F246" s="83">
        <v>25.0</v>
      </c>
      <c r="G246" s="83">
        <v>800.0</v>
      </c>
      <c r="H246" s="83">
        <v>0.2</v>
      </c>
      <c r="I246" s="354">
        <v>0.03</v>
      </c>
      <c r="J246" s="83">
        <v>1.5</v>
      </c>
      <c r="K246" s="83">
        <v>1.0</v>
      </c>
      <c r="L246" s="83">
        <v>0.0</v>
      </c>
      <c r="M246" s="354">
        <v>0.5</v>
      </c>
      <c r="N246" s="83">
        <v>3.0</v>
      </c>
      <c r="O246" s="83">
        <v>0.25</v>
      </c>
      <c r="P246" s="83">
        <v>0.0</v>
      </c>
      <c r="Q246" s="83">
        <v>0.0</v>
      </c>
      <c r="R246" s="83">
        <v>0.0</v>
      </c>
      <c r="S246" s="83">
        <v>0.0</v>
      </c>
      <c r="T246" s="83">
        <v>0.0</v>
      </c>
      <c r="U246" s="83">
        <v>0.0</v>
      </c>
      <c r="V246" s="83">
        <v>0.0</v>
      </c>
      <c r="W246" s="83">
        <v>0.0</v>
      </c>
      <c r="X246" s="370">
        <v>0.5</v>
      </c>
      <c r="Y246" s="83">
        <v>0.0</v>
      </c>
      <c r="Z246" s="370">
        <v>0.5</v>
      </c>
      <c r="AA246" s="83">
        <v>2.0</v>
      </c>
      <c r="AB246" s="370">
        <v>0.03</v>
      </c>
      <c r="AC246" s="354">
        <v>0.0</v>
      </c>
      <c r="AD246" s="371">
        <v>0.0</v>
      </c>
      <c r="AE246" s="370">
        <v>1.0</v>
      </c>
      <c r="AF246" s="370">
        <v>1.0</v>
      </c>
      <c r="AH246" s="83" t="s">
        <v>724</v>
      </c>
      <c r="AI246" s="83">
        <f>DPS_Ranged_Damage</f>
        <v>0</v>
      </c>
      <c r="AJ246" s="83">
        <f>DPS_Melee_Damage</f>
        <v>0</v>
      </c>
      <c r="AK246" s="263"/>
      <c r="AL246" s="83">
        <v>3000.0</v>
      </c>
      <c r="AM246" s="83">
        <v>-30.0</v>
      </c>
      <c r="AN246" s="83">
        <v>1.0</v>
      </c>
      <c r="AO246" s="83">
        <v>0.0</v>
      </c>
      <c r="AP246" s="83">
        <v>50.0</v>
      </c>
      <c r="AQ246" s="370">
        <v>0.0</v>
      </c>
      <c r="AR246" s="83">
        <v>0.0</v>
      </c>
      <c r="AS246" s="83" t="s">
        <v>733</v>
      </c>
      <c r="AT246" s="83" t="s">
        <v>733</v>
      </c>
    </row>
    <row r="247">
      <c r="A247" s="384" t="s">
        <v>1175</v>
      </c>
      <c r="B247" s="385"/>
      <c r="C247" s="369" t="s">
        <v>733</v>
      </c>
      <c r="D247" s="83" t="s">
        <v>734</v>
      </c>
      <c r="E247" s="83">
        <v>10.0</v>
      </c>
      <c r="F247" s="83">
        <v>20.0</v>
      </c>
      <c r="G247" s="83">
        <v>850.0</v>
      </c>
      <c r="H247" s="83">
        <v>0.2</v>
      </c>
      <c r="I247" s="354">
        <v>0.03</v>
      </c>
      <c r="J247" s="83">
        <v>1.5</v>
      </c>
      <c r="K247" s="83">
        <v>1.0</v>
      </c>
      <c r="L247" s="83">
        <v>0.0</v>
      </c>
      <c r="M247" s="354">
        <v>0.5</v>
      </c>
      <c r="N247" s="83">
        <v>4.0</v>
      </c>
      <c r="O247" s="83">
        <v>0.25</v>
      </c>
      <c r="P247" s="83">
        <v>0.0</v>
      </c>
      <c r="Q247" s="83">
        <v>0.0</v>
      </c>
      <c r="R247" s="83">
        <v>0.0</v>
      </c>
      <c r="S247" s="83">
        <v>0.0</v>
      </c>
      <c r="T247" s="83">
        <v>0.0</v>
      </c>
      <c r="U247" s="83">
        <v>0.0</v>
      </c>
      <c r="V247" s="83">
        <v>0.0</v>
      </c>
      <c r="W247" s="83">
        <v>0.0</v>
      </c>
      <c r="X247" s="370">
        <v>0.5</v>
      </c>
      <c r="Y247" s="83">
        <v>0.0</v>
      </c>
      <c r="Z247" s="370">
        <v>0.5</v>
      </c>
      <c r="AA247" s="83">
        <v>2.0</v>
      </c>
      <c r="AB247" s="370">
        <v>0.03</v>
      </c>
      <c r="AC247" s="354">
        <v>0.0</v>
      </c>
      <c r="AD247" s="371">
        <v>0.0</v>
      </c>
      <c r="AE247" s="370">
        <v>1.0</v>
      </c>
      <c r="AF247" s="370">
        <v>1.0</v>
      </c>
      <c r="AH247" s="83" t="s">
        <v>724</v>
      </c>
      <c r="AI247" s="83">
        <f>DPS_Ranged_Damage</f>
        <v>0</v>
      </c>
      <c r="AJ247" s="83">
        <f>DPS_Melee_Damage</f>
        <v>0</v>
      </c>
      <c r="AK247" s="263"/>
      <c r="AL247" s="83">
        <v>3000.0</v>
      </c>
      <c r="AM247" s="83">
        <v>-30.0</v>
      </c>
      <c r="AN247" s="83">
        <v>1.0</v>
      </c>
      <c r="AO247" s="83">
        <v>0.0</v>
      </c>
      <c r="AP247" s="83">
        <v>105.0</v>
      </c>
      <c r="AQ247" s="370">
        <v>0.0</v>
      </c>
      <c r="AR247" s="83">
        <v>0.0</v>
      </c>
      <c r="AS247" s="83" t="s">
        <v>733</v>
      </c>
      <c r="AT247" s="83" t="s">
        <v>733</v>
      </c>
    </row>
    <row r="248">
      <c r="A248" s="384" t="s">
        <v>1177</v>
      </c>
      <c r="B248" s="385"/>
      <c r="C248" s="369" t="s">
        <v>733</v>
      </c>
      <c r="D248" s="83" t="s">
        <v>734</v>
      </c>
      <c r="E248" s="83">
        <v>20.0</v>
      </c>
      <c r="F248" s="83">
        <v>15.0</v>
      </c>
      <c r="G248" s="83">
        <v>900.0</v>
      </c>
      <c r="H248" s="83">
        <v>0.2</v>
      </c>
      <c r="I248" s="354">
        <v>0.03</v>
      </c>
      <c r="J248" s="83">
        <v>1.5</v>
      </c>
      <c r="K248" s="83">
        <v>1.0</v>
      </c>
      <c r="L248" s="83">
        <v>0.0</v>
      </c>
      <c r="M248" s="354">
        <v>0.5</v>
      </c>
      <c r="N248" s="83">
        <v>5.0</v>
      </c>
      <c r="O248" s="83">
        <v>0.25</v>
      </c>
      <c r="P248" s="83">
        <v>0.0</v>
      </c>
      <c r="Q248" s="83">
        <v>0.0</v>
      </c>
      <c r="R248" s="83">
        <v>0.0</v>
      </c>
      <c r="S248" s="83">
        <v>0.0</v>
      </c>
      <c r="T248" s="83">
        <v>0.0</v>
      </c>
      <c r="U248" s="83">
        <v>0.0</v>
      </c>
      <c r="V248" s="83">
        <v>0.0</v>
      </c>
      <c r="W248" s="83">
        <v>0.0</v>
      </c>
      <c r="X248" s="370">
        <v>0.5</v>
      </c>
      <c r="Y248" s="83">
        <v>0.0</v>
      </c>
      <c r="Z248" s="370">
        <v>0.5</v>
      </c>
      <c r="AA248" s="83">
        <v>2.0</v>
      </c>
      <c r="AB248" s="370">
        <v>0.03</v>
      </c>
      <c r="AC248" s="354">
        <v>0.0</v>
      </c>
      <c r="AD248" s="371">
        <v>0.0</v>
      </c>
      <c r="AE248" s="370">
        <v>1.0</v>
      </c>
      <c r="AF248" s="370">
        <v>1.0</v>
      </c>
      <c r="AH248" s="83" t="s">
        <v>724</v>
      </c>
      <c r="AI248" s="83">
        <f>DPS_Ranged_Damage</f>
        <v>0</v>
      </c>
      <c r="AJ248" s="83">
        <f>DPS_Melee_Damage</f>
        <v>0</v>
      </c>
      <c r="AK248" s="263"/>
      <c r="AL248" s="83">
        <v>3000.0</v>
      </c>
      <c r="AM248" s="83">
        <v>-30.0</v>
      </c>
      <c r="AN248" s="83">
        <v>1.0</v>
      </c>
      <c r="AO248" s="83">
        <v>0.0</v>
      </c>
      <c r="AP248" s="83">
        <v>220.0</v>
      </c>
      <c r="AQ248" s="370">
        <v>0.0</v>
      </c>
      <c r="AR248" s="83">
        <v>0.0</v>
      </c>
      <c r="AS248" s="83" t="s">
        <v>733</v>
      </c>
      <c r="AT248" s="83" t="s">
        <v>733</v>
      </c>
    </row>
    <row r="249">
      <c r="A249" s="384" t="s">
        <v>1179</v>
      </c>
      <c r="B249" s="385"/>
      <c r="C249" s="369" t="s">
        <v>733</v>
      </c>
      <c r="D249" s="83" t="s">
        <v>734</v>
      </c>
      <c r="E249" s="83">
        <v>8.0</v>
      </c>
      <c r="F249" s="83">
        <v>60.0</v>
      </c>
      <c r="G249" s="83">
        <v>350.0</v>
      </c>
      <c r="H249" s="83">
        <v>0.1</v>
      </c>
      <c r="I249" s="370">
        <v>0.0</v>
      </c>
      <c r="J249" s="83">
        <v>2.5</v>
      </c>
      <c r="K249" s="83">
        <v>1.0</v>
      </c>
      <c r="L249" s="83">
        <v>0.0</v>
      </c>
      <c r="M249" s="354">
        <v>0.5</v>
      </c>
      <c r="N249" s="83">
        <v>2.0</v>
      </c>
      <c r="O249" s="83">
        <v>0.25</v>
      </c>
      <c r="P249" s="83">
        <v>0.0</v>
      </c>
      <c r="Q249" s="83">
        <v>0.0</v>
      </c>
      <c r="R249" s="83">
        <v>0.0</v>
      </c>
      <c r="S249" s="83">
        <v>0.0</v>
      </c>
      <c r="T249" s="83">
        <v>0.0</v>
      </c>
      <c r="U249" s="83">
        <v>0.0</v>
      </c>
      <c r="V249" s="83">
        <v>0.0</v>
      </c>
      <c r="W249" s="83">
        <v>0.0</v>
      </c>
      <c r="X249" s="370">
        <v>0.5</v>
      </c>
      <c r="Y249" s="83">
        <v>0.0</v>
      </c>
      <c r="Z249" s="370">
        <v>0.5</v>
      </c>
      <c r="AA249" s="83">
        <v>2.0</v>
      </c>
      <c r="AB249" s="370">
        <v>0.03</v>
      </c>
      <c r="AC249" s="354">
        <v>0.0</v>
      </c>
      <c r="AD249" s="371">
        <v>0.0</v>
      </c>
      <c r="AE249" s="370">
        <v>1.0</v>
      </c>
      <c r="AH249" s="83" t="s">
        <v>724</v>
      </c>
      <c r="AI249" s="83">
        <f>DPS_Melee_Damage</f>
        <v>0</v>
      </c>
      <c r="AJ249" s="263"/>
      <c r="AK249" s="263"/>
      <c r="AL249" s="83">
        <v>2000.0</v>
      </c>
      <c r="AM249" s="83">
        <v>0.0</v>
      </c>
      <c r="AN249" s="83">
        <v>1.0</v>
      </c>
      <c r="AO249" s="83">
        <v>0.0</v>
      </c>
      <c r="AP249" s="83">
        <v>18.0</v>
      </c>
      <c r="AQ249" s="370">
        <v>0.0</v>
      </c>
      <c r="AR249" s="83">
        <v>0.0</v>
      </c>
      <c r="AS249" s="83" t="s">
        <v>733</v>
      </c>
      <c r="AT249" s="83" t="s">
        <v>733</v>
      </c>
    </row>
    <row r="250">
      <c r="A250" s="384" t="s">
        <v>1180</v>
      </c>
      <c r="B250" s="385"/>
      <c r="C250" s="369" t="s">
        <v>733</v>
      </c>
      <c r="D250" s="83" t="s">
        <v>734</v>
      </c>
      <c r="E250" s="83">
        <v>12.0</v>
      </c>
      <c r="F250" s="83">
        <v>55.0</v>
      </c>
      <c r="G250" s="83">
        <v>375.0</v>
      </c>
      <c r="H250" s="83">
        <v>0.1</v>
      </c>
      <c r="I250" s="370">
        <v>0.0</v>
      </c>
      <c r="J250" s="83">
        <v>2.75</v>
      </c>
      <c r="K250" s="83">
        <v>1.0</v>
      </c>
      <c r="L250" s="83">
        <v>0.0</v>
      </c>
      <c r="M250" s="354">
        <v>0.5</v>
      </c>
      <c r="N250" s="83">
        <v>3.0</v>
      </c>
      <c r="O250" s="83">
        <v>0.25</v>
      </c>
      <c r="P250" s="83">
        <v>0.0</v>
      </c>
      <c r="Q250" s="83">
        <v>0.0</v>
      </c>
      <c r="R250" s="83">
        <v>0.0</v>
      </c>
      <c r="S250" s="83">
        <v>0.0</v>
      </c>
      <c r="T250" s="83">
        <v>0.0</v>
      </c>
      <c r="U250" s="83">
        <v>0.0</v>
      </c>
      <c r="V250" s="83">
        <v>0.0</v>
      </c>
      <c r="W250" s="83">
        <v>0.0</v>
      </c>
      <c r="X250" s="370">
        <v>0.5</v>
      </c>
      <c r="Y250" s="83">
        <v>0.0</v>
      </c>
      <c r="Z250" s="370">
        <v>0.5</v>
      </c>
      <c r="AA250" s="83">
        <v>2.0</v>
      </c>
      <c r="AB250" s="370">
        <v>0.03</v>
      </c>
      <c r="AC250" s="354">
        <v>0.0</v>
      </c>
      <c r="AD250" s="371">
        <v>0.0</v>
      </c>
      <c r="AE250" s="370">
        <v>1.0</v>
      </c>
      <c r="AH250" s="83" t="s">
        <v>724</v>
      </c>
      <c r="AI250" s="83">
        <f>DPS_Melee_Damage</f>
        <v>0</v>
      </c>
      <c r="AJ250" s="263"/>
      <c r="AK250" s="263"/>
      <c r="AL250" s="83">
        <v>2000.0</v>
      </c>
      <c r="AM250" s="83">
        <v>0.0</v>
      </c>
      <c r="AN250" s="83">
        <v>1.0</v>
      </c>
      <c r="AO250" s="83">
        <v>0.0</v>
      </c>
      <c r="AP250" s="83">
        <v>36.0</v>
      </c>
      <c r="AQ250" s="370">
        <v>0.0</v>
      </c>
      <c r="AR250" s="83">
        <v>0.0</v>
      </c>
      <c r="AS250" s="83" t="s">
        <v>733</v>
      </c>
      <c r="AT250" s="83" t="s">
        <v>733</v>
      </c>
    </row>
    <row r="251">
      <c r="A251" s="384" t="s">
        <v>1181</v>
      </c>
      <c r="B251" s="385"/>
      <c r="C251" s="369" t="s">
        <v>733</v>
      </c>
      <c r="D251" s="83" t="s">
        <v>734</v>
      </c>
      <c r="E251" s="83">
        <v>16.0</v>
      </c>
      <c r="F251" s="83">
        <v>50.0</v>
      </c>
      <c r="G251" s="83">
        <v>400.0</v>
      </c>
      <c r="H251" s="83">
        <v>0.1</v>
      </c>
      <c r="I251" s="370">
        <v>0.0</v>
      </c>
      <c r="J251" s="83">
        <v>3.0</v>
      </c>
      <c r="K251" s="83">
        <v>1.0</v>
      </c>
      <c r="L251" s="83">
        <v>0.0</v>
      </c>
      <c r="M251" s="354">
        <v>0.5</v>
      </c>
      <c r="N251" s="83">
        <v>4.0</v>
      </c>
      <c r="O251" s="83">
        <v>0.25</v>
      </c>
      <c r="P251" s="83">
        <v>0.0</v>
      </c>
      <c r="Q251" s="83">
        <v>0.0</v>
      </c>
      <c r="R251" s="83">
        <v>0.0</v>
      </c>
      <c r="S251" s="83">
        <v>0.0</v>
      </c>
      <c r="T251" s="83">
        <v>0.0</v>
      </c>
      <c r="U251" s="83">
        <v>0.0</v>
      </c>
      <c r="V251" s="83">
        <v>0.0</v>
      </c>
      <c r="W251" s="83">
        <v>0.0</v>
      </c>
      <c r="X251" s="370">
        <v>0.5</v>
      </c>
      <c r="Y251" s="83">
        <v>0.0</v>
      </c>
      <c r="Z251" s="370">
        <v>0.5</v>
      </c>
      <c r="AA251" s="83">
        <v>2.0</v>
      </c>
      <c r="AB251" s="370">
        <v>0.03</v>
      </c>
      <c r="AC251" s="354">
        <v>0.0</v>
      </c>
      <c r="AD251" s="371">
        <v>0.0</v>
      </c>
      <c r="AE251" s="370">
        <v>1.0</v>
      </c>
      <c r="AH251" s="83" t="s">
        <v>724</v>
      </c>
      <c r="AI251" s="83">
        <f>DPS_Melee_Damage</f>
        <v>0</v>
      </c>
      <c r="AJ251" s="263"/>
      <c r="AK251" s="263"/>
      <c r="AL251" s="83">
        <v>2000.0</v>
      </c>
      <c r="AM251" s="83">
        <v>0.0</v>
      </c>
      <c r="AN251" s="83">
        <v>1.0</v>
      </c>
      <c r="AO251" s="83">
        <v>0.0</v>
      </c>
      <c r="AP251" s="83">
        <v>66.0</v>
      </c>
      <c r="AQ251" s="370">
        <v>0.0</v>
      </c>
      <c r="AR251" s="83">
        <v>0.0</v>
      </c>
      <c r="AS251" s="83" t="s">
        <v>733</v>
      </c>
      <c r="AT251" s="83" t="s">
        <v>733</v>
      </c>
    </row>
    <row r="252">
      <c r="A252" s="384" t="s">
        <v>1182</v>
      </c>
      <c r="B252" s="385"/>
      <c r="C252" s="369" t="s">
        <v>733</v>
      </c>
      <c r="D252" s="83" t="s">
        <v>734</v>
      </c>
      <c r="E252" s="83">
        <v>20.0</v>
      </c>
      <c r="F252" s="83">
        <v>45.0</v>
      </c>
      <c r="G252" s="83">
        <v>425.0</v>
      </c>
      <c r="H252" s="83">
        <v>0.1</v>
      </c>
      <c r="I252" s="370">
        <v>0.0</v>
      </c>
      <c r="J252" s="83">
        <v>3.25</v>
      </c>
      <c r="K252" s="83">
        <v>1.0</v>
      </c>
      <c r="L252" s="83">
        <v>0.0</v>
      </c>
      <c r="M252" s="354">
        <v>0.5</v>
      </c>
      <c r="N252" s="83">
        <v>5.0</v>
      </c>
      <c r="O252" s="83">
        <v>0.25</v>
      </c>
      <c r="P252" s="83">
        <v>0.0</v>
      </c>
      <c r="Q252" s="83">
        <v>0.0</v>
      </c>
      <c r="R252" s="83">
        <v>0.0</v>
      </c>
      <c r="S252" s="83">
        <v>0.0</v>
      </c>
      <c r="T252" s="83">
        <v>0.0</v>
      </c>
      <c r="U252" s="83">
        <v>0.0</v>
      </c>
      <c r="V252" s="83">
        <v>0.0</v>
      </c>
      <c r="W252" s="83">
        <v>0.0</v>
      </c>
      <c r="X252" s="370">
        <v>0.5</v>
      </c>
      <c r="Y252" s="83">
        <v>0.0</v>
      </c>
      <c r="Z252" s="370">
        <v>0.5</v>
      </c>
      <c r="AA252" s="83">
        <v>2.0</v>
      </c>
      <c r="AB252" s="370">
        <v>0.03</v>
      </c>
      <c r="AC252" s="354">
        <v>0.0</v>
      </c>
      <c r="AD252" s="371">
        <v>0.0</v>
      </c>
      <c r="AE252" s="370">
        <v>1.0</v>
      </c>
      <c r="AH252" s="83" t="s">
        <v>724</v>
      </c>
      <c r="AI252" s="83">
        <f>DPS_Melee_Damage</f>
        <v>0</v>
      </c>
      <c r="AJ252" s="263"/>
      <c r="AK252" s="263"/>
      <c r="AL252" s="83">
        <v>2000.0</v>
      </c>
      <c r="AM252" s="83">
        <v>0.0</v>
      </c>
      <c r="AN252" s="83">
        <v>1.0</v>
      </c>
      <c r="AO252" s="83">
        <v>0.0</v>
      </c>
      <c r="AP252" s="83">
        <v>140.0</v>
      </c>
      <c r="AQ252" s="370">
        <v>0.0</v>
      </c>
      <c r="AR252" s="83">
        <v>0.0</v>
      </c>
      <c r="AS252" s="83" t="s">
        <v>733</v>
      </c>
      <c r="AT252" s="83" t="s">
        <v>733</v>
      </c>
    </row>
    <row r="253">
      <c r="A253" s="368" t="s">
        <v>1183</v>
      </c>
      <c r="B253" s="369"/>
      <c r="C253" s="369"/>
      <c r="H253" s="115"/>
      <c r="I253" s="354"/>
      <c r="J253" s="115"/>
      <c r="K253" s="115"/>
      <c r="L253" s="115"/>
      <c r="M253" s="354"/>
      <c r="N253" s="115"/>
      <c r="O253" s="115"/>
      <c r="P253" s="115"/>
      <c r="Q253" s="115"/>
      <c r="R253" s="115"/>
      <c r="S253" s="115"/>
      <c r="T253" s="115"/>
      <c r="U253" s="115"/>
      <c r="V253" s="115"/>
      <c r="W253" s="115"/>
      <c r="X253" s="370"/>
      <c r="Y253" s="115"/>
      <c r="Z253" s="370"/>
      <c r="AA253" s="115"/>
      <c r="AB253" s="370"/>
      <c r="AC253" s="354"/>
      <c r="AD253" s="371"/>
      <c r="AE253" s="354"/>
      <c r="AF253" s="354"/>
      <c r="AG253" s="354"/>
      <c r="AJ253" s="371"/>
      <c r="AK253" s="371"/>
      <c r="AL253" s="372"/>
      <c r="AN253" s="115"/>
      <c r="AO253" s="115"/>
      <c r="AP253" s="372"/>
      <c r="AQ253" s="370"/>
      <c r="AS253" s="372"/>
      <c r="AT253" s="372"/>
      <c r="AU253" s="371"/>
    </row>
    <row r="254">
      <c r="A254" s="368" t="s">
        <v>1184</v>
      </c>
      <c r="B254" s="369"/>
      <c r="C254" s="369" t="s">
        <v>721</v>
      </c>
      <c r="D254" s="83" t="s">
        <v>955</v>
      </c>
      <c r="E254" s="83">
        <v>20.0</v>
      </c>
      <c r="F254" s="83">
        <v>30.0</v>
      </c>
      <c r="G254" s="83">
        <v>200.0</v>
      </c>
      <c r="H254" s="83">
        <v>0.1</v>
      </c>
      <c r="I254" s="354">
        <v>0.03</v>
      </c>
      <c r="J254" s="83">
        <v>2.0</v>
      </c>
      <c r="K254" s="83">
        <v>1.0</v>
      </c>
      <c r="L254" s="83">
        <v>0.0</v>
      </c>
      <c r="M254" s="354">
        <v>0.5</v>
      </c>
      <c r="N254" s="83">
        <v>0.0</v>
      </c>
      <c r="O254" s="83">
        <v>0.5</v>
      </c>
      <c r="P254" s="83">
        <v>0.0</v>
      </c>
      <c r="Q254" s="83">
        <v>0.0</v>
      </c>
      <c r="R254" s="83">
        <v>0.0</v>
      </c>
      <c r="S254" s="83">
        <v>0.0</v>
      </c>
      <c r="T254" s="83">
        <v>0.0</v>
      </c>
      <c r="U254" s="83">
        <v>0.0</v>
      </c>
      <c r="V254" s="83">
        <v>0.0</v>
      </c>
      <c r="W254" s="83">
        <v>0.0</v>
      </c>
      <c r="X254" s="370">
        <v>0.5</v>
      </c>
      <c r="Y254" s="83">
        <v>0.0</v>
      </c>
      <c r="Z254" s="370">
        <v>0.5</v>
      </c>
      <c r="AA254" s="83">
        <v>2.0</v>
      </c>
      <c r="AB254" s="370">
        <v>0.03</v>
      </c>
      <c r="AC254" s="354">
        <v>0.0</v>
      </c>
      <c r="AD254" s="371">
        <v>0.0</v>
      </c>
      <c r="AE254" s="354">
        <v>1.0</v>
      </c>
      <c r="AF254" s="354"/>
      <c r="AG254" s="354"/>
      <c r="AH254" s="83" t="s">
        <v>724</v>
      </c>
      <c r="AI254" s="83">
        <f>DPS_Melee_Damage</f>
        <v>0</v>
      </c>
      <c r="AJ254" s="371"/>
      <c r="AK254" s="371"/>
      <c r="AL254" s="372" t="s">
        <v>721</v>
      </c>
      <c r="AM254" s="83">
        <v>5.0</v>
      </c>
      <c r="AN254" s="83">
        <v>1.0</v>
      </c>
      <c r="AO254" s="83">
        <v>0.0</v>
      </c>
      <c r="AP254" s="372">
        <v>55.0</v>
      </c>
      <c r="AQ254" s="370">
        <v>0.0</v>
      </c>
      <c r="AR254" s="83">
        <v>0.0</v>
      </c>
      <c r="AS254" s="372">
        <v>75.0</v>
      </c>
      <c r="AT254" s="372">
        <v>16.0</v>
      </c>
      <c r="AU254" s="372" t="s">
        <v>1186</v>
      </c>
    </row>
    <row r="255">
      <c r="A255" s="368" t="s">
        <v>1187</v>
      </c>
      <c r="B255" s="369"/>
      <c r="C255" s="369" t="s">
        <v>721</v>
      </c>
      <c r="D255" s="83" t="s">
        <v>955</v>
      </c>
      <c r="E255" s="83">
        <v>35.0</v>
      </c>
      <c r="F255" s="83">
        <v>25.0</v>
      </c>
      <c r="G255" s="83">
        <v>200.0</v>
      </c>
      <c r="H255" s="83">
        <v>0.1</v>
      </c>
      <c r="I255" s="354">
        <v>0.03</v>
      </c>
      <c r="J255" s="83">
        <v>2.0</v>
      </c>
      <c r="K255" s="83">
        <v>1.0</v>
      </c>
      <c r="L255" s="83">
        <v>0.0</v>
      </c>
      <c r="M255" s="354">
        <v>0.5</v>
      </c>
      <c r="N255" s="83">
        <v>0.0</v>
      </c>
      <c r="O255" s="83">
        <v>0.5</v>
      </c>
      <c r="P255" s="83">
        <v>0.0</v>
      </c>
      <c r="Q255" s="83">
        <v>0.0</v>
      </c>
      <c r="R255" s="83">
        <v>0.0</v>
      </c>
      <c r="S255" s="83">
        <v>0.0</v>
      </c>
      <c r="T255" s="83">
        <v>0.0</v>
      </c>
      <c r="U255" s="83">
        <v>0.0</v>
      </c>
      <c r="V255" s="83">
        <v>0.0</v>
      </c>
      <c r="W255" s="83">
        <v>0.0</v>
      </c>
      <c r="X255" s="370">
        <v>0.5</v>
      </c>
      <c r="Y255" s="83">
        <v>0.0</v>
      </c>
      <c r="Z255" s="370">
        <v>0.5</v>
      </c>
      <c r="AA255" s="83">
        <v>2.0</v>
      </c>
      <c r="AB255" s="370">
        <v>0.03</v>
      </c>
      <c r="AC255" s="354">
        <v>0.0</v>
      </c>
      <c r="AD255" s="371">
        <v>0.0</v>
      </c>
      <c r="AE255" s="354">
        <v>1.0</v>
      </c>
      <c r="AF255" s="354"/>
      <c r="AG255" s="354"/>
      <c r="AH255" s="83" t="s">
        <v>724</v>
      </c>
      <c r="AI255" s="83">
        <f>DPS_Melee_Damage</f>
        <v>0</v>
      </c>
      <c r="AJ255" s="371"/>
      <c r="AK255" s="371"/>
      <c r="AL255" s="372" t="s">
        <v>721</v>
      </c>
      <c r="AM255" s="83">
        <v>5.0</v>
      </c>
      <c r="AN255" s="83">
        <v>1.0</v>
      </c>
      <c r="AO255" s="83">
        <v>0.0</v>
      </c>
      <c r="AP255" s="372">
        <v>100.0</v>
      </c>
      <c r="AQ255" s="370">
        <v>0.0</v>
      </c>
      <c r="AR255" s="83">
        <v>0.0</v>
      </c>
      <c r="AS255" s="372">
        <v>75.0</v>
      </c>
      <c r="AT255" s="372">
        <v>16.0</v>
      </c>
      <c r="AU255" s="372" t="s">
        <v>1186</v>
      </c>
    </row>
    <row r="256">
      <c r="A256" s="368" t="s">
        <v>1189</v>
      </c>
      <c r="B256" s="369"/>
      <c r="C256" s="369" t="s">
        <v>721</v>
      </c>
      <c r="D256" s="83" t="s">
        <v>955</v>
      </c>
      <c r="E256" s="83">
        <v>55.0</v>
      </c>
      <c r="F256" s="83">
        <v>20.0</v>
      </c>
      <c r="G256" s="83">
        <v>200.0</v>
      </c>
      <c r="H256" s="83">
        <v>0.1</v>
      </c>
      <c r="I256" s="354">
        <v>0.03</v>
      </c>
      <c r="J256" s="83">
        <v>2.0</v>
      </c>
      <c r="K256" s="83">
        <v>1.0</v>
      </c>
      <c r="L256" s="83">
        <v>0.0</v>
      </c>
      <c r="M256" s="354">
        <v>0.5</v>
      </c>
      <c r="N256" s="83">
        <v>0.0</v>
      </c>
      <c r="O256" s="83">
        <v>0.5</v>
      </c>
      <c r="P256" s="83">
        <v>0.0</v>
      </c>
      <c r="Q256" s="83">
        <v>0.0</v>
      </c>
      <c r="R256" s="83">
        <v>0.0</v>
      </c>
      <c r="S256" s="83">
        <v>0.0</v>
      </c>
      <c r="T256" s="83">
        <v>0.0</v>
      </c>
      <c r="U256" s="83">
        <v>0.0</v>
      </c>
      <c r="V256" s="83">
        <v>0.0</v>
      </c>
      <c r="W256" s="83">
        <v>0.0</v>
      </c>
      <c r="X256" s="370">
        <v>0.5</v>
      </c>
      <c r="Y256" s="83">
        <v>0.0</v>
      </c>
      <c r="Z256" s="370">
        <v>0.5</v>
      </c>
      <c r="AA256" s="83">
        <v>2.0</v>
      </c>
      <c r="AB256" s="370">
        <v>0.03</v>
      </c>
      <c r="AC256" s="354">
        <v>0.0</v>
      </c>
      <c r="AD256" s="371">
        <v>0.0</v>
      </c>
      <c r="AE256" s="354">
        <v>1.0</v>
      </c>
      <c r="AF256" s="354"/>
      <c r="AG256" s="354"/>
      <c r="AH256" s="83" t="s">
        <v>724</v>
      </c>
      <c r="AI256" s="83">
        <f>DPS_Melee_Damage</f>
        <v>0</v>
      </c>
      <c r="AJ256" s="371"/>
      <c r="AK256" s="371"/>
      <c r="AL256" s="372" t="s">
        <v>721</v>
      </c>
      <c r="AM256" s="83">
        <v>5.0</v>
      </c>
      <c r="AN256" s="83">
        <v>1.0</v>
      </c>
      <c r="AO256" s="83">
        <v>0.0</v>
      </c>
      <c r="AP256" s="372">
        <v>200.0</v>
      </c>
      <c r="AQ256" s="370">
        <v>0.0</v>
      </c>
      <c r="AR256" s="83">
        <v>0.0</v>
      </c>
      <c r="AS256" s="372">
        <v>75.0</v>
      </c>
      <c r="AT256" s="372">
        <v>16.0</v>
      </c>
      <c r="AU256" s="372" t="s">
        <v>1186</v>
      </c>
    </row>
    <row r="257">
      <c r="A257" s="384" t="s">
        <v>1190</v>
      </c>
      <c r="B257" s="385"/>
      <c r="C257" s="369" t="s">
        <v>733</v>
      </c>
      <c r="D257" s="83" t="s">
        <v>734</v>
      </c>
      <c r="E257" s="83">
        <v>10.0</v>
      </c>
      <c r="F257" s="83">
        <v>52.0</v>
      </c>
      <c r="G257" s="83">
        <v>300.0</v>
      </c>
      <c r="H257" s="83">
        <v>0.1</v>
      </c>
      <c r="I257" s="354">
        <v>0.03</v>
      </c>
      <c r="J257" s="83">
        <v>1.5</v>
      </c>
      <c r="K257" s="83">
        <v>1.0</v>
      </c>
      <c r="L257" s="83">
        <v>0.0</v>
      </c>
      <c r="M257" s="354">
        <v>0.5</v>
      </c>
      <c r="N257" s="83">
        <v>0.0</v>
      </c>
      <c r="O257" s="83">
        <v>0.5</v>
      </c>
      <c r="P257" s="83">
        <v>0.0</v>
      </c>
      <c r="Q257" s="83">
        <v>0.0</v>
      </c>
      <c r="R257" s="83">
        <v>0.0</v>
      </c>
      <c r="S257" s="83">
        <v>0.0</v>
      </c>
      <c r="T257" s="83">
        <v>0.0</v>
      </c>
      <c r="U257" s="83">
        <v>0.0</v>
      </c>
      <c r="V257" s="83">
        <v>0.0</v>
      </c>
      <c r="W257" s="83">
        <v>0.0</v>
      </c>
      <c r="X257" s="370">
        <v>0.5</v>
      </c>
      <c r="Y257" s="83">
        <v>0.0</v>
      </c>
      <c r="Z257" s="370">
        <v>0.5</v>
      </c>
      <c r="AA257" s="83">
        <v>2.0</v>
      </c>
      <c r="AB257" s="370">
        <v>0.03</v>
      </c>
      <c r="AC257" s="354">
        <v>0.0</v>
      </c>
      <c r="AD257" s="371">
        <v>0.0</v>
      </c>
      <c r="AE257" s="354">
        <v>0.8</v>
      </c>
      <c r="AF257" s="370">
        <v>0.3</v>
      </c>
      <c r="AH257" s="83" t="s">
        <v>27</v>
      </c>
      <c r="AI257" s="83">
        <f>DPS_Ranged_Damage</f>
        <v>0</v>
      </c>
      <c r="AJ257" s="371">
        <f>DPS_Special_Stat</f>
        <v>0</v>
      </c>
      <c r="AK257" s="263"/>
      <c r="AL257" s="83">
        <v>3000.0</v>
      </c>
      <c r="AM257" s="83">
        <v>0.0</v>
      </c>
      <c r="AN257" s="83">
        <v>1.0</v>
      </c>
      <c r="AO257" s="83">
        <v>0.0</v>
      </c>
      <c r="AP257" s="83">
        <v>20.0</v>
      </c>
      <c r="AQ257" s="370">
        <v>0.0</v>
      </c>
      <c r="AR257" s="83">
        <v>0.0</v>
      </c>
      <c r="AS257" s="83" t="s">
        <v>733</v>
      </c>
      <c r="AT257" s="83" t="s">
        <v>733</v>
      </c>
      <c r="AU257" s="83" t="s">
        <v>1192</v>
      </c>
    </row>
    <row r="258">
      <c r="A258" s="384" t="s">
        <v>1193</v>
      </c>
      <c r="B258" s="385"/>
      <c r="C258" s="369" t="s">
        <v>733</v>
      </c>
      <c r="D258" s="83" t="s">
        <v>734</v>
      </c>
      <c r="E258" s="83">
        <v>15.0</v>
      </c>
      <c r="F258" s="83">
        <v>49.0</v>
      </c>
      <c r="G258" s="83">
        <v>300.0</v>
      </c>
      <c r="H258" s="83">
        <v>0.1</v>
      </c>
      <c r="I258" s="354">
        <v>0.03</v>
      </c>
      <c r="J258" s="83">
        <v>1.75</v>
      </c>
      <c r="K258" s="83">
        <v>1.0</v>
      </c>
      <c r="L258" s="83">
        <v>0.0</v>
      </c>
      <c r="M258" s="354">
        <v>0.5</v>
      </c>
      <c r="N258" s="83">
        <v>0.0</v>
      </c>
      <c r="O258" s="83">
        <v>0.5</v>
      </c>
      <c r="P258" s="83">
        <v>0.0</v>
      </c>
      <c r="Q258" s="83">
        <v>0.0</v>
      </c>
      <c r="R258" s="83">
        <v>0.0</v>
      </c>
      <c r="S258" s="83">
        <v>0.0</v>
      </c>
      <c r="T258" s="83">
        <v>0.0</v>
      </c>
      <c r="U258" s="83">
        <v>0.0</v>
      </c>
      <c r="V258" s="83">
        <v>0.0</v>
      </c>
      <c r="W258" s="83">
        <v>0.0</v>
      </c>
      <c r="X258" s="370">
        <v>0.5</v>
      </c>
      <c r="Y258" s="83">
        <v>0.0</v>
      </c>
      <c r="Z258" s="370">
        <v>0.5</v>
      </c>
      <c r="AA258" s="83">
        <v>2.0</v>
      </c>
      <c r="AB258" s="370">
        <v>0.03</v>
      </c>
      <c r="AC258" s="354">
        <v>0.0</v>
      </c>
      <c r="AD258" s="371">
        <v>0.0</v>
      </c>
      <c r="AE258" s="354">
        <v>0.8</v>
      </c>
      <c r="AF258" s="370">
        <v>0.35</v>
      </c>
      <c r="AH258" s="83" t="s">
        <v>27</v>
      </c>
      <c r="AI258" s="83">
        <f>DPS_Ranged_Damage</f>
        <v>0</v>
      </c>
      <c r="AJ258" s="371">
        <f>DPS_Special_Stat</f>
        <v>0</v>
      </c>
      <c r="AK258" s="263"/>
      <c r="AL258" s="83">
        <v>3000.0</v>
      </c>
      <c r="AM258" s="83">
        <v>0.0</v>
      </c>
      <c r="AN258" s="83">
        <v>1.0</v>
      </c>
      <c r="AO258" s="83">
        <v>0.0</v>
      </c>
      <c r="AP258" s="83">
        <v>40.0</v>
      </c>
      <c r="AQ258" s="370">
        <v>0.0</v>
      </c>
      <c r="AR258" s="83">
        <v>0.0</v>
      </c>
      <c r="AS258" s="83" t="s">
        <v>733</v>
      </c>
      <c r="AT258" s="83" t="s">
        <v>733</v>
      </c>
      <c r="AU258" s="83" t="s">
        <v>1194</v>
      </c>
    </row>
    <row r="259">
      <c r="A259" s="384" t="s">
        <v>1195</v>
      </c>
      <c r="B259" s="385"/>
      <c r="C259" s="369" t="s">
        <v>733</v>
      </c>
      <c r="D259" s="83" t="s">
        <v>734</v>
      </c>
      <c r="E259" s="83">
        <v>20.0</v>
      </c>
      <c r="F259" s="83">
        <v>47.0</v>
      </c>
      <c r="G259" s="83">
        <v>300.0</v>
      </c>
      <c r="H259" s="83">
        <v>0.1</v>
      </c>
      <c r="I259" s="354">
        <v>0.03</v>
      </c>
      <c r="J259" s="83">
        <v>2.0</v>
      </c>
      <c r="K259" s="83">
        <v>1.0</v>
      </c>
      <c r="L259" s="83">
        <v>0.0</v>
      </c>
      <c r="M259" s="354">
        <v>0.5</v>
      </c>
      <c r="N259" s="83">
        <v>0.0</v>
      </c>
      <c r="O259" s="83">
        <v>0.5</v>
      </c>
      <c r="P259" s="83">
        <v>0.0</v>
      </c>
      <c r="Q259" s="83">
        <v>0.0</v>
      </c>
      <c r="R259" s="83">
        <v>0.0</v>
      </c>
      <c r="S259" s="83">
        <v>0.0</v>
      </c>
      <c r="T259" s="83">
        <v>0.0</v>
      </c>
      <c r="U259" s="83">
        <v>0.0</v>
      </c>
      <c r="V259" s="83">
        <v>0.0</v>
      </c>
      <c r="W259" s="83">
        <v>0.0</v>
      </c>
      <c r="X259" s="370">
        <v>0.5</v>
      </c>
      <c r="Y259" s="83">
        <v>0.0</v>
      </c>
      <c r="Z259" s="370">
        <v>0.5</v>
      </c>
      <c r="AA259" s="83">
        <v>2.0</v>
      </c>
      <c r="AB259" s="370">
        <v>0.03</v>
      </c>
      <c r="AC259" s="354">
        <v>0.0</v>
      </c>
      <c r="AD259" s="371">
        <v>0.0</v>
      </c>
      <c r="AE259" s="370">
        <v>0.9</v>
      </c>
      <c r="AF259" s="370">
        <v>0.4</v>
      </c>
      <c r="AH259" s="83" t="s">
        <v>27</v>
      </c>
      <c r="AI259" s="83">
        <f>DPS_Ranged_Damage</f>
        <v>0</v>
      </c>
      <c r="AJ259" s="371">
        <f>DPS_Special_Stat</f>
        <v>0</v>
      </c>
      <c r="AK259" s="263"/>
      <c r="AL259" s="83">
        <v>3000.0</v>
      </c>
      <c r="AM259" s="83">
        <v>0.0</v>
      </c>
      <c r="AN259" s="83">
        <v>1.0</v>
      </c>
      <c r="AO259" s="83">
        <v>0.0</v>
      </c>
      <c r="AP259" s="83">
        <v>80.0</v>
      </c>
      <c r="AQ259" s="370">
        <v>0.0</v>
      </c>
      <c r="AR259" s="83">
        <v>0.0</v>
      </c>
      <c r="AS259" s="83" t="s">
        <v>733</v>
      </c>
      <c r="AT259" s="83" t="s">
        <v>733</v>
      </c>
      <c r="AU259" s="83" t="s">
        <v>1196</v>
      </c>
    </row>
    <row r="260">
      <c r="A260" s="384" t="s">
        <v>1197</v>
      </c>
      <c r="B260" s="385"/>
      <c r="C260" s="369" t="s">
        <v>733</v>
      </c>
      <c r="D260" s="83" t="s">
        <v>734</v>
      </c>
      <c r="E260" s="83">
        <v>35.0</v>
      </c>
      <c r="F260" s="83">
        <v>45.0</v>
      </c>
      <c r="G260" s="83">
        <v>300.0</v>
      </c>
      <c r="H260" s="83">
        <v>0.1</v>
      </c>
      <c r="I260" s="354">
        <v>0.03</v>
      </c>
      <c r="J260" s="83">
        <v>2.25</v>
      </c>
      <c r="K260" s="83">
        <v>1.0</v>
      </c>
      <c r="L260" s="83">
        <v>0.0</v>
      </c>
      <c r="M260" s="354">
        <v>0.5</v>
      </c>
      <c r="N260" s="83">
        <v>0.0</v>
      </c>
      <c r="O260" s="83">
        <v>0.5</v>
      </c>
      <c r="P260" s="83">
        <v>0.0</v>
      </c>
      <c r="Q260" s="83">
        <v>0.0</v>
      </c>
      <c r="R260" s="83">
        <v>0.0</v>
      </c>
      <c r="S260" s="83">
        <v>0.0</v>
      </c>
      <c r="T260" s="83">
        <v>0.0</v>
      </c>
      <c r="U260" s="83">
        <v>0.0</v>
      </c>
      <c r="V260" s="83">
        <v>0.0</v>
      </c>
      <c r="W260" s="83">
        <v>0.0</v>
      </c>
      <c r="X260" s="370">
        <v>0.5</v>
      </c>
      <c r="Y260" s="83">
        <v>0.0</v>
      </c>
      <c r="Z260" s="370">
        <v>0.5</v>
      </c>
      <c r="AA260" s="83">
        <v>2.0</v>
      </c>
      <c r="AB260" s="370">
        <v>0.03</v>
      </c>
      <c r="AC260" s="354">
        <v>0.0</v>
      </c>
      <c r="AD260" s="371">
        <v>0.0</v>
      </c>
      <c r="AE260" s="370">
        <v>1.0</v>
      </c>
      <c r="AF260" s="370">
        <v>0.45</v>
      </c>
      <c r="AH260" s="83" t="s">
        <v>27</v>
      </c>
      <c r="AI260" s="83">
        <f>DPS_Ranged_Damage</f>
        <v>0</v>
      </c>
      <c r="AJ260" s="371">
        <f>DPS_Special_Stat</f>
        <v>0</v>
      </c>
      <c r="AK260" s="263"/>
      <c r="AL260" s="83">
        <v>3000.0</v>
      </c>
      <c r="AM260" s="83">
        <v>0.0</v>
      </c>
      <c r="AN260" s="83">
        <v>1.0</v>
      </c>
      <c r="AO260" s="83">
        <v>0.0</v>
      </c>
      <c r="AP260" s="83">
        <v>160.0</v>
      </c>
      <c r="AQ260" s="370">
        <v>0.0</v>
      </c>
      <c r="AR260" s="83">
        <v>0.0</v>
      </c>
      <c r="AS260" s="83" t="s">
        <v>733</v>
      </c>
      <c r="AT260" s="83" t="s">
        <v>733</v>
      </c>
      <c r="AU260" s="83" t="s">
        <v>1199</v>
      </c>
    </row>
    <row r="261">
      <c r="A261" s="397"/>
      <c r="B261" s="385"/>
      <c r="C261" s="385"/>
      <c r="H261" s="115"/>
      <c r="I261" s="115"/>
      <c r="J261" s="115"/>
      <c r="K261" s="115"/>
      <c r="L261" s="115"/>
      <c r="M261" s="353"/>
      <c r="N261" s="115"/>
      <c r="O261" s="115"/>
      <c r="P261" s="115"/>
      <c r="Q261" s="115"/>
      <c r="R261" s="115"/>
      <c r="S261" s="115"/>
      <c r="T261" s="115"/>
      <c r="U261" s="115"/>
      <c r="V261" s="115"/>
      <c r="W261" s="115"/>
      <c r="X261" s="115"/>
      <c r="Y261" s="115"/>
      <c r="Z261" s="115"/>
      <c r="AA261" s="115"/>
      <c r="AB261" s="115"/>
      <c r="AI261" s="263"/>
      <c r="AJ261" s="263"/>
      <c r="AK261" s="263"/>
      <c r="AN261" s="115"/>
      <c r="AO261" s="115"/>
    </row>
    <row r="262">
      <c r="A262" s="397"/>
      <c r="B262" s="385"/>
      <c r="C262" s="385"/>
      <c r="H262" s="115"/>
      <c r="I262" s="115"/>
      <c r="J262" s="115"/>
      <c r="K262" s="115"/>
      <c r="L262" s="115"/>
      <c r="M262" s="353"/>
      <c r="N262" s="115"/>
      <c r="O262" s="115"/>
      <c r="P262" s="115"/>
      <c r="Q262" s="115"/>
      <c r="R262" s="115"/>
      <c r="S262" s="115"/>
      <c r="T262" s="115"/>
      <c r="U262" s="115"/>
      <c r="V262" s="115"/>
      <c r="W262" s="115"/>
      <c r="X262" s="115"/>
      <c r="Y262" s="115"/>
      <c r="Z262" s="115"/>
      <c r="AA262" s="115"/>
      <c r="AB262" s="115"/>
      <c r="AI262" s="263"/>
      <c r="AJ262" s="263"/>
      <c r="AK262" s="263"/>
      <c r="AN262" s="115"/>
      <c r="AO262" s="115"/>
    </row>
    <row r="263">
      <c r="A263" s="397"/>
      <c r="B263" s="385"/>
      <c r="C263" s="385"/>
      <c r="H263" s="115"/>
      <c r="I263" s="115"/>
      <c r="J263" s="115"/>
      <c r="K263" s="115"/>
      <c r="L263" s="115"/>
      <c r="M263" s="353"/>
      <c r="N263" s="115"/>
      <c r="O263" s="115"/>
      <c r="P263" s="115"/>
      <c r="Q263" s="115"/>
      <c r="R263" s="115"/>
      <c r="S263" s="115"/>
      <c r="T263" s="115"/>
      <c r="U263" s="115"/>
      <c r="V263" s="115"/>
      <c r="W263" s="115"/>
      <c r="X263" s="115"/>
      <c r="Y263" s="115"/>
      <c r="Z263" s="115"/>
      <c r="AA263" s="115"/>
      <c r="AB263" s="115"/>
      <c r="AI263" s="263"/>
      <c r="AJ263" s="263"/>
      <c r="AK263" s="263"/>
      <c r="AN263" s="115"/>
      <c r="AO263" s="115"/>
    </row>
    <row r="264">
      <c r="A264" s="397"/>
      <c r="B264" s="385"/>
      <c r="C264" s="385"/>
      <c r="H264" s="115"/>
      <c r="I264" s="115"/>
      <c r="J264" s="115"/>
      <c r="K264" s="115"/>
      <c r="L264" s="115"/>
      <c r="M264" s="353"/>
      <c r="N264" s="115"/>
      <c r="O264" s="115"/>
      <c r="P264" s="115"/>
      <c r="Q264" s="115"/>
      <c r="R264" s="115"/>
      <c r="S264" s="115"/>
      <c r="T264" s="115"/>
      <c r="U264" s="115"/>
      <c r="V264" s="115"/>
      <c r="W264" s="115"/>
      <c r="X264" s="115"/>
      <c r="Y264" s="115"/>
      <c r="Z264" s="115"/>
      <c r="AA264" s="115"/>
      <c r="AB264" s="115"/>
      <c r="AI264" s="263"/>
      <c r="AJ264" s="263"/>
      <c r="AK264" s="263"/>
      <c r="AN264" s="115"/>
      <c r="AO264" s="115"/>
    </row>
    <row r="265">
      <c r="A265" s="397"/>
      <c r="B265" s="385"/>
      <c r="C265" s="385"/>
      <c r="H265" s="115"/>
      <c r="I265" s="115"/>
      <c r="J265" s="115"/>
      <c r="K265" s="115"/>
      <c r="L265" s="115"/>
      <c r="M265" s="353"/>
      <c r="N265" s="115"/>
      <c r="O265" s="115"/>
      <c r="P265" s="115"/>
      <c r="Q265" s="115"/>
      <c r="R265" s="115"/>
      <c r="S265" s="115"/>
      <c r="T265" s="115"/>
      <c r="U265" s="115"/>
      <c r="V265" s="115"/>
      <c r="W265" s="115"/>
      <c r="X265" s="115"/>
      <c r="Y265" s="115"/>
      <c r="Z265" s="115"/>
      <c r="AA265" s="115"/>
      <c r="AB265" s="115"/>
      <c r="AI265" s="263"/>
      <c r="AJ265" s="263"/>
      <c r="AK265" s="263"/>
      <c r="AN265" s="115"/>
      <c r="AO265" s="115"/>
    </row>
    <row r="266">
      <c r="A266" s="397"/>
      <c r="B266" s="385"/>
      <c r="C266" s="385"/>
      <c r="H266" s="115"/>
      <c r="I266" s="115"/>
      <c r="J266" s="115"/>
      <c r="K266" s="115"/>
      <c r="L266" s="115"/>
      <c r="M266" s="353"/>
      <c r="N266" s="115"/>
      <c r="O266" s="115"/>
      <c r="P266" s="115"/>
      <c r="Q266" s="115"/>
      <c r="R266" s="115"/>
      <c r="S266" s="115"/>
      <c r="T266" s="115"/>
      <c r="U266" s="115"/>
      <c r="V266" s="115"/>
      <c r="W266" s="115"/>
      <c r="X266" s="115"/>
      <c r="Y266" s="115"/>
      <c r="Z266" s="115"/>
      <c r="AA266" s="115"/>
      <c r="AB266" s="115"/>
      <c r="AI266" s="263"/>
      <c r="AJ266" s="263"/>
      <c r="AK266" s="263"/>
      <c r="AN266" s="115"/>
      <c r="AO266" s="115"/>
    </row>
    <row r="267">
      <c r="A267" s="397"/>
      <c r="B267" s="385"/>
      <c r="C267" s="385"/>
      <c r="H267" s="115"/>
      <c r="I267" s="115"/>
      <c r="J267" s="115"/>
      <c r="K267" s="115"/>
      <c r="L267" s="115"/>
      <c r="M267" s="353"/>
      <c r="N267" s="115"/>
      <c r="O267" s="115"/>
      <c r="P267" s="115"/>
      <c r="Q267" s="115"/>
      <c r="R267" s="115"/>
      <c r="S267" s="115"/>
      <c r="T267" s="115"/>
      <c r="U267" s="115"/>
      <c r="V267" s="115"/>
      <c r="W267" s="115"/>
      <c r="X267" s="115"/>
      <c r="Y267" s="115"/>
      <c r="Z267" s="115"/>
      <c r="AA267" s="115"/>
      <c r="AB267" s="115"/>
      <c r="AI267" s="263"/>
      <c r="AJ267" s="263"/>
      <c r="AK267" s="263"/>
      <c r="AN267" s="115"/>
      <c r="AO267" s="115"/>
    </row>
    <row r="268">
      <c r="A268" s="397"/>
      <c r="B268" s="385"/>
      <c r="C268" s="385"/>
      <c r="H268" s="115"/>
      <c r="I268" s="115"/>
      <c r="J268" s="115"/>
      <c r="K268" s="115"/>
      <c r="L268" s="115"/>
      <c r="M268" s="353"/>
      <c r="N268" s="115"/>
      <c r="O268" s="115"/>
      <c r="P268" s="115"/>
      <c r="Q268" s="115"/>
      <c r="R268" s="115"/>
      <c r="S268" s="115"/>
      <c r="T268" s="115"/>
      <c r="U268" s="115"/>
      <c r="V268" s="115"/>
      <c r="W268" s="115"/>
      <c r="X268" s="115"/>
      <c r="Y268" s="115"/>
      <c r="Z268" s="115"/>
      <c r="AA268" s="115"/>
      <c r="AB268" s="115"/>
      <c r="AI268" s="263"/>
      <c r="AJ268" s="263"/>
      <c r="AK268" s="263"/>
      <c r="AN268" s="115"/>
      <c r="AO268" s="115"/>
    </row>
    <row r="269">
      <c r="A269" s="397"/>
      <c r="B269" s="385"/>
      <c r="C269" s="385"/>
      <c r="H269" s="115"/>
      <c r="I269" s="115"/>
      <c r="J269" s="115"/>
      <c r="K269" s="115"/>
      <c r="L269" s="115"/>
      <c r="M269" s="353"/>
      <c r="N269" s="115"/>
      <c r="O269" s="115"/>
      <c r="P269" s="115"/>
      <c r="Q269" s="115"/>
      <c r="R269" s="115"/>
      <c r="S269" s="115"/>
      <c r="T269" s="115"/>
      <c r="U269" s="115"/>
      <c r="V269" s="115"/>
      <c r="W269" s="115"/>
      <c r="X269" s="115"/>
      <c r="Y269" s="115"/>
      <c r="Z269" s="115"/>
      <c r="AA269" s="115"/>
      <c r="AB269" s="115"/>
      <c r="AI269" s="263"/>
      <c r="AJ269" s="263"/>
      <c r="AK269" s="263"/>
      <c r="AN269" s="115"/>
      <c r="AO269" s="115"/>
    </row>
    <row r="270">
      <c r="A270" s="397"/>
      <c r="B270" s="385"/>
      <c r="C270" s="385"/>
      <c r="H270" s="115"/>
      <c r="I270" s="115"/>
      <c r="J270" s="115"/>
      <c r="K270" s="115"/>
      <c r="L270" s="115"/>
      <c r="M270" s="353"/>
      <c r="N270" s="115"/>
      <c r="O270" s="115"/>
      <c r="P270" s="115"/>
      <c r="Q270" s="115"/>
      <c r="R270" s="115"/>
      <c r="S270" s="115"/>
      <c r="T270" s="115"/>
      <c r="U270" s="115"/>
      <c r="V270" s="115"/>
      <c r="W270" s="115"/>
      <c r="X270" s="115"/>
      <c r="Y270" s="115"/>
      <c r="Z270" s="115"/>
      <c r="AA270" s="115"/>
      <c r="AB270" s="115"/>
      <c r="AI270" s="263"/>
      <c r="AJ270" s="263"/>
      <c r="AK270" s="263"/>
      <c r="AN270" s="115"/>
      <c r="AO270" s="115"/>
    </row>
    <row r="271">
      <c r="A271" s="397"/>
      <c r="B271" s="385"/>
      <c r="C271" s="385"/>
      <c r="H271" s="115"/>
      <c r="I271" s="115"/>
      <c r="J271" s="115"/>
      <c r="K271" s="115"/>
      <c r="L271" s="115"/>
      <c r="M271" s="353"/>
      <c r="N271" s="115"/>
      <c r="O271" s="115"/>
      <c r="P271" s="115"/>
      <c r="Q271" s="115"/>
      <c r="R271" s="115"/>
      <c r="S271" s="115"/>
      <c r="T271" s="115"/>
      <c r="U271" s="115"/>
      <c r="V271" s="115"/>
      <c r="W271" s="115"/>
      <c r="X271" s="115"/>
      <c r="Y271" s="115"/>
      <c r="Z271" s="115"/>
      <c r="AA271" s="115"/>
      <c r="AB271" s="115"/>
      <c r="AI271" s="263"/>
      <c r="AJ271" s="263"/>
      <c r="AK271" s="263"/>
      <c r="AN271" s="115"/>
      <c r="AO271" s="115"/>
    </row>
    <row r="272">
      <c r="A272" s="397"/>
      <c r="B272" s="385"/>
      <c r="C272" s="385"/>
      <c r="H272" s="115"/>
      <c r="I272" s="115"/>
      <c r="J272" s="115"/>
      <c r="K272" s="115"/>
      <c r="L272" s="115"/>
      <c r="M272" s="353"/>
      <c r="N272" s="115"/>
      <c r="O272" s="115"/>
      <c r="P272" s="115"/>
      <c r="Q272" s="115"/>
      <c r="R272" s="115"/>
      <c r="S272" s="115"/>
      <c r="T272" s="115"/>
      <c r="U272" s="115"/>
      <c r="V272" s="115"/>
      <c r="W272" s="115"/>
      <c r="X272" s="115"/>
      <c r="Y272" s="115"/>
      <c r="Z272" s="115"/>
      <c r="AA272" s="115"/>
      <c r="AB272" s="115"/>
      <c r="AI272" s="263"/>
      <c r="AJ272" s="263"/>
      <c r="AK272" s="263"/>
      <c r="AN272" s="115"/>
      <c r="AO272" s="115"/>
    </row>
    <row r="273">
      <c r="A273" s="397"/>
      <c r="B273" s="385"/>
      <c r="C273" s="385"/>
      <c r="H273" s="115"/>
      <c r="I273" s="115"/>
      <c r="J273" s="115"/>
      <c r="K273" s="115"/>
      <c r="L273" s="115"/>
      <c r="M273" s="353"/>
      <c r="N273" s="115"/>
      <c r="O273" s="115"/>
      <c r="P273" s="115"/>
      <c r="Q273" s="115"/>
      <c r="R273" s="115"/>
      <c r="S273" s="115"/>
      <c r="T273" s="115"/>
      <c r="U273" s="115"/>
      <c r="V273" s="115"/>
      <c r="W273" s="115"/>
      <c r="X273" s="115"/>
      <c r="Y273" s="115"/>
      <c r="Z273" s="115"/>
      <c r="AA273" s="115"/>
      <c r="AB273" s="115"/>
      <c r="AI273" s="263"/>
      <c r="AJ273" s="263"/>
      <c r="AK273" s="263"/>
      <c r="AN273" s="115"/>
      <c r="AO273" s="115"/>
    </row>
    <row r="274">
      <c r="A274" s="397"/>
      <c r="B274" s="385"/>
      <c r="C274" s="385"/>
      <c r="H274" s="115"/>
      <c r="I274" s="115"/>
      <c r="J274" s="115"/>
      <c r="K274" s="115"/>
      <c r="L274" s="115"/>
      <c r="M274" s="353"/>
      <c r="N274" s="115"/>
      <c r="O274" s="115"/>
      <c r="P274" s="115"/>
      <c r="Q274" s="115"/>
      <c r="R274" s="115"/>
      <c r="S274" s="115"/>
      <c r="T274" s="115"/>
      <c r="U274" s="115"/>
      <c r="V274" s="115"/>
      <c r="W274" s="115"/>
      <c r="X274" s="115"/>
      <c r="Y274" s="115"/>
      <c r="Z274" s="115"/>
      <c r="AA274" s="115"/>
      <c r="AB274" s="115"/>
      <c r="AI274" s="263"/>
      <c r="AJ274" s="263"/>
      <c r="AK274" s="263"/>
      <c r="AN274" s="115"/>
      <c r="AO274" s="115"/>
    </row>
    <row r="275">
      <c r="A275" s="397"/>
      <c r="B275" s="385"/>
      <c r="C275" s="385"/>
      <c r="H275" s="115"/>
      <c r="I275" s="115"/>
      <c r="J275" s="115"/>
      <c r="K275" s="115"/>
      <c r="L275" s="115"/>
      <c r="M275" s="353"/>
      <c r="N275" s="115"/>
      <c r="O275" s="115"/>
      <c r="P275" s="115"/>
      <c r="Q275" s="115"/>
      <c r="R275" s="115"/>
      <c r="S275" s="115"/>
      <c r="T275" s="115"/>
      <c r="U275" s="115"/>
      <c r="V275" s="115"/>
      <c r="W275" s="115"/>
      <c r="X275" s="115"/>
      <c r="Y275" s="115"/>
      <c r="Z275" s="115"/>
      <c r="AA275" s="115"/>
      <c r="AB275" s="115"/>
      <c r="AI275" s="263"/>
      <c r="AJ275" s="263"/>
      <c r="AK275" s="263"/>
      <c r="AN275" s="115"/>
      <c r="AO275" s="115"/>
    </row>
    <row r="276">
      <c r="A276" s="397"/>
      <c r="B276" s="385"/>
      <c r="C276" s="385"/>
      <c r="H276" s="115"/>
      <c r="I276" s="115"/>
      <c r="J276" s="115"/>
      <c r="K276" s="115"/>
      <c r="L276" s="115"/>
      <c r="M276" s="353"/>
      <c r="N276" s="115"/>
      <c r="O276" s="115"/>
      <c r="P276" s="115"/>
      <c r="Q276" s="115"/>
      <c r="R276" s="115"/>
      <c r="S276" s="115"/>
      <c r="T276" s="115"/>
      <c r="U276" s="115"/>
      <c r="V276" s="115"/>
      <c r="W276" s="115"/>
      <c r="X276" s="115"/>
      <c r="Y276" s="115"/>
      <c r="Z276" s="115"/>
      <c r="AA276" s="115"/>
      <c r="AB276" s="115"/>
      <c r="AI276" s="263"/>
      <c r="AJ276" s="263"/>
      <c r="AK276" s="263"/>
      <c r="AN276" s="115"/>
      <c r="AO276" s="115"/>
    </row>
    <row r="277">
      <c r="A277" s="397"/>
      <c r="B277" s="385"/>
      <c r="C277" s="385"/>
      <c r="H277" s="115"/>
      <c r="I277" s="115"/>
      <c r="J277" s="115"/>
      <c r="K277" s="115"/>
      <c r="L277" s="115"/>
      <c r="M277" s="353"/>
      <c r="N277" s="115"/>
      <c r="O277" s="115"/>
      <c r="P277" s="115"/>
      <c r="Q277" s="115"/>
      <c r="R277" s="115"/>
      <c r="S277" s="115"/>
      <c r="T277" s="115"/>
      <c r="U277" s="115"/>
      <c r="V277" s="115"/>
      <c r="W277" s="115"/>
      <c r="X277" s="115"/>
      <c r="Y277" s="115"/>
      <c r="Z277" s="115"/>
      <c r="AA277" s="115"/>
      <c r="AB277" s="115"/>
      <c r="AI277" s="263"/>
      <c r="AJ277" s="263"/>
      <c r="AK277" s="263"/>
      <c r="AN277" s="115"/>
      <c r="AO277" s="115"/>
    </row>
    <row r="278">
      <c r="A278" s="397"/>
      <c r="B278" s="385"/>
      <c r="C278" s="385"/>
      <c r="H278" s="115"/>
      <c r="I278" s="115"/>
      <c r="J278" s="115"/>
      <c r="K278" s="115"/>
      <c r="L278" s="115"/>
      <c r="M278" s="353"/>
      <c r="N278" s="115"/>
      <c r="O278" s="115"/>
      <c r="P278" s="115"/>
      <c r="Q278" s="115"/>
      <c r="R278" s="115"/>
      <c r="S278" s="115"/>
      <c r="T278" s="115"/>
      <c r="U278" s="115"/>
      <c r="V278" s="115"/>
      <c r="W278" s="115"/>
      <c r="X278" s="115"/>
      <c r="Y278" s="115"/>
      <c r="Z278" s="115"/>
      <c r="AA278" s="115"/>
      <c r="AB278" s="115"/>
      <c r="AI278" s="263"/>
      <c r="AJ278" s="263"/>
      <c r="AK278" s="263"/>
      <c r="AN278" s="115"/>
      <c r="AO278" s="115"/>
    </row>
    <row r="279">
      <c r="A279" s="397"/>
      <c r="B279" s="385"/>
      <c r="C279" s="385"/>
      <c r="H279" s="115"/>
      <c r="I279" s="115"/>
      <c r="J279" s="115"/>
      <c r="K279" s="115"/>
      <c r="L279" s="115"/>
      <c r="M279" s="353"/>
      <c r="N279" s="115"/>
      <c r="O279" s="115"/>
      <c r="P279" s="115"/>
      <c r="Q279" s="115"/>
      <c r="R279" s="115"/>
      <c r="S279" s="115"/>
      <c r="T279" s="115"/>
      <c r="U279" s="115"/>
      <c r="V279" s="115"/>
      <c r="W279" s="115"/>
      <c r="X279" s="115"/>
      <c r="Y279" s="115"/>
      <c r="Z279" s="115"/>
      <c r="AA279" s="115"/>
      <c r="AB279" s="115"/>
      <c r="AI279" s="263"/>
      <c r="AJ279" s="263"/>
      <c r="AK279" s="263"/>
      <c r="AN279" s="115"/>
      <c r="AO279" s="115"/>
    </row>
    <row r="280">
      <c r="A280" s="397"/>
      <c r="B280" s="385"/>
      <c r="C280" s="385"/>
      <c r="H280" s="115"/>
      <c r="I280" s="115"/>
      <c r="J280" s="115"/>
      <c r="K280" s="115"/>
      <c r="L280" s="115"/>
      <c r="M280" s="353"/>
      <c r="N280" s="115"/>
      <c r="O280" s="115"/>
      <c r="P280" s="115"/>
      <c r="Q280" s="115"/>
      <c r="R280" s="115"/>
      <c r="S280" s="115"/>
      <c r="T280" s="115"/>
      <c r="U280" s="115"/>
      <c r="V280" s="115"/>
      <c r="W280" s="115"/>
      <c r="X280" s="115"/>
      <c r="Y280" s="115"/>
      <c r="Z280" s="115"/>
      <c r="AA280" s="115"/>
      <c r="AB280" s="115"/>
      <c r="AI280" s="263"/>
      <c r="AJ280" s="263"/>
      <c r="AK280" s="263"/>
      <c r="AN280" s="115"/>
      <c r="AO280" s="115"/>
    </row>
    <row r="281">
      <c r="A281" s="397"/>
      <c r="B281" s="385"/>
      <c r="C281" s="385"/>
      <c r="H281" s="115"/>
      <c r="I281" s="115"/>
      <c r="J281" s="115"/>
      <c r="K281" s="115"/>
      <c r="L281" s="115"/>
      <c r="M281" s="353"/>
      <c r="N281" s="115"/>
      <c r="O281" s="115"/>
      <c r="P281" s="115"/>
      <c r="Q281" s="115"/>
      <c r="R281" s="115"/>
      <c r="S281" s="115"/>
      <c r="T281" s="115"/>
      <c r="U281" s="115"/>
      <c r="V281" s="115"/>
      <c r="W281" s="115"/>
      <c r="X281" s="115"/>
      <c r="Y281" s="115"/>
      <c r="Z281" s="115"/>
      <c r="AA281" s="115"/>
      <c r="AB281" s="115"/>
      <c r="AI281" s="263"/>
      <c r="AJ281" s="263"/>
      <c r="AK281" s="263"/>
      <c r="AN281" s="115"/>
      <c r="AO281" s="115"/>
    </row>
    <row r="282">
      <c r="A282" s="397"/>
      <c r="B282" s="385"/>
      <c r="C282" s="385"/>
      <c r="H282" s="115"/>
      <c r="I282" s="115"/>
      <c r="J282" s="115"/>
      <c r="K282" s="115"/>
      <c r="L282" s="115"/>
      <c r="M282" s="353"/>
      <c r="N282" s="115"/>
      <c r="O282" s="115"/>
      <c r="P282" s="115"/>
      <c r="Q282" s="115"/>
      <c r="R282" s="115"/>
      <c r="S282" s="115"/>
      <c r="T282" s="115"/>
      <c r="U282" s="115"/>
      <c r="V282" s="115"/>
      <c r="W282" s="115"/>
      <c r="X282" s="115"/>
      <c r="Y282" s="115"/>
      <c r="Z282" s="115"/>
      <c r="AA282" s="115"/>
      <c r="AB282" s="115"/>
      <c r="AI282" s="263"/>
      <c r="AJ282" s="263"/>
      <c r="AK282" s="263"/>
      <c r="AN282" s="115"/>
      <c r="AO282" s="115"/>
    </row>
    <row r="283">
      <c r="A283" s="397"/>
      <c r="B283" s="385"/>
      <c r="C283" s="385"/>
      <c r="H283" s="115"/>
      <c r="I283" s="115"/>
      <c r="J283" s="115"/>
      <c r="K283" s="115"/>
      <c r="L283" s="115"/>
      <c r="M283" s="353"/>
      <c r="N283" s="115"/>
      <c r="O283" s="115"/>
      <c r="P283" s="115"/>
      <c r="Q283" s="115"/>
      <c r="R283" s="115"/>
      <c r="S283" s="115"/>
      <c r="T283" s="115"/>
      <c r="U283" s="115"/>
      <c r="V283" s="115"/>
      <c r="W283" s="115"/>
      <c r="X283" s="115"/>
      <c r="Y283" s="115"/>
      <c r="Z283" s="115"/>
      <c r="AA283" s="115"/>
      <c r="AB283" s="115"/>
      <c r="AI283" s="263"/>
      <c r="AJ283" s="263"/>
      <c r="AK283" s="263"/>
      <c r="AN283" s="115"/>
      <c r="AO283" s="115"/>
    </row>
    <row r="284">
      <c r="A284" s="397"/>
      <c r="B284" s="385"/>
      <c r="C284" s="385"/>
      <c r="H284" s="115"/>
      <c r="I284" s="115"/>
      <c r="J284" s="115"/>
      <c r="K284" s="115"/>
      <c r="L284" s="115"/>
      <c r="M284" s="353"/>
      <c r="N284" s="115"/>
      <c r="O284" s="115"/>
      <c r="P284" s="115"/>
      <c r="Q284" s="115"/>
      <c r="R284" s="115"/>
      <c r="S284" s="115"/>
      <c r="T284" s="115"/>
      <c r="U284" s="115"/>
      <c r="V284" s="115"/>
      <c r="W284" s="115"/>
      <c r="X284" s="115"/>
      <c r="Y284" s="115"/>
      <c r="Z284" s="115"/>
      <c r="AA284" s="115"/>
      <c r="AB284" s="115"/>
      <c r="AI284" s="263"/>
      <c r="AJ284" s="263"/>
      <c r="AK284" s="263"/>
      <c r="AN284" s="115"/>
      <c r="AO284" s="115"/>
    </row>
    <row r="285">
      <c r="A285" s="397"/>
      <c r="B285" s="385"/>
      <c r="C285" s="385"/>
      <c r="H285" s="115"/>
      <c r="I285" s="115"/>
      <c r="J285" s="115"/>
      <c r="K285" s="115"/>
      <c r="L285" s="115"/>
      <c r="M285" s="353"/>
      <c r="N285" s="115"/>
      <c r="O285" s="115"/>
      <c r="P285" s="115"/>
      <c r="Q285" s="115"/>
      <c r="R285" s="115"/>
      <c r="S285" s="115"/>
      <c r="T285" s="115"/>
      <c r="U285" s="115"/>
      <c r="V285" s="115"/>
      <c r="W285" s="115"/>
      <c r="X285" s="115"/>
      <c r="Y285" s="115"/>
      <c r="Z285" s="115"/>
      <c r="AA285" s="115"/>
      <c r="AB285" s="115"/>
      <c r="AI285" s="263"/>
      <c r="AJ285" s="263"/>
      <c r="AK285" s="263"/>
      <c r="AN285" s="115"/>
      <c r="AO285" s="115"/>
    </row>
    <row r="286">
      <c r="A286" s="397"/>
      <c r="B286" s="385"/>
      <c r="C286" s="385"/>
      <c r="H286" s="115"/>
      <c r="I286" s="115"/>
      <c r="J286" s="115"/>
      <c r="K286" s="115"/>
      <c r="L286" s="115"/>
      <c r="M286" s="353"/>
      <c r="N286" s="115"/>
      <c r="O286" s="115"/>
      <c r="P286" s="115"/>
      <c r="Q286" s="115"/>
      <c r="R286" s="115"/>
      <c r="S286" s="115"/>
      <c r="T286" s="115"/>
      <c r="U286" s="115"/>
      <c r="V286" s="115"/>
      <c r="W286" s="115"/>
      <c r="X286" s="115"/>
      <c r="Y286" s="115"/>
      <c r="Z286" s="115"/>
      <c r="AA286" s="115"/>
      <c r="AB286" s="115"/>
      <c r="AI286" s="263"/>
      <c r="AJ286" s="263"/>
      <c r="AK286" s="263"/>
      <c r="AN286" s="115"/>
      <c r="AO286" s="115"/>
    </row>
    <row r="287">
      <c r="A287" s="397"/>
      <c r="B287" s="385"/>
      <c r="C287" s="385"/>
      <c r="H287" s="115"/>
      <c r="I287" s="115"/>
      <c r="J287" s="115"/>
      <c r="K287" s="115"/>
      <c r="L287" s="115"/>
      <c r="M287" s="353"/>
      <c r="N287" s="115"/>
      <c r="O287" s="115"/>
      <c r="P287" s="115"/>
      <c r="Q287" s="115"/>
      <c r="R287" s="115"/>
      <c r="S287" s="115"/>
      <c r="T287" s="115"/>
      <c r="U287" s="115"/>
      <c r="V287" s="115"/>
      <c r="W287" s="115"/>
      <c r="X287" s="115"/>
      <c r="Y287" s="115"/>
      <c r="Z287" s="115"/>
      <c r="AA287" s="115"/>
      <c r="AB287" s="115"/>
      <c r="AI287" s="263"/>
      <c r="AJ287" s="263"/>
      <c r="AK287" s="263"/>
      <c r="AN287" s="115"/>
      <c r="AO287" s="115"/>
    </row>
    <row r="288">
      <c r="A288" s="397"/>
      <c r="B288" s="385"/>
      <c r="C288" s="385"/>
      <c r="H288" s="115"/>
      <c r="I288" s="115"/>
      <c r="J288" s="115"/>
      <c r="K288" s="115"/>
      <c r="L288" s="115"/>
      <c r="M288" s="353"/>
      <c r="N288" s="115"/>
      <c r="O288" s="115"/>
      <c r="P288" s="115"/>
      <c r="Q288" s="115"/>
      <c r="R288" s="115"/>
      <c r="S288" s="115"/>
      <c r="T288" s="115"/>
      <c r="U288" s="115"/>
      <c r="V288" s="115"/>
      <c r="W288" s="115"/>
      <c r="X288" s="115"/>
      <c r="Y288" s="115"/>
      <c r="Z288" s="115"/>
      <c r="AA288" s="115"/>
      <c r="AB288" s="115"/>
      <c r="AI288" s="263"/>
      <c r="AJ288" s="263"/>
      <c r="AK288" s="263"/>
      <c r="AN288" s="115"/>
      <c r="AO288" s="115"/>
    </row>
    <row r="289">
      <c r="A289" s="397"/>
      <c r="B289" s="385"/>
      <c r="C289" s="385"/>
      <c r="H289" s="115"/>
      <c r="I289" s="115"/>
      <c r="J289" s="115"/>
      <c r="K289" s="115"/>
      <c r="L289" s="115"/>
      <c r="M289" s="353"/>
      <c r="N289" s="115"/>
      <c r="O289" s="115"/>
      <c r="P289" s="115"/>
      <c r="Q289" s="115"/>
      <c r="R289" s="115"/>
      <c r="S289" s="115"/>
      <c r="T289" s="115"/>
      <c r="U289" s="115"/>
      <c r="V289" s="115"/>
      <c r="W289" s="115"/>
      <c r="X289" s="115"/>
      <c r="Y289" s="115"/>
      <c r="Z289" s="115"/>
      <c r="AA289" s="115"/>
      <c r="AB289" s="115"/>
      <c r="AI289" s="263"/>
      <c r="AJ289" s="263"/>
      <c r="AK289" s="263"/>
      <c r="AN289" s="115"/>
      <c r="AO289" s="115"/>
    </row>
    <row r="290">
      <c r="A290" s="397"/>
      <c r="B290" s="385"/>
      <c r="C290" s="385"/>
      <c r="H290" s="115"/>
      <c r="I290" s="115"/>
      <c r="J290" s="115"/>
      <c r="K290" s="115"/>
      <c r="L290" s="115"/>
      <c r="M290" s="353"/>
      <c r="N290" s="115"/>
      <c r="O290" s="115"/>
      <c r="P290" s="115"/>
      <c r="Q290" s="115"/>
      <c r="R290" s="115"/>
      <c r="S290" s="115"/>
      <c r="T290" s="115"/>
      <c r="U290" s="115"/>
      <c r="V290" s="115"/>
      <c r="W290" s="115"/>
      <c r="X290" s="115"/>
      <c r="Y290" s="115"/>
      <c r="Z290" s="115"/>
      <c r="AA290" s="115"/>
      <c r="AB290" s="115"/>
      <c r="AI290" s="263"/>
      <c r="AJ290" s="263"/>
      <c r="AK290" s="263"/>
      <c r="AN290" s="115"/>
      <c r="AO290" s="115"/>
    </row>
    <row r="291">
      <c r="A291" s="397"/>
      <c r="B291" s="385"/>
      <c r="C291" s="385"/>
      <c r="H291" s="115"/>
      <c r="I291" s="115"/>
      <c r="J291" s="115"/>
      <c r="K291" s="115"/>
      <c r="L291" s="115"/>
      <c r="M291" s="353"/>
      <c r="N291" s="115"/>
      <c r="O291" s="115"/>
      <c r="P291" s="115"/>
      <c r="Q291" s="115"/>
      <c r="R291" s="115"/>
      <c r="S291" s="115"/>
      <c r="T291" s="115"/>
      <c r="U291" s="115"/>
      <c r="V291" s="115"/>
      <c r="W291" s="115"/>
      <c r="X291" s="115"/>
      <c r="Y291" s="115"/>
      <c r="Z291" s="115"/>
      <c r="AA291" s="115"/>
      <c r="AB291" s="115"/>
      <c r="AI291" s="263"/>
      <c r="AJ291" s="263"/>
      <c r="AK291" s="263"/>
      <c r="AN291" s="115"/>
      <c r="AO291" s="115"/>
    </row>
    <row r="292">
      <c r="A292" s="397"/>
      <c r="B292" s="385"/>
      <c r="C292" s="385"/>
      <c r="H292" s="115"/>
      <c r="I292" s="115"/>
      <c r="J292" s="115"/>
      <c r="K292" s="115"/>
      <c r="L292" s="115"/>
      <c r="M292" s="353"/>
      <c r="N292" s="115"/>
      <c r="O292" s="115"/>
      <c r="P292" s="115"/>
      <c r="Q292" s="115"/>
      <c r="R292" s="115"/>
      <c r="S292" s="115"/>
      <c r="T292" s="115"/>
      <c r="U292" s="115"/>
      <c r="V292" s="115"/>
      <c r="W292" s="115"/>
      <c r="X292" s="115"/>
      <c r="Y292" s="115"/>
      <c r="Z292" s="115"/>
      <c r="AA292" s="115"/>
      <c r="AB292" s="115"/>
      <c r="AI292" s="263"/>
      <c r="AJ292" s="263"/>
      <c r="AK292" s="263"/>
      <c r="AN292" s="115"/>
      <c r="AO292" s="115"/>
    </row>
    <row r="293">
      <c r="A293" s="397"/>
      <c r="B293" s="385"/>
      <c r="C293" s="385"/>
      <c r="H293" s="115"/>
      <c r="I293" s="115"/>
      <c r="J293" s="115"/>
      <c r="K293" s="115"/>
      <c r="L293" s="115"/>
      <c r="M293" s="353"/>
      <c r="N293" s="115"/>
      <c r="O293" s="115"/>
      <c r="P293" s="115"/>
      <c r="Q293" s="115"/>
      <c r="R293" s="115"/>
      <c r="S293" s="115"/>
      <c r="T293" s="115"/>
      <c r="U293" s="115"/>
      <c r="V293" s="115"/>
      <c r="W293" s="115"/>
      <c r="X293" s="115"/>
      <c r="Y293" s="115"/>
      <c r="Z293" s="115"/>
      <c r="AA293" s="115"/>
      <c r="AB293" s="115"/>
      <c r="AI293" s="263"/>
      <c r="AJ293" s="263"/>
      <c r="AK293" s="263"/>
      <c r="AN293" s="115"/>
      <c r="AO293" s="115"/>
    </row>
    <row r="294">
      <c r="A294" s="397"/>
      <c r="B294" s="385"/>
      <c r="C294" s="385"/>
      <c r="H294" s="115"/>
      <c r="I294" s="115"/>
      <c r="J294" s="115"/>
      <c r="K294" s="115"/>
      <c r="L294" s="115"/>
      <c r="M294" s="353"/>
      <c r="N294" s="115"/>
      <c r="O294" s="115"/>
      <c r="P294" s="115"/>
      <c r="Q294" s="115"/>
      <c r="R294" s="115"/>
      <c r="S294" s="115"/>
      <c r="T294" s="115"/>
      <c r="U294" s="115"/>
      <c r="V294" s="115"/>
      <c r="W294" s="115"/>
      <c r="X294" s="115"/>
      <c r="Y294" s="115"/>
      <c r="Z294" s="115"/>
      <c r="AA294" s="115"/>
      <c r="AB294" s="115"/>
      <c r="AI294" s="263"/>
      <c r="AJ294" s="263"/>
      <c r="AK294" s="263"/>
      <c r="AN294" s="115"/>
      <c r="AO294" s="115"/>
    </row>
    <row r="295">
      <c r="A295" s="397"/>
      <c r="B295" s="385"/>
      <c r="C295" s="385"/>
      <c r="H295" s="115"/>
      <c r="I295" s="115"/>
      <c r="J295" s="115"/>
      <c r="K295" s="115"/>
      <c r="L295" s="115"/>
      <c r="M295" s="353"/>
      <c r="N295" s="115"/>
      <c r="O295" s="115"/>
      <c r="P295" s="115"/>
      <c r="Q295" s="115"/>
      <c r="R295" s="115"/>
      <c r="S295" s="115"/>
      <c r="T295" s="115"/>
      <c r="U295" s="115"/>
      <c r="V295" s="115"/>
      <c r="W295" s="115"/>
      <c r="X295" s="115"/>
      <c r="Y295" s="115"/>
      <c r="Z295" s="115"/>
      <c r="AA295" s="115"/>
      <c r="AB295" s="115"/>
      <c r="AI295" s="263"/>
      <c r="AJ295" s="263"/>
      <c r="AK295" s="263"/>
      <c r="AN295" s="115"/>
      <c r="AO295" s="115"/>
    </row>
    <row r="296">
      <c r="A296" s="397"/>
      <c r="B296" s="385"/>
      <c r="C296" s="385"/>
      <c r="H296" s="115"/>
      <c r="I296" s="115"/>
      <c r="J296" s="115"/>
      <c r="K296" s="115"/>
      <c r="L296" s="115"/>
      <c r="M296" s="353"/>
      <c r="N296" s="115"/>
      <c r="O296" s="115"/>
      <c r="P296" s="115"/>
      <c r="Q296" s="115"/>
      <c r="R296" s="115"/>
      <c r="S296" s="115"/>
      <c r="T296" s="115"/>
      <c r="U296" s="115"/>
      <c r="V296" s="115"/>
      <c r="W296" s="115"/>
      <c r="X296" s="115"/>
      <c r="Y296" s="115"/>
      <c r="Z296" s="115"/>
      <c r="AA296" s="115"/>
      <c r="AB296" s="115"/>
      <c r="AI296" s="263"/>
      <c r="AJ296" s="263"/>
      <c r="AK296" s="263"/>
      <c r="AN296" s="115"/>
      <c r="AO296" s="115"/>
    </row>
    <row r="297">
      <c r="A297" s="397"/>
      <c r="B297" s="385"/>
      <c r="C297" s="385"/>
      <c r="H297" s="115"/>
      <c r="I297" s="115"/>
      <c r="J297" s="115"/>
      <c r="K297" s="115"/>
      <c r="L297" s="115"/>
      <c r="M297" s="353"/>
      <c r="N297" s="115"/>
      <c r="O297" s="115"/>
      <c r="P297" s="115"/>
      <c r="Q297" s="115"/>
      <c r="R297" s="115"/>
      <c r="S297" s="115"/>
      <c r="T297" s="115"/>
      <c r="U297" s="115"/>
      <c r="V297" s="115"/>
      <c r="W297" s="115"/>
      <c r="X297" s="115"/>
      <c r="Y297" s="115"/>
      <c r="Z297" s="115"/>
      <c r="AA297" s="115"/>
      <c r="AB297" s="115"/>
      <c r="AI297" s="263"/>
      <c r="AJ297" s="263"/>
      <c r="AK297" s="263"/>
      <c r="AN297" s="115"/>
      <c r="AO297" s="115"/>
    </row>
    <row r="298">
      <c r="A298" s="397"/>
      <c r="B298" s="385"/>
      <c r="C298" s="385"/>
      <c r="H298" s="115"/>
      <c r="I298" s="115"/>
      <c r="J298" s="115"/>
      <c r="K298" s="115"/>
      <c r="L298" s="115"/>
      <c r="M298" s="353"/>
      <c r="N298" s="115"/>
      <c r="O298" s="115"/>
      <c r="P298" s="115"/>
      <c r="Q298" s="115"/>
      <c r="R298" s="115"/>
      <c r="S298" s="115"/>
      <c r="T298" s="115"/>
      <c r="U298" s="115"/>
      <c r="V298" s="115"/>
      <c r="W298" s="115"/>
      <c r="X298" s="115"/>
      <c r="Y298" s="115"/>
      <c r="Z298" s="115"/>
      <c r="AA298" s="115"/>
      <c r="AB298" s="115"/>
      <c r="AI298" s="263"/>
      <c r="AJ298" s="263"/>
      <c r="AK298" s="263"/>
      <c r="AN298" s="115"/>
      <c r="AO298" s="115"/>
    </row>
    <row r="299">
      <c r="A299" s="397"/>
      <c r="B299" s="385"/>
      <c r="C299" s="385"/>
      <c r="H299" s="115"/>
      <c r="I299" s="115"/>
      <c r="J299" s="115"/>
      <c r="K299" s="115"/>
      <c r="L299" s="115"/>
      <c r="M299" s="353"/>
      <c r="N299" s="115"/>
      <c r="O299" s="115"/>
      <c r="P299" s="115"/>
      <c r="Q299" s="115"/>
      <c r="R299" s="115"/>
      <c r="S299" s="115"/>
      <c r="T299" s="115"/>
      <c r="U299" s="115"/>
      <c r="V299" s="115"/>
      <c r="W299" s="115"/>
      <c r="X299" s="115"/>
      <c r="Y299" s="115"/>
      <c r="Z299" s="115"/>
      <c r="AA299" s="115"/>
      <c r="AB299" s="115"/>
      <c r="AI299" s="263"/>
      <c r="AJ299" s="263"/>
      <c r="AK299" s="263"/>
      <c r="AN299" s="115"/>
      <c r="AO299" s="115"/>
    </row>
    <row r="300">
      <c r="A300" s="397"/>
      <c r="B300" s="385"/>
      <c r="C300" s="385"/>
      <c r="H300" s="115"/>
      <c r="I300" s="115"/>
      <c r="J300" s="115"/>
      <c r="K300" s="115"/>
      <c r="L300" s="115"/>
      <c r="M300" s="353"/>
      <c r="N300" s="115"/>
      <c r="O300" s="115"/>
      <c r="P300" s="115"/>
      <c r="Q300" s="115"/>
      <c r="R300" s="115"/>
      <c r="S300" s="115"/>
      <c r="T300" s="115"/>
      <c r="U300" s="115"/>
      <c r="V300" s="115"/>
      <c r="W300" s="115"/>
      <c r="X300" s="115"/>
      <c r="Y300" s="115"/>
      <c r="Z300" s="115"/>
      <c r="AA300" s="115"/>
      <c r="AB300" s="115"/>
      <c r="AI300" s="263"/>
      <c r="AJ300" s="263"/>
      <c r="AK300" s="263"/>
      <c r="AN300" s="115"/>
      <c r="AO300" s="115"/>
    </row>
    <row r="301">
      <c r="A301" s="397"/>
      <c r="B301" s="385"/>
      <c r="C301" s="385"/>
      <c r="H301" s="115"/>
      <c r="I301" s="115"/>
      <c r="J301" s="115"/>
      <c r="K301" s="115"/>
      <c r="L301" s="115"/>
      <c r="M301" s="353"/>
      <c r="N301" s="115"/>
      <c r="O301" s="115"/>
      <c r="P301" s="115"/>
      <c r="Q301" s="115"/>
      <c r="R301" s="115"/>
      <c r="S301" s="115"/>
      <c r="T301" s="115"/>
      <c r="U301" s="115"/>
      <c r="V301" s="115"/>
      <c r="W301" s="115"/>
      <c r="X301" s="115"/>
      <c r="Y301" s="115"/>
      <c r="Z301" s="115"/>
      <c r="AA301" s="115"/>
      <c r="AB301" s="115"/>
      <c r="AI301" s="263"/>
      <c r="AJ301" s="263"/>
      <c r="AK301" s="263"/>
      <c r="AN301" s="115"/>
      <c r="AO301" s="115"/>
    </row>
    <row r="302">
      <c r="A302" s="397"/>
      <c r="B302" s="385"/>
      <c r="C302" s="385"/>
      <c r="H302" s="115"/>
      <c r="I302" s="115"/>
      <c r="J302" s="115"/>
      <c r="K302" s="115"/>
      <c r="L302" s="115"/>
      <c r="M302" s="353"/>
      <c r="N302" s="115"/>
      <c r="O302" s="115"/>
      <c r="P302" s="115"/>
      <c r="Q302" s="115"/>
      <c r="R302" s="115"/>
      <c r="S302" s="115"/>
      <c r="T302" s="115"/>
      <c r="U302" s="115"/>
      <c r="V302" s="115"/>
      <c r="W302" s="115"/>
      <c r="X302" s="115"/>
      <c r="Y302" s="115"/>
      <c r="Z302" s="115"/>
      <c r="AA302" s="115"/>
      <c r="AB302" s="115"/>
      <c r="AI302" s="263"/>
      <c r="AJ302" s="263"/>
      <c r="AK302" s="263"/>
      <c r="AN302" s="115"/>
      <c r="AO302" s="115"/>
    </row>
    <row r="303">
      <c r="A303" s="397"/>
      <c r="B303" s="385"/>
      <c r="C303" s="385"/>
      <c r="H303" s="115"/>
      <c r="I303" s="115"/>
      <c r="J303" s="115"/>
      <c r="K303" s="115"/>
      <c r="L303" s="115"/>
      <c r="M303" s="353"/>
      <c r="N303" s="115"/>
      <c r="O303" s="115"/>
      <c r="P303" s="115"/>
      <c r="Q303" s="115"/>
      <c r="R303" s="115"/>
      <c r="S303" s="115"/>
      <c r="T303" s="115"/>
      <c r="U303" s="115"/>
      <c r="V303" s="115"/>
      <c r="W303" s="115"/>
      <c r="X303" s="115"/>
      <c r="Y303" s="115"/>
      <c r="Z303" s="115"/>
      <c r="AA303" s="115"/>
      <c r="AB303" s="115"/>
      <c r="AI303" s="263"/>
      <c r="AJ303" s="263"/>
      <c r="AK303" s="263"/>
      <c r="AN303" s="115"/>
      <c r="AO303" s="115"/>
    </row>
    <row r="304">
      <c r="A304" s="397"/>
      <c r="B304" s="385"/>
      <c r="C304" s="385"/>
      <c r="H304" s="115"/>
      <c r="I304" s="115"/>
      <c r="J304" s="115"/>
      <c r="K304" s="115"/>
      <c r="L304" s="115"/>
      <c r="M304" s="353"/>
      <c r="N304" s="115"/>
      <c r="O304" s="115"/>
      <c r="P304" s="115"/>
      <c r="Q304" s="115"/>
      <c r="R304" s="115"/>
      <c r="S304" s="115"/>
      <c r="T304" s="115"/>
      <c r="U304" s="115"/>
      <c r="V304" s="115"/>
      <c r="W304" s="115"/>
      <c r="X304" s="115"/>
      <c r="Y304" s="115"/>
      <c r="Z304" s="115"/>
      <c r="AA304" s="115"/>
      <c r="AB304" s="115"/>
      <c r="AI304" s="263"/>
      <c r="AJ304" s="263"/>
      <c r="AK304" s="263"/>
      <c r="AN304" s="115"/>
      <c r="AO304" s="115"/>
    </row>
    <row r="305">
      <c r="A305" s="397"/>
      <c r="B305" s="385"/>
      <c r="C305" s="385"/>
      <c r="H305" s="115"/>
      <c r="I305" s="115"/>
      <c r="J305" s="115"/>
      <c r="K305" s="115"/>
      <c r="L305" s="115"/>
      <c r="M305" s="353"/>
      <c r="N305" s="115"/>
      <c r="O305" s="115"/>
      <c r="P305" s="115"/>
      <c r="Q305" s="115"/>
      <c r="R305" s="115"/>
      <c r="S305" s="115"/>
      <c r="T305" s="115"/>
      <c r="U305" s="115"/>
      <c r="V305" s="115"/>
      <c r="W305" s="115"/>
      <c r="X305" s="115"/>
      <c r="Y305" s="115"/>
      <c r="Z305" s="115"/>
      <c r="AA305" s="115"/>
      <c r="AB305" s="115"/>
      <c r="AI305" s="263"/>
      <c r="AJ305" s="263"/>
      <c r="AK305" s="263"/>
      <c r="AN305" s="115"/>
      <c r="AO305" s="115"/>
    </row>
    <row r="306">
      <c r="A306" s="397"/>
      <c r="B306" s="385"/>
      <c r="C306" s="385"/>
      <c r="H306" s="115"/>
      <c r="I306" s="115"/>
      <c r="J306" s="115"/>
      <c r="K306" s="115"/>
      <c r="L306" s="115"/>
      <c r="M306" s="353"/>
      <c r="N306" s="115"/>
      <c r="O306" s="115"/>
      <c r="P306" s="115"/>
      <c r="Q306" s="115"/>
      <c r="R306" s="115"/>
      <c r="S306" s="115"/>
      <c r="T306" s="115"/>
      <c r="U306" s="115"/>
      <c r="V306" s="115"/>
      <c r="W306" s="115"/>
      <c r="X306" s="115"/>
      <c r="Y306" s="115"/>
      <c r="Z306" s="115"/>
      <c r="AA306" s="115"/>
      <c r="AB306" s="115"/>
      <c r="AI306" s="263"/>
      <c r="AJ306" s="263"/>
      <c r="AK306" s="263"/>
      <c r="AN306" s="115"/>
      <c r="AO306" s="115"/>
    </row>
    <row r="307">
      <c r="A307" s="397"/>
      <c r="B307" s="385"/>
      <c r="C307" s="385"/>
      <c r="H307" s="115"/>
      <c r="I307" s="115"/>
      <c r="J307" s="115"/>
      <c r="K307" s="115"/>
      <c r="L307" s="115"/>
      <c r="M307" s="353"/>
      <c r="N307" s="115"/>
      <c r="O307" s="115"/>
      <c r="P307" s="115"/>
      <c r="Q307" s="115"/>
      <c r="R307" s="115"/>
      <c r="S307" s="115"/>
      <c r="T307" s="115"/>
      <c r="U307" s="115"/>
      <c r="V307" s="115"/>
      <c r="W307" s="115"/>
      <c r="X307" s="115"/>
      <c r="Y307" s="115"/>
      <c r="Z307" s="115"/>
      <c r="AA307" s="115"/>
      <c r="AB307" s="115"/>
      <c r="AI307" s="263"/>
      <c r="AJ307" s="263"/>
      <c r="AK307" s="263"/>
      <c r="AN307" s="115"/>
      <c r="AO307" s="115"/>
    </row>
    <row r="308">
      <c r="A308" s="397"/>
      <c r="B308" s="385"/>
      <c r="C308" s="385"/>
      <c r="H308" s="115"/>
      <c r="I308" s="115"/>
      <c r="J308" s="115"/>
      <c r="K308" s="115"/>
      <c r="L308" s="115"/>
      <c r="M308" s="353"/>
      <c r="N308" s="115"/>
      <c r="O308" s="115"/>
      <c r="P308" s="115"/>
      <c r="Q308" s="115"/>
      <c r="R308" s="115"/>
      <c r="S308" s="115"/>
      <c r="T308" s="115"/>
      <c r="U308" s="115"/>
      <c r="V308" s="115"/>
      <c r="W308" s="115"/>
      <c r="X308" s="115"/>
      <c r="Y308" s="115"/>
      <c r="Z308" s="115"/>
      <c r="AA308" s="115"/>
      <c r="AB308" s="115"/>
      <c r="AI308" s="263"/>
      <c r="AJ308" s="263"/>
      <c r="AK308" s="263"/>
      <c r="AN308" s="115"/>
      <c r="AO308" s="115"/>
    </row>
    <row r="309">
      <c r="A309" s="397"/>
      <c r="B309" s="385"/>
      <c r="C309" s="385"/>
      <c r="H309" s="115"/>
      <c r="I309" s="115"/>
      <c r="J309" s="115"/>
      <c r="K309" s="115"/>
      <c r="L309" s="115"/>
      <c r="M309" s="353"/>
      <c r="N309" s="115"/>
      <c r="O309" s="115"/>
      <c r="P309" s="115"/>
      <c r="Q309" s="115"/>
      <c r="R309" s="115"/>
      <c r="S309" s="115"/>
      <c r="T309" s="115"/>
      <c r="U309" s="115"/>
      <c r="V309" s="115"/>
      <c r="W309" s="115"/>
      <c r="X309" s="115"/>
      <c r="Y309" s="115"/>
      <c r="Z309" s="115"/>
      <c r="AA309" s="115"/>
      <c r="AB309" s="115"/>
      <c r="AI309" s="263"/>
      <c r="AJ309" s="263"/>
      <c r="AK309" s="263"/>
      <c r="AN309" s="115"/>
      <c r="AO309" s="115"/>
    </row>
    <row r="310">
      <c r="A310" s="397"/>
      <c r="B310" s="385"/>
      <c r="C310" s="385"/>
      <c r="H310" s="115"/>
      <c r="I310" s="115"/>
      <c r="J310" s="115"/>
      <c r="K310" s="115"/>
      <c r="L310" s="115"/>
      <c r="M310" s="353"/>
      <c r="N310" s="115"/>
      <c r="O310" s="115"/>
      <c r="P310" s="115"/>
      <c r="Q310" s="115"/>
      <c r="R310" s="115"/>
      <c r="S310" s="115"/>
      <c r="T310" s="115"/>
      <c r="U310" s="115"/>
      <c r="V310" s="115"/>
      <c r="W310" s="115"/>
      <c r="X310" s="115"/>
      <c r="Y310" s="115"/>
      <c r="Z310" s="115"/>
      <c r="AA310" s="115"/>
      <c r="AB310" s="115"/>
      <c r="AI310" s="263"/>
      <c r="AJ310" s="263"/>
      <c r="AK310" s="263"/>
      <c r="AN310" s="115"/>
      <c r="AO310" s="115"/>
    </row>
    <row r="311">
      <c r="A311" s="397"/>
      <c r="B311" s="385"/>
      <c r="C311" s="385"/>
      <c r="H311" s="115"/>
      <c r="I311" s="115"/>
      <c r="J311" s="115"/>
      <c r="K311" s="115"/>
      <c r="L311" s="115"/>
      <c r="M311" s="353"/>
      <c r="N311" s="115"/>
      <c r="O311" s="115"/>
      <c r="P311" s="115"/>
      <c r="Q311" s="115"/>
      <c r="R311" s="115"/>
      <c r="S311" s="115"/>
      <c r="T311" s="115"/>
      <c r="U311" s="115"/>
      <c r="V311" s="115"/>
      <c r="W311" s="115"/>
      <c r="X311" s="115"/>
      <c r="Y311" s="115"/>
      <c r="Z311" s="115"/>
      <c r="AA311" s="115"/>
      <c r="AB311" s="115"/>
      <c r="AI311" s="263"/>
      <c r="AJ311" s="263"/>
      <c r="AK311" s="263"/>
      <c r="AN311" s="115"/>
      <c r="AO311" s="115"/>
    </row>
    <row r="312">
      <c r="A312" s="397"/>
      <c r="B312" s="385"/>
      <c r="C312" s="385"/>
      <c r="H312" s="115"/>
      <c r="I312" s="115"/>
      <c r="J312" s="115"/>
      <c r="K312" s="115"/>
      <c r="L312" s="115"/>
      <c r="M312" s="353"/>
      <c r="N312" s="115"/>
      <c r="O312" s="115"/>
      <c r="P312" s="115"/>
      <c r="Q312" s="115"/>
      <c r="R312" s="115"/>
      <c r="S312" s="115"/>
      <c r="T312" s="115"/>
      <c r="U312" s="115"/>
      <c r="V312" s="115"/>
      <c r="W312" s="115"/>
      <c r="X312" s="115"/>
      <c r="Y312" s="115"/>
      <c r="Z312" s="115"/>
      <c r="AA312" s="115"/>
      <c r="AB312" s="115"/>
      <c r="AI312" s="263"/>
      <c r="AJ312" s="263"/>
      <c r="AK312" s="263"/>
      <c r="AN312" s="115"/>
      <c r="AO312" s="115"/>
    </row>
    <row r="313">
      <c r="A313" s="397"/>
      <c r="B313" s="385"/>
      <c r="C313" s="385"/>
      <c r="H313" s="115"/>
      <c r="I313" s="115"/>
      <c r="J313" s="115"/>
      <c r="K313" s="115"/>
      <c r="L313" s="115"/>
      <c r="M313" s="353"/>
      <c r="N313" s="115"/>
      <c r="O313" s="115"/>
      <c r="P313" s="115"/>
      <c r="Q313" s="115"/>
      <c r="R313" s="115"/>
      <c r="S313" s="115"/>
      <c r="T313" s="115"/>
      <c r="U313" s="115"/>
      <c r="V313" s="115"/>
      <c r="W313" s="115"/>
      <c r="X313" s="115"/>
      <c r="Y313" s="115"/>
      <c r="Z313" s="115"/>
      <c r="AA313" s="115"/>
      <c r="AB313" s="115"/>
      <c r="AI313" s="263"/>
      <c r="AJ313" s="263"/>
      <c r="AK313" s="263"/>
      <c r="AN313" s="115"/>
      <c r="AO313" s="115"/>
    </row>
    <row r="314">
      <c r="A314" s="397"/>
      <c r="B314" s="385"/>
      <c r="C314" s="385"/>
      <c r="H314" s="115"/>
      <c r="I314" s="115"/>
      <c r="J314" s="115"/>
      <c r="K314" s="115"/>
      <c r="L314" s="115"/>
      <c r="M314" s="353"/>
      <c r="N314" s="115"/>
      <c r="O314" s="115"/>
      <c r="P314" s="115"/>
      <c r="Q314" s="115"/>
      <c r="R314" s="115"/>
      <c r="S314" s="115"/>
      <c r="T314" s="115"/>
      <c r="U314" s="115"/>
      <c r="V314" s="115"/>
      <c r="W314" s="115"/>
      <c r="X314" s="115"/>
      <c r="Y314" s="115"/>
      <c r="Z314" s="115"/>
      <c r="AA314" s="115"/>
      <c r="AB314" s="115"/>
      <c r="AI314" s="263"/>
      <c r="AJ314" s="263"/>
      <c r="AK314" s="263"/>
      <c r="AN314" s="115"/>
      <c r="AO314" s="115"/>
    </row>
    <row r="315">
      <c r="A315" s="397"/>
      <c r="B315" s="385"/>
      <c r="C315" s="385"/>
      <c r="H315" s="115"/>
      <c r="I315" s="115"/>
      <c r="J315" s="115"/>
      <c r="K315" s="115"/>
      <c r="L315" s="115"/>
      <c r="M315" s="353"/>
      <c r="N315" s="115"/>
      <c r="O315" s="115"/>
      <c r="P315" s="115"/>
      <c r="Q315" s="115"/>
      <c r="R315" s="115"/>
      <c r="S315" s="115"/>
      <c r="T315" s="115"/>
      <c r="U315" s="115"/>
      <c r="V315" s="115"/>
      <c r="W315" s="115"/>
      <c r="X315" s="115"/>
      <c r="Y315" s="115"/>
      <c r="Z315" s="115"/>
      <c r="AA315" s="115"/>
      <c r="AB315" s="115"/>
      <c r="AI315" s="263"/>
      <c r="AJ315" s="263"/>
      <c r="AK315" s="263"/>
      <c r="AN315" s="115"/>
      <c r="AO315" s="115"/>
    </row>
    <row r="316">
      <c r="A316" s="397"/>
      <c r="B316" s="385"/>
      <c r="C316" s="385"/>
      <c r="H316" s="115"/>
      <c r="I316" s="115"/>
      <c r="J316" s="115"/>
      <c r="K316" s="115"/>
      <c r="L316" s="115"/>
      <c r="M316" s="353"/>
      <c r="N316" s="115"/>
      <c r="O316" s="115"/>
      <c r="P316" s="115"/>
      <c r="Q316" s="115"/>
      <c r="R316" s="115"/>
      <c r="S316" s="115"/>
      <c r="T316" s="115"/>
      <c r="U316" s="115"/>
      <c r="V316" s="115"/>
      <c r="W316" s="115"/>
      <c r="X316" s="115"/>
      <c r="Y316" s="115"/>
      <c r="Z316" s="115"/>
      <c r="AA316" s="115"/>
      <c r="AB316" s="115"/>
      <c r="AI316" s="263"/>
      <c r="AJ316" s="263"/>
      <c r="AK316" s="263"/>
      <c r="AN316" s="115"/>
      <c r="AO316" s="115"/>
    </row>
    <row r="317">
      <c r="A317" s="397"/>
      <c r="B317" s="385"/>
      <c r="C317" s="385"/>
      <c r="H317" s="115"/>
      <c r="I317" s="115"/>
      <c r="J317" s="115"/>
      <c r="K317" s="115"/>
      <c r="L317" s="115"/>
      <c r="M317" s="353"/>
      <c r="N317" s="115"/>
      <c r="O317" s="115"/>
      <c r="P317" s="115"/>
      <c r="Q317" s="115"/>
      <c r="R317" s="115"/>
      <c r="S317" s="115"/>
      <c r="T317" s="115"/>
      <c r="U317" s="115"/>
      <c r="V317" s="115"/>
      <c r="W317" s="115"/>
      <c r="X317" s="115"/>
      <c r="Y317" s="115"/>
      <c r="Z317" s="115"/>
      <c r="AA317" s="115"/>
      <c r="AB317" s="115"/>
      <c r="AI317" s="263"/>
      <c r="AJ317" s="263"/>
      <c r="AK317" s="263"/>
      <c r="AN317" s="115"/>
      <c r="AO317" s="115"/>
    </row>
    <row r="318">
      <c r="A318" s="397"/>
      <c r="B318" s="385"/>
      <c r="C318" s="385"/>
      <c r="H318" s="115"/>
      <c r="I318" s="115"/>
      <c r="J318" s="115"/>
      <c r="K318" s="115"/>
      <c r="L318" s="115"/>
      <c r="M318" s="353"/>
      <c r="N318" s="115"/>
      <c r="O318" s="115"/>
      <c r="P318" s="115"/>
      <c r="Q318" s="115"/>
      <c r="R318" s="115"/>
      <c r="S318" s="115"/>
      <c r="T318" s="115"/>
      <c r="U318" s="115"/>
      <c r="V318" s="115"/>
      <c r="W318" s="115"/>
      <c r="X318" s="115"/>
      <c r="Y318" s="115"/>
      <c r="Z318" s="115"/>
      <c r="AA318" s="115"/>
      <c r="AB318" s="115"/>
      <c r="AI318" s="263"/>
      <c r="AJ318" s="263"/>
      <c r="AK318" s="263"/>
      <c r="AN318" s="115"/>
      <c r="AO318" s="115"/>
    </row>
    <row r="319">
      <c r="A319" s="397"/>
      <c r="B319" s="385"/>
      <c r="C319" s="385"/>
      <c r="H319" s="115"/>
      <c r="I319" s="115"/>
      <c r="J319" s="115"/>
      <c r="K319" s="115"/>
      <c r="L319" s="115"/>
      <c r="M319" s="353"/>
      <c r="N319" s="115"/>
      <c r="O319" s="115"/>
      <c r="P319" s="115"/>
      <c r="Q319" s="115"/>
      <c r="R319" s="115"/>
      <c r="S319" s="115"/>
      <c r="T319" s="115"/>
      <c r="U319" s="115"/>
      <c r="V319" s="115"/>
      <c r="W319" s="115"/>
      <c r="X319" s="115"/>
      <c r="Y319" s="115"/>
      <c r="Z319" s="115"/>
      <c r="AA319" s="115"/>
      <c r="AB319" s="115"/>
      <c r="AI319" s="263"/>
      <c r="AJ319" s="263"/>
      <c r="AK319" s="263"/>
      <c r="AN319" s="115"/>
      <c r="AO319" s="115"/>
    </row>
    <row r="320">
      <c r="A320" s="397"/>
      <c r="B320" s="385"/>
      <c r="C320" s="385"/>
      <c r="H320" s="115"/>
      <c r="I320" s="115"/>
      <c r="J320" s="115"/>
      <c r="K320" s="115"/>
      <c r="L320" s="115"/>
      <c r="M320" s="353"/>
      <c r="N320" s="115"/>
      <c r="O320" s="115"/>
      <c r="P320" s="115"/>
      <c r="Q320" s="115"/>
      <c r="R320" s="115"/>
      <c r="S320" s="115"/>
      <c r="T320" s="115"/>
      <c r="U320" s="115"/>
      <c r="V320" s="115"/>
      <c r="W320" s="115"/>
      <c r="X320" s="115"/>
      <c r="Y320" s="115"/>
      <c r="Z320" s="115"/>
      <c r="AA320" s="115"/>
      <c r="AB320" s="115"/>
      <c r="AI320" s="263"/>
      <c r="AJ320" s="263"/>
      <c r="AK320" s="263"/>
      <c r="AN320" s="115"/>
      <c r="AO320" s="115"/>
    </row>
    <row r="321">
      <c r="A321" s="397"/>
      <c r="B321" s="385"/>
      <c r="C321" s="385"/>
      <c r="H321" s="115"/>
      <c r="I321" s="115"/>
      <c r="J321" s="115"/>
      <c r="K321" s="115"/>
      <c r="L321" s="115"/>
      <c r="M321" s="353"/>
      <c r="N321" s="115"/>
      <c r="O321" s="115"/>
      <c r="P321" s="115"/>
      <c r="Q321" s="115"/>
      <c r="R321" s="115"/>
      <c r="S321" s="115"/>
      <c r="T321" s="115"/>
      <c r="U321" s="115"/>
      <c r="V321" s="115"/>
      <c r="W321" s="115"/>
      <c r="X321" s="115"/>
      <c r="Y321" s="115"/>
      <c r="Z321" s="115"/>
      <c r="AA321" s="115"/>
      <c r="AB321" s="115"/>
      <c r="AI321" s="263"/>
      <c r="AJ321" s="263"/>
      <c r="AK321" s="263"/>
      <c r="AN321" s="115"/>
      <c r="AO321" s="115"/>
    </row>
    <row r="322">
      <c r="A322" s="397"/>
      <c r="B322" s="385"/>
      <c r="C322" s="385"/>
      <c r="H322" s="115"/>
      <c r="I322" s="115"/>
      <c r="J322" s="115"/>
      <c r="K322" s="115"/>
      <c r="L322" s="115"/>
      <c r="M322" s="353"/>
      <c r="N322" s="115"/>
      <c r="O322" s="115"/>
      <c r="P322" s="115"/>
      <c r="Q322" s="115"/>
      <c r="R322" s="115"/>
      <c r="S322" s="115"/>
      <c r="T322" s="115"/>
      <c r="U322" s="115"/>
      <c r="V322" s="115"/>
      <c r="W322" s="115"/>
      <c r="X322" s="115"/>
      <c r="Y322" s="115"/>
      <c r="Z322" s="115"/>
      <c r="AA322" s="115"/>
      <c r="AB322" s="115"/>
      <c r="AI322" s="263"/>
      <c r="AJ322" s="263"/>
      <c r="AK322" s="263"/>
      <c r="AN322" s="115"/>
      <c r="AO322" s="115"/>
    </row>
    <row r="323">
      <c r="A323" s="397"/>
      <c r="B323" s="385"/>
      <c r="C323" s="385"/>
      <c r="H323" s="115"/>
      <c r="I323" s="115"/>
      <c r="J323" s="115"/>
      <c r="K323" s="115"/>
      <c r="L323" s="115"/>
      <c r="M323" s="353"/>
      <c r="N323" s="115"/>
      <c r="O323" s="115"/>
      <c r="P323" s="115"/>
      <c r="Q323" s="115"/>
      <c r="R323" s="115"/>
      <c r="S323" s="115"/>
      <c r="T323" s="115"/>
      <c r="U323" s="115"/>
      <c r="V323" s="115"/>
      <c r="W323" s="115"/>
      <c r="X323" s="115"/>
      <c r="Y323" s="115"/>
      <c r="Z323" s="115"/>
      <c r="AA323" s="115"/>
      <c r="AB323" s="115"/>
      <c r="AI323" s="263"/>
      <c r="AJ323" s="263"/>
      <c r="AK323" s="263"/>
      <c r="AN323" s="115"/>
      <c r="AO323" s="115"/>
    </row>
    <row r="324">
      <c r="A324" s="397"/>
      <c r="B324" s="385"/>
      <c r="C324" s="385"/>
      <c r="H324" s="115"/>
      <c r="I324" s="115"/>
      <c r="J324" s="115"/>
      <c r="K324" s="115"/>
      <c r="L324" s="115"/>
      <c r="M324" s="353"/>
      <c r="N324" s="115"/>
      <c r="O324" s="115"/>
      <c r="P324" s="115"/>
      <c r="Q324" s="115"/>
      <c r="R324" s="115"/>
      <c r="S324" s="115"/>
      <c r="T324" s="115"/>
      <c r="U324" s="115"/>
      <c r="V324" s="115"/>
      <c r="W324" s="115"/>
      <c r="X324" s="115"/>
      <c r="Y324" s="115"/>
      <c r="Z324" s="115"/>
      <c r="AA324" s="115"/>
      <c r="AB324" s="115"/>
      <c r="AI324" s="263"/>
      <c r="AJ324" s="263"/>
      <c r="AK324" s="263"/>
      <c r="AN324" s="115"/>
      <c r="AO324" s="115"/>
    </row>
    <row r="325">
      <c r="A325" s="397"/>
      <c r="B325" s="385"/>
      <c r="C325" s="385"/>
      <c r="H325" s="115"/>
      <c r="I325" s="115"/>
      <c r="J325" s="115"/>
      <c r="K325" s="115"/>
      <c r="L325" s="115"/>
      <c r="M325" s="353"/>
      <c r="N325" s="115"/>
      <c r="O325" s="115"/>
      <c r="P325" s="115"/>
      <c r="Q325" s="115"/>
      <c r="R325" s="115"/>
      <c r="S325" s="115"/>
      <c r="T325" s="115"/>
      <c r="U325" s="115"/>
      <c r="V325" s="115"/>
      <c r="W325" s="115"/>
      <c r="X325" s="115"/>
      <c r="Y325" s="115"/>
      <c r="Z325" s="115"/>
      <c r="AA325" s="115"/>
      <c r="AB325" s="115"/>
      <c r="AI325" s="263"/>
      <c r="AJ325" s="263"/>
      <c r="AK325" s="263"/>
      <c r="AN325" s="115"/>
      <c r="AO325" s="115"/>
    </row>
    <row r="326">
      <c r="A326" s="397"/>
      <c r="B326" s="385"/>
      <c r="C326" s="385"/>
      <c r="H326" s="115"/>
      <c r="I326" s="115"/>
      <c r="J326" s="115"/>
      <c r="K326" s="115"/>
      <c r="L326" s="115"/>
      <c r="M326" s="353"/>
      <c r="N326" s="115"/>
      <c r="O326" s="115"/>
      <c r="P326" s="115"/>
      <c r="Q326" s="115"/>
      <c r="R326" s="115"/>
      <c r="S326" s="115"/>
      <c r="T326" s="115"/>
      <c r="U326" s="115"/>
      <c r="V326" s="115"/>
      <c r="W326" s="115"/>
      <c r="X326" s="115"/>
      <c r="Y326" s="115"/>
      <c r="Z326" s="115"/>
      <c r="AA326" s="115"/>
      <c r="AB326" s="115"/>
      <c r="AI326" s="263"/>
      <c r="AJ326" s="263"/>
      <c r="AK326" s="263"/>
      <c r="AN326" s="115"/>
      <c r="AO326" s="115"/>
    </row>
    <row r="327">
      <c r="A327" s="397"/>
      <c r="B327" s="385"/>
      <c r="C327" s="385"/>
      <c r="H327" s="115"/>
      <c r="I327" s="115"/>
      <c r="J327" s="115"/>
      <c r="K327" s="115"/>
      <c r="L327" s="115"/>
      <c r="M327" s="353"/>
      <c r="N327" s="115"/>
      <c r="O327" s="115"/>
      <c r="P327" s="115"/>
      <c r="Q327" s="115"/>
      <c r="R327" s="115"/>
      <c r="S327" s="115"/>
      <c r="T327" s="115"/>
      <c r="U327" s="115"/>
      <c r="V327" s="115"/>
      <c r="W327" s="115"/>
      <c r="X327" s="115"/>
      <c r="Y327" s="115"/>
      <c r="Z327" s="115"/>
      <c r="AA327" s="115"/>
      <c r="AB327" s="115"/>
      <c r="AI327" s="263"/>
      <c r="AJ327" s="263"/>
      <c r="AK327" s="263"/>
      <c r="AN327" s="115"/>
      <c r="AO327" s="115"/>
    </row>
    <row r="328">
      <c r="A328" s="397"/>
      <c r="B328" s="385"/>
      <c r="C328" s="385"/>
      <c r="H328" s="115"/>
      <c r="I328" s="115"/>
      <c r="J328" s="115"/>
      <c r="K328" s="115"/>
      <c r="L328" s="115"/>
      <c r="M328" s="353"/>
      <c r="N328" s="115"/>
      <c r="O328" s="115"/>
      <c r="P328" s="115"/>
      <c r="Q328" s="115"/>
      <c r="R328" s="115"/>
      <c r="S328" s="115"/>
      <c r="T328" s="115"/>
      <c r="U328" s="115"/>
      <c r="V328" s="115"/>
      <c r="W328" s="115"/>
      <c r="X328" s="115"/>
      <c r="Y328" s="115"/>
      <c r="Z328" s="115"/>
      <c r="AA328" s="115"/>
      <c r="AB328" s="115"/>
      <c r="AI328" s="263"/>
      <c r="AJ328" s="263"/>
      <c r="AK328" s="263"/>
      <c r="AN328" s="115"/>
      <c r="AO328" s="115"/>
    </row>
    <row r="329">
      <c r="A329" s="397"/>
      <c r="B329" s="385"/>
      <c r="C329" s="385"/>
      <c r="H329" s="115"/>
      <c r="I329" s="115"/>
      <c r="J329" s="115"/>
      <c r="K329" s="115"/>
      <c r="L329" s="115"/>
      <c r="M329" s="353"/>
      <c r="N329" s="115"/>
      <c r="O329" s="115"/>
      <c r="P329" s="115"/>
      <c r="Q329" s="115"/>
      <c r="R329" s="115"/>
      <c r="S329" s="115"/>
      <c r="T329" s="115"/>
      <c r="U329" s="115"/>
      <c r="V329" s="115"/>
      <c r="W329" s="115"/>
      <c r="X329" s="115"/>
      <c r="Y329" s="115"/>
      <c r="Z329" s="115"/>
      <c r="AA329" s="115"/>
      <c r="AB329" s="115"/>
      <c r="AI329" s="263"/>
      <c r="AJ329" s="263"/>
      <c r="AK329" s="263"/>
      <c r="AN329" s="115"/>
      <c r="AO329" s="115"/>
    </row>
    <row r="330">
      <c r="A330" s="397"/>
      <c r="B330" s="385"/>
      <c r="C330" s="385"/>
      <c r="H330" s="115"/>
      <c r="I330" s="115"/>
      <c r="J330" s="115"/>
      <c r="K330" s="115"/>
      <c r="L330" s="115"/>
      <c r="M330" s="353"/>
      <c r="N330" s="115"/>
      <c r="O330" s="115"/>
      <c r="P330" s="115"/>
      <c r="Q330" s="115"/>
      <c r="R330" s="115"/>
      <c r="S330" s="115"/>
      <c r="T330" s="115"/>
      <c r="U330" s="115"/>
      <c r="V330" s="115"/>
      <c r="W330" s="115"/>
      <c r="X330" s="115"/>
      <c r="Y330" s="115"/>
      <c r="Z330" s="115"/>
      <c r="AA330" s="115"/>
      <c r="AB330" s="115"/>
      <c r="AI330" s="263"/>
      <c r="AJ330" s="263"/>
      <c r="AK330" s="263"/>
      <c r="AN330" s="115"/>
      <c r="AO330" s="115"/>
    </row>
    <row r="331">
      <c r="A331" s="397"/>
      <c r="B331" s="385"/>
      <c r="C331" s="385"/>
      <c r="H331" s="115"/>
      <c r="I331" s="115"/>
      <c r="J331" s="115"/>
      <c r="K331" s="115"/>
      <c r="L331" s="115"/>
      <c r="M331" s="353"/>
      <c r="N331" s="115"/>
      <c r="O331" s="115"/>
      <c r="P331" s="115"/>
      <c r="Q331" s="115"/>
      <c r="R331" s="115"/>
      <c r="S331" s="115"/>
      <c r="T331" s="115"/>
      <c r="U331" s="115"/>
      <c r="V331" s="115"/>
      <c r="W331" s="115"/>
      <c r="X331" s="115"/>
      <c r="Y331" s="115"/>
      <c r="Z331" s="115"/>
      <c r="AA331" s="115"/>
      <c r="AB331" s="115"/>
      <c r="AI331" s="263"/>
      <c r="AJ331" s="263"/>
      <c r="AK331" s="263"/>
      <c r="AN331" s="115"/>
      <c r="AO331" s="115"/>
    </row>
    <row r="332">
      <c r="A332" s="397"/>
      <c r="B332" s="385"/>
      <c r="C332" s="385"/>
      <c r="H332" s="115"/>
      <c r="I332" s="115"/>
      <c r="J332" s="115"/>
      <c r="K332" s="115"/>
      <c r="L332" s="115"/>
      <c r="M332" s="353"/>
      <c r="N332" s="115"/>
      <c r="O332" s="115"/>
      <c r="P332" s="115"/>
      <c r="Q332" s="115"/>
      <c r="R332" s="115"/>
      <c r="S332" s="115"/>
      <c r="T332" s="115"/>
      <c r="U332" s="115"/>
      <c r="V332" s="115"/>
      <c r="W332" s="115"/>
      <c r="X332" s="115"/>
      <c r="Y332" s="115"/>
      <c r="Z332" s="115"/>
      <c r="AA332" s="115"/>
      <c r="AB332" s="115"/>
      <c r="AI332" s="263"/>
      <c r="AJ332" s="263"/>
      <c r="AK332" s="263"/>
      <c r="AN332" s="115"/>
      <c r="AO332" s="115"/>
    </row>
    <row r="333">
      <c r="A333" s="397"/>
      <c r="B333" s="385"/>
      <c r="C333" s="385"/>
      <c r="H333" s="115"/>
      <c r="I333" s="115"/>
      <c r="J333" s="115"/>
      <c r="K333" s="115"/>
      <c r="L333" s="115"/>
      <c r="M333" s="353"/>
      <c r="N333" s="115"/>
      <c r="O333" s="115"/>
      <c r="P333" s="115"/>
      <c r="Q333" s="115"/>
      <c r="R333" s="115"/>
      <c r="S333" s="115"/>
      <c r="T333" s="115"/>
      <c r="U333" s="115"/>
      <c r="V333" s="115"/>
      <c r="W333" s="115"/>
      <c r="X333" s="115"/>
      <c r="Y333" s="115"/>
      <c r="Z333" s="115"/>
      <c r="AA333" s="115"/>
      <c r="AB333" s="115"/>
      <c r="AI333" s="263"/>
      <c r="AJ333" s="263"/>
      <c r="AK333" s="263"/>
      <c r="AN333" s="115"/>
      <c r="AO333" s="115"/>
    </row>
    <row r="334">
      <c r="A334" s="397"/>
      <c r="B334" s="385"/>
      <c r="C334" s="385"/>
      <c r="H334" s="115"/>
      <c r="I334" s="115"/>
      <c r="J334" s="115"/>
      <c r="K334" s="115"/>
      <c r="L334" s="115"/>
      <c r="M334" s="353"/>
      <c r="N334" s="115"/>
      <c r="O334" s="115"/>
      <c r="P334" s="115"/>
      <c r="Q334" s="115"/>
      <c r="R334" s="115"/>
      <c r="S334" s="115"/>
      <c r="T334" s="115"/>
      <c r="U334" s="115"/>
      <c r="V334" s="115"/>
      <c r="W334" s="115"/>
      <c r="X334" s="115"/>
      <c r="Y334" s="115"/>
      <c r="Z334" s="115"/>
      <c r="AA334" s="115"/>
      <c r="AB334" s="115"/>
      <c r="AI334" s="263"/>
      <c r="AJ334" s="263"/>
      <c r="AK334" s="263"/>
      <c r="AN334" s="115"/>
      <c r="AO334" s="115"/>
    </row>
    <row r="335">
      <c r="A335" s="397"/>
      <c r="B335" s="385"/>
      <c r="C335" s="385"/>
      <c r="H335" s="115"/>
      <c r="I335" s="115"/>
      <c r="J335" s="115"/>
      <c r="K335" s="115"/>
      <c r="L335" s="115"/>
      <c r="M335" s="353"/>
      <c r="N335" s="115"/>
      <c r="O335" s="115"/>
      <c r="P335" s="115"/>
      <c r="Q335" s="115"/>
      <c r="R335" s="115"/>
      <c r="S335" s="115"/>
      <c r="T335" s="115"/>
      <c r="U335" s="115"/>
      <c r="V335" s="115"/>
      <c r="W335" s="115"/>
      <c r="X335" s="115"/>
      <c r="Y335" s="115"/>
      <c r="Z335" s="115"/>
      <c r="AA335" s="115"/>
      <c r="AB335" s="115"/>
      <c r="AI335" s="263"/>
      <c r="AJ335" s="263"/>
      <c r="AK335" s="263"/>
      <c r="AN335" s="115"/>
      <c r="AO335" s="115"/>
    </row>
    <row r="336">
      <c r="A336" s="397"/>
      <c r="B336" s="385"/>
      <c r="C336" s="385"/>
      <c r="H336" s="115"/>
      <c r="I336" s="115"/>
      <c r="J336" s="115"/>
      <c r="K336" s="115"/>
      <c r="L336" s="115"/>
      <c r="M336" s="353"/>
      <c r="N336" s="115"/>
      <c r="O336" s="115"/>
      <c r="P336" s="115"/>
      <c r="Q336" s="115"/>
      <c r="R336" s="115"/>
      <c r="S336" s="115"/>
      <c r="T336" s="115"/>
      <c r="U336" s="115"/>
      <c r="V336" s="115"/>
      <c r="W336" s="115"/>
      <c r="X336" s="115"/>
      <c r="Y336" s="115"/>
      <c r="Z336" s="115"/>
      <c r="AA336" s="115"/>
      <c r="AB336" s="115"/>
      <c r="AI336" s="263"/>
      <c r="AJ336" s="263"/>
      <c r="AK336" s="263"/>
      <c r="AN336" s="115"/>
      <c r="AO336" s="115"/>
    </row>
    <row r="337">
      <c r="A337" s="397"/>
      <c r="B337" s="385"/>
      <c r="C337" s="385"/>
      <c r="H337" s="115"/>
      <c r="I337" s="115"/>
      <c r="J337" s="115"/>
      <c r="K337" s="115"/>
      <c r="L337" s="115"/>
      <c r="M337" s="353"/>
      <c r="N337" s="115"/>
      <c r="O337" s="115"/>
      <c r="P337" s="115"/>
      <c r="Q337" s="115"/>
      <c r="R337" s="115"/>
      <c r="S337" s="115"/>
      <c r="T337" s="115"/>
      <c r="U337" s="115"/>
      <c r="V337" s="115"/>
      <c r="W337" s="115"/>
      <c r="X337" s="115"/>
      <c r="Y337" s="115"/>
      <c r="Z337" s="115"/>
      <c r="AA337" s="115"/>
      <c r="AB337" s="115"/>
      <c r="AI337" s="263"/>
      <c r="AJ337" s="263"/>
      <c r="AK337" s="263"/>
      <c r="AN337" s="115"/>
      <c r="AO337" s="115"/>
    </row>
    <row r="338">
      <c r="A338" s="397"/>
      <c r="B338" s="385"/>
      <c r="C338" s="385"/>
      <c r="H338" s="115"/>
      <c r="I338" s="115"/>
      <c r="J338" s="115"/>
      <c r="K338" s="115"/>
      <c r="L338" s="115"/>
      <c r="M338" s="353"/>
      <c r="N338" s="115"/>
      <c r="O338" s="115"/>
      <c r="P338" s="115"/>
      <c r="Q338" s="115"/>
      <c r="R338" s="115"/>
      <c r="S338" s="115"/>
      <c r="T338" s="115"/>
      <c r="U338" s="115"/>
      <c r="V338" s="115"/>
      <c r="W338" s="115"/>
      <c r="X338" s="115"/>
      <c r="Y338" s="115"/>
      <c r="Z338" s="115"/>
      <c r="AA338" s="115"/>
      <c r="AB338" s="115"/>
      <c r="AI338" s="263"/>
      <c r="AJ338" s="263"/>
      <c r="AK338" s="263"/>
      <c r="AN338" s="115"/>
      <c r="AO338" s="115"/>
    </row>
    <row r="339">
      <c r="A339" s="397"/>
      <c r="B339" s="385"/>
      <c r="C339" s="385"/>
      <c r="H339" s="115"/>
      <c r="I339" s="115"/>
      <c r="J339" s="115"/>
      <c r="K339" s="115"/>
      <c r="L339" s="115"/>
      <c r="M339" s="353"/>
      <c r="N339" s="115"/>
      <c r="O339" s="115"/>
      <c r="P339" s="115"/>
      <c r="Q339" s="115"/>
      <c r="R339" s="115"/>
      <c r="S339" s="115"/>
      <c r="T339" s="115"/>
      <c r="U339" s="115"/>
      <c r="V339" s="115"/>
      <c r="W339" s="115"/>
      <c r="X339" s="115"/>
      <c r="Y339" s="115"/>
      <c r="Z339" s="115"/>
      <c r="AA339" s="115"/>
      <c r="AB339" s="115"/>
      <c r="AI339" s="263"/>
      <c r="AJ339" s="263"/>
      <c r="AK339" s="263"/>
      <c r="AN339" s="115"/>
      <c r="AO339" s="115"/>
    </row>
    <row r="340">
      <c r="A340" s="397"/>
      <c r="B340" s="385"/>
      <c r="C340" s="385"/>
      <c r="H340" s="115"/>
      <c r="I340" s="115"/>
      <c r="J340" s="115"/>
      <c r="K340" s="115"/>
      <c r="L340" s="115"/>
      <c r="M340" s="353"/>
      <c r="N340" s="115"/>
      <c r="O340" s="115"/>
      <c r="P340" s="115"/>
      <c r="Q340" s="115"/>
      <c r="R340" s="115"/>
      <c r="S340" s="115"/>
      <c r="T340" s="115"/>
      <c r="U340" s="115"/>
      <c r="V340" s="115"/>
      <c r="W340" s="115"/>
      <c r="X340" s="115"/>
      <c r="Y340" s="115"/>
      <c r="Z340" s="115"/>
      <c r="AA340" s="115"/>
      <c r="AB340" s="115"/>
      <c r="AI340" s="263"/>
      <c r="AJ340" s="263"/>
      <c r="AK340" s="263"/>
      <c r="AN340" s="115"/>
      <c r="AO340" s="115"/>
    </row>
    <row r="341">
      <c r="A341" s="397"/>
      <c r="B341" s="385"/>
      <c r="C341" s="385"/>
      <c r="H341" s="115"/>
      <c r="I341" s="115"/>
      <c r="J341" s="115"/>
      <c r="K341" s="115"/>
      <c r="L341" s="115"/>
      <c r="M341" s="353"/>
      <c r="N341" s="115"/>
      <c r="O341" s="115"/>
      <c r="P341" s="115"/>
      <c r="Q341" s="115"/>
      <c r="R341" s="115"/>
      <c r="S341" s="115"/>
      <c r="T341" s="115"/>
      <c r="U341" s="115"/>
      <c r="V341" s="115"/>
      <c r="W341" s="115"/>
      <c r="X341" s="115"/>
      <c r="Y341" s="115"/>
      <c r="Z341" s="115"/>
      <c r="AA341" s="115"/>
      <c r="AB341" s="115"/>
      <c r="AI341" s="263"/>
      <c r="AJ341" s="263"/>
      <c r="AK341" s="263"/>
      <c r="AN341" s="115"/>
      <c r="AO341" s="115"/>
    </row>
    <row r="342">
      <c r="A342" s="397"/>
      <c r="B342" s="385"/>
      <c r="C342" s="385"/>
      <c r="H342" s="115"/>
      <c r="I342" s="115"/>
      <c r="J342" s="115"/>
      <c r="K342" s="115"/>
      <c r="L342" s="115"/>
      <c r="M342" s="353"/>
      <c r="N342" s="115"/>
      <c r="O342" s="115"/>
      <c r="P342" s="115"/>
      <c r="Q342" s="115"/>
      <c r="R342" s="115"/>
      <c r="S342" s="115"/>
      <c r="T342" s="115"/>
      <c r="U342" s="115"/>
      <c r="V342" s="115"/>
      <c r="W342" s="115"/>
      <c r="X342" s="115"/>
      <c r="Y342" s="115"/>
      <c r="Z342" s="115"/>
      <c r="AA342" s="115"/>
      <c r="AB342" s="115"/>
      <c r="AI342" s="263"/>
      <c r="AJ342" s="263"/>
      <c r="AK342" s="263"/>
      <c r="AN342" s="115"/>
      <c r="AO342" s="115"/>
    </row>
    <row r="343">
      <c r="A343" s="397"/>
      <c r="B343" s="385"/>
      <c r="C343" s="385"/>
      <c r="H343" s="115"/>
      <c r="I343" s="115"/>
      <c r="J343" s="115"/>
      <c r="K343" s="115"/>
      <c r="L343" s="115"/>
      <c r="M343" s="353"/>
      <c r="N343" s="115"/>
      <c r="O343" s="115"/>
      <c r="P343" s="115"/>
      <c r="Q343" s="115"/>
      <c r="R343" s="115"/>
      <c r="S343" s="115"/>
      <c r="T343" s="115"/>
      <c r="U343" s="115"/>
      <c r="V343" s="115"/>
      <c r="W343" s="115"/>
      <c r="X343" s="115"/>
      <c r="Y343" s="115"/>
      <c r="Z343" s="115"/>
      <c r="AA343" s="115"/>
      <c r="AB343" s="115"/>
      <c r="AI343" s="263"/>
      <c r="AJ343" s="263"/>
      <c r="AK343" s="263"/>
      <c r="AN343" s="115"/>
      <c r="AO343" s="115"/>
    </row>
    <row r="344">
      <c r="A344" s="397"/>
      <c r="B344" s="385"/>
      <c r="C344" s="385"/>
      <c r="H344" s="115"/>
      <c r="I344" s="115"/>
      <c r="J344" s="115"/>
      <c r="K344" s="115"/>
      <c r="L344" s="115"/>
      <c r="M344" s="353"/>
      <c r="N344" s="115"/>
      <c r="O344" s="115"/>
      <c r="P344" s="115"/>
      <c r="Q344" s="115"/>
      <c r="R344" s="115"/>
      <c r="S344" s="115"/>
      <c r="T344" s="115"/>
      <c r="U344" s="115"/>
      <c r="V344" s="115"/>
      <c r="W344" s="115"/>
      <c r="X344" s="115"/>
      <c r="Y344" s="115"/>
      <c r="Z344" s="115"/>
      <c r="AA344" s="115"/>
      <c r="AB344" s="115"/>
      <c r="AI344" s="263"/>
      <c r="AJ344" s="263"/>
      <c r="AK344" s="263"/>
      <c r="AN344" s="115"/>
      <c r="AO344" s="115"/>
    </row>
    <row r="345">
      <c r="A345" s="397"/>
      <c r="B345" s="385"/>
      <c r="C345" s="385"/>
      <c r="H345" s="115"/>
      <c r="I345" s="115"/>
      <c r="J345" s="115"/>
      <c r="K345" s="115"/>
      <c r="L345" s="115"/>
      <c r="M345" s="353"/>
      <c r="N345" s="115"/>
      <c r="O345" s="115"/>
      <c r="P345" s="115"/>
      <c r="Q345" s="115"/>
      <c r="R345" s="115"/>
      <c r="S345" s="115"/>
      <c r="T345" s="115"/>
      <c r="U345" s="115"/>
      <c r="V345" s="115"/>
      <c r="W345" s="115"/>
      <c r="X345" s="115"/>
      <c r="Y345" s="115"/>
      <c r="Z345" s="115"/>
      <c r="AA345" s="115"/>
      <c r="AB345" s="115"/>
      <c r="AI345" s="263"/>
      <c r="AJ345" s="263"/>
      <c r="AK345" s="263"/>
      <c r="AN345" s="115"/>
      <c r="AO345" s="115"/>
    </row>
    <row r="346">
      <c r="A346" s="397"/>
      <c r="B346" s="385"/>
      <c r="C346" s="385"/>
      <c r="H346" s="115"/>
      <c r="I346" s="115"/>
      <c r="J346" s="115"/>
      <c r="K346" s="115"/>
      <c r="L346" s="115"/>
      <c r="M346" s="353"/>
      <c r="N346" s="115"/>
      <c r="O346" s="115"/>
      <c r="P346" s="115"/>
      <c r="Q346" s="115"/>
      <c r="R346" s="115"/>
      <c r="S346" s="115"/>
      <c r="T346" s="115"/>
      <c r="U346" s="115"/>
      <c r="V346" s="115"/>
      <c r="W346" s="115"/>
      <c r="X346" s="115"/>
      <c r="Y346" s="115"/>
      <c r="Z346" s="115"/>
      <c r="AA346" s="115"/>
      <c r="AB346" s="115"/>
      <c r="AI346" s="263"/>
      <c r="AJ346" s="263"/>
      <c r="AK346" s="263"/>
      <c r="AN346" s="115"/>
      <c r="AO346" s="115"/>
    </row>
    <row r="347">
      <c r="A347" s="397"/>
      <c r="B347" s="385"/>
      <c r="C347" s="385"/>
      <c r="H347" s="115"/>
      <c r="I347" s="115"/>
      <c r="J347" s="115"/>
      <c r="K347" s="115"/>
      <c r="L347" s="115"/>
      <c r="M347" s="353"/>
      <c r="N347" s="115"/>
      <c r="O347" s="115"/>
      <c r="P347" s="115"/>
      <c r="Q347" s="115"/>
      <c r="R347" s="115"/>
      <c r="S347" s="115"/>
      <c r="T347" s="115"/>
      <c r="U347" s="115"/>
      <c r="V347" s="115"/>
      <c r="W347" s="115"/>
      <c r="X347" s="115"/>
      <c r="Y347" s="115"/>
      <c r="Z347" s="115"/>
      <c r="AA347" s="115"/>
      <c r="AB347" s="115"/>
      <c r="AI347" s="263"/>
      <c r="AJ347" s="263"/>
      <c r="AK347" s="263"/>
      <c r="AN347" s="115"/>
      <c r="AO347" s="115"/>
    </row>
    <row r="348">
      <c r="A348" s="397"/>
      <c r="B348" s="385"/>
      <c r="C348" s="385"/>
      <c r="H348" s="115"/>
      <c r="I348" s="115"/>
      <c r="J348" s="115"/>
      <c r="K348" s="115"/>
      <c r="L348" s="115"/>
      <c r="M348" s="353"/>
      <c r="N348" s="115"/>
      <c r="O348" s="115"/>
      <c r="P348" s="115"/>
      <c r="Q348" s="115"/>
      <c r="R348" s="115"/>
      <c r="S348" s="115"/>
      <c r="T348" s="115"/>
      <c r="U348" s="115"/>
      <c r="V348" s="115"/>
      <c r="W348" s="115"/>
      <c r="X348" s="115"/>
      <c r="Y348" s="115"/>
      <c r="Z348" s="115"/>
      <c r="AA348" s="115"/>
      <c r="AB348" s="115"/>
      <c r="AI348" s="263"/>
      <c r="AJ348" s="263"/>
      <c r="AK348" s="263"/>
      <c r="AN348" s="115"/>
      <c r="AO348" s="115"/>
    </row>
    <row r="349">
      <c r="A349" s="397"/>
      <c r="B349" s="385"/>
      <c r="C349" s="385"/>
      <c r="H349" s="115"/>
      <c r="I349" s="115"/>
      <c r="J349" s="115"/>
      <c r="K349" s="115"/>
      <c r="L349" s="115"/>
      <c r="M349" s="353"/>
      <c r="N349" s="115"/>
      <c r="O349" s="115"/>
      <c r="P349" s="115"/>
      <c r="Q349" s="115"/>
      <c r="R349" s="115"/>
      <c r="S349" s="115"/>
      <c r="T349" s="115"/>
      <c r="U349" s="115"/>
      <c r="V349" s="115"/>
      <c r="W349" s="115"/>
      <c r="X349" s="115"/>
      <c r="Y349" s="115"/>
      <c r="Z349" s="115"/>
      <c r="AA349" s="115"/>
      <c r="AB349" s="115"/>
      <c r="AI349" s="263"/>
      <c r="AJ349" s="263"/>
      <c r="AK349" s="263"/>
      <c r="AN349" s="115"/>
      <c r="AO349" s="115"/>
    </row>
    <row r="350">
      <c r="A350" s="397"/>
      <c r="B350" s="385"/>
      <c r="C350" s="385"/>
      <c r="H350" s="115"/>
      <c r="I350" s="115"/>
      <c r="J350" s="115"/>
      <c r="K350" s="115"/>
      <c r="L350" s="115"/>
      <c r="M350" s="353"/>
      <c r="N350" s="115"/>
      <c r="O350" s="115"/>
      <c r="P350" s="115"/>
      <c r="Q350" s="115"/>
      <c r="R350" s="115"/>
      <c r="S350" s="115"/>
      <c r="T350" s="115"/>
      <c r="U350" s="115"/>
      <c r="V350" s="115"/>
      <c r="W350" s="115"/>
      <c r="X350" s="115"/>
      <c r="Y350" s="115"/>
      <c r="Z350" s="115"/>
      <c r="AA350" s="115"/>
      <c r="AB350" s="115"/>
      <c r="AI350" s="263"/>
      <c r="AJ350" s="263"/>
      <c r="AK350" s="263"/>
      <c r="AN350" s="115"/>
      <c r="AO350" s="115"/>
    </row>
    <row r="351">
      <c r="A351" s="397"/>
      <c r="B351" s="385"/>
      <c r="C351" s="385"/>
      <c r="H351" s="115"/>
      <c r="I351" s="115"/>
      <c r="J351" s="115"/>
      <c r="K351" s="115"/>
      <c r="L351" s="115"/>
      <c r="M351" s="353"/>
      <c r="N351" s="115"/>
      <c r="O351" s="115"/>
      <c r="P351" s="115"/>
      <c r="Q351" s="115"/>
      <c r="R351" s="115"/>
      <c r="S351" s="115"/>
      <c r="T351" s="115"/>
      <c r="U351" s="115"/>
      <c r="V351" s="115"/>
      <c r="W351" s="115"/>
      <c r="X351" s="115"/>
      <c r="Y351" s="115"/>
      <c r="Z351" s="115"/>
      <c r="AA351" s="115"/>
      <c r="AB351" s="115"/>
      <c r="AI351" s="263"/>
      <c r="AJ351" s="263"/>
      <c r="AK351" s="263"/>
      <c r="AN351" s="115"/>
      <c r="AO351" s="115"/>
    </row>
    <row r="352">
      <c r="A352" s="397"/>
      <c r="B352" s="385"/>
      <c r="C352" s="385"/>
      <c r="H352" s="115"/>
      <c r="I352" s="115"/>
      <c r="J352" s="115"/>
      <c r="K352" s="115"/>
      <c r="L352" s="115"/>
      <c r="M352" s="353"/>
      <c r="N352" s="115"/>
      <c r="O352" s="115"/>
      <c r="P352" s="115"/>
      <c r="Q352" s="115"/>
      <c r="R352" s="115"/>
      <c r="S352" s="115"/>
      <c r="T352" s="115"/>
      <c r="U352" s="115"/>
      <c r="V352" s="115"/>
      <c r="W352" s="115"/>
      <c r="X352" s="115"/>
      <c r="Y352" s="115"/>
      <c r="Z352" s="115"/>
      <c r="AA352" s="115"/>
      <c r="AB352" s="115"/>
      <c r="AI352" s="263"/>
      <c r="AJ352" s="263"/>
      <c r="AK352" s="263"/>
      <c r="AN352" s="115"/>
      <c r="AO352" s="115"/>
    </row>
    <row r="353">
      <c r="A353" s="397"/>
      <c r="B353" s="385"/>
      <c r="C353" s="385"/>
      <c r="H353" s="115"/>
      <c r="I353" s="115"/>
      <c r="J353" s="115"/>
      <c r="K353" s="115"/>
      <c r="L353" s="115"/>
      <c r="M353" s="353"/>
      <c r="N353" s="115"/>
      <c r="O353" s="115"/>
      <c r="P353" s="115"/>
      <c r="Q353" s="115"/>
      <c r="R353" s="115"/>
      <c r="S353" s="115"/>
      <c r="T353" s="115"/>
      <c r="U353" s="115"/>
      <c r="V353" s="115"/>
      <c r="W353" s="115"/>
      <c r="X353" s="115"/>
      <c r="Y353" s="115"/>
      <c r="Z353" s="115"/>
      <c r="AA353" s="115"/>
      <c r="AB353" s="115"/>
      <c r="AI353" s="263"/>
      <c r="AJ353" s="263"/>
      <c r="AK353" s="263"/>
      <c r="AN353" s="115"/>
      <c r="AO353" s="115"/>
    </row>
    <row r="354">
      <c r="A354" s="397"/>
      <c r="B354" s="385"/>
      <c r="C354" s="385"/>
      <c r="H354" s="115"/>
      <c r="I354" s="115"/>
      <c r="J354" s="115"/>
      <c r="K354" s="115"/>
      <c r="L354" s="115"/>
      <c r="M354" s="353"/>
      <c r="N354" s="115"/>
      <c r="O354" s="115"/>
      <c r="P354" s="115"/>
      <c r="Q354" s="115"/>
      <c r="R354" s="115"/>
      <c r="S354" s="115"/>
      <c r="T354" s="115"/>
      <c r="U354" s="115"/>
      <c r="V354" s="115"/>
      <c r="W354" s="115"/>
      <c r="X354" s="115"/>
      <c r="Y354" s="115"/>
      <c r="Z354" s="115"/>
      <c r="AA354" s="115"/>
      <c r="AB354" s="115"/>
      <c r="AI354" s="263"/>
      <c r="AJ354" s="263"/>
      <c r="AK354" s="263"/>
      <c r="AN354" s="115"/>
      <c r="AO354" s="115"/>
    </row>
    <row r="355">
      <c r="A355" s="397"/>
      <c r="B355" s="385"/>
      <c r="C355" s="385"/>
      <c r="H355" s="115"/>
      <c r="I355" s="115"/>
      <c r="J355" s="115"/>
      <c r="K355" s="115"/>
      <c r="L355" s="115"/>
      <c r="M355" s="353"/>
      <c r="N355" s="115"/>
      <c r="O355" s="115"/>
      <c r="P355" s="115"/>
      <c r="Q355" s="115"/>
      <c r="R355" s="115"/>
      <c r="S355" s="115"/>
      <c r="T355" s="115"/>
      <c r="U355" s="115"/>
      <c r="V355" s="115"/>
      <c r="W355" s="115"/>
      <c r="X355" s="115"/>
      <c r="Y355" s="115"/>
      <c r="Z355" s="115"/>
      <c r="AA355" s="115"/>
      <c r="AB355" s="115"/>
      <c r="AI355" s="263"/>
      <c r="AJ355" s="263"/>
      <c r="AK355" s="263"/>
      <c r="AN355" s="115"/>
      <c r="AO355" s="115"/>
    </row>
    <row r="356">
      <c r="A356" s="397"/>
      <c r="B356" s="385"/>
      <c r="C356" s="385"/>
      <c r="H356" s="115"/>
      <c r="I356" s="115"/>
      <c r="J356" s="115"/>
      <c r="K356" s="115"/>
      <c r="L356" s="115"/>
      <c r="M356" s="353"/>
      <c r="N356" s="115"/>
      <c r="O356" s="115"/>
      <c r="P356" s="115"/>
      <c r="Q356" s="115"/>
      <c r="R356" s="115"/>
      <c r="S356" s="115"/>
      <c r="T356" s="115"/>
      <c r="U356" s="115"/>
      <c r="V356" s="115"/>
      <c r="W356" s="115"/>
      <c r="X356" s="115"/>
      <c r="Y356" s="115"/>
      <c r="Z356" s="115"/>
      <c r="AA356" s="115"/>
      <c r="AB356" s="115"/>
      <c r="AI356" s="263"/>
      <c r="AJ356" s="263"/>
      <c r="AK356" s="263"/>
      <c r="AN356" s="115"/>
      <c r="AO356" s="115"/>
    </row>
    <row r="357">
      <c r="A357" s="397"/>
      <c r="B357" s="385"/>
      <c r="C357" s="385"/>
      <c r="H357" s="115"/>
      <c r="I357" s="115"/>
      <c r="J357" s="115"/>
      <c r="K357" s="115"/>
      <c r="L357" s="115"/>
      <c r="M357" s="353"/>
      <c r="N357" s="115"/>
      <c r="O357" s="115"/>
      <c r="P357" s="115"/>
      <c r="Q357" s="115"/>
      <c r="R357" s="115"/>
      <c r="S357" s="115"/>
      <c r="T357" s="115"/>
      <c r="U357" s="115"/>
      <c r="V357" s="115"/>
      <c r="W357" s="115"/>
      <c r="X357" s="115"/>
      <c r="Y357" s="115"/>
      <c r="Z357" s="115"/>
      <c r="AA357" s="115"/>
      <c r="AB357" s="115"/>
      <c r="AI357" s="263"/>
      <c r="AJ357" s="263"/>
      <c r="AK357" s="263"/>
      <c r="AN357" s="115"/>
      <c r="AO357" s="115"/>
    </row>
    <row r="358">
      <c r="A358" s="397"/>
      <c r="B358" s="385"/>
      <c r="C358" s="385"/>
      <c r="H358" s="115"/>
      <c r="I358" s="115"/>
      <c r="J358" s="115"/>
      <c r="K358" s="115"/>
      <c r="L358" s="115"/>
      <c r="M358" s="353"/>
      <c r="N358" s="115"/>
      <c r="O358" s="115"/>
      <c r="P358" s="115"/>
      <c r="Q358" s="115"/>
      <c r="R358" s="115"/>
      <c r="S358" s="115"/>
      <c r="T358" s="115"/>
      <c r="U358" s="115"/>
      <c r="V358" s="115"/>
      <c r="W358" s="115"/>
      <c r="X358" s="115"/>
      <c r="Y358" s="115"/>
      <c r="Z358" s="115"/>
      <c r="AA358" s="115"/>
      <c r="AB358" s="115"/>
      <c r="AI358" s="263"/>
      <c r="AJ358" s="263"/>
      <c r="AK358" s="263"/>
      <c r="AN358" s="115"/>
      <c r="AO358" s="115"/>
    </row>
    <row r="359">
      <c r="A359" s="397"/>
      <c r="B359" s="385"/>
      <c r="C359" s="385"/>
      <c r="H359" s="115"/>
      <c r="I359" s="115"/>
      <c r="J359" s="115"/>
      <c r="K359" s="115"/>
      <c r="L359" s="115"/>
      <c r="M359" s="353"/>
      <c r="N359" s="115"/>
      <c r="O359" s="115"/>
      <c r="P359" s="115"/>
      <c r="Q359" s="115"/>
      <c r="R359" s="115"/>
      <c r="S359" s="115"/>
      <c r="T359" s="115"/>
      <c r="U359" s="115"/>
      <c r="V359" s="115"/>
      <c r="W359" s="115"/>
      <c r="X359" s="115"/>
      <c r="Y359" s="115"/>
      <c r="Z359" s="115"/>
      <c r="AA359" s="115"/>
      <c r="AB359" s="115"/>
      <c r="AI359" s="263"/>
      <c r="AJ359" s="263"/>
      <c r="AK359" s="263"/>
      <c r="AN359" s="115"/>
      <c r="AO359" s="115"/>
    </row>
    <row r="360">
      <c r="A360" s="397"/>
      <c r="B360" s="385"/>
      <c r="C360" s="385"/>
      <c r="H360" s="115"/>
      <c r="I360" s="115"/>
      <c r="J360" s="115"/>
      <c r="K360" s="115"/>
      <c r="L360" s="115"/>
      <c r="M360" s="353"/>
      <c r="N360" s="115"/>
      <c r="O360" s="115"/>
      <c r="P360" s="115"/>
      <c r="Q360" s="115"/>
      <c r="R360" s="115"/>
      <c r="S360" s="115"/>
      <c r="T360" s="115"/>
      <c r="U360" s="115"/>
      <c r="V360" s="115"/>
      <c r="W360" s="115"/>
      <c r="X360" s="115"/>
      <c r="Y360" s="115"/>
      <c r="Z360" s="115"/>
      <c r="AA360" s="115"/>
      <c r="AB360" s="115"/>
      <c r="AI360" s="263"/>
      <c r="AJ360" s="263"/>
      <c r="AK360" s="263"/>
      <c r="AN360" s="115"/>
      <c r="AO360" s="115"/>
    </row>
    <row r="361">
      <c r="A361" s="397"/>
      <c r="B361" s="385"/>
      <c r="C361" s="385"/>
      <c r="H361" s="115"/>
      <c r="I361" s="115"/>
      <c r="J361" s="115"/>
      <c r="K361" s="115"/>
      <c r="L361" s="115"/>
      <c r="M361" s="353"/>
      <c r="N361" s="115"/>
      <c r="O361" s="115"/>
      <c r="P361" s="115"/>
      <c r="Q361" s="115"/>
      <c r="R361" s="115"/>
      <c r="S361" s="115"/>
      <c r="T361" s="115"/>
      <c r="U361" s="115"/>
      <c r="V361" s="115"/>
      <c r="W361" s="115"/>
      <c r="X361" s="115"/>
      <c r="Y361" s="115"/>
      <c r="Z361" s="115"/>
      <c r="AA361" s="115"/>
      <c r="AB361" s="115"/>
      <c r="AI361" s="263"/>
      <c r="AJ361" s="263"/>
      <c r="AK361" s="263"/>
      <c r="AN361" s="115"/>
      <c r="AO361" s="115"/>
    </row>
    <row r="362">
      <c r="A362" s="397"/>
      <c r="B362" s="385"/>
      <c r="C362" s="385"/>
      <c r="H362" s="115"/>
      <c r="I362" s="115"/>
      <c r="J362" s="115"/>
      <c r="K362" s="115"/>
      <c r="L362" s="115"/>
      <c r="M362" s="353"/>
      <c r="N362" s="115"/>
      <c r="O362" s="115"/>
      <c r="P362" s="115"/>
      <c r="Q362" s="115"/>
      <c r="R362" s="115"/>
      <c r="S362" s="115"/>
      <c r="T362" s="115"/>
      <c r="U362" s="115"/>
      <c r="V362" s="115"/>
      <c r="W362" s="115"/>
      <c r="X362" s="115"/>
      <c r="Y362" s="115"/>
      <c r="Z362" s="115"/>
      <c r="AA362" s="115"/>
      <c r="AB362" s="115"/>
      <c r="AI362" s="263"/>
      <c r="AJ362" s="263"/>
      <c r="AK362" s="263"/>
      <c r="AN362" s="115"/>
      <c r="AO362" s="115"/>
    </row>
    <row r="363">
      <c r="A363" s="397"/>
      <c r="B363" s="385"/>
      <c r="C363" s="385"/>
      <c r="H363" s="115"/>
      <c r="I363" s="115"/>
      <c r="J363" s="115"/>
      <c r="K363" s="115"/>
      <c r="L363" s="115"/>
      <c r="M363" s="353"/>
      <c r="N363" s="115"/>
      <c r="O363" s="115"/>
      <c r="P363" s="115"/>
      <c r="Q363" s="115"/>
      <c r="R363" s="115"/>
      <c r="S363" s="115"/>
      <c r="T363" s="115"/>
      <c r="U363" s="115"/>
      <c r="V363" s="115"/>
      <c r="W363" s="115"/>
      <c r="X363" s="115"/>
      <c r="Y363" s="115"/>
      <c r="Z363" s="115"/>
      <c r="AA363" s="115"/>
      <c r="AB363" s="115"/>
      <c r="AI363" s="263"/>
      <c r="AJ363" s="263"/>
      <c r="AK363" s="263"/>
      <c r="AN363" s="115"/>
      <c r="AO363" s="115"/>
    </row>
    <row r="364">
      <c r="A364" s="397"/>
      <c r="B364" s="385"/>
      <c r="C364" s="385"/>
      <c r="H364" s="115"/>
      <c r="I364" s="115"/>
      <c r="J364" s="115"/>
      <c r="K364" s="115"/>
      <c r="L364" s="115"/>
      <c r="M364" s="353"/>
      <c r="N364" s="115"/>
      <c r="O364" s="115"/>
      <c r="P364" s="115"/>
      <c r="Q364" s="115"/>
      <c r="R364" s="115"/>
      <c r="S364" s="115"/>
      <c r="T364" s="115"/>
      <c r="U364" s="115"/>
      <c r="V364" s="115"/>
      <c r="W364" s="115"/>
      <c r="X364" s="115"/>
      <c r="Y364" s="115"/>
      <c r="Z364" s="115"/>
      <c r="AA364" s="115"/>
      <c r="AB364" s="115"/>
      <c r="AI364" s="263"/>
      <c r="AJ364" s="263"/>
      <c r="AK364" s="263"/>
      <c r="AN364" s="115"/>
      <c r="AO364" s="115"/>
    </row>
    <row r="365">
      <c r="A365" s="397"/>
      <c r="B365" s="385"/>
      <c r="C365" s="385"/>
      <c r="H365" s="115"/>
      <c r="I365" s="115"/>
      <c r="J365" s="115"/>
      <c r="K365" s="115"/>
      <c r="L365" s="115"/>
      <c r="M365" s="353"/>
      <c r="N365" s="115"/>
      <c r="O365" s="115"/>
      <c r="P365" s="115"/>
      <c r="Q365" s="115"/>
      <c r="R365" s="115"/>
      <c r="S365" s="115"/>
      <c r="T365" s="115"/>
      <c r="U365" s="115"/>
      <c r="V365" s="115"/>
      <c r="W365" s="115"/>
      <c r="X365" s="115"/>
      <c r="Y365" s="115"/>
      <c r="Z365" s="115"/>
      <c r="AA365" s="115"/>
      <c r="AB365" s="115"/>
      <c r="AI365" s="263"/>
      <c r="AJ365" s="263"/>
      <c r="AK365" s="263"/>
      <c r="AN365" s="115"/>
      <c r="AO365" s="115"/>
    </row>
    <row r="366">
      <c r="A366" s="397"/>
      <c r="B366" s="385"/>
      <c r="C366" s="385"/>
      <c r="H366" s="115"/>
      <c r="I366" s="115"/>
      <c r="J366" s="115"/>
      <c r="K366" s="115"/>
      <c r="L366" s="115"/>
      <c r="M366" s="353"/>
      <c r="N366" s="115"/>
      <c r="O366" s="115"/>
      <c r="P366" s="115"/>
      <c r="Q366" s="115"/>
      <c r="R366" s="115"/>
      <c r="S366" s="115"/>
      <c r="T366" s="115"/>
      <c r="U366" s="115"/>
      <c r="V366" s="115"/>
      <c r="W366" s="115"/>
      <c r="X366" s="115"/>
      <c r="Y366" s="115"/>
      <c r="Z366" s="115"/>
      <c r="AA366" s="115"/>
      <c r="AB366" s="115"/>
      <c r="AI366" s="263"/>
      <c r="AJ366" s="263"/>
      <c r="AK366" s="263"/>
      <c r="AN366" s="115"/>
      <c r="AO366" s="115"/>
    </row>
    <row r="367">
      <c r="A367" s="397"/>
      <c r="B367" s="385"/>
      <c r="C367" s="385"/>
      <c r="H367" s="115"/>
      <c r="I367" s="115"/>
      <c r="J367" s="115"/>
      <c r="K367" s="115"/>
      <c r="L367" s="115"/>
      <c r="M367" s="353"/>
      <c r="N367" s="115"/>
      <c r="O367" s="115"/>
      <c r="P367" s="115"/>
      <c r="Q367" s="115"/>
      <c r="R367" s="115"/>
      <c r="S367" s="115"/>
      <c r="T367" s="115"/>
      <c r="U367" s="115"/>
      <c r="V367" s="115"/>
      <c r="W367" s="115"/>
      <c r="X367" s="115"/>
      <c r="Y367" s="115"/>
      <c r="Z367" s="115"/>
      <c r="AA367" s="115"/>
      <c r="AB367" s="115"/>
      <c r="AI367" s="263"/>
      <c r="AJ367" s="263"/>
      <c r="AK367" s="263"/>
      <c r="AN367" s="115"/>
      <c r="AO367" s="115"/>
    </row>
    <row r="368">
      <c r="A368" s="397"/>
      <c r="B368" s="385"/>
      <c r="C368" s="385"/>
      <c r="H368" s="115"/>
      <c r="I368" s="115"/>
      <c r="J368" s="115"/>
      <c r="K368" s="115"/>
      <c r="L368" s="115"/>
      <c r="M368" s="353"/>
      <c r="N368" s="115"/>
      <c r="O368" s="115"/>
      <c r="P368" s="115"/>
      <c r="Q368" s="115"/>
      <c r="R368" s="115"/>
      <c r="S368" s="115"/>
      <c r="T368" s="115"/>
      <c r="U368" s="115"/>
      <c r="V368" s="115"/>
      <c r="W368" s="115"/>
      <c r="X368" s="115"/>
      <c r="Y368" s="115"/>
      <c r="Z368" s="115"/>
      <c r="AA368" s="115"/>
      <c r="AB368" s="115"/>
      <c r="AI368" s="263"/>
      <c r="AJ368" s="263"/>
      <c r="AK368" s="263"/>
      <c r="AN368" s="115"/>
      <c r="AO368" s="115"/>
    </row>
    <row r="369">
      <c r="A369" s="397"/>
      <c r="B369" s="385"/>
      <c r="C369" s="385"/>
      <c r="H369" s="115"/>
      <c r="I369" s="115"/>
      <c r="J369" s="115"/>
      <c r="K369" s="115"/>
      <c r="L369" s="115"/>
      <c r="M369" s="353"/>
      <c r="N369" s="115"/>
      <c r="O369" s="115"/>
      <c r="P369" s="115"/>
      <c r="Q369" s="115"/>
      <c r="R369" s="115"/>
      <c r="S369" s="115"/>
      <c r="T369" s="115"/>
      <c r="U369" s="115"/>
      <c r="V369" s="115"/>
      <c r="W369" s="115"/>
      <c r="X369" s="115"/>
      <c r="Y369" s="115"/>
      <c r="Z369" s="115"/>
      <c r="AA369" s="115"/>
      <c r="AB369" s="115"/>
      <c r="AI369" s="263"/>
      <c r="AJ369" s="263"/>
      <c r="AK369" s="263"/>
      <c r="AN369" s="115"/>
      <c r="AO369" s="115"/>
    </row>
    <row r="370">
      <c r="A370" s="397"/>
      <c r="B370" s="385"/>
      <c r="C370" s="385"/>
      <c r="H370" s="115"/>
      <c r="I370" s="115"/>
      <c r="J370" s="115"/>
      <c r="K370" s="115"/>
      <c r="L370" s="115"/>
      <c r="M370" s="353"/>
      <c r="N370" s="115"/>
      <c r="O370" s="115"/>
      <c r="P370" s="115"/>
      <c r="Q370" s="115"/>
      <c r="R370" s="115"/>
      <c r="S370" s="115"/>
      <c r="T370" s="115"/>
      <c r="U370" s="115"/>
      <c r="V370" s="115"/>
      <c r="W370" s="115"/>
      <c r="X370" s="115"/>
      <c r="Y370" s="115"/>
      <c r="Z370" s="115"/>
      <c r="AA370" s="115"/>
      <c r="AB370" s="115"/>
      <c r="AI370" s="263"/>
      <c r="AJ370" s="263"/>
      <c r="AK370" s="263"/>
      <c r="AN370" s="115"/>
      <c r="AO370" s="115"/>
    </row>
    <row r="371">
      <c r="A371" s="397"/>
      <c r="B371" s="385"/>
      <c r="C371" s="385"/>
      <c r="H371" s="115"/>
      <c r="I371" s="115"/>
      <c r="J371" s="115"/>
      <c r="K371" s="115"/>
      <c r="L371" s="115"/>
      <c r="M371" s="353"/>
      <c r="N371" s="115"/>
      <c r="O371" s="115"/>
      <c r="P371" s="115"/>
      <c r="Q371" s="115"/>
      <c r="R371" s="115"/>
      <c r="S371" s="115"/>
      <c r="T371" s="115"/>
      <c r="U371" s="115"/>
      <c r="V371" s="115"/>
      <c r="W371" s="115"/>
      <c r="X371" s="115"/>
      <c r="Y371" s="115"/>
      <c r="Z371" s="115"/>
      <c r="AA371" s="115"/>
      <c r="AB371" s="115"/>
      <c r="AI371" s="263"/>
      <c r="AJ371" s="263"/>
      <c r="AK371" s="263"/>
      <c r="AN371" s="115"/>
      <c r="AO371" s="115"/>
    </row>
    <row r="372">
      <c r="A372" s="397"/>
      <c r="B372" s="385"/>
      <c r="C372" s="385"/>
      <c r="H372" s="115"/>
      <c r="I372" s="115"/>
      <c r="J372" s="115"/>
      <c r="K372" s="115"/>
      <c r="L372" s="115"/>
      <c r="M372" s="353"/>
      <c r="N372" s="115"/>
      <c r="O372" s="115"/>
      <c r="P372" s="115"/>
      <c r="Q372" s="115"/>
      <c r="R372" s="115"/>
      <c r="S372" s="115"/>
      <c r="T372" s="115"/>
      <c r="U372" s="115"/>
      <c r="V372" s="115"/>
      <c r="W372" s="115"/>
      <c r="X372" s="115"/>
      <c r="Y372" s="115"/>
      <c r="Z372" s="115"/>
      <c r="AA372" s="115"/>
      <c r="AB372" s="115"/>
      <c r="AI372" s="263"/>
      <c r="AJ372" s="263"/>
      <c r="AK372" s="263"/>
      <c r="AN372" s="115"/>
      <c r="AO372" s="115"/>
    </row>
    <row r="373">
      <c r="A373" s="397"/>
      <c r="B373" s="385"/>
      <c r="C373" s="385"/>
      <c r="H373" s="115"/>
      <c r="I373" s="115"/>
      <c r="J373" s="115"/>
      <c r="K373" s="115"/>
      <c r="L373" s="115"/>
      <c r="M373" s="353"/>
      <c r="N373" s="115"/>
      <c r="O373" s="115"/>
      <c r="P373" s="115"/>
      <c r="Q373" s="115"/>
      <c r="R373" s="115"/>
      <c r="S373" s="115"/>
      <c r="T373" s="115"/>
      <c r="U373" s="115"/>
      <c r="V373" s="115"/>
      <c r="W373" s="115"/>
      <c r="X373" s="115"/>
      <c r="Y373" s="115"/>
      <c r="Z373" s="115"/>
      <c r="AA373" s="115"/>
      <c r="AB373" s="115"/>
      <c r="AI373" s="263"/>
      <c r="AJ373" s="263"/>
      <c r="AK373" s="263"/>
      <c r="AN373" s="115"/>
      <c r="AO373" s="115"/>
    </row>
    <row r="374">
      <c r="A374" s="397"/>
      <c r="B374" s="385"/>
      <c r="C374" s="385"/>
      <c r="H374" s="115"/>
      <c r="I374" s="115"/>
      <c r="J374" s="115"/>
      <c r="K374" s="115"/>
      <c r="L374" s="115"/>
      <c r="M374" s="353"/>
      <c r="N374" s="115"/>
      <c r="O374" s="115"/>
      <c r="P374" s="115"/>
      <c r="Q374" s="115"/>
      <c r="R374" s="115"/>
      <c r="S374" s="115"/>
      <c r="T374" s="115"/>
      <c r="U374" s="115"/>
      <c r="V374" s="115"/>
      <c r="W374" s="115"/>
      <c r="X374" s="115"/>
      <c r="Y374" s="115"/>
      <c r="Z374" s="115"/>
      <c r="AA374" s="115"/>
      <c r="AB374" s="115"/>
      <c r="AI374" s="263"/>
      <c r="AJ374" s="263"/>
      <c r="AK374" s="263"/>
      <c r="AN374" s="115"/>
      <c r="AO374" s="115"/>
    </row>
    <row r="375">
      <c r="A375" s="397"/>
      <c r="B375" s="385"/>
      <c r="C375" s="385"/>
      <c r="H375" s="115"/>
      <c r="I375" s="115"/>
      <c r="J375" s="115"/>
      <c r="K375" s="115"/>
      <c r="L375" s="115"/>
      <c r="M375" s="353"/>
      <c r="N375" s="115"/>
      <c r="O375" s="115"/>
      <c r="P375" s="115"/>
      <c r="Q375" s="115"/>
      <c r="R375" s="115"/>
      <c r="S375" s="115"/>
      <c r="T375" s="115"/>
      <c r="U375" s="115"/>
      <c r="V375" s="115"/>
      <c r="W375" s="115"/>
      <c r="X375" s="115"/>
      <c r="Y375" s="115"/>
      <c r="Z375" s="115"/>
      <c r="AA375" s="115"/>
      <c r="AB375" s="115"/>
      <c r="AI375" s="263"/>
      <c r="AJ375" s="263"/>
      <c r="AK375" s="263"/>
      <c r="AN375" s="115"/>
      <c r="AO375" s="115"/>
    </row>
    <row r="376">
      <c r="A376" s="397"/>
      <c r="B376" s="385"/>
      <c r="C376" s="385"/>
      <c r="H376" s="115"/>
      <c r="I376" s="115"/>
      <c r="J376" s="115"/>
      <c r="K376" s="115"/>
      <c r="L376" s="115"/>
      <c r="M376" s="353"/>
      <c r="N376" s="115"/>
      <c r="O376" s="115"/>
      <c r="P376" s="115"/>
      <c r="Q376" s="115"/>
      <c r="R376" s="115"/>
      <c r="S376" s="115"/>
      <c r="T376" s="115"/>
      <c r="U376" s="115"/>
      <c r="V376" s="115"/>
      <c r="W376" s="115"/>
      <c r="X376" s="115"/>
      <c r="Y376" s="115"/>
      <c r="Z376" s="115"/>
      <c r="AA376" s="115"/>
      <c r="AB376" s="115"/>
      <c r="AI376" s="263"/>
      <c r="AJ376" s="263"/>
      <c r="AK376" s="263"/>
      <c r="AN376" s="115"/>
      <c r="AO376" s="115"/>
    </row>
    <row r="377">
      <c r="A377" s="397"/>
      <c r="B377" s="385"/>
      <c r="C377" s="385"/>
      <c r="H377" s="115"/>
      <c r="I377" s="115"/>
      <c r="J377" s="115"/>
      <c r="K377" s="115"/>
      <c r="L377" s="115"/>
      <c r="M377" s="353"/>
      <c r="N377" s="115"/>
      <c r="O377" s="115"/>
      <c r="P377" s="115"/>
      <c r="Q377" s="115"/>
      <c r="R377" s="115"/>
      <c r="S377" s="115"/>
      <c r="T377" s="115"/>
      <c r="U377" s="115"/>
      <c r="V377" s="115"/>
      <c r="W377" s="115"/>
      <c r="X377" s="115"/>
      <c r="Y377" s="115"/>
      <c r="Z377" s="115"/>
      <c r="AA377" s="115"/>
      <c r="AB377" s="115"/>
      <c r="AI377" s="263"/>
      <c r="AJ377" s="263"/>
      <c r="AK377" s="263"/>
      <c r="AN377" s="115"/>
      <c r="AO377" s="115"/>
    </row>
    <row r="378">
      <c r="A378" s="397"/>
      <c r="B378" s="385"/>
      <c r="C378" s="385"/>
      <c r="H378" s="115"/>
      <c r="I378" s="115"/>
      <c r="J378" s="115"/>
      <c r="K378" s="115"/>
      <c r="L378" s="115"/>
      <c r="M378" s="353"/>
      <c r="N378" s="115"/>
      <c r="O378" s="115"/>
      <c r="P378" s="115"/>
      <c r="Q378" s="115"/>
      <c r="R378" s="115"/>
      <c r="S378" s="115"/>
      <c r="T378" s="115"/>
      <c r="U378" s="115"/>
      <c r="V378" s="115"/>
      <c r="W378" s="115"/>
      <c r="X378" s="115"/>
      <c r="Y378" s="115"/>
      <c r="Z378" s="115"/>
      <c r="AA378" s="115"/>
      <c r="AB378" s="115"/>
      <c r="AI378" s="263"/>
      <c r="AJ378" s="263"/>
      <c r="AK378" s="263"/>
      <c r="AN378" s="115"/>
      <c r="AO378" s="115"/>
    </row>
    <row r="379">
      <c r="A379" s="397"/>
      <c r="B379" s="385"/>
      <c r="C379" s="385"/>
      <c r="H379" s="115"/>
      <c r="I379" s="115"/>
      <c r="J379" s="115"/>
      <c r="K379" s="115"/>
      <c r="L379" s="115"/>
      <c r="M379" s="353"/>
      <c r="N379" s="115"/>
      <c r="O379" s="115"/>
      <c r="P379" s="115"/>
      <c r="Q379" s="115"/>
      <c r="R379" s="115"/>
      <c r="S379" s="115"/>
      <c r="T379" s="115"/>
      <c r="U379" s="115"/>
      <c r="V379" s="115"/>
      <c r="W379" s="115"/>
      <c r="X379" s="115"/>
      <c r="Y379" s="115"/>
      <c r="Z379" s="115"/>
      <c r="AA379" s="115"/>
      <c r="AB379" s="115"/>
      <c r="AI379" s="263"/>
      <c r="AJ379" s="263"/>
      <c r="AK379" s="263"/>
      <c r="AN379" s="115"/>
      <c r="AO379" s="115"/>
    </row>
    <row r="380">
      <c r="A380" s="397"/>
      <c r="B380" s="385"/>
      <c r="C380" s="385"/>
      <c r="H380" s="115"/>
      <c r="I380" s="115"/>
      <c r="J380" s="115"/>
      <c r="K380" s="115"/>
      <c r="L380" s="115"/>
      <c r="M380" s="353"/>
      <c r="N380" s="115"/>
      <c r="O380" s="115"/>
      <c r="P380" s="115"/>
      <c r="Q380" s="115"/>
      <c r="R380" s="115"/>
      <c r="S380" s="115"/>
      <c r="T380" s="115"/>
      <c r="U380" s="115"/>
      <c r="V380" s="115"/>
      <c r="W380" s="115"/>
      <c r="X380" s="115"/>
      <c r="Y380" s="115"/>
      <c r="Z380" s="115"/>
      <c r="AA380" s="115"/>
      <c r="AB380" s="115"/>
      <c r="AI380" s="263"/>
      <c r="AJ380" s="263"/>
      <c r="AK380" s="263"/>
      <c r="AN380" s="115"/>
      <c r="AO380" s="115"/>
    </row>
    <row r="381">
      <c r="A381" s="397"/>
      <c r="B381" s="385"/>
      <c r="C381" s="385"/>
      <c r="H381" s="115"/>
      <c r="I381" s="115"/>
      <c r="J381" s="115"/>
      <c r="K381" s="115"/>
      <c r="L381" s="115"/>
      <c r="M381" s="353"/>
      <c r="N381" s="115"/>
      <c r="O381" s="115"/>
      <c r="P381" s="115"/>
      <c r="Q381" s="115"/>
      <c r="R381" s="115"/>
      <c r="S381" s="115"/>
      <c r="T381" s="115"/>
      <c r="U381" s="115"/>
      <c r="V381" s="115"/>
      <c r="W381" s="115"/>
      <c r="X381" s="115"/>
      <c r="Y381" s="115"/>
      <c r="Z381" s="115"/>
      <c r="AA381" s="115"/>
      <c r="AB381" s="115"/>
      <c r="AI381" s="263"/>
      <c r="AJ381" s="263"/>
      <c r="AK381" s="263"/>
      <c r="AN381" s="115"/>
      <c r="AO381" s="115"/>
    </row>
    <row r="382">
      <c r="A382" s="397"/>
      <c r="B382" s="385"/>
      <c r="C382" s="385"/>
      <c r="H382" s="115"/>
      <c r="I382" s="115"/>
      <c r="J382" s="115"/>
      <c r="K382" s="115"/>
      <c r="L382" s="115"/>
      <c r="M382" s="353"/>
      <c r="N382" s="115"/>
      <c r="O382" s="115"/>
      <c r="P382" s="115"/>
      <c r="Q382" s="115"/>
      <c r="R382" s="115"/>
      <c r="S382" s="115"/>
      <c r="T382" s="115"/>
      <c r="U382" s="115"/>
      <c r="V382" s="115"/>
      <c r="W382" s="115"/>
      <c r="X382" s="115"/>
      <c r="Y382" s="115"/>
      <c r="Z382" s="115"/>
      <c r="AA382" s="115"/>
      <c r="AB382" s="115"/>
      <c r="AI382" s="263"/>
      <c r="AJ382" s="263"/>
      <c r="AK382" s="263"/>
      <c r="AN382" s="115"/>
      <c r="AO382" s="115"/>
    </row>
    <row r="383">
      <c r="A383" s="397"/>
      <c r="B383" s="385"/>
      <c r="C383" s="385"/>
      <c r="H383" s="115"/>
      <c r="I383" s="115"/>
      <c r="J383" s="115"/>
      <c r="K383" s="115"/>
      <c r="L383" s="115"/>
      <c r="M383" s="353"/>
      <c r="N383" s="115"/>
      <c r="O383" s="115"/>
      <c r="P383" s="115"/>
      <c r="Q383" s="115"/>
      <c r="R383" s="115"/>
      <c r="S383" s="115"/>
      <c r="T383" s="115"/>
      <c r="U383" s="115"/>
      <c r="V383" s="115"/>
      <c r="W383" s="115"/>
      <c r="X383" s="115"/>
      <c r="Y383" s="115"/>
      <c r="Z383" s="115"/>
      <c r="AA383" s="115"/>
      <c r="AB383" s="115"/>
      <c r="AI383" s="263"/>
      <c r="AJ383" s="263"/>
      <c r="AK383" s="263"/>
      <c r="AN383" s="115"/>
      <c r="AO383" s="115"/>
    </row>
    <row r="384">
      <c r="A384" s="397"/>
      <c r="B384" s="385"/>
      <c r="C384" s="385"/>
      <c r="H384" s="115"/>
      <c r="I384" s="115"/>
      <c r="J384" s="115"/>
      <c r="K384" s="115"/>
      <c r="L384" s="115"/>
      <c r="M384" s="353"/>
      <c r="N384" s="115"/>
      <c r="O384" s="115"/>
      <c r="P384" s="115"/>
      <c r="Q384" s="115"/>
      <c r="R384" s="115"/>
      <c r="S384" s="115"/>
      <c r="T384" s="115"/>
      <c r="U384" s="115"/>
      <c r="V384" s="115"/>
      <c r="W384" s="115"/>
      <c r="X384" s="115"/>
      <c r="Y384" s="115"/>
      <c r="Z384" s="115"/>
      <c r="AA384" s="115"/>
      <c r="AB384" s="115"/>
      <c r="AI384" s="263"/>
      <c r="AJ384" s="263"/>
      <c r="AK384" s="263"/>
      <c r="AN384" s="115"/>
      <c r="AO384" s="115"/>
    </row>
    <row r="385">
      <c r="A385" s="397"/>
      <c r="B385" s="385"/>
      <c r="C385" s="385"/>
      <c r="H385" s="115"/>
      <c r="I385" s="115"/>
      <c r="J385" s="115"/>
      <c r="K385" s="115"/>
      <c r="L385" s="115"/>
      <c r="M385" s="353"/>
      <c r="N385" s="115"/>
      <c r="O385" s="115"/>
      <c r="P385" s="115"/>
      <c r="Q385" s="115"/>
      <c r="R385" s="115"/>
      <c r="S385" s="115"/>
      <c r="T385" s="115"/>
      <c r="U385" s="115"/>
      <c r="V385" s="115"/>
      <c r="W385" s="115"/>
      <c r="X385" s="115"/>
      <c r="Y385" s="115"/>
      <c r="Z385" s="115"/>
      <c r="AA385" s="115"/>
      <c r="AB385" s="115"/>
      <c r="AI385" s="263"/>
      <c r="AJ385" s="263"/>
      <c r="AK385" s="263"/>
      <c r="AN385" s="115"/>
      <c r="AO385" s="115"/>
    </row>
    <row r="386">
      <c r="A386" s="397"/>
      <c r="B386" s="385"/>
      <c r="C386" s="385"/>
      <c r="H386" s="115"/>
      <c r="I386" s="115"/>
      <c r="J386" s="115"/>
      <c r="K386" s="115"/>
      <c r="L386" s="115"/>
      <c r="M386" s="353"/>
      <c r="N386" s="115"/>
      <c r="O386" s="115"/>
      <c r="P386" s="115"/>
      <c r="Q386" s="115"/>
      <c r="R386" s="115"/>
      <c r="S386" s="115"/>
      <c r="T386" s="115"/>
      <c r="U386" s="115"/>
      <c r="V386" s="115"/>
      <c r="W386" s="115"/>
      <c r="X386" s="115"/>
      <c r="Y386" s="115"/>
      <c r="Z386" s="115"/>
      <c r="AA386" s="115"/>
      <c r="AB386" s="115"/>
      <c r="AI386" s="263"/>
      <c r="AJ386" s="263"/>
      <c r="AK386" s="263"/>
      <c r="AN386" s="115"/>
      <c r="AO386" s="115"/>
    </row>
    <row r="387">
      <c r="A387" s="397"/>
      <c r="B387" s="385"/>
      <c r="C387" s="385"/>
      <c r="H387" s="115"/>
      <c r="I387" s="115"/>
      <c r="J387" s="115"/>
      <c r="K387" s="115"/>
      <c r="L387" s="115"/>
      <c r="M387" s="353"/>
      <c r="N387" s="115"/>
      <c r="O387" s="115"/>
      <c r="P387" s="115"/>
      <c r="Q387" s="115"/>
      <c r="R387" s="115"/>
      <c r="S387" s="115"/>
      <c r="T387" s="115"/>
      <c r="U387" s="115"/>
      <c r="V387" s="115"/>
      <c r="W387" s="115"/>
      <c r="X387" s="115"/>
      <c r="Y387" s="115"/>
      <c r="Z387" s="115"/>
      <c r="AA387" s="115"/>
      <c r="AB387" s="115"/>
      <c r="AI387" s="263"/>
      <c r="AJ387" s="263"/>
      <c r="AK387" s="263"/>
      <c r="AN387" s="115"/>
      <c r="AO387" s="115"/>
    </row>
    <row r="388">
      <c r="A388" s="397"/>
      <c r="B388" s="385"/>
      <c r="C388" s="385"/>
      <c r="H388" s="115"/>
      <c r="I388" s="115"/>
      <c r="J388" s="115"/>
      <c r="K388" s="115"/>
      <c r="L388" s="115"/>
      <c r="M388" s="353"/>
      <c r="N388" s="115"/>
      <c r="O388" s="115"/>
      <c r="P388" s="115"/>
      <c r="Q388" s="115"/>
      <c r="R388" s="115"/>
      <c r="S388" s="115"/>
      <c r="T388" s="115"/>
      <c r="U388" s="115"/>
      <c r="V388" s="115"/>
      <c r="W388" s="115"/>
      <c r="X388" s="115"/>
      <c r="Y388" s="115"/>
      <c r="Z388" s="115"/>
      <c r="AA388" s="115"/>
      <c r="AB388" s="115"/>
      <c r="AI388" s="263"/>
      <c r="AJ388" s="263"/>
      <c r="AK388" s="263"/>
      <c r="AN388" s="115"/>
      <c r="AO388" s="115"/>
    </row>
    <row r="389">
      <c r="A389" s="397"/>
      <c r="B389" s="385"/>
      <c r="C389" s="385"/>
      <c r="H389" s="115"/>
      <c r="I389" s="115"/>
      <c r="J389" s="115"/>
      <c r="K389" s="115"/>
      <c r="L389" s="115"/>
      <c r="M389" s="353"/>
      <c r="N389" s="115"/>
      <c r="O389" s="115"/>
      <c r="P389" s="115"/>
      <c r="Q389" s="115"/>
      <c r="R389" s="115"/>
      <c r="S389" s="115"/>
      <c r="T389" s="115"/>
      <c r="U389" s="115"/>
      <c r="V389" s="115"/>
      <c r="W389" s="115"/>
      <c r="X389" s="115"/>
      <c r="Y389" s="115"/>
      <c r="Z389" s="115"/>
      <c r="AA389" s="115"/>
      <c r="AB389" s="115"/>
      <c r="AI389" s="263"/>
      <c r="AJ389" s="263"/>
      <c r="AK389" s="263"/>
      <c r="AN389" s="115"/>
      <c r="AO389" s="115"/>
    </row>
    <row r="390">
      <c r="A390" s="397"/>
      <c r="B390" s="385"/>
      <c r="C390" s="385"/>
      <c r="H390" s="115"/>
      <c r="I390" s="115"/>
      <c r="J390" s="115"/>
      <c r="K390" s="115"/>
      <c r="L390" s="115"/>
      <c r="M390" s="353"/>
      <c r="N390" s="115"/>
      <c r="O390" s="115"/>
      <c r="P390" s="115"/>
      <c r="Q390" s="115"/>
      <c r="R390" s="115"/>
      <c r="S390" s="115"/>
      <c r="T390" s="115"/>
      <c r="U390" s="115"/>
      <c r="V390" s="115"/>
      <c r="W390" s="115"/>
      <c r="X390" s="115"/>
      <c r="Y390" s="115"/>
      <c r="Z390" s="115"/>
      <c r="AA390" s="115"/>
      <c r="AB390" s="115"/>
      <c r="AI390" s="263"/>
      <c r="AJ390" s="263"/>
      <c r="AK390" s="263"/>
      <c r="AN390" s="115"/>
      <c r="AO390" s="115"/>
    </row>
    <row r="391">
      <c r="A391" s="397"/>
      <c r="B391" s="385"/>
      <c r="C391" s="385"/>
      <c r="H391" s="115"/>
      <c r="I391" s="115"/>
      <c r="J391" s="115"/>
      <c r="K391" s="115"/>
      <c r="L391" s="115"/>
      <c r="M391" s="353"/>
      <c r="N391" s="115"/>
      <c r="O391" s="115"/>
      <c r="P391" s="115"/>
      <c r="Q391" s="115"/>
      <c r="R391" s="115"/>
      <c r="S391" s="115"/>
      <c r="T391" s="115"/>
      <c r="U391" s="115"/>
      <c r="V391" s="115"/>
      <c r="W391" s="115"/>
      <c r="X391" s="115"/>
      <c r="Y391" s="115"/>
      <c r="Z391" s="115"/>
      <c r="AA391" s="115"/>
      <c r="AB391" s="115"/>
      <c r="AI391" s="263"/>
      <c r="AJ391" s="263"/>
      <c r="AK391" s="263"/>
      <c r="AN391" s="115"/>
      <c r="AO391" s="115"/>
    </row>
    <row r="392">
      <c r="A392" s="397"/>
      <c r="B392" s="385"/>
      <c r="C392" s="385"/>
      <c r="H392" s="115"/>
      <c r="I392" s="115"/>
      <c r="J392" s="115"/>
      <c r="K392" s="115"/>
      <c r="L392" s="115"/>
      <c r="M392" s="353"/>
      <c r="N392" s="115"/>
      <c r="O392" s="115"/>
      <c r="P392" s="115"/>
      <c r="Q392" s="115"/>
      <c r="R392" s="115"/>
      <c r="S392" s="115"/>
      <c r="T392" s="115"/>
      <c r="U392" s="115"/>
      <c r="V392" s="115"/>
      <c r="W392" s="115"/>
      <c r="X392" s="115"/>
      <c r="Y392" s="115"/>
      <c r="Z392" s="115"/>
      <c r="AA392" s="115"/>
      <c r="AB392" s="115"/>
      <c r="AI392" s="263"/>
      <c r="AJ392" s="263"/>
      <c r="AK392" s="263"/>
      <c r="AN392" s="115"/>
      <c r="AO392" s="115"/>
    </row>
    <row r="393">
      <c r="A393" s="397"/>
      <c r="B393" s="385"/>
      <c r="C393" s="385"/>
      <c r="H393" s="115"/>
      <c r="I393" s="115"/>
      <c r="J393" s="115"/>
      <c r="K393" s="115"/>
      <c r="L393" s="115"/>
      <c r="M393" s="353"/>
      <c r="N393" s="115"/>
      <c r="O393" s="115"/>
      <c r="P393" s="115"/>
      <c r="Q393" s="115"/>
      <c r="R393" s="115"/>
      <c r="S393" s="115"/>
      <c r="T393" s="115"/>
      <c r="U393" s="115"/>
      <c r="V393" s="115"/>
      <c r="W393" s="115"/>
      <c r="X393" s="115"/>
      <c r="Y393" s="115"/>
      <c r="Z393" s="115"/>
      <c r="AA393" s="115"/>
      <c r="AB393" s="115"/>
      <c r="AI393" s="263"/>
      <c r="AJ393" s="263"/>
      <c r="AK393" s="263"/>
      <c r="AN393" s="115"/>
      <c r="AO393" s="115"/>
    </row>
    <row r="394">
      <c r="A394" s="397"/>
      <c r="B394" s="385"/>
      <c r="C394" s="385"/>
      <c r="H394" s="115"/>
      <c r="I394" s="115"/>
      <c r="J394" s="115"/>
      <c r="K394" s="115"/>
      <c r="L394" s="115"/>
      <c r="M394" s="353"/>
      <c r="N394" s="115"/>
      <c r="O394" s="115"/>
      <c r="P394" s="115"/>
      <c r="Q394" s="115"/>
      <c r="R394" s="115"/>
      <c r="S394" s="115"/>
      <c r="T394" s="115"/>
      <c r="U394" s="115"/>
      <c r="V394" s="115"/>
      <c r="W394" s="115"/>
      <c r="X394" s="115"/>
      <c r="Y394" s="115"/>
      <c r="Z394" s="115"/>
      <c r="AA394" s="115"/>
      <c r="AB394" s="115"/>
      <c r="AI394" s="263"/>
      <c r="AJ394" s="263"/>
      <c r="AK394" s="263"/>
      <c r="AN394" s="115"/>
      <c r="AO394" s="115"/>
    </row>
    <row r="395">
      <c r="A395" s="397"/>
      <c r="B395" s="385"/>
      <c r="C395" s="385"/>
      <c r="H395" s="115"/>
      <c r="I395" s="115"/>
      <c r="J395" s="115"/>
      <c r="K395" s="115"/>
      <c r="L395" s="115"/>
      <c r="M395" s="353"/>
      <c r="N395" s="115"/>
      <c r="O395" s="115"/>
      <c r="P395" s="115"/>
      <c r="Q395" s="115"/>
      <c r="R395" s="115"/>
      <c r="S395" s="115"/>
      <c r="T395" s="115"/>
      <c r="U395" s="115"/>
      <c r="V395" s="115"/>
      <c r="W395" s="115"/>
      <c r="X395" s="115"/>
      <c r="Y395" s="115"/>
      <c r="Z395" s="115"/>
      <c r="AA395" s="115"/>
      <c r="AB395" s="115"/>
      <c r="AI395" s="263"/>
      <c r="AJ395" s="263"/>
      <c r="AK395" s="263"/>
      <c r="AN395" s="115"/>
      <c r="AO395" s="115"/>
    </row>
    <row r="396">
      <c r="A396" s="397"/>
      <c r="B396" s="385"/>
      <c r="C396" s="385"/>
      <c r="H396" s="115"/>
      <c r="I396" s="115"/>
      <c r="J396" s="115"/>
      <c r="K396" s="115"/>
      <c r="L396" s="115"/>
      <c r="M396" s="353"/>
      <c r="N396" s="115"/>
      <c r="O396" s="115"/>
      <c r="P396" s="115"/>
      <c r="Q396" s="115"/>
      <c r="R396" s="115"/>
      <c r="S396" s="115"/>
      <c r="T396" s="115"/>
      <c r="U396" s="115"/>
      <c r="V396" s="115"/>
      <c r="W396" s="115"/>
      <c r="X396" s="115"/>
      <c r="Y396" s="115"/>
      <c r="Z396" s="115"/>
      <c r="AA396" s="115"/>
      <c r="AB396" s="115"/>
      <c r="AI396" s="263"/>
      <c r="AJ396" s="263"/>
      <c r="AK396" s="263"/>
      <c r="AN396" s="115"/>
      <c r="AO396" s="115"/>
    </row>
    <row r="397">
      <c r="A397" s="397"/>
      <c r="B397" s="385"/>
      <c r="C397" s="385"/>
      <c r="H397" s="115"/>
      <c r="I397" s="115"/>
      <c r="J397" s="115"/>
      <c r="K397" s="115"/>
      <c r="L397" s="115"/>
      <c r="M397" s="353"/>
      <c r="N397" s="115"/>
      <c r="O397" s="115"/>
      <c r="P397" s="115"/>
      <c r="Q397" s="115"/>
      <c r="R397" s="115"/>
      <c r="S397" s="115"/>
      <c r="T397" s="115"/>
      <c r="U397" s="115"/>
      <c r="V397" s="115"/>
      <c r="W397" s="115"/>
      <c r="X397" s="115"/>
      <c r="Y397" s="115"/>
      <c r="Z397" s="115"/>
      <c r="AA397" s="115"/>
      <c r="AB397" s="115"/>
      <c r="AI397" s="263"/>
      <c r="AJ397" s="263"/>
      <c r="AK397" s="263"/>
      <c r="AN397" s="115"/>
      <c r="AO397" s="115"/>
    </row>
    <row r="398">
      <c r="A398" s="397"/>
      <c r="B398" s="385"/>
      <c r="C398" s="385"/>
      <c r="H398" s="115"/>
      <c r="I398" s="115"/>
      <c r="J398" s="115"/>
      <c r="K398" s="115"/>
      <c r="L398" s="115"/>
      <c r="M398" s="353"/>
      <c r="N398" s="115"/>
      <c r="O398" s="115"/>
      <c r="P398" s="115"/>
      <c r="Q398" s="115"/>
      <c r="R398" s="115"/>
      <c r="S398" s="115"/>
      <c r="T398" s="115"/>
      <c r="U398" s="115"/>
      <c r="V398" s="115"/>
      <c r="W398" s="115"/>
      <c r="X398" s="115"/>
      <c r="Y398" s="115"/>
      <c r="Z398" s="115"/>
      <c r="AA398" s="115"/>
      <c r="AB398" s="115"/>
      <c r="AI398" s="263"/>
      <c r="AJ398" s="263"/>
      <c r="AK398" s="263"/>
      <c r="AN398" s="115"/>
      <c r="AO398" s="115"/>
    </row>
    <row r="399">
      <c r="A399" s="397"/>
      <c r="B399" s="385"/>
      <c r="C399" s="385"/>
      <c r="H399" s="115"/>
      <c r="I399" s="115"/>
      <c r="J399" s="115"/>
      <c r="K399" s="115"/>
      <c r="L399" s="115"/>
      <c r="M399" s="353"/>
      <c r="N399" s="115"/>
      <c r="O399" s="115"/>
      <c r="P399" s="115"/>
      <c r="Q399" s="115"/>
      <c r="R399" s="115"/>
      <c r="S399" s="115"/>
      <c r="T399" s="115"/>
      <c r="U399" s="115"/>
      <c r="V399" s="115"/>
      <c r="W399" s="115"/>
      <c r="X399" s="115"/>
      <c r="Y399" s="115"/>
      <c r="Z399" s="115"/>
      <c r="AA399" s="115"/>
      <c r="AB399" s="115"/>
      <c r="AI399" s="263"/>
      <c r="AJ399" s="263"/>
      <c r="AK399" s="263"/>
      <c r="AN399" s="115"/>
      <c r="AO399" s="115"/>
    </row>
    <row r="400">
      <c r="A400" s="397"/>
      <c r="B400" s="385"/>
      <c r="C400" s="385"/>
      <c r="H400" s="115"/>
      <c r="I400" s="115"/>
      <c r="J400" s="115"/>
      <c r="K400" s="115"/>
      <c r="L400" s="115"/>
      <c r="M400" s="353"/>
      <c r="N400" s="115"/>
      <c r="O400" s="115"/>
      <c r="P400" s="115"/>
      <c r="Q400" s="115"/>
      <c r="R400" s="115"/>
      <c r="S400" s="115"/>
      <c r="T400" s="115"/>
      <c r="U400" s="115"/>
      <c r="V400" s="115"/>
      <c r="W400" s="115"/>
      <c r="X400" s="115"/>
      <c r="Y400" s="115"/>
      <c r="Z400" s="115"/>
      <c r="AA400" s="115"/>
      <c r="AB400" s="115"/>
      <c r="AI400" s="263"/>
      <c r="AJ400" s="263"/>
      <c r="AK400" s="263"/>
      <c r="AN400" s="115"/>
      <c r="AO400" s="115"/>
    </row>
    <row r="401">
      <c r="A401" s="397"/>
      <c r="B401" s="385"/>
      <c r="C401" s="385"/>
      <c r="H401" s="115"/>
      <c r="I401" s="115"/>
      <c r="J401" s="115"/>
      <c r="K401" s="115"/>
      <c r="L401" s="115"/>
      <c r="M401" s="353"/>
      <c r="N401" s="115"/>
      <c r="O401" s="115"/>
      <c r="P401" s="115"/>
      <c r="Q401" s="115"/>
      <c r="R401" s="115"/>
      <c r="S401" s="115"/>
      <c r="T401" s="115"/>
      <c r="U401" s="115"/>
      <c r="V401" s="115"/>
      <c r="W401" s="115"/>
      <c r="X401" s="115"/>
      <c r="Y401" s="115"/>
      <c r="Z401" s="115"/>
      <c r="AA401" s="115"/>
      <c r="AB401" s="115"/>
      <c r="AI401" s="263"/>
      <c r="AJ401" s="263"/>
      <c r="AK401" s="263"/>
      <c r="AN401" s="115"/>
      <c r="AO401" s="115"/>
    </row>
    <row r="402">
      <c r="A402" s="397"/>
      <c r="B402" s="385"/>
      <c r="C402" s="385"/>
      <c r="H402" s="115"/>
      <c r="I402" s="115"/>
      <c r="J402" s="115"/>
      <c r="K402" s="115"/>
      <c r="L402" s="115"/>
      <c r="M402" s="353"/>
      <c r="N402" s="115"/>
      <c r="O402" s="115"/>
      <c r="P402" s="115"/>
      <c r="Q402" s="115"/>
      <c r="R402" s="115"/>
      <c r="S402" s="115"/>
      <c r="T402" s="115"/>
      <c r="U402" s="115"/>
      <c r="V402" s="115"/>
      <c r="W402" s="115"/>
      <c r="X402" s="115"/>
      <c r="Y402" s="115"/>
      <c r="Z402" s="115"/>
      <c r="AA402" s="115"/>
      <c r="AB402" s="115"/>
      <c r="AI402" s="263"/>
      <c r="AJ402" s="263"/>
      <c r="AK402" s="263"/>
      <c r="AN402" s="115"/>
      <c r="AO402" s="115"/>
    </row>
    <row r="403">
      <c r="A403" s="397"/>
      <c r="B403" s="385"/>
      <c r="C403" s="385"/>
      <c r="H403" s="115"/>
      <c r="I403" s="115"/>
      <c r="J403" s="115"/>
      <c r="K403" s="115"/>
      <c r="L403" s="115"/>
      <c r="M403" s="353"/>
      <c r="N403" s="115"/>
      <c r="O403" s="115"/>
      <c r="P403" s="115"/>
      <c r="Q403" s="115"/>
      <c r="R403" s="115"/>
      <c r="S403" s="115"/>
      <c r="T403" s="115"/>
      <c r="U403" s="115"/>
      <c r="V403" s="115"/>
      <c r="W403" s="115"/>
      <c r="X403" s="115"/>
      <c r="Y403" s="115"/>
      <c r="Z403" s="115"/>
      <c r="AA403" s="115"/>
      <c r="AB403" s="115"/>
      <c r="AI403" s="263"/>
      <c r="AJ403" s="263"/>
      <c r="AK403" s="263"/>
      <c r="AN403" s="115"/>
      <c r="AO403" s="115"/>
    </row>
    <row r="404">
      <c r="A404" s="397"/>
      <c r="B404" s="385"/>
      <c r="C404" s="385"/>
      <c r="H404" s="115"/>
      <c r="I404" s="115"/>
      <c r="J404" s="115"/>
      <c r="K404" s="115"/>
      <c r="L404" s="115"/>
      <c r="M404" s="353"/>
      <c r="N404" s="115"/>
      <c r="O404" s="115"/>
      <c r="P404" s="115"/>
      <c r="Q404" s="115"/>
      <c r="R404" s="115"/>
      <c r="S404" s="115"/>
      <c r="T404" s="115"/>
      <c r="U404" s="115"/>
      <c r="V404" s="115"/>
      <c r="W404" s="115"/>
      <c r="X404" s="115"/>
      <c r="Y404" s="115"/>
      <c r="Z404" s="115"/>
      <c r="AA404" s="115"/>
      <c r="AB404" s="115"/>
      <c r="AI404" s="263"/>
      <c r="AJ404" s="263"/>
      <c r="AK404" s="263"/>
      <c r="AN404" s="115"/>
      <c r="AO404" s="115"/>
    </row>
    <row r="405">
      <c r="A405" s="397"/>
      <c r="B405" s="385"/>
      <c r="C405" s="385"/>
      <c r="H405" s="115"/>
      <c r="I405" s="115"/>
      <c r="J405" s="115"/>
      <c r="K405" s="115"/>
      <c r="L405" s="115"/>
      <c r="M405" s="353"/>
      <c r="N405" s="115"/>
      <c r="O405" s="115"/>
      <c r="P405" s="115"/>
      <c r="Q405" s="115"/>
      <c r="R405" s="115"/>
      <c r="S405" s="115"/>
      <c r="T405" s="115"/>
      <c r="U405" s="115"/>
      <c r="V405" s="115"/>
      <c r="W405" s="115"/>
      <c r="X405" s="115"/>
      <c r="Y405" s="115"/>
      <c r="Z405" s="115"/>
      <c r="AA405" s="115"/>
      <c r="AB405" s="115"/>
      <c r="AI405" s="263"/>
      <c r="AJ405" s="263"/>
      <c r="AK405" s="263"/>
      <c r="AN405" s="115"/>
      <c r="AO405" s="115"/>
    </row>
    <row r="406">
      <c r="A406" s="397"/>
      <c r="B406" s="385"/>
      <c r="C406" s="385"/>
      <c r="H406" s="115"/>
      <c r="I406" s="115"/>
      <c r="J406" s="115"/>
      <c r="K406" s="115"/>
      <c r="L406" s="115"/>
      <c r="M406" s="353"/>
      <c r="N406" s="115"/>
      <c r="O406" s="115"/>
      <c r="P406" s="115"/>
      <c r="Q406" s="115"/>
      <c r="R406" s="115"/>
      <c r="S406" s="115"/>
      <c r="T406" s="115"/>
      <c r="U406" s="115"/>
      <c r="V406" s="115"/>
      <c r="W406" s="115"/>
      <c r="X406" s="115"/>
      <c r="Y406" s="115"/>
      <c r="Z406" s="115"/>
      <c r="AA406" s="115"/>
      <c r="AB406" s="115"/>
      <c r="AI406" s="263"/>
      <c r="AJ406" s="263"/>
      <c r="AK406" s="263"/>
      <c r="AN406" s="115"/>
      <c r="AO406" s="115"/>
    </row>
    <row r="407">
      <c r="A407" s="397"/>
      <c r="B407" s="385"/>
      <c r="C407" s="385"/>
      <c r="H407" s="115"/>
      <c r="I407" s="115"/>
      <c r="J407" s="115"/>
      <c r="K407" s="115"/>
      <c r="L407" s="115"/>
      <c r="M407" s="353"/>
      <c r="N407" s="115"/>
      <c r="O407" s="115"/>
      <c r="P407" s="115"/>
      <c r="Q407" s="115"/>
      <c r="R407" s="115"/>
      <c r="S407" s="115"/>
      <c r="T407" s="115"/>
      <c r="U407" s="115"/>
      <c r="V407" s="115"/>
      <c r="W407" s="115"/>
      <c r="X407" s="115"/>
      <c r="Y407" s="115"/>
      <c r="Z407" s="115"/>
      <c r="AA407" s="115"/>
      <c r="AB407" s="115"/>
      <c r="AI407" s="263"/>
      <c r="AJ407" s="263"/>
      <c r="AK407" s="263"/>
      <c r="AN407" s="115"/>
      <c r="AO407" s="115"/>
    </row>
    <row r="408">
      <c r="A408" s="397"/>
      <c r="B408" s="385"/>
      <c r="C408" s="385"/>
      <c r="H408" s="115"/>
      <c r="I408" s="115"/>
      <c r="J408" s="115"/>
      <c r="K408" s="115"/>
      <c r="L408" s="115"/>
      <c r="M408" s="353"/>
      <c r="N408" s="115"/>
      <c r="O408" s="115"/>
      <c r="P408" s="115"/>
      <c r="Q408" s="115"/>
      <c r="R408" s="115"/>
      <c r="S408" s="115"/>
      <c r="T408" s="115"/>
      <c r="U408" s="115"/>
      <c r="V408" s="115"/>
      <c r="W408" s="115"/>
      <c r="X408" s="115"/>
      <c r="Y408" s="115"/>
      <c r="Z408" s="115"/>
      <c r="AA408" s="115"/>
      <c r="AB408" s="115"/>
      <c r="AI408" s="263"/>
      <c r="AJ408" s="263"/>
      <c r="AK408" s="263"/>
      <c r="AN408" s="115"/>
      <c r="AO408" s="115"/>
    </row>
    <row r="409">
      <c r="A409" s="397"/>
      <c r="B409" s="385"/>
      <c r="C409" s="385"/>
      <c r="H409" s="115"/>
      <c r="I409" s="115"/>
      <c r="J409" s="115"/>
      <c r="K409" s="115"/>
      <c r="L409" s="115"/>
      <c r="M409" s="353"/>
      <c r="N409" s="115"/>
      <c r="O409" s="115"/>
      <c r="P409" s="115"/>
      <c r="Q409" s="115"/>
      <c r="R409" s="115"/>
      <c r="S409" s="115"/>
      <c r="T409" s="115"/>
      <c r="U409" s="115"/>
      <c r="V409" s="115"/>
      <c r="W409" s="115"/>
      <c r="X409" s="115"/>
      <c r="Y409" s="115"/>
      <c r="Z409" s="115"/>
      <c r="AA409" s="115"/>
      <c r="AB409" s="115"/>
      <c r="AI409" s="263"/>
      <c r="AJ409" s="263"/>
      <c r="AK409" s="263"/>
      <c r="AN409" s="115"/>
      <c r="AO409" s="115"/>
    </row>
    <row r="410">
      <c r="A410" s="397"/>
      <c r="B410" s="385"/>
      <c r="C410" s="385"/>
      <c r="H410" s="115"/>
      <c r="I410" s="115"/>
      <c r="J410" s="115"/>
      <c r="K410" s="115"/>
      <c r="L410" s="115"/>
      <c r="M410" s="353"/>
      <c r="N410" s="115"/>
      <c r="O410" s="115"/>
      <c r="P410" s="115"/>
      <c r="Q410" s="115"/>
      <c r="R410" s="115"/>
      <c r="S410" s="115"/>
      <c r="T410" s="115"/>
      <c r="U410" s="115"/>
      <c r="V410" s="115"/>
      <c r="W410" s="115"/>
      <c r="X410" s="115"/>
      <c r="Y410" s="115"/>
      <c r="Z410" s="115"/>
      <c r="AA410" s="115"/>
      <c r="AB410" s="115"/>
      <c r="AI410" s="263"/>
      <c r="AJ410" s="263"/>
      <c r="AK410" s="263"/>
      <c r="AN410" s="115"/>
      <c r="AO410" s="115"/>
    </row>
    <row r="411">
      <c r="A411" s="397"/>
      <c r="B411" s="385"/>
      <c r="C411" s="385"/>
      <c r="H411" s="115"/>
      <c r="I411" s="115"/>
      <c r="J411" s="115"/>
      <c r="K411" s="115"/>
      <c r="L411" s="115"/>
      <c r="M411" s="353"/>
      <c r="N411" s="115"/>
      <c r="O411" s="115"/>
      <c r="P411" s="115"/>
      <c r="Q411" s="115"/>
      <c r="R411" s="115"/>
      <c r="S411" s="115"/>
      <c r="T411" s="115"/>
      <c r="U411" s="115"/>
      <c r="V411" s="115"/>
      <c r="W411" s="115"/>
      <c r="X411" s="115"/>
      <c r="Y411" s="115"/>
      <c r="Z411" s="115"/>
      <c r="AA411" s="115"/>
      <c r="AB411" s="115"/>
      <c r="AI411" s="263"/>
      <c r="AJ411" s="263"/>
      <c r="AK411" s="263"/>
      <c r="AN411" s="115"/>
      <c r="AO411" s="115"/>
    </row>
    <row r="412">
      <c r="A412" s="397"/>
      <c r="B412" s="385"/>
      <c r="C412" s="385"/>
      <c r="H412" s="115"/>
      <c r="I412" s="115"/>
      <c r="J412" s="115"/>
      <c r="K412" s="115"/>
      <c r="L412" s="115"/>
      <c r="M412" s="353"/>
      <c r="N412" s="115"/>
      <c r="O412" s="115"/>
      <c r="P412" s="115"/>
      <c r="Q412" s="115"/>
      <c r="R412" s="115"/>
      <c r="S412" s="115"/>
      <c r="T412" s="115"/>
      <c r="U412" s="115"/>
      <c r="V412" s="115"/>
      <c r="W412" s="115"/>
      <c r="X412" s="115"/>
      <c r="Y412" s="115"/>
      <c r="Z412" s="115"/>
      <c r="AA412" s="115"/>
      <c r="AB412" s="115"/>
      <c r="AI412" s="263"/>
      <c r="AJ412" s="263"/>
      <c r="AK412" s="263"/>
      <c r="AN412" s="115"/>
      <c r="AO412" s="115"/>
    </row>
    <row r="413">
      <c r="A413" s="397"/>
      <c r="B413" s="385"/>
      <c r="C413" s="385"/>
      <c r="H413" s="115"/>
      <c r="I413" s="115"/>
      <c r="J413" s="115"/>
      <c r="K413" s="115"/>
      <c r="L413" s="115"/>
      <c r="M413" s="353"/>
      <c r="N413" s="115"/>
      <c r="O413" s="115"/>
      <c r="P413" s="115"/>
      <c r="Q413" s="115"/>
      <c r="R413" s="115"/>
      <c r="S413" s="115"/>
      <c r="T413" s="115"/>
      <c r="U413" s="115"/>
      <c r="V413" s="115"/>
      <c r="W413" s="115"/>
      <c r="X413" s="115"/>
      <c r="Y413" s="115"/>
      <c r="Z413" s="115"/>
      <c r="AA413" s="115"/>
      <c r="AB413" s="115"/>
      <c r="AI413" s="263"/>
      <c r="AJ413" s="263"/>
      <c r="AK413" s="263"/>
      <c r="AN413" s="115"/>
      <c r="AO413" s="115"/>
    </row>
    <row r="414">
      <c r="A414" s="397"/>
      <c r="B414" s="385"/>
      <c r="C414" s="385"/>
      <c r="H414" s="115"/>
      <c r="I414" s="115"/>
      <c r="J414" s="115"/>
      <c r="K414" s="115"/>
      <c r="L414" s="115"/>
      <c r="M414" s="353"/>
      <c r="N414" s="115"/>
      <c r="O414" s="115"/>
      <c r="P414" s="115"/>
      <c r="Q414" s="115"/>
      <c r="R414" s="115"/>
      <c r="S414" s="115"/>
      <c r="T414" s="115"/>
      <c r="U414" s="115"/>
      <c r="V414" s="115"/>
      <c r="W414" s="115"/>
      <c r="X414" s="115"/>
      <c r="Y414" s="115"/>
      <c r="Z414" s="115"/>
      <c r="AA414" s="115"/>
      <c r="AB414" s="115"/>
      <c r="AI414" s="263"/>
      <c r="AJ414" s="263"/>
      <c r="AK414" s="263"/>
      <c r="AN414" s="115"/>
      <c r="AO414" s="115"/>
    </row>
    <row r="415">
      <c r="A415" s="397"/>
      <c r="B415" s="385"/>
      <c r="C415" s="385"/>
      <c r="H415" s="115"/>
      <c r="I415" s="115"/>
      <c r="J415" s="115"/>
      <c r="K415" s="115"/>
      <c r="L415" s="115"/>
      <c r="M415" s="353"/>
      <c r="N415" s="115"/>
      <c r="O415" s="115"/>
      <c r="P415" s="115"/>
      <c r="Q415" s="115"/>
      <c r="R415" s="115"/>
      <c r="S415" s="115"/>
      <c r="T415" s="115"/>
      <c r="U415" s="115"/>
      <c r="V415" s="115"/>
      <c r="W415" s="115"/>
      <c r="X415" s="115"/>
      <c r="Y415" s="115"/>
      <c r="Z415" s="115"/>
      <c r="AA415" s="115"/>
      <c r="AB415" s="115"/>
      <c r="AI415" s="263"/>
      <c r="AJ415" s="263"/>
      <c r="AK415" s="263"/>
      <c r="AN415" s="115"/>
      <c r="AO415" s="115"/>
    </row>
    <row r="416">
      <c r="A416" s="397"/>
      <c r="B416" s="385"/>
      <c r="C416" s="385"/>
      <c r="H416" s="115"/>
      <c r="I416" s="115"/>
      <c r="J416" s="115"/>
      <c r="K416" s="115"/>
      <c r="L416" s="115"/>
      <c r="M416" s="353"/>
      <c r="N416" s="115"/>
      <c r="O416" s="115"/>
      <c r="P416" s="115"/>
      <c r="Q416" s="115"/>
      <c r="R416" s="115"/>
      <c r="S416" s="115"/>
      <c r="T416" s="115"/>
      <c r="U416" s="115"/>
      <c r="V416" s="115"/>
      <c r="W416" s="115"/>
      <c r="X416" s="115"/>
      <c r="Y416" s="115"/>
      <c r="Z416" s="115"/>
      <c r="AA416" s="115"/>
      <c r="AB416" s="115"/>
      <c r="AI416" s="263"/>
      <c r="AJ416" s="263"/>
      <c r="AK416" s="263"/>
      <c r="AN416" s="115"/>
      <c r="AO416" s="115"/>
    </row>
    <row r="417">
      <c r="A417" s="397"/>
      <c r="B417" s="385"/>
      <c r="C417" s="385"/>
      <c r="H417" s="115"/>
      <c r="I417" s="115"/>
      <c r="J417" s="115"/>
      <c r="K417" s="115"/>
      <c r="L417" s="115"/>
      <c r="M417" s="353"/>
      <c r="N417" s="115"/>
      <c r="O417" s="115"/>
      <c r="P417" s="115"/>
      <c r="Q417" s="115"/>
      <c r="R417" s="115"/>
      <c r="S417" s="115"/>
      <c r="T417" s="115"/>
      <c r="U417" s="115"/>
      <c r="V417" s="115"/>
      <c r="W417" s="115"/>
      <c r="X417" s="115"/>
      <c r="Y417" s="115"/>
      <c r="Z417" s="115"/>
      <c r="AA417" s="115"/>
      <c r="AB417" s="115"/>
      <c r="AI417" s="263"/>
      <c r="AJ417" s="263"/>
      <c r="AK417" s="263"/>
      <c r="AN417" s="115"/>
      <c r="AO417" s="115"/>
    </row>
    <row r="418">
      <c r="A418" s="397"/>
      <c r="B418" s="385"/>
      <c r="C418" s="385"/>
      <c r="H418" s="115"/>
      <c r="I418" s="115"/>
      <c r="J418" s="115"/>
      <c r="K418" s="115"/>
      <c r="L418" s="115"/>
      <c r="M418" s="353"/>
      <c r="N418" s="115"/>
      <c r="O418" s="115"/>
      <c r="P418" s="115"/>
      <c r="Q418" s="115"/>
      <c r="R418" s="115"/>
      <c r="S418" s="115"/>
      <c r="T418" s="115"/>
      <c r="U418" s="115"/>
      <c r="V418" s="115"/>
      <c r="W418" s="115"/>
      <c r="X418" s="115"/>
      <c r="Y418" s="115"/>
      <c r="Z418" s="115"/>
      <c r="AA418" s="115"/>
      <c r="AB418" s="115"/>
      <c r="AI418" s="263"/>
      <c r="AJ418" s="263"/>
      <c r="AK418" s="263"/>
      <c r="AN418" s="115"/>
      <c r="AO418" s="115"/>
    </row>
    <row r="419">
      <c r="A419" s="397"/>
      <c r="B419" s="385"/>
      <c r="C419" s="385"/>
      <c r="H419" s="115"/>
      <c r="I419" s="115"/>
      <c r="J419" s="115"/>
      <c r="K419" s="115"/>
      <c r="L419" s="115"/>
      <c r="M419" s="353"/>
      <c r="N419" s="115"/>
      <c r="O419" s="115"/>
      <c r="P419" s="115"/>
      <c r="Q419" s="115"/>
      <c r="R419" s="115"/>
      <c r="S419" s="115"/>
      <c r="T419" s="115"/>
      <c r="U419" s="115"/>
      <c r="V419" s="115"/>
      <c r="W419" s="115"/>
      <c r="X419" s="115"/>
      <c r="Y419" s="115"/>
      <c r="Z419" s="115"/>
      <c r="AA419" s="115"/>
      <c r="AB419" s="115"/>
      <c r="AI419" s="263"/>
      <c r="AJ419" s="263"/>
      <c r="AK419" s="263"/>
      <c r="AN419" s="115"/>
      <c r="AO419" s="115"/>
    </row>
    <row r="420">
      <c r="A420" s="397"/>
      <c r="B420" s="385"/>
      <c r="C420" s="385"/>
      <c r="H420" s="115"/>
      <c r="I420" s="115"/>
      <c r="J420" s="115"/>
      <c r="K420" s="115"/>
      <c r="L420" s="115"/>
      <c r="M420" s="353"/>
      <c r="N420" s="115"/>
      <c r="O420" s="115"/>
      <c r="P420" s="115"/>
      <c r="Q420" s="115"/>
      <c r="R420" s="115"/>
      <c r="S420" s="115"/>
      <c r="T420" s="115"/>
      <c r="U420" s="115"/>
      <c r="V420" s="115"/>
      <c r="W420" s="115"/>
      <c r="X420" s="115"/>
      <c r="Y420" s="115"/>
      <c r="Z420" s="115"/>
      <c r="AA420" s="115"/>
      <c r="AB420" s="115"/>
      <c r="AI420" s="263"/>
      <c r="AJ420" s="263"/>
      <c r="AK420" s="263"/>
      <c r="AN420" s="115"/>
      <c r="AO420" s="115"/>
    </row>
    <row r="421">
      <c r="A421" s="397"/>
      <c r="B421" s="385"/>
      <c r="C421" s="385"/>
      <c r="H421" s="115"/>
      <c r="I421" s="115"/>
      <c r="J421" s="115"/>
      <c r="K421" s="115"/>
      <c r="L421" s="115"/>
      <c r="M421" s="353"/>
      <c r="N421" s="115"/>
      <c r="O421" s="115"/>
      <c r="P421" s="115"/>
      <c r="Q421" s="115"/>
      <c r="R421" s="115"/>
      <c r="S421" s="115"/>
      <c r="T421" s="115"/>
      <c r="U421" s="115"/>
      <c r="V421" s="115"/>
      <c r="W421" s="115"/>
      <c r="X421" s="115"/>
      <c r="Y421" s="115"/>
      <c r="Z421" s="115"/>
      <c r="AA421" s="115"/>
      <c r="AB421" s="115"/>
      <c r="AI421" s="263"/>
      <c r="AJ421" s="263"/>
      <c r="AK421" s="263"/>
      <c r="AN421" s="115"/>
      <c r="AO421" s="115"/>
    </row>
    <row r="422">
      <c r="A422" s="397"/>
      <c r="B422" s="385"/>
      <c r="C422" s="385"/>
      <c r="H422" s="115"/>
      <c r="I422" s="115"/>
      <c r="J422" s="115"/>
      <c r="K422" s="115"/>
      <c r="L422" s="115"/>
      <c r="M422" s="353"/>
      <c r="N422" s="115"/>
      <c r="O422" s="115"/>
      <c r="P422" s="115"/>
      <c r="Q422" s="115"/>
      <c r="R422" s="115"/>
      <c r="S422" s="115"/>
      <c r="T422" s="115"/>
      <c r="U422" s="115"/>
      <c r="V422" s="115"/>
      <c r="W422" s="115"/>
      <c r="X422" s="115"/>
      <c r="Y422" s="115"/>
      <c r="Z422" s="115"/>
      <c r="AA422" s="115"/>
      <c r="AB422" s="115"/>
      <c r="AI422" s="263"/>
      <c r="AJ422" s="263"/>
      <c r="AK422" s="263"/>
      <c r="AN422" s="115"/>
      <c r="AO422" s="115"/>
    </row>
    <row r="423">
      <c r="A423" s="397"/>
      <c r="B423" s="385"/>
      <c r="C423" s="385"/>
      <c r="H423" s="115"/>
      <c r="I423" s="115"/>
      <c r="J423" s="115"/>
      <c r="K423" s="115"/>
      <c r="L423" s="115"/>
      <c r="M423" s="353"/>
      <c r="N423" s="115"/>
      <c r="O423" s="115"/>
      <c r="P423" s="115"/>
      <c r="Q423" s="115"/>
      <c r="R423" s="115"/>
      <c r="S423" s="115"/>
      <c r="T423" s="115"/>
      <c r="U423" s="115"/>
      <c r="V423" s="115"/>
      <c r="W423" s="115"/>
      <c r="X423" s="115"/>
      <c r="Y423" s="115"/>
      <c r="Z423" s="115"/>
      <c r="AA423" s="115"/>
      <c r="AB423" s="115"/>
      <c r="AI423" s="263"/>
      <c r="AJ423" s="263"/>
      <c r="AK423" s="263"/>
      <c r="AN423" s="115"/>
      <c r="AO423" s="115"/>
    </row>
    <row r="424">
      <c r="A424" s="397"/>
      <c r="B424" s="385"/>
      <c r="C424" s="385"/>
      <c r="H424" s="115"/>
      <c r="I424" s="115"/>
      <c r="J424" s="115"/>
      <c r="K424" s="115"/>
      <c r="L424" s="115"/>
      <c r="M424" s="353"/>
      <c r="N424" s="115"/>
      <c r="O424" s="115"/>
      <c r="P424" s="115"/>
      <c r="Q424" s="115"/>
      <c r="R424" s="115"/>
      <c r="S424" s="115"/>
      <c r="T424" s="115"/>
      <c r="U424" s="115"/>
      <c r="V424" s="115"/>
      <c r="W424" s="115"/>
      <c r="X424" s="115"/>
      <c r="Y424" s="115"/>
      <c r="Z424" s="115"/>
      <c r="AA424" s="115"/>
      <c r="AB424" s="115"/>
      <c r="AI424" s="263"/>
      <c r="AJ424" s="263"/>
      <c r="AK424" s="263"/>
      <c r="AN424" s="115"/>
      <c r="AO424" s="115"/>
    </row>
    <row r="425">
      <c r="A425" s="397"/>
      <c r="B425" s="385"/>
      <c r="C425" s="385"/>
      <c r="H425" s="115"/>
      <c r="I425" s="115"/>
      <c r="J425" s="115"/>
      <c r="K425" s="115"/>
      <c r="L425" s="115"/>
      <c r="M425" s="353"/>
      <c r="N425" s="115"/>
      <c r="O425" s="115"/>
      <c r="P425" s="115"/>
      <c r="Q425" s="115"/>
      <c r="R425" s="115"/>
      <c r="S425" s="115"/>
      <c r="T425" s="115"/>
      <c r="U425" s="115"/>
      <c r="V425" s="115"/>
      <c r="W425" s="115"/>
      <c r="X425" s="115"/>
      <c r="Y425" s="115"/>
      <c r="Z425" s="115"/>
      <c r="AA425" s="115"/>
      <c r="AB425" s="115"/>
      <c r="AI425" s="263"/>
      <c r="AJ425" s="263"/>
      <c r="AK425" s="263"/>
      <c r="AN425" s="115"/>
      <c r="AO425" s="115"/>
    </row>
    <row r="426">
      <c r="A426" s="397"/>
      <c r="B426" s="385"/>
      <c r="C426" s="385"/>
      <c r="H426" s="115"/>
      <c r="I426" s="115"/>
      <c r="J426" s="115"/>
      <c r="K426" s="115"/>
      <c r="L426" s="115"/>
      <c r="M426" s="353"/>
      <c r="N426" s="115"/>
      <c r="O426" s="115"/>
      <c r="P426" s="115"/>
      <c r="Q426" s="115"/>
      <c r="R426" s="115"/>
      <c r="S426" s="115"/>
      <c r="T426" s="115"/>
      <c r="U426" s="115"/>
      <c r="V426" s="115"/>
      <c r="W426" s="115"/>
      <c r="X426" s="115"/>
      <c r="Y426" s="115"/>
      <c r="Z426" s="115"/>
      <c r="AA426" s="115"/>
      <c r="AB426" s="115"/>
      <c r="AI426" s="263"/>
      <c r="AJ426" s="263"/>
      <c r="AK426" s="263"/>
      <c r="AN426" s="115"/>
      <c r="AO426" s="115"/>
    </row>
    <row r="427">
      <c r="A427" s="397"/>
      <c r="B427" s="385"/>
      <c r="C427" s="385"/>
      <c r="H427" s="115"/>
      <c r="I427" s="115"/>
      <c r="J427" s="115"/>
      <c r="K427" s="115"/>
      <c r="L427" s="115"/>
      <c r="M427" s="353"/>
      <c r="N427" s="115"/>
      <c r="O427" s="115"/>
      <c r="P427" s="115"/>
      <c r="Q427" s="115"/>
      <c r="R427" s="115"/>
      <c r="S427" s="115"/>
      <c r="T427" s="115"/>
      <c r="U427" s="115"/>
      <c r="V427" s="115"/>
      <c r="W427" s="115"/>
      <c r="X427" s="115"/>
      <c r="Y427" s="115"/>
      <c r="Z427" s="115"/>
      <c r="AA427" s="115"/>
      <c r="AB427" s="115"/>
      <c r="AI427" s="263"/>
      <c r="AJ427" s="263"/>
      <c r="AK427" s="263"/>
      <c r="AN427" s="115"/>
      <c r="AO427" s="115"/>
    </row>
    <row r="428">
      <c r="A428" s="397"/>
      <c r="B428" s="385"/>
      <c r="C428" s="385"/>
      <c r="H428" s="115"/>
      <c r="I428" s="115"/>
      <c r="J428" s="115"/>
      <c r="K428" s="115"/>
      <c r="L428" s="115"/>
      <c r="M428" s="353"/>
      <c r="N428" s="115"/>
      <c r="O428" s="115"/>
      <c r="P428" s="115"/>
      <c r="Q428" s="115"/>
      <c r="R428" s="115"/>
      <c r="S428" s="115"/>
      <c r="T428" s="115"/>
      <c r="U428" s="115"/>
      <c r="V428" s="115"/>
      <c r="W428" s="115"/>
      <c r="X428" s="115"/>
      <c r="Y428" s="115"/>
      <c r="Z428" s="115"/>
      <c r="AA428" s="115"/>
      <c r="AB428" s="115"/>
      <c r="AI428" s="263"/>
      <c r="AJ428" s="263"/>
      <c r="AK428" s="263"/>
      <c r="AN428" s="115"/>
      <c r="AO428" s="115"/>
    </row>
    <row r="429">
      <c r="A429" s="397"/>
      <c r="B429" s="385"/>
      <c r="C429" s="385"/>
      <c r="H429" s="115"/>
      <c r="I429" s="115"/>
      <c r="J429" s="115"/>
      <c r="K429" s="115"/>
      <c r="L429" s="115"/>
      <c r="M429" s="353"/>
      <c r="N429" s="115"/>
      <c r="O429" s="115"/>
      <c r="P429" s="115"/>
      <c r="Q429" s="115"/>
      <c r="R429" s="115"/>
      <c r="S429" s="115"/>
      <c r="T429" s="115"/>
      <c r="U429" s="115"/>
      <c r="V429" s="115"/>
      <c r="W429" s="115"/>
      <c r="X429" s="115"/>
      <c r="Y429" s="115"/>
      <c r="Z429" s="115"/>
      <c r="AA429" s="115"/>
      <c r="AB429" s="115"/>
      <c r="AI429" s="263"/>
      <c r="AJ429" s="263"/>
      <c r="AK429" s="263"/>
      <c r="AN429" s="115"/>
      <c r="AO429" s="115"/>
    </row>
    <row r="430">
      <c r="A430" s="397"/>
      <c r="B430" s="385"/>
      <c r="C430" s="385"/>
      <c r="H430" s="115"/>
      <c r="I430" s="115"/>
      <c r="J430" s="115"/>
      <c r="K430" s="115"/>
      <c r="L430" s="115"/>
      <c r="M430" s="353"/>
      <c r="N430" s="115"/>
      <c r="O430" s="115"/>
      <c r="P430" s="115"/>
      <c r="Q430" s="115"/>
      <c r="R430" s="115"/>
      <c r="S430" s="115"/>
      <c r="T430" s="115"/>
      <c r="U430" s="115"/>
      <c r="V430" s="115"/>
      <c r="W430" s="115"/>
      <c r="X430" s="115"/>
      <c r="Y430" s="115"/>
      <c r="Z430" s="115"/>
      <c r="AA430" s="115"/>
      <c r="AB430" s="115"/>
      <c r="AI430" s="263"/>
      <c r="AJ430" s="263"/>
      <c r="AK430" s="263"/>
      <c r="AN430" s="115"/>
      <c r="AO430" s="115"/>
    </row>
    <row r="431">
      <c r="A431" s="397"/>
      <c r="B431" s="385"/>
      <c r="C431" s="385"/>
      <c r="H431" s="115"/>
      <c r="I431" s="115"/>
      <c r="J431" s="115"/>
      <c r="K431" s="115"/>
      <c r="L431" s="115"/>
      <c r="M431" s="353"/>
      <c r="N431" s="115"/>
      <c r="O431" s="115"/>
      <c r="P431" s="115"/>
      <c r="Q431" s="115"/>
      <c r="R431" s="115"/>
      <c r="S431" s="115"/>
      <c r="T431" s="115"/>
      <c r="U431" s="115"/>
      <c r="V431" s="115"/>
      <c r="W431" s="115"/>
      <c r="X431" s="115"/>
      <c r="Y431" s="115"/>
      <c r="Z431" s="115"/>
      <c r="AA431" s="115"/>
      <c r="AB431" s="115"/>
      <c r="AI431" s="263"/>
      <c r="AJ431" s="263"/>
      <c r="AK431" s="263"/>
      <c r="AN431" s="115"/>
      <c r="AO431" s="115"/>
    </row>
    <row r="432">
      <c r="A432" s="397"/>
      <c r="B432" s="385"/>
      <c r="C432" s="385"/>
      <c r="H432" s="115"/>
      <c r="I432" s="115"/>
      <c r="J432" s="115"/>
      <c r="K432" s="115"/>
      <c r="L432" s="115"/>
      <c r="M432" s="353"/>
      <c r="N432" s="115"/>
      <c r="O432" s="115"/>
      <c r="P432" s="115"/>
      <c r="Q432" s="115"/>
      <c r="R432" s="115"/>
      <c r="S432" s="115"/>
      <c r="T432" s="115"/>
      <c r="U432" s="115"/>
      <c r="V432" s="115"/>
      <c r="W432" s="115"/>
      <c r="X432" s="115"/>
      <c r="Y432" s="115"/>
      <c r="Z432" s="115"/>
      <c r="AA432" s="115"/>
      <c r="AB432" s="115"/>
      <c r="AI432" s="263"/>
      <c r="AJ432" s="263"/>
      <c r="AK432" s="263"/>
      <c r="AN432" s="115"/>
      <c r="AO432" s="115"/>
    </row>
    <row r="433">
      <c r="A433" s="397"/>
      <c r="B433" s="385"/>
      <c r="C433" s="385"/>
      <c r="H433" s="115"/>
      <c r="I433" s="115"/>
      <c r="J433" s="115"/>
      <c r="K433" s="115"/>
      <c r="L433" s="115"/>
      <c r="M433" s="353"/>
      <c r="N433" s="115"/>
      <c r="O433" s="115"/>
      <c r="P433" s="115"/>
      <c r="Q433" s="115"/>
      <c r="R433" s="115"/>
      <c r="S433" s="115"/>
      <c r="T433" s="115"/>
      <c r="U433" s="115"/>
      <c r="V433" s="115"/>
      <c r="W433" s="115"/>
      <c r="X433" s="115"/>
      <c r="Y433" s="115"/>
      <c r="Z433" s="115"/>
      <c r="AA433" s="115"/>
      <c r="AB433" s="115"/>
      <c r="AI433" s="263"/>
      <c r="AJ433" s="263"/>
      <c r="AK433" s="263"/>
      <c r="AN433" s="115"/>
      <c r="AO433" s="115"/>
    </row>
    <row r="434">
      <c r="A434" s="397"/>
      <c r="B434" s="385"/>
      <c r="C434" s="385"/>
      <c r="H434" s="115"/>
      <c r="I434" s="115"/>
      <c r="J434" s="115"/>
      <c r="K434" s="115"/>
      <c r="L434" s="115"/>
      <c r="M434" s="353"/>
      <c r="N434" s="115"/>
      <c r="O434" s="115"/>
      <c r="P434" s="115"/>
      <c r="Q434" s="115"/>
      <c r="R434" s="115"/>
      <c r="S434" s="115"/>
      <c r="T434" s="115"/>
      <c r="U434" s="115"/>
      <c r="V434" s="115"/>
      <c r="W434" s="115"/>
      <c r="X434" s="115"/>
      <c r="Y434" s="115"/>
      <c r="Z434" s="115"/>
      <c r="AA434" s="115"/>
      <c r="AB434" s="115"/>
      <c r="AI434" s="263"/>
      <c r="AJ434" s="263"/>
      <c r="AK434" s="263"/>
      <c r="AN434" s="115"/>
      <c r="AO434" s="115"/>
    </row>
    <row r="435">
      <c r="A435" s="397"/>
      <c r="B435" s="385"/>
      <c r="C435" s="385"/>
      <c r="H435" s="115"/>
      <c r="I435" s="115"/>
      <c r="J435" s="115"/>
      <c r="K435" s="115"/>
      <c r="L435" s="115"/>
      <c r="M435" s="353"/>
      <c r="N435" s="115"/>
      <c r="O435" s="115"/>
      <c r="P435" s="115"/>
      <c r="Q435" s="115"/>
      <c r="R435" s="115"/>
      <c r="S435" s="115"/>
      <c r="T435" s="115"/>
      <c r="U435" s="115"/>
      <c r="V435" s="115"/>
      <c r="W435" s="115"/>
      <c r="X435" s="115"/>
      <c r="Y435" s="115"/>
      <c r="Z435" s="115"/>
      <c r="AA435" s="115"/>
      <c r="AB435" s="115"/>
      <c r="AI435" s="263"/>
      <c r="AJ435" s="263"/>
      <c r="AK435" s="263"/>
      <c r="AN435" s="115"/>
      <c r="AO435" s="115"/>
    </row>
    <row r="436">
      <c r="A436" s="397"/>
      <c r="B436" s="385"/>
      <c r="C436" s="385"/>
      <c r="H436" s="115"/>
      <c r="I436" s="115"/>
      <c r="J436" s="115"/>
      <c r="K436" s="115"/>
      <c r="L436" s="115"/>
      <c r="M436" s="353"/>
      <c r="N436" s="115"/>
      <c r="O436" s="115"/>
      <c r="P436" s="115"/>
      <c r="Q436" s="115"/>
      <c r="R436" s="115"/>
      <c r="S436" s="115"/>
      <c r="T436" s="115"/>
      <c r="U436" s="115"/>
      <c r="V436" s="115"/>
      <c r="W436" s="115"/>
      <c r="X436" s="115"/>
      <c r="Y436" s="115"/>
      <c r="Z436" s="115"/>
      <c r="AA436" s="115"/>
      <c r="AB436" s="115"/>
      <c r="AI436" s="263"/>
      <c r="AJ436" s="263"/>
      <c r="AK436" s="263"/>
      <c r="AN436" s="115"/>
      <c r="AO436" s="115"/>
    </row>
    <row r="437">
      <c r="A437" s="397"/>
      <c r="B437" s="385"/>
      <c r="C437" s="385"/>
      <c r="H437" s="115"/>
      <c r="I437" s="115"/>
      <c r="J437" s="115"/>
      <c r="K437" s="115"/>
      <c r="L437" s="115"/>
      <c r="M437" s="353"/>
      <c r="N437" s="115"/>
      <c r="O437" s="115"/>
      <c r="P437" s="115"/>
      <c r="Q437" s="115"/>
      <c r="R437" s="115"/>
      <c r="S437" s="115"/>
      <c r="T437" s="115"/>
      <c r="U437" s="115"/>
      <c r="V437" s="115"/>
      <c r="W437" s="115"/>
      <c r="X437" s="115"/>
      <c r="Y437" s="115"/>
      <c r="Z437" s="115"/>
      <c r="AA437" s="115"/>
      <c r="AB437" s="115"/>
      <c r="AI437" s="263"/>
      <c r="AJ437" s="263"/>
      <c r="AK437" s="263"/>
      <c r="AN437" s="115"/>
      <c r="AO437" s="115"/>
    </row>
    <row r="438">
      <c r="A438" s="397"/>
      <c r="B438" s="385"/>
      <c r="C438" s="385"/>
      <c r="H438" s="115"/>
      <c r="I438" s="115"/>
      <c r="J438" s="115"/>
      <c r="K438" s="115"/>
      <c r="L438" s="115"/>
      <c r="M438" s="353"/>
      <c r="N438" s="115"/>
      <c r="O438" s="115"/>
      <c r="P438" s="115"/>
      <c r="Q438" s="115"/>
      <c r="R438" s="115"/>
      <c r="S438" s="115"/>
      <c r="T438" s="115"/>
      <c r="U438" s="115"/>
      <c r="V438" s="115"/>
      <c r="W438" s="115"/>
      <c r="X438" s="115"/>
      <c r="Y438" s="115"/>
      <c r="Z438" s="115"/>
      <c r="AA438" s="115"/>
      <c r="AB438" s="115"/>
      <c r="AI438" s="263"/>
      <c r="AJ438" s="263"/>
      <c r="AK438" s="263"/>
      <c r="AN438" s="115"/>
      <c r="AO438" s="115"/>
    </row>
    <row r="439">
      <c r="A439" s="397"/>
      <c r="B439" s="385"/>
      <c r="C439" s="385"/>
      <c r="H439" s="115"/>
      <c r="I439" s="115"/>
      <c r="J439" s="115"/>
      <c r="K439" s="115"/>
      <c r="L439" s="115"/>
      <c r="M439" s="353"/>
      <c r="N439" s="115"/>
      <c r="O439" s="115"/>
      <c r="P439" s="115"/>
      <c r="Q439" s="115"/>
      <c r="R439" s="115"/>
      <c r="S439" s="115"/>
      <c r="T439" s="115"/>
      <c r="U439" s="115"/>
      <c r="V439" s="115"/>
      <c r="W439" s="115"/>
      <c r="X439" s="115"/>
      <c r="Y439" s="115"/>
      <c r="Z439" s="115"/>
      <c r="AA439" s="115"/>
      <c r="AB439" s="115"/>
      <c r="AI439" s="263"/>
      <c r="AJ439" s="263"/>
      <c r="AK439" s="263"/>
      <c r="AN439" s="115"/>
      <c r="AO439" s="115"/>
    </row>
    <row r="440">
      <c r="A440" s="397"/>
      <c r="B440" s="385"/>
      <c r="C440" s="385"/>
      <c r="H440" s="115"/>
      <c r="I440" s="115"/>
      <c r="J440" s="115"/>
      <c r="K440" s="115"/>
      <c r="L440" s="115"/>
      <c r="M440" s="353"/>
      <c r="N440" s="115"/>
      <c r="O440" s="115"/>
      <c r="P440" s="115"/>
      <c r="Q440" s="115"/>
      <c r="R440" s="115"/>
      <c r="S440" s="115"/>
      <c r="T440" s="115"/>
      <c r="U440" s="115"/>
      <c r="V440" s="115"/>
      <c r="W440" s="115"/>
      <c r="X440" s="115"/>
      <c r="Y440" s="115"/>
      <c r="Z440" s="115"/>
      <c r="AA440" s="115"/>
      <c r="AB440" s="115"/>
      <c r="AI440" s="263"/>
      <c r="AJ440" s="263"/>
      <c r="AK440" s="263"/>
      <c r="AN440" s="115"/>
      <c r="AO440" s="115"/>
    </row>
    <row r="441">
      <c r="A441" s="397"/>
      <c r="B441" s="385"/>
      <c r="C441" s="385"/>
      <c r="H441" s="115"/>
      <c r="I441" s="115"/>
      <c r="J441" s="115"/>
      <c r="K441" s="115"/>
      <c r="L441" s="115"/>
      <c r="M441" s="353"/>
      <c r="N441" s="115"/>
      <c r="O441" s="115"/>
      <c r="P441" s="115"/>
      <c r="Q441" s="115"/>
      <c r="R441" s="115"/>
      <c r="S441" s="115"/>
      <c r="T441" s="115"/>
      <c r="U441" s="115"/>
      <c r="V441" s="115"/>
      <c r="W441" s="115"/>
      <c r="X441" s="115"/>
      <c r="Y441" s="115"/>
      <c r="Z441" s="115"/>
      <c r="AA441" s="115"/>
      <c r="AB441" s="115"/>
      <c r="AI441" s="263"/>
      <c r="AJ441" s="263"/>
      <c r="AK441" s="263"/>
      <c r="AN441" s="115"/>
      <c r="AO441" s="115"/>
    </row>
    <row r="442">
      <c r="A442" s="397"/>
      <c r="B442" s="385"/>
      <c r="C442" s="385"/>
      <c r="H442" s="115"/>
      <c r="I442" s="115"/>
      <c r="J442" s="115"/>
      <c r="K442" s="115"/>
      <c r="L442" s="115"/>
      <c r="M442" s="353"/>
      <c r="N442" s="115"/>
      <c r="O442" s="115"/>
      <c r="P442" s="115"/>
      <c r="Q442" s="115"/>
      <c r="R442" s="115"/>
      <c r="S442" s="115"/>
      <c r="T442" s="115"/>
      <c r="U442" s="115"/>
      <c r="V442" s="115"/>
      <c r="W442" s="115"/>
      <c r="X442" s="115"/>
      <c r="Y442" s="115"/>
      <c r="Z442" s="115"/>
      <c r="AA442" s="115"/>
      <c r="AB442" s="115"/>
      <c r="AI442" s="263"/>
      <c r="AJ442" s="263"/>
      <c r="AK442" s="263"/>
      <c r="AN442" s="115"/>
      <c r="AO442" s="115"/>
    </row>
    <row r="443">
      <c r="A443" s="397"/>
      <c r="B443" s="385"/>
      <c r="C443" s="385"/>
      <c r="H443" s="115"/>
      <c r="I443" s="115"/>
      <c r="J443" s="115"/>
      <c r="K443" s="115"/>
      <c r="L443" s="115"/>
      <c r="M443" s="353"/>
      <c r="N443" s="115"/>
      <c r="O443" s="115"/>
      <c r="P443" s="115"/>
      <c r="Q443" s="115"/>
      <c r="R443" s="115"/>
      <c r="S443" s="115"/>
      <c r="T443" s="115"/>
      <c r="U443" s="115"/>
      <c r="V443" s="115"/>
      <c r="W443" s="115"/>
      <c r="X443" s="115"/>
      <c r="Y443" s="115"/>
      <c r="Z443" s="115"/>
      <c r="AA443" s="115"/>
      <c r="AB443" s="115"/>
      <c r="AI443" s="263"/>
      <c r="AJ443" s="263"/>
      <c r="AK443" s="263"/>
      <c r="AN443" s="115"/>
      <c r="AO443" s="115"/>
    </row>
    <row r="444">
      <c r="A444" s="397"/>
      <c r="B444" s="385"/>
      <c r="C444" s="385"/>
      <c r="H444" s="115"/>
      <c r="I444" s="115"/>
      <c r="J444" s="115"/>
      <c r="K444" s="115"/>
      <c r="L444" s="115"/>
      <c r="M444" s="353"/>
      <c r="N444" s="115"/>
      <c r="O444" s="115"/>
      <c r="P444" s="115"/>
      <c r="Q444" s="115"/>
      <c r="R444" s="115"/>
      <c r="S444" s="115"/>
      <c r="T444" s="115"/>
      <c r="U444" s="115"/>
      <c r="V444" s="115"/>
      <c r="W444" s="115"/>
      <c r="X444" s="115"/>
      <c r="Y444" s="115"/>
      <c r="Z444" s="115"/>
      <c r="AA444" s="115"/>
      <c r="AB444" s="115"/>
      <c r="AI444" s="263"/>
      <c r="AJ444" s="263"/>
      <c r="AK444" s="263"/>
      <c r="AN444" s="115"/>
      <c r="AO444" s="115"/>
    </row>
    <row r="445">
      <c r="A445" s="397"/>
      <c r="B445" s="385"/>
      <c r="C445" s="385"/>
      <c r="H445" s="115"/>
      <c r="I445" s="115"/>
      <c r="J445" s="115"/>
      <c r="K445" s="115"/>
      <c r="L445" s="115"/>
      <c r="M445" s="353"/>
      <c r="N445" s="115"/>
      <c r="O445" s="115"/>
      <c r="P445" s="115"/>
      <c r="Q445" s="115"/>
      <c r="R445" s="115"/>
      <c r="S445" s="115"/>
      <c r="T445" s="115"/>
      <c r="U445" s="115"/>
      <c r="V445" s="115"/>
      <c r="W445" s="115"/>
      <c r="X445" s="115"/>
      <c r="Y445" s="115"/>
      <c r="Z445" s="115"/>
      <c r="AA445" s="115"/>
      <c r="AB445" s="115"/>
      <c r="AI445" s="263"/>
      <c r="AJ445" s="263"/>
      <c r="AK445" s="263"/>
      <c r="AN445" s="115"/>
      <c r="AO445" s="115"/>
    </row>
    <row r="446">
      <c r="A446" s="397"/>
      <c r="B446" s="385"/>
      <c r="C446" s="385"/>
      <c r="H446" s="115"/>
      <c r="I446" s="115"/>
      <c r="J446" s="115"/>
      <c r="K446" s="115"/>
      <c r="L446" s="115"/>
      <c r="M446" s="353"/>
      <c r="N446" s="115"/>
      <c r="O446" s="115"/>
      <c r="P446" s="115"/>
      <c r="Q446" s="115"/>
      <c r="R446" s="115"/>
      <c r="S446" s="115"/>
      <c r="T446" s="115"/>
      <c r="U446" s="115"/>
      <c r="V446" s="115"/>
      <c r="W446" s="115"/>
      <c r="X446" s="115"/>
      <c r="Y446" s="115"/>
      <c r="Z446" s="115"/>
      <c r="AA446" s="115"/>
      <c r="AB446" s="115"/>
      <c r="AI446" s="263"/>
      <c r="AJ446" s="263"/>
      <c r="AK446" s="263"/>
      <c r="AN446" s="115"/>
      <c r="AO446" s="115"/>
    </row>
    <row r="447">
      <c r="A447" s="397"/>
      <c r="B447" s="385"/>
      <c r="C447" s="385"/>
      <c r="H447" s="115"/>
      <c r="I447" s="115"/>
      <c r="J447" s="115"/>
      <c r="K447" s="115"/>
      <c r="L447" s="115"/>
      <c r="M447" s="353"/>
      <c r="N447" s="115"/>
      <c r="O447" s="115"/>
      <c r="P447" s="115"/>
      <c r="Q447" s="115"/>
      <c r="R447" s="115"/>
      <c r="S447" s="115"/>
      <c r="T447" s="115"/>
      <c r="U447" s="115"/>
      <c r="V447" s="115"/>
      <c r="W447" s="115"/>
      <c r="X447" s="115"/>
      <c r="Y447" s="115"/>
      <c r="Z447" s="115"/>
      <c r="AA447" s="115"/>
      <c r="AB447" s="115"/>
      <c r="AI447" s="263"/>
      <c r="AJ447" s="263"/>
      <c r="AK447" s="263"/>
      <c r="AN447" s="115"/>
      <c r="AO447" s="115"/>
    </row>
    <row r="448">
      <c r="A448" s="397"/>
      <c r="B448" s="385"/>
      <c r="C448" s="385"/>
      <c r="H448" s="115"/>
      <c r="I448" s="115"/>
      <c r="J448" s="115"/>
      <c r="K448" s="115"/>
      <c r="L448" s="115"/>
      <c r="M448" s="353"/>
      <c r="N448" s="115"/>
      <c r="O448" s="115"/>
      <c r="P448" s="115"/>
      <c r="Q448" s="115"/>
      <c r="R448" s="115"/>
      <c r="S448" s="115"/>
      <c r="T448" s="115"/>
      <c r="U448" s="115"/>
      <c r="V448" s="115"/>
      <c r="W448" s="115"/>
      <c r="X448" s="115"/>
      <c r="Y448" s="115"/>
      <c r="Z448" s="115"/>
      <c r="AA448" s="115"/>
      <c r="AB448" s="115"/>
      <c r="AI448" s="263"/>
      <c r="AJ448" s="263"/>
      <c r="AK448" s="263"/>
      <c r="AN448" s="115"/>
      <c r="AO448" s="115"/>
    </row>
    <row r="449">
      <c r="A449" s="397"/>
      <c r="B449" s="385"/>
      <c r="C449" s="385"/>
      <c r="H449" s="115"/>
      <c r="I449" s="115"/>
      <c r="J449" s="115"/>
      <c r="K449" s="115"/>
      <c r="L449" s="115"/>
      <c r="M449" s="353"/>
      <c r="N449" s="115"/>
      <c r="O449" s="115"/>
      <c r="P449" s="115"/>
      <c r="Q449" s="115"/>
      <c r="R449" s="115"/>
      <c r="S449" s="115"/>
      <c r="T449" s="115"/>
      <c r="U449" s="115"/>
      <c r="V449" s="115"/>
      <c r="W449" s="115"/>
      <c r="X449" s="115"/>
      <c r="Y449" s="115"/>
      <c r="Z449" s="115"/>
      <c r="AA449" s="115"/>
      <c r="AB449" s="115"/>
      <c r="AI449" s="263"/>
      <c r="AJ449" s="263"/>
      <c r="AK449" s="263"/>
      <c r="AN449" s="115"/>
      <c r="AO449" s="115"/>
    </row>
    <row r="450">
      <c r="A450" s="397"/>
      <c r="B450" s="385"/>
      <c r="C450" s="385"/>
      <c r="H450" s="115"/>
      <c r="I450" s="115"/>
      <c r="J450" s="115"/>
      <c r="K450" s="115"/>
      <c r="L450" s="115"/>
      <c r="M450" s="353"/>
      <c r="N450" s="115"/>
      <c r="O450" s="115"/>
      <c r="P450" s="115"/>
      <c r="Q450" s="115"/>
      <c r="R450" s="115"/>
      <c r="S450" s="115"/>
      <c r="T450" s="115"/>
      <c r="U450" s="115"/>
      <c r="V450" s="115"/>
      <c r="W450" s="115"/>
      <c r="X450" s="115"/>
      <c r="Y450" s="115"/>
      <c r="Z450" s="115"/>
      <c r="AA450" s="115"/>
      <c r="AB450" s="115"/>
      <c r="AI450" s="263"/>
      <c r="AJ450" s="263"/>
      <c r="AK450" s="263"/>
      <c r="AN450" s="115"/>
      <c r="AO450" s="115"/>
    </row>
    <row r="451">
      <c r="A451" s="397"/>
      <c r="B451" s="385"/>
      <c r="C451" s="385"/>
      <c r="H451" s="115"/>
      <c r="I451" s="115"/>
      <c r="J451" s="115"/>
      <c r="K451" s="115"/>
      <c r="L451" s="115"/>
      <c r="M451" s="353"/>
      <c r="N451" s="115"/>
      <c r="O451" s="115"/>
      <c r="P451" s="115"/>
      <c r="Q451" s="115"/>
      <c r="R451" s="115"/>
      <c r="S451" s="115"/>
      <c r="T451" s="115"/>
      <c r="U451" s="115"/>
      <c r="V451" s="115"/>
      <c r="W451" s="115"/>
      <c r="X451" s="115"/>
      <c r="Y451" s="115"/>
      <c r="Z451" s="115"/>
      <c r="AA451" s="115"/>
      <c r="AB451" s="115"/>
      <c r="AI451" s="263"/>
      <c r="AJ451" s="263"/>
      <c r="AK451" s="263"/>
      <c r="AN451" s="115"/>
      <c r="AO451" s="115"/>
    </row>
    <row r="452">
      <c r="A452" s="397"/>
      <c r="B452" s="385"/>
      <c r="C452" s="385"/>
      <c r="H452" s="115"/>
      <c r="I452" s="115"/>
      <c r="J452" s="115"/>
      <c r="K452" s="115"/>
      <c r="L452" s="115"/>
      <c r="M452" s="353"/>
      <c r="N452" s="115"/>
      <c r="O452" s="115"/>
      <c r="P452" s="115"/>
      <c r="Q452" s="115"/>
      <c r="R452" s="115"/>
      <c r="S452" s="115"/>
      <c r="T452" s="115"/>
      <c r="U452" s="115"/>
      <c r="V452" s="115"/>
      <c r="W452" s="115"/>
      <c r="X452" s="115"/>
      <c r="Y452" s="115"/>
      <c r="Z452" s="115"/>
      <c r="AA452" s="115"/>
      <c r="AB452" s="115"/>
      <c r="AI452" s="263"/>
      <c r="AJ452" s="263"/>
      <c r="AK452" s="263"/>
      <c r="AN452" s="115"/>
      <c r="AO452" s="115"/>
    </row>
    <row r="453">
      <c r="A453" s="397"/>
      <c r="B453" s="385"/>
      <c r="C453" s="385"/>
      <c r="H453" s="115"/>
      <c r="I453" s="115"/>
      <c r="J453" s="115"/>
      <c r="K453" s="115"/>
      <c r="L453" s="115"/>
      <c r="M453" s="353"/>
      <c r="N453" s="115"/>
      <c r="O453" s="115"/>
      <c r="P453" s="115"/>
      <c r="Q453" s="115"/>
      <c r="R453" s="115"/>
      <c r="S453" s="115"/>
      <c r="T453" s="115"/>
      <c r="U453" s="115"/>
      <c r="V453" s="115"/>
      <c r="W453" s="115"/>
      <c r="X453" s="115"/>
      <c r="Y453" s="115"/>
      <c r="Z453" s="115"/>
      <c r="AA453" s="115"/>
      <c r="AB453" s="115"/>
      <c r="AI453" s="263"/>
      <c r="AJ453" s="263"/>
      <c r="AK453" s="263"/>
      <c r="AN453" s="115"/>
      <c r="AO453" s="115"/>
    </row>
    <row r="454">
      <c r="A454" s="397"/>
      <c r="B454" s="385"/>
      <c r="C454" s="385"/>
      <c r="H454" s="115"/>
      <c r="I454" s="115"/>
      <c r="J454" s="115"/>
      <c r="K454" s="115"/>
      <c r="L454" s="115"/>
      <c r="M454" s="353"/>
      <c r="N454" s="115"/>
      <c r="O454" s="115"/>
      <c r="P454" s="115"/>
      <c r="Q454" s="115"/>
      <c r="R454" s="115"/>
      <c r="S454" s="115"/>
      <c r="T454" s="115"/>
      <c r="U454" s="115"/>
      <c r="V454" s="115"/>
      <c r="W454" s="115"/>
      <c r="X454" s="115"/>
      <c r="Y454" s="115"/>
      <c r="Z454" s="115"/>
      <c r="AA454" s="115"/>
      <c r="AB454" s="115"/>
      <c r="AI454" s="263"/>
      <c r="AJ454" s="263"/>
      <c r="AK454" s="263"/>
      <c r="AN454" s="115"/>
      <c r="AO454" s="115"/>
    </row>
    <row r="455">
      <c r="A455" s="397"/>
      <c r="B455" s="385"/>
      <c r="C455" s="385"/>
      <c r="H455" s="115"/>
      <c r="I455" s="115"/>
      <c r="J455" s="115"/>
      <c r="K455" s="115"/>
      <c r="L455" s="115"/>
      <c r="M455" s="353"/>
      <c r="N455" s="115"/>
      <c r="O455" s="115"/>
      <c r="P455" s="115"/>
      <c r="Q455" s="115"/>
      <c r="R455" s="115"/>
      <c r="S455" s="115"/>
      <c r="T455" s="115"/>
      <c r="U455" s="115"/>
      <c r="V455" s="115"/>
      <c r="W455" s="115"/>
      <c r="X455" s="115"/>
      <c r="Y455" s="115"/>
      <c r="Z455" s="115"/>
      <c r="AA455" s="115"/>
      <c r="AB455" s="115"/>
      <c r="AI455" s="263"/>
      <c r="AJ455" s="263"/>
      <c r="AK455" s="263"/>
      <c r="AN455" s="115"/>
      <c r="AO455" s="115"/>
    </row>
    <row r="456">
      <c r="A456" s="397"/>
      <c r="B456" s="385"/>
      <c r="C456" s="385"/>
      <c r="H456" s="115"/>
      <c r="I456" s="115"/>
      <c r="J456" s="115"/>
      <c r="K456" s="115"/>
      <c r="L456" s="115"/>
      <c r="M456" s="353"/>
      <c r="N456" s="115"/>
      <c r="O456" s="115"/>
      <c r="P456" s="115"/>
      <c r="Q456" s="115"/>
      <c r="R456" s="115"/>
      <c r="S456" s="115"/>
      <c r="T456" s="115"/>
      <c r="U456" s="115"/>
      <c r="V456" s="115"/>
      <c r="W456" s="115"/>
      <c r="X456" s="115"/>
      <c r="Y456" s="115"/>
      <c r="Z456" s="115"/>
      <c r="AA456" s="115"/>
      <c r="AB456" s="115"/>
      <c r="AI456" s="263"/>
      <c r="AJ456" s="263"/>
      <c r="AK456" s="263"/>
      <c r="AN456" s="115"/>
      <c r="AO456" s="115"/>
    </row>
    <row r="457">
      <c r="A457" s="397"/>
      <c r="B457" s="385"/>
      <c r="C457" s="385"/>
      <c r="H457" s="115"/>
      <c r="I457" s="115"/>
      <c r="J457" s="115"/>
      <c r="K457" s="115"/>
      <c r="L457" s="115"/>
      <c r="M457" s="353"/>
      <c r="N457" s="115"/>
      <c r="O457" s="115"/>
      <c r="P457" s="115"/>
      <c r="Q457" s="115"/>
      <c r="R457" s="115"/>
      <c r="S457" s="115"/>
      <c r="T457" s="115"/>
      <c r="U457" s="115"/>
      <c r="V457" s="115"/>
      <c r="W457" s="115"/>
      <c r="X457" s="115"/>
      <c r="Y457" s="115"/>
      <c r="Z457" s="115"/>
      <c r="AA457" s="115"/>
      <c r="AB457" s="115"/>
      <c r="AI457" s="263"/>
      <c r="AJ457" s="263"/>
      <c r="AK457" s="263"/>
      <c r="AN457" s="115"/>
      <c r="AO457" s="115"/>
    </row>
    <row r="458">
      <c r="A458" s="397"/>
      <c r="B458" s="385"/>
      <c r="C458" s="385"/>
      <c r="H458" s="115"/>
      <c r="I458" s="115"/>
      <c r="J458" s="115"/>
      <c r="K458" s="115"/>
      <c r="L458" s="115"/>
      <c r="M458" s="353"/>
      <c r="N458" s="115"/>
      <c r="O458" s="115"/>
      <c r="P458" s="115"/>
      <c r="Q458" s="115"/>
      <c r="R458" s="115"/>
      <c r="S458" s="115"/>
      <c r="T458" s="115"/>
      <c r="U458" s="115"/>
      <c r="V458" s="115"/>
      <c r="W458" s="115"/>
      <c r="X458" s="115"/>
      <c r="Y458" s="115"/>
      <c r="Z458" s="115"/>
      <c r="AA458" s="115"/>
      <c r="AB458" s="115"/>
      <c r="AI458" s="263"/>
      <c r="AJ458" s="263"/>
      <c r="AK458" s="263"/>
      <c r="AN458" s="115"/>
      <c r="AO458" s="115"/>
    </row>
    <row r="459">
      <c r="A459" s="397"/>
      <c r="B459" s="385"/>
      <c r="C459" s="385"/>
      <c r="H459" s="115"/>
      <c r="I459" s="115"/>
      <c r="J459" s="115"/>
      <c r="K459" s="115"/>
      <c r="L459" s="115"/>
      <c r="M459" s="353"/>
      <c r="N459" s="115"/>
      <c r="O459" s="115"/>
      <c r="P459" s="115"/>
      <c r="Q459" s="115"/>
      <c r="R459" s="115"/>
      <c r="S459" s="115"/>
      <c r="T459" s="115"/>
      <c r="U459" s="115"/>
      <c r="V459" s="115"/>
      <c r="W459" s="115"/>
      <c r="X459" s="115"/>
      <c r="Y459" s="115"/>
      <c r="Z459" s="115"/>
      <c r="AA459" s="115"/>
      <c r="AB459" s="115"/>
      <c r="AI459" s="263"/>
      <c r="AJ459" s="263"/>
      <c r="AK459" s="263"/>
      <c r="AN459" s="115"/>
      <c r="AO459" s="115"/>
    </row>
    <row r="460">
      <c r="A460" s="397"/>
      <c r="B460" s="385"/>
      <c r="C460" s="385"/>
      <c r="H460" s="115"/>
      <c r="I460" s="115"/>
      <c r="J460" s="115"/>
      <c r="K460" s="115"/>
      <c r="L460" s="115"/>
      <c r="M460" s="353"/>
      <c r="N460" s="115"/>
      <c r="O460" s="115"/>
      <c r="P460" s="115"/>
      <c r="Q460" s="115"/>
      <c r="R460" s="115"/>
      <c r="S460" s="115"/>
      <c r="T460" s="115"/>
      <c r="U460" s="115"/>
      <c r="V460" s="115"/>
      <c r="W460" s="115"/>
      <c r="X460" s="115"/>
      <c r="Y460" s="115"/>
      <c r="Z460" s="115"/>
      <c r="AA460" s="115"/>
      <c r="AB460" s="115"/>
      <c r="AI460" s="263"/>
      <c r="AJ460" s="263"/>
      <c r="AK460" s="263"/>
      <c r="AN460" s="115"/>
      <c r="AO460" s="115"/>
    </row>
    <row r="461">
      <c r="A461" s="397"/>
      <c r="B461" s="385"/>
      <c r="C461" s="385"/>
      <c r="H461" s="115"/>
      <c r="I461" s="115"/>
      <c r="J461" s="115"/>
      <c r="K461" s="115"/>
      <c r="L461" s="115"/>
      <c r="M461" s="353"/>
      <c r="N461" s="115"/>
      <c r="O461" s="115"/>
      <c r="P461" s="115"/>
      <c r="Q461" s="115"/>
      <c r="R461" s="115"/>
      <c r="S461" s="115"/>
      <c r="T461" s="115"/>
      <c r="U461" s="115"/>
      <c r="V461" s="115"/>
      <c r="W461" s="115"/>
      <c r="X461" s="115"/>
      <c r="Y461" s="115"/>
      <c r="Z461" s="115"/>
      <c r="AA461" s="115"/>
      <c r="AB461" s="115"/>
      <c r="AI461" s="263"/>
      <c r="AJ461" s="263"/>
      <c r="AK461" s="263"/>
      <c r="AN461" s="115"/>
      <c r="AO461" s="115"/>
    </row>
    <row r="462">
      <c r="A462" s="397"/>
      <c r="B462" s="385"/>
      <c r="C462" s="385"/>
      <c r="H462" s="115"/>
      <c r="I462" s="115"/>
      <c r="J462" s="115"/>
      <c r="K462" s="115"/>
      <c r="L462" s="115"/>
      <c r="M462" s="353"/>
      <c r="N462" s="115"/>
      <c r="O462" s="115"/>
      <c r="P462" s="115"/>
      <c r="Q462" s="115"/>
      <c r="R462" s="115"/>
      <c r="S462" s="115"/>
      <c r="T462" s="115"/>
      <c r="U462" s="115"/>
      <c r="V462" s="115"/>
      <c r="W462" s="115"/>
      <c r="X462" s="115"/>
      <c r="Y462" s="115"/>
      <c r="Z462" s="115"/>
      <c r="AA462" s="115"/>
      <c r="AB462" s="115"/>
      <c r="AI462" s="263"/>
      <c r="AJ462" s="263"/>
      <c r="AK462" s="263"/>
      <c r="AN462" s="115"/>
      <c r="AO462" s="115"/>
    </row>
    <row r="463">
      <c r="A463" s="397"/>
      <c r="B463" s="385"/>
      <c r="C463" s="385"/>
      <c r="H463" s="115"/>
      <c r="I463" s="115"/>
      <c r="J463" s="115"/>
      <c r="K463" s="115"/>
      <c r="L463" s="115"/>
      <c r="M463" s="353"/>
      <c r="N463" s="115"/>
      <c r="O463" s="115"/>
      <c r="P463" s="115"/>
      <c r="Q463" s="115"/>
      <c r="R463" s="115"/>
      <c r="S463" s="115"/>
      <c r="T463" s="115"/>
      <c r="U463" s="115"/>
      <c r="V463" s="115"/>
      <c r="W463" s="115"/>
      <c r="X463" s="115"/>
      <c r="Y463" s="115"/>
      <c r="Z463" s="115"/>
      <c r="AA463" s="115"/>
      <c r="AB463" s="115"/>
      <c r="AI463" s="263"/>
      <c r="AJ463" s="263"/>
      <c r="AK463" s="263"/>
      <c r="AN463" s="115"/>
      <c r="AO463" s="115"/>
    </row>
    <row r="464">
      <c r="A464" s="397"/>
      <c r="B464" s="385"/>
      <c r="C464" s="385"/>
      <c r="H464" s="115"/>
      <c r="I464" s="115"/>
      <c r="J464" s="115"/>
      <c r="K464" s="115"/>
      <c r="L464" s="115"/>
      <c r="M464" s="353"/>
      <c r="N464" s="115"/>
      <c r="O464" s="115"/>
      <c r="P464" s="115"/>
      <c r="Q464" s="115"/>
      <c r="R464" s="115"/>
      <c r="S464" s="115"/>
      <c r="T464" s="115"/>
      <c r="U464" s="115"/>
      <c r="V464" s="115"/>
      <c r="W464" s="115"/>
      <c r="X464" s="115"/>
      <c r="Y464" s="115"/>
      <c r="Z464" s="115"/>
      <c r="AA464" s="115"/>
      <c r="AB464" s="115"/>
      <c r="AI464" s="263"/>
      <c r="AJ464" s="263"/>
      <c r="AK464" s="263"/>
      <c r="AN464" s="115"/>
      <c r="AO464" s="115"/>
    </row>
    <row r="465">
      <c r="A465" s="397"/>
      <c r="B465" s="385"/>
      <c r="C465" s="385"/>
      <c r="H465" s="115"/>
      <c r="I465" s="115"/>
      <c r="J465" s="115"/>
      <c r="K465" s="115"/>
      <c r="L465" s="115"/>
      <c r="M465" s="353"/>
      <c r="N465" s="115"/>
      <c r="O465" s="115"/>
      <c r="P465" s="115"/>
      <c r="Q465" s="115"/>
      <c r="R465" s="115"/>
      <c r="S465" s="115"/>
      <c r="T465" s="115"/>
      <c r="U465" s="115"/>
      <c r="V465" s="115"/>
      <c r="W465" s="115"/>
      <c r="X465" s="115"/>
      <c r="Y465" s="115"/>
      <c r="Z465" s="115"/>
      <c r="AA465" s="115"/>
      <c r="AB465" s="115"/>
      <c r="AI465" s="263"/>
      <c r="AJ465" s="263"/>
      <c r="AK465" s="263"/>
      <c r="AN465" s="115"/>
      <c r="AO465" s="115"/>
    </row>
    <row r="466">
      <c r="A466" s="397"/>
      <c r="B466" s="385"/>
      <c r="C466" s="385"/>
      <c r="H466" s="115"/>
      <c r="I466" s="115"/>
      <c r="J466" s="115"/>
      <c r="K466" s="115"/>
      <c r="L466" s="115"/>
      <c r="M466" s="353"/>
      <c r="N466" s="115"/>
      <c r="O466" s="115"/>
      <c r="P466" s="115"/>
      <c r="Q466" s="115"/>
      <c r="R466" s="115"/>
      <c r="S466" s="115"/>
      <c r="T466" s="115"/>
      <c r="U466" s="115"/>
      <c r="V466" s="115"/>
      <c r="W466" s="115"/>
      <c r="X466" s="115"/>
      <c r="Y466" s="115"/>
      <c r="Z466" s="115"/>
      <c r="AA466" s="115"/>
      <c r="AB466" s="115"/>
      <c r="AI466" s="263"/>
      <c r="AJ466" s="263"/>
      <c r="AK466" s="263"/>
      <c r="AN466" s="115"/>
      <c r="AO466" s="115"/>
    </row>
    <row r="467">
      <c r="A467" s="397"/>
      <c r="B467" s="385"/>
      <c r="C467" s="385"/>
      <c r="H467" s="115"/>
      <c r="I467" s="115"/>
      <c r="J467" s="115"/>
      <c r="K467" s="115"/>
      <c r="L467" s="115"/>
      <c r="M467" s="353"/>
      <c r="N467" s="115"/>
      <c r="O467" s="115"/>
      <c r="P467" s="115"/>
      <c r="Q467" s="115"/>
      <c r="R467" s="115"/>
      <c r="S467" s="115"/>
      <c r="T467" s="115"/>
      <c r="U467" s="115"/>
      <c r="V467" s="115"/>
      <c r="W467" s="115"/>
      <c r="X467" s="115"/>
      <c r="Y467" s="115"/>
      <c r="Z467" s="115"/>
      <c r="AA467" s="115"/>
      <c r="AB467" s="115"/>
      <c r="AI467" s="263"/>
      <c r="AJ467" s="263"/>
      <c r="AK467" s="263"/>
      <c r="AN467" s="115"/>
      <c r="AO467" s="115"/>
    </row>
    <row r="468">
      <c r="A468" s="397"/>
      <c r="B468" s="385"/>
      <c r="C468" s="385"/>
      <c r="H468" s="115"/>
      <c r="I468" s="115"/>
      <c r="J468" s="115"/>
      <c r="K468" s="115"/>
      <c r="L468" s="115"/>
      <c r="M468" s="353"/>
      <c r="N468" s="115"/>
      <c r="O468" s="115"/>
      <c r="P468" s="115"/>
      <c r="Q468" s="115"/>
      <c r="R468" s="115"/>
      <c r="S468" s="115"/>
      <c r="T468" s="115"/>
      <c r="U468" s="115"/>
      <c r="V468" s="115"/>
      <c r="W468" s="115"/>
      <c r="X468" s="115"/>
      <c r="Y468" s="115"/>
      <c r="Z468" s="115"/>
      <c r="AA468" s="115"/>
      <c r="AB468" s="115"/>
      <c r="AI468" s="263"/>
      <c r="AJ468" s="263"/>
      <c r="AK468" s="263"/>
      <c r="AN468" s="115"/>
      <c r="AO468" s="115"/>
    </row>
    <row r="469">
      <c r="A469" s="397"/>
      <c r="B469" s="385"/>
      <c r="C469" s="385"/>
      <c r="H469" s="115"/>
      <c r="I469" s="115"/>
      <c r="J469" s="115"/>
      <c r="K469" s="115"/>
      <c r="L469" s="115"/>
      <c r="M469" s="353"/>
      <c r="N469" s="115"/>
      <c r="O469" s="115"/>
      <c r="P469" s="115"/>
      <c r="Q469" s="115"/>
      <c r="R469" s="115"/>
      <c r="S469" s="115"/>
      <c r="T469" s="115"/>
      <c r="U469" s="115"/>
      <c r="V469" s="115"/>
      <c r="W469" s="115"/>
      <c r="X469" s="115"/>
      <c r="Y469" s="115"/>
      <c r="Z469" s="115"/>
      <c r="AA469" s="115"/>
      <c r="AB469" s="115"/>
      <c r="AI469" s="263"/>
      <c r="AJ469" s="263"/>
      <c r="AK469" s="263"/>
      <c r="AN469" s="115"/>
      <c r="AO469" s="115"/>
    </row>
    <row r="470">
      <c r="A470" s="397"/>
      <c r="B470" s="385"/>
      <c r="C470" s="385"/>
      <c r="H470" s="115"/>
      <c r="I470" s="115"/>
      <c r="J470" s="115"/>
      <c r="K470" s="115"/>
      <c r="L470" s="115"/>
      <c r="M470" s="353"/>
      <c r="N470" s="115"/>
      <c r="O470" s="115"/>
      <c r="P470" s="115"/>
      <c r="Q470" s="115"/>
      <c r="R470" s="115"/>
      <c r="S470" s="115"/>
      <c r="T470" s="115"/>
      <c r="U470" s="115"/>
      <c r="V470" s="115"/>
      <c r="W470" s="115"/>
      <c r="X470" s="115"/>
      <c r="Y470" s="115"/>
      <c r="Z470" s="115"/>
      <c r="AA470" s="115"/>
      <c r="AB470" s="115"/>
      <c r="AI470" s="263"/>
      <c r="AJ470" s="263"/>
      <c r="AK470" s="263"/>
      <c r="AN470" s="115"/>
      <c r="AO470" s="115"/>
    </row>
    <row r="471">
      <c r="A471" s="397"/>
      <c r="B471" s="385"/>
      <c r="C471" s="385"/>
      <c r="H471" s="115"/>
      <c r="I471" s="115"/>
      <c r="J471" s="115"/>
      <c r="K471" s="115"/>
      <c r="L471" s="115"/>
      <c r="M471" s="353"/>
      <c r="N471" s="115"/>
      <c r="O471" s="115"/>
      <c r="P471" s="115"/>
      <c r="Q471" s="115"/>
      <c r="R471" s="115"/>
      <c r="S471" s="115"/>
      <c r="T471" s="115"/>
      <c r="U471" s="115"/>
      <c r="V471" s="115"/>
      <c r="W471" s="115"/>
      <c r="X471" s="115"/>
      <c r="Y471" s="115"/>
      <c r="Z471" s="115"/>
      <c r="AA471" s="115"/>
      <c r="AB471" s="115"/>
      <c r="AI471" s="263"/>
      <c r="AJ471" s="263"/>
      <c r="AK471" s="263"/>
      <c r="AN471" s="115"/>
      <c r="AO471" s="115"/>
    </row>
    <row r="472">
      <c r="A472" s="397"/>
      <c r="B472" s="385"/>
      <c r="C472" s="385"/>
      <c r="H472" s="115"/>
      <c r="I472" s="115"/>
      <c r="J472" s="115"/>
      <c r="K472" s="115"/>
      <c r="L472" s="115"/>
      <c r="M472" s="353"/>
      <c r="N472" s="115"/>
      <c r="O472" s="115"/>
      <c r="P472" s="115"/>
      <c r="Q472" s="115"/>
      <c r="R472" s="115"/>
      <c r="S472" s="115"/>
      <c r="T472" s="115"/>
      <c r="U472" s="115"/>
      <c r="V472" s="115"/>
      <c r="W472" s="115"/>
      <c r="X472" s="115"/>
      <c r="Y472" s="115"/>
      <c r="Z472" s="115"/>
      <c r="AA472" s="115"/>
      <c r="AB472" s="115"/>
      <c r="AI472" s="263"/>
      <c r="AJ472" s="263"/>
      <c r="AK472" s="263"/>
      <c r="AN472" s="115"/>
      <c r="AO472" s="115"/>
    </row>
    <row r="473">
      <c r="A473" s="397"/>
      <c r="B473" s="385"/>
      <c r="C473" s="385"/>
      <c r="H473" s="115"/>
      <c r="I473" s="115"/>
      <c r="J473" s="115"/>
      <c r="K473" s="115"/>
      <c r="L473" s="115"/>
      <c r="M473" s="353"/>
      <c r="N473" s="115"/>
      <c r="O473" s="115"/>
      <c r="P473" s="115"/>
      <c r="Q473" s="115"/>
      <c r="R473" s="115"/>
      <c r="S473" s="115"/>
      <c r="T473" s="115"/>
      <c r="U473" s="115"/>
      <c r="V473" s="115"/>
      <c r="W473" s="115"/>
      <c r="X473" s="115"/>
      <c r="Y473" s="115"/>
      <c r="Z473" s="115"/>
      <c r="AA473" s="115"/>
      <c r="AB473" s="115"/>
      <c r="AI473" s="263"/>
      <c r="AJ473" s="263"/>
      <c r="AK473" s="263"/>
      <c r="AN473" s="115"/>
      <c r="AO473" s="115"/>
    </row>
    <row r="474">
      <c r="A474" s="397"/>
      <c r="B474" s="385"/>
      <c r="C474" s="385"/>
      <c r="H474" s="115"/>
      <c r="I474" s="115"/>
      <c r="J474" s="115"/>
      <c r="K474" s="115"/>
      <c r="L474" s="115"/>
      <c r="M474" s="353"/>
      <c r="N474" s="115"/>
      <c r="O474" s="115"/>
      <c r="P474" s="115"/>
      <c r="Q474" s="115"/>
      <c r="R474" s="115"/>
      <c r="S474" s="115"/>
      <c r="T474" s="115"/>
      <c r="U474" s="115"/>
      <c r="V474" s="115"/>
      <c r="W474" s="115"/>
      <c r="X474" s="115"/>
      <c r="Y474" s="115"/>
      <c r="Z474" s="115"/>
      <c r="AA474" s="115"/>
      <c r="AB474" s="115"/>
      <c r="AI474" s="263"/>
      <c r="AJ474" s="263"/>
      <c r="AK474" s="263"/>
      <c r="AN474" s="115"/>
      <c r="AO474" s="115"/>
    </row>
    <row r="475">
      <c r="A475" s="397"/>
      <c r="B475" s="385"/>
      <c r="C475" s="385"/>
      <c r="H475" s="115"/>
      <c r="I475" s="115"/>
      <c r="J475" s="115"/>
      <c r="K475" s="115"/>
      <c r="L475" s="115"/>
      <c r="M475" s="353"/>
      <c r="N475" s="115"/>
      <c r="O475" s="115"/>
      <c r="P475" s="115"/>
      <c r="Q475" s="115"/>
      <c r="R475" s="115"/>
      <c r="S475" s="115"/>
      <c r="T475" s="115"/>
      <c r="U475" s="115"/>
      <c r="V475" s="115"/>
      <c r="W475" s="115"/>
      <c r="X475" s="115"/>
      <c r="Y475" s="115"/>
      <c r="Z475" s="115"/>
      <c r="AA475" s="115"/>
      <c r="AB475" s="115"/>
      <c r="AI475" s="263"/>
      <c r="AJ475" s="263"/>
      <c r="AK475" s="263"/>
      <c r="AN475" s="115"/>
      <c r="AO475" s="115"/>
    </row>
    <row r="476">
      <c r="A476" s="397"/>
      <c r="B476" s="385"/>
      <c r="C476" s="385"/>
      <c r="H476" s="115"/>
      <c r="I476" s="115"/>
      <c r="J476" s="115"/>
      <c r="K476" s="115"/>
      <c r="L476" s="115"/>
      <c r="M476" s="353"/>
      <c r="N476" s="115"/>
      <c r="O476" s="115"/>
      <c r="P476" s="115"/>
      <c r="Q476" s="115"/>
      <c r="R476" s="115"/>
      <c r="S476" s="115"/>
      <c r="T476" s="115"/>
      <c r="U476" s="115"/>
      <c r="V476" s="115"/>
      <c r="W476" s="115"/>
      <c r="X476" s="115"/>
      <c r="Y476" s="115"/>
      <c r="Z476" s="115"/>
      <c r="AA476" s="115"/>
      <c r="AB476" s="115"/>
      <c r="AI476" s="263"/>
      <c r="AJ476" s="263"/>
      <c r="AK476" s="263"/>
      <c r="AN476" s="115"/>
      <c r="AO476" s="115"/>
    </row>
    <row r="477">
      <c r="A477" s="397"/>
      <c r="B477" s="385"/>
      <c r="C477" s="385"/>
      <c r="H477" s="115"/>
      <c r="I477" s="115"/>
      <c r="J477" s="115"/>
      <c r="K477" s="115"/>
      <c r="L477" s="115"/>
      <c r="M477" s="353"/>
      <c r="N477" s="115"/>
      <c r="O477" s="115"/>
      <c r="P477" s="115"/>
      <c r="Q477" s="115"/>
      <c r="R477" s="115"/>
      <c r="S477" s="115"/>
      <c r="T477" s="115"/>
      <c r="U477" s="115"/>
      <c r="V477" s="115"/>
      <c r="W477" s="115"/>
      <c r="X477" s="115"/>
      <c r="Y477" s="115"/>
      <c r="Z477" s="115"/>
      <c r="AA477" s="115"/>
      <c r="AB477" s="115"/>
      <c r="AI477" s="263"/>
      <c r="AJ477" s="263"/>
      <c r="AK477" s="263"/>
      <c r="AN477" s="115"/>
      <c r="AO477" s="115"/>
    </row>
    <row r="478">
      <c r="A478" s="397"/>
      <c r="B478" s="385"/>
      <c r="C478" s="385"/>
      <c r="H478" s="115"/>
      <c r="I478" s="115"/>
      <c r="J478" s="115"/>
      <c r="K478" s="115"/>
      <c r="L478" s="115"/>
      <c r="M478" s="353"/>
      <c r="N478" s="115"/>
      <c r="O478" s="115"/>
      <c r="P478" s="115"/>
      <c r="Q478" s="115"/>
      <c r="R478" s="115"/>
      <c r="S478" s="115"/>
      <c r="T478" s="115"/>
      <c r="U478" s="115"/>
      <c r="V478" s="115"/>
      <c r="W478" s="115"/>
      <c r="X478" s="115"/>
      <c r="Y478" s="115"/>
      <c r="Z478" s="115"/>
      <c r="AA478" s="115"/>
      <c r="AB478" s="115"/>
      <c r="AI478" s="263"/>
      <c r="AJ478" s="263"/>
      <c r="AK478" s="263"/>
      <c r="AN478" s="115"/>
      <c r="AO478" s="115"/>
    </row>
    <row r="479">
      <c r="A479" s="397"/>
      <c r="B479" s="385"/>
      <c r="C479" s="385"/>
      <c r="H479" s="115"/>
      <c r="I479" s="115"/>
      <c r="J479" s="115"/>
      <c r="K479" s="115"/>
      <c r="L479" s="115"/>
      <c r="M479" s="353"/>
      <c r="N479" s="115"/>
      <c r="O479" s="115"/>
      <c r="P479" s="115"/>
      <c r="Q479" s="115"/>
      <c r="R479" s="115"/>
      <c r="S479" s="115"/>
      <c r="T479" s="115"/>
      <c r="U479" s="115"/>
      <c r="V479" s="115"/>
      <c r="W479" s="115"/>
      <c r="X479" s="115"/>
      <c r="Y479" s="115"/>
      <c r="Z479" s="115"/>
      <c r="AA479" s="115"/>
      <c r="AB479" s="115"/>
      <c r="AI479" s="263"/>
      <c r="AJ479" s="263"/>
      <c r="AK479" s="263"/>
      <c r="AN479" s="115"/>
      <c r="AO479" s="115"/>
    </row>
    <row r="480">
      <c r="A480" s="397"/>
      <c r="B480" s="385"/>
      <c r="C480" s="385"/>
      <c r="H480" s="115"/>
      <c r="I480" s="115"/>
      <c r="J480" s="115"/>
      <c r="K480" s="115"/>
      <c r="L480" s="115"/>
      <c r="M480" s="353"/>
      <c r="N480" s="115"/>
      <c r="O480" s="115"/>
      <c r="P480" s="115"/>
      <c r="Q480" s="115"/>
      <c r="R480" s="115"/>
      <c r="S480" s="115"/>
      <c r="T480" s="115"/>
      <c r="U480" s="115"/>
      <c r="V480" s="115"/>
      <c r="W480" s="115"/>
      <c r="X480" s="115"/>
      <c r="Y480" s="115"/>
      <c r="Z480" s="115"/>
      <c r="AA480" s="115"/>
      <c r="AB480" s="115"/>
      <c r="AI480" s="263"/>
      <c r="AJ480" s="263"/>
      <c r="AK480" s="263"/>
      <c r="AN480" s="115"/>
      <c r="AO480" s="115"/>
    </row>
    <row r="481">
      <c r="A481" s="397"/>
      <c r="B481" s="385"/>
      <c r="C481" s="385"/>
      <c r="H481" s="115"/>
      <c r="I481" s="115"/>
      <c r="J481" s="115"/>
      <c r="K481" s="115"/>
      <c r="L481" s="115"/>
      <c r="M481" s="353"/>
      <c r="N481" s="115"/>
      <c r="O481" s="115"/>
      <c r="P481" s="115"/>
      <c r="Q481" s="115"/>
      <c r="R481" s="115"/>
      <c r="S481" s="115"/>
      <c r="T481" s="115"/>
      <c r="U481" s="115"/>
      <c r="V481" s="115"/>
      <c r="W481" s="115"/>
      <c r="X481" s="115"/>
      <c r="Y481" s="115"/>
      <c r="Z481" s="115"/>
      <c r="AA481" s="115"/>
      <c r="AB481" s="115"/>
      <c r="AI481" s="263"/>
      <c r="AJ481" s="263"/>
      <c r="AK481" s="263"/>
      <c r="AN481" s="115"/>
      <c r="AO481" s="115"/>
    </row>
    <row r="482">
      <c r="A482" s="397"/>
      <c r="B482" s="385"/>
      <c r="C482" s="385"/>
      <c r="H482" s="115"/>
      <c r="I482" s="115"/>
      <c r="J482" s="115"/>
      <c r="K482" s="115"/>
      <c r="L482" s="115"/>
      <c r="M482" s="353"/>
      <c r="N482" s="115"/>
      <c r="O482" s="115"/>
      <c r="P482" s="115"/>
      <c r="Q482" s="115"/>
      <c r="R482" s="115"/>
      <c r="S482" s="115"/>
      <c r="T482" s="115"/>
      <c r="U482" s="115"/>
      <c r="V482" s="115"/>
      <c r="W482" s="115"/>
      <c r="X482" s="115"/>
      <c r="Y482" s="115"/>
      <c r="Z482" s="115"/>
      <c r="AA482" s="115"/>
      <c r="AB482" s="115"/>
      <c r="AI482" s="263"/>
      <c r="AJ482" s="263"/>
      <c r="AK482" s="263"/>
      <c r="AN482" s="115"/>
      <c r="AO482" s="115"/>
    </row>
    <row r="483">
      <c r="A483" s="397"/>
      <c r="B483" s="385"/>
      <c r="C483" s="385"/>
      <c r="H483" s="115"/>
      <c r="I483" s="115"/>
      <c r="J483" s="115"/>
      <c r="K483" s="115"/>
      <c r="L483" s="115"/>
      <c r="M483" s="353"/>
      <c r="N483" s="115"/>
      <c r="O483" s="115"/>
      <c r="P483" s="115"/>
      <c r="Q483" s="115"/>
      <c r="R483" s="115"/>
      <c r="S483" s="115"/>
      <c r="T483" s="115"/>
      <c r="U483" s="115"/>
      <c r="V483" s="115"/>
      <c r="W483" s="115"/>
      <c r="X483" s="115"/>
      <c r="Y483" s="115"/>
      <c r="Z483" s="115"/>
      <c r="AA483" s="115"/>
      <c r="AB483" s="115"/>
      <c r="AI483" s="263"/>
      <c r="AJ483" s="263"/>
      <c r="AK483" s="263"/>
      <c r="AN483" s="115"/>
      <c r="AO483" s="115"/>
    </row>
    <row r="484">
      <c r="A484" s="397"/>
      <c r="B484" s="385"/>
      <c r="C484" s="385"/>
      <c r="H484" s="115"/>
      <c r="I484" s="115"/>
      <c r="J484" s="115"/>
      <c r="K484" s="115"/>
      <c r="L484" s="115"/>
      <c r="M484" s="353"/>
      <c r="N484" s="115"/>
      <c r="O484" s="115"/>
      <c r="P484" s="115"/>
      <c r="Q484" s="115"/>
      <c r="R484" s="115"/>
      <c r="S484" s="115"/>
      <c r="T484" s="115"/>
      <c r="U484" s="115"/>
      <c r="V484" s="115"/>
      <c r="W484" s="115"/>
      <c r="X484" s="115"/>
      <c r="Y484" s="115"/>
      <c r="Z484" s="115"/>
      <c r="AA484" s="115"/>
      <c r="AB484" s="115"/>
      <c r="AI484" s="263"/>
      <c r="AJ484" s="263"/>
      <c r="AK484" s="263"/>
      <c r="AN484" s="115"/>
      <c r="AO484" s="115"/>
    </row>
    <row r="485">
      <c r="A485" s="397"/>
      <c r="B485" s="385"/>
      <c r="C485" s="385"/>
      <c r="H485" s="115"/>
      <c r="I485" s="115"/>
      <c r="J485" s="115"/>
      <c r="K485" s="115"/>
      <c r="L485" s="115"/>
      <c r="M485" s="353"/>
      <c r="N485" s="115"/>
      <c r="O485" s="115"/>
      <c r="P485" s="115"/>
      <c r="Q485" s="115"/>
      <c r="R485" s="115"/>
      <c r="S485" s="115"/>
      <c r="T485" s="115"/>
      <c r="U485" s="115"/>
      <c r="V485" s="115"/>
      <c r="W485" s="115"/>
      <c r="X485" s="115"/>
      <c r="Y485" s="115"/>
      <c r="Z485" s="115"/>
      <c r="AA485" s="115"/>
      <c r="AB485" s="115"/>
      <c r="AI485" s="263"/>
      <c r="AJ485" s="263"/>
      <c r="AK485" s="263"/>
      <c r="AN485" s="115"/>
      <c r="AO485" s="115"/>
    </row>
    <row r="486">
      <c r="A486" s="397"/>
      <c r="B486" s="385"/>
      <c r="C486" s="385"/>
      <c r="H486" s="115"/>
      <c r="I486" s="115"/>
      <c r="J486" s="115"/>
      <c r="K486" s="115"/>
      <c r="L486" s="115"/>
      <c r="M486" s="353"/>
      <c r="N486" s="115"/>
      <c r="O486" s="115"/>
      <c r="P486" s="115"/>
      <c r="Q486" s="115"/>
      <c r="R486" s="115"/>
      <c r="S486" s="115"/>
      <c r="T486" s="115"/>
      <c r="U486" s="115"/>
      <c r="V486" s="115"/>
      <c r="W486" s="115"/>
      <c r="X486" s="115"/>
      <c r="Y486" s="115"/>
      <c r="Z486" s="115"/>
      <c r="AA486" s="115"/>
      <c r="AB486" s="115"/>
      <c r="AI486" s="263"/>
      <c r="AJ486" s="263"/>
      <c r="AK486" s="263"/>
      <c r="AN486" s="115"/>
      <c r="AO486" s="115"/>
    </row>
    <row r="487">
      <c r="A487" s="397"/>
      <c r="B487" s="385"/>
      <c r="C487" s="385"/>
      <c r="H487" s="115"/>
      <c r="I487" s="115"/>
      <c r="J487" s="115"/>
      <c r="K487" s="115"/>
      <c r="L487" s="115"/>
      <c r="M487" s="353"/>
      <c r="N487" s="115"/>
      <c r="O487" s="115"/>
      <c r="P487" s="115"/>
      <c r="Q487" s="115"/>
      <c r="R487" s="115"/>
      <c r="S487" s="115"/>
      <c r="T487" s="115"/>
      <c r="U487" s="115"/>
      <c r="V487" s="115"/>
      <c r="W487" s="115"/>
      <c r="X487" s="115"/>
      <c r="Y487" s="115"/>
      <c r="Z487" s="115"/>
      <c r="AA487" s="115"/>
      <c r="AB487" s="115"/>
      <c r="AI487" s="263"/>
      <c r="AJ487" s="263"/>
      <c r="AK487" s="263"/>
      <c r="AN487" s="115"/>
      <c r="AO487" s="115"/>
    </row>
    <row r="488">
      <c r="A488" s="397"/>
      <c r="B488" s="385"/>
      <c r="C488" s="385"/>
      <c r="H488" s="115"/>
      <c r="I488" s="115"/>
      <c r="J488" s="115"/>
      <c r="K488" s="115"/>
      <c r="L488" s="115"/>
      <c r="M488" s="353"/>
      <c r="N488" s="115"/>
      <c r="O488" s="115"/>
      <c r="P488" s="115"/>
      <c r="Q488" s="115"/>
      <c r="R488" s="115"/>
      <c r="S488" s="115"/>
      <c r="T488" s="115"/>
      <c r="U488" s="115"/>
      <c r="V488" s="115"/>
      <c r="W488" s="115"/>
      <c r="X488" s="115"/>
      <c r="Y488" s="115"/>
      <c r="Z488" s="115"/>
      <c r="AA488" s="115"/>
      <c r="AB488" s="115"/>
      <c r="AI488" s="263"/>
      <c r="AJ488" s="263"/>
      <c r="AK488" s="263"/>
      <c r="AN488" s="115"/>
      <c r="AO488" s="115"/>
    </row>
    <row r="489">
      <c r="A489" s="397"/>
      <c r="B489" s="385"/>
      <c r="C489" s="385"/>
      <c r="H489" s="115"/>
      <c r="I489" s="115"/>
      <c r="J489" s="115"/>
      <c r="K489" s="115"/>
      <c r="L489" s="115"/>
      <c r="M489" s="353"/>
      <c r="N489" s="115"/>
      <c r="O489" s="115"/>
      <c r="P489" s="115"/>
      <c r="Q489" s="115"/>
      <c r="R489" s="115"/>
      <c r="S489" s="115"/>
      <c r="T489" s="115"/>
      <c r="U489" s="115"/>
      <c r="V489" s="115"/>
      <c r="W489" s="115"/>
      <c r="X489" s="115"/>
      <c r="Y489" s="115"/>
      <c r="Z489" s="115"/>
      <c r="AA489" s="115"/>
      <c r="AB489" s="115"/>
      <c r="AI489" s="263"/>
      <c r="AJ489" s="263"/>
      <c r="AK489" s="263"/>
      <c r="AN489" s="115"/>
      <c r="AO489" s="115"/>
    </row>
    <row r="490">
      <c r="A490" s="397"/>
      <c r="B490" s="385"/>
      <c r="C490" s="385"/>
      <c r="H490" s="115"/>
      <c r="I490" s="115"/>
      <c r="J490" s="115"/>
      <c r="K490" s="115"/>
      <c r="L490" s="115"/>
      <c r="M490" s="353"/>
      <c r="N490" s="115"/>
      <c r="O490" s="115"/>
      <c r="P490" s="115"/>
      <c r="Q490" s="115"/>
      <c r="R490" s="115"/>
      <c r="S490" s="115"/>
      <c r="T490" s="115"/>
      <c r="U490" s="115"/>
      <c r="V490" s="115"/>
      <c r="W490" s="115"/>
      <c r="X490" s="115"/>
      <c r="Y490" s="115"/>
      <c r="Z490" s="115"/>
      <c r="AA490" s="115"/>
      <c r="AB490" s="115"/>
      <c r="AI490" s="263"/>
      <c r="AJ490" s="263"/>
      <c r="AK490" s="263"/>
      <c r="AN490" s="115"/>
      <c r="AO490" s="115"/>
    </row>
    <row r="491">
      <c r="A491" s="397"/>
      <c r="B491" s="385"/>
      <c r="C491" s="385"/>
      <c r="H491" s="115"/>
      <c r="I491" s="115"/>
      <c r="J491" s="115"/>
      <c r="K491" s="115"/>
      <c r="L491" s="115"/>
      <c r="M491" s="353"/>
      <c r="N491" s="115"/>
      <c r="O491" s="115"/>
      <c r="P491" s="115"/>
      <c r="Q491" s="115"/>
      <c r="R491" s="115"/>
      <c r="S491" s="115"/>
      <c r="T491" s="115"/>
      <c r="U491" s="115"/>
      <c r="V491" s="115"/>
      <c r="W491" s="115"/>
      <c r="X491" s="115"/>
      <c r="Y491" s="115"/>
      <c r="Z491" s="115"/>
      <c r="AA491" s="115"/>
      <c r="AB491" s="115"/>
      <c r="AI491" s="263"/>
      <c r="AJ491" s="263"/>
      <c r="AK491" s="263"/>
      <c r="AN491" s="115"/>
      <c r="AO491" s="115"/>
    </row>
    <row r="492">
      <c r="A492" s="397"/>
      <c r="B492" s="385"/>
      <c r="C492" s="385"/>
      <c r="H492" s="115"/>
      <c r="I492" s="115"/>
      <c r="J492" s="115"/>
      <c r="K492" s="115"/>
      <c r="L492" s="115"/>
      <c r="M492" s="353"/>
      <c r="N492" s="115"/>
      <c r="O492" s="115"/>
      <c r="P492" s="115"/>
      <c r="Q492" s="115"/>
      <c r="R492" s="115"/>
      <c r="S492" s="115"/>
      <c r="T492" s="115"/>
      <c r="U492" s="115"/>
      <c r="V492" s="115"/>
      <c r="W492" s="115"/>
      <c r="X492" s="115"/>
      <c r="Y492" s="115"/>
      <c r="Z492" s="115"/>
      <c r="AA492" s="115"/>
      <c r="AB492" s="115"/>
      <c r="AI492" s="263"/>
      <c r="AJ492" s="263"/>
      <c r="AK492" s="263"/>
      <c r="AN492" s="115"/>
      <c r="AO492" s="115"/>
    </row>
    <row r="493">
      <c r="A493" s="397"/>
      <c r="B493" s="385"/>
      <c r="C493" s="385"/>
      <c r="H493" s="115"/>
      <c r="I493" s="115"/>
      <c r="J493" s="115"/>
      <c r="K493" s="115"/>
      <c r="L493" s="115"/>
      <c r="M493" s="353"/>
      <c r="N493" s="115"/>
      <c r="O493" s="115"/>
      <c r="P493" s="115"/>
      <c r="Q493" s="115"/>
      <c r="R493" s="115"/>
      <c r="S493" s="115"/>
      <c r="T493" s="115"/>
      <c r="U493" s="115"/>
      <c r="V493" s="115"/>
      <c r="W493" s="115"/>
      <c r="X493" s="115"/>
      <c r="Y493" s="115"/>
      <c r="Z493" s="115"/>
      <c r="AA493" s="115"/>
      <c r="AB493" s="115"/>
      <c r="AI493" s="263"/>
      <c r="AJ493" s="263"/>
      <c r="AK493" s="263"/>
      <c r="AN493" s="115"/>
      <c r="AO493" s="115"/>
    </row>
    <row r="494">
      <c r="A494" s="397"/>
      <c r="B494" s="385"/>
      <c r="C494" s="385"/>
      <c r="H494" s="115"/>
      <c r="I494" s="115"/>
      <c r="J494" s="115"/>
      <c r="K494" s="115"/>
      <c r="L494" s="115"/>
      <c r="M494" s="353"/>
      <c r="N494" s="115"/>
      <c r="O494" s="115"/>
      <c r="P494" s="115"/>
      <c r="Q494" s="115"/>
      <c r="R494" s="115"/>
      <c r="S494" s="115"/>
      <c r="T494" s="115"/>
      <c r="U494" s="115"/>
      <c r="V494" s="115"/>
      <c r="W494" s="115"/>
      <c r="X494" s="115"/>
      <c r="Y494" s="115"/>
      <c r="Z494" s="115"/>
      <c r="AA494" s="115"/>
      <c r="AB494" s="115"/>
      <c r="AI494" s="263"/>
      <c r="AJ494" s="263"/>
      <c r="AK494" s="263"/>
      <c r="AN494" s="115"/>
      <c r="AO494" s="115"/>
    </row>
    <row r="495">
      <c r="A495" s="397"/>
      <c r="B495" s="385"/>
      <c r="C495" s="385"/>
      <c r="H495" s="115"/>
      <c r="I495" s="115"/>
      <c r="J495" s="115"/>
      <c r="K495" s="115"/>
      <c r="L495" s="115"/>
      <c r="M495" s="353"/>
      <c r="N495" s="115"/>
      <c r="O495" s="115"/>
      <c r="P495" s="115"/>
      <c r="Q495" s="115"/>
      <c r="R495" s="115"/>
      <c r="S495" s="115"/>
      <c r="T495" s="115"/>
      <c r="U495" s="115"/>
      <c r="V495" s="115"/>
      <c r="W495" s="115"/>
      <c r="X495" s="115"/>
      <c r="Y495" s="115"/>
      <c r="Z495" s="115"/>
      <c r="AA495" s="115"/>
      <c r="AB495" s="115"/>
      <c r="AI495" s="263"/>
      <c r="AJ495" s="263"/>
      <c r="AK495" s="263"/>
      <c r="AN495" s="115"/>
      <c r="AO495" s="115"/>
    </row>
    <row r="496">
      <c r="A496" s="397"/>
      <c r="B496" s="385"/>
      <c r="C496" s="385"/>
      <c r="H496" s="115"/>
      <c r="I496" s="115"/>
      <c r="J496" s="115"/>
      <c r="K496" s="115"/>
      <c r="L496" s="115"/>
      <c r="M496" s="353"/>
      <c r="N496" s="115"/>
      <c r="O496" s="115"/>
      <c r="P496" s="115"/>
      <c r="Q496" s="115"/>
      <c r="R496" s="115"/>
      <c r="S496" s="115"/>
      <c r="T496" s="115"/>
      <c r="U496" s="115"/>
      <c r="V496" s="115"/>
      <c r="W496" s="115"/>
      <c r="X496" s="115"/>
      <c r="Y496" s="115"/>
      <c r="Z496" s="115"/>
      <c r="AA496" s="115"/>
      <c r="AB496" s="115"/>
      <c r="AI496" s="263"/>
      <c r="AJ496" s="263"/>
      <c r="AK496" s="263"/>
      <c r="AN496" s="115"/>
      <c r="AO496" s="115"/>
    </row>
    <row r="497">
      <c r="A497" s="397"/>
      <c r="B497" s="385"/>
      <c r="C497" s="385"/>
      <c r="H497" s="115"/>
      <c r="I497" s="115"/>
      <c r="J497" s="115"/>
      <c r="K497" s="115"/>
      <c r="L497" s="115"/>
      <c r="M497" s="353"/>
      <c r="N497" s="115"/>
      <c r="O497" s="115"/>
      <c r="P497" s="115"/>
      <c r="Q497" s="115"/>
      <c r="R497" s="115"/>
      <c r="S497" s="115"/>
      <c r="T497" s="115"/>
      <c r="U497" s="115"/>
      <c r="V497" s="115"/>
      <c r="W497" s="115"/>
      <c r="X497" s="115"/>
      <c r="Y497" s="115"/>
      <c r="Z497" s="115"/>
      <c r="AA497" s="115"/>
      <c r="AB497" s="115"/>
      <c r="AI497" s="263"/>
      <c r="AJ497" s="263"/>
      <c r="AK497" s="263"/>
      <c r="AN497" s="115"/>
      <c r="AO497" s="115"/>
    </row>
    <row r="498">
      <c r="A498" s="397"/>
      <c r="B498" s="385"/>
      <c r="C498" s="385"/>
      <c r="H498" s="115"/>
      <c r="I498" s="115"/>
      <c r="J498" s="115"/>
      <c r="K498" s="115"/>
      <c r="L498" s="115"/>
      <c r="M498" s="353"/>
      <c r="N498" s="115"/>
      <c r="O498" s="115"/>
      <c r="P498" s="115"/>
      <c r="Q498" s="115"/>
      <c r="R498" s="115"/>
      <c r="S498" s="115"/>
      <c r="T498" s="115"/>
      <c r="U498" s="115"/>
      <c r="V498" s="115"/>
      <c r="W498" s="115"/>
      <c r="X498" s="115"/>
      <c r="Y498" s="115"/>
      <c r="Z498" s="115"/>
      <c r="AA498" s="115"/>
      <c r="AB498" s="115"/>
      <c r="AI498" s="263"/>
      <c r="AJ498" s="263"/>
      <c r="AK498" s="263"/>
      <c r="AN498" s="115"/>
      <c r="AO498" s="115"/>
    </row>
    <row r="499">
      <c r="A499" s="397"/>
      <c r="B499" s="385"/>
      <c r="C499" s="385"/>
      <c r="H499" s="115"/>
      <c r="I499" s="115"/>
      <c r="J499" s="115"/>
      <c r="K499" s="115"/>
      <c r="L499" s="115"/>
      <c r="M499" s="353"/>
      <c r="N499" s="115"/>
      <c r="O499" s="115"/>
      <c r="P499" s="115"/>
      <c r="Q499" s="115"/>
      <c r="R499" s="115"/>
      <c r="S499" s="115"/>
      <c r="T499" s="115"/>
      <c r="U499" s="115"/>
      <c r="V499" s="115"/>
      <c r="W499" s="115"/>
      <c r="X499" s="115"/>
      <c r="Y499" s="115"/>
      <c r="Z499" s="115"/>
      <c r="AA499" s="115"/>
      <c r="AB499" s="115"/>
      <c r="AI499" s="263"/>
      <c r="AJ499" s="263"/>
      <c r="AK499" s="263"/>
      <c r="AN499" s="115"/>
      <c r="AO499" s="115"/>
    </row>
    <row r="500">
      <c r="A500" s="397"/>
      <c r="B500" s="385"/>
      <c r="C500" s="385"/>
      <c r="H500" s="115"/>
      <c r="I500" s="115"/>
      <c r="J500" s="115"/>
      <c r="K500" s="115"/>
      <c r="L500" s="115"/>
      <c r="M500" s="353"/>
      <c r="N500" s="115"/>
      <c r="O500" s="115"/>
      <c r="P500" s="115"/>
      <c r="Q500" s="115"/>
      <c r="R500" s="115"/>
      <c r="S500" s="115"/>
      <c r="T500" s="115"/>
      <c r="U500" s="115"/>
      <c r="V500" s="115"/>
      <c r="W500" s="115"/>
      <c r="X500" s="115"/>
      <c r="Y500" s="115"/>
      <c r="Z500" s="115"/>
      <c r="AA500" s="115"/>
      <c r="AB500" s="115"/>
      <c r="AI500" s="263"/>
      <c r="AJ500" s="263"/>
      <c r="AK500" s="263"/>
      <c r="AN500" s="115"/>
      <c r="AO500" s="115"/>
    </row>
    <row r="501">
      <c r="A501" s="397"/>
      <c r="B501" s="385"/>
      <c r="C501" s="385"/>
      <c r="H501" s="115"/>
      <c r="I501" s="115"/>
      <c r="J501" s="115"/>
      <c r="K501" s="115"/>
      <c r="L501" s="115"/>
      <c r="M501" s="353"/>
      <c r="N501" s="115"/>
      <c r="O501" s="115"/>
      <c r="P501" s="115"/>
      <c r="Q501" s="115"/>
      <c r="R501" s="115"/>
      <c r="S501" s="115"/>
      <c r="T501" s="115"/>
      <c r="U501" s="115"/>
      <c r="V501" s="115"/>
      <c r="W501" s="115"/>
      <c r="X501" s="115"/>
      <c r="Y501" s="115"/>
      <c r="Z501" s="115"/>
      <c r="AA501" s="115"/>
      <c r="AB501" s="115"/>
      <c r="AI501" s="263"/>
      <c r="AJ501" s="263"/>
      <c r="AK501" s="263"/>
      <c r="AN501" s="115"/>
      <c r="AO501" s="115"/>
    </row>
    <row r="502">
      <c r="A502" s="397"/>
      <c r="B502" s="385"/>
      <c r="C502" s="385"/>
      <c r="H502" s="115"/>
      <c r="I502" s="115"/>
      <c r="J502" s="115"/>
      <c r="K502" s="115"/>
      <c r="L502" s="115"/>
      <c r="M502" s="353"/>
      <c r="N502" s="115"/>
      <c r="O502" s="115"/>
      <c r="P502" s="115"/>
      <c r="Q502" s="115"/>
      <c r="R502" s="115"/>
      <c r="S502" s="115"/>
      <c r="T502" s="115"/>
      <c r="U502" s="115"/>
      <c r="V502" s="115"/>
      <c r="W502" s="115"/>
      <c r="X502" s="115"/>
      <c r="Y502" s="115"/>
      <c r="Z502" s="115"/>
      <c r="AA502" s="115"/>
      <c r="AB502" s="115"/>
      <c r="AI502" s="263"/>
      <c r="AJ502" s="263"/>
      <c r="AK502" s="263"/>
      <c r="AN502" s="115"/>
      <c r="AO502" s="115"/>
    </row>
    <row r="503">
      <c r="A503" s="397"/>
      <c r="B503" s="385"/>
      <c r="C503" s="385"/>
      <c r="H503" s="115"/>
      <c r="I503" s="115"/>
      <c r="J503" s="115"/>
      <c r="K503" s="115"/>
      <c r="L503" s="115"/>
      <c r="M503" s="353"/>
      <c r="N503" s="115"/>
      <c r="O503" s="115"/>
      <c r="P503" s="115"/>
      <c r="Q503" s="115"/>
      <c r="R503" s="115"/>
      <c r="S503" s="115"/>
      <c r="T503" s="115"/>
      <c r="U503" s="115"/>
      <c r="V503" s="115"/>
      <c r="W503" s="115"/>
      <c r="X503" s="115"/>
      <c r="Y503" s="115"/>
      <c r="Z503" s="115"/>
      <c r="AA503" s="115"/>
      <c r="AB503" s="115"/>
      <c r="AI503" s="263"/>
      <c r="AJ503" s="263"/>
      <c r="AK503" s="263"/>
      <c r="AN503" s="115"/>
      <c r="AO503" s="115"/>
    </row>
    <row r="504">
      <c r="A504" s="397"/>
      <c r="B504" s="385"/>
      <c r="C504" s="385"/>
      <c r="H504" s="115"/>
      <c r="I504" s="115"/>
      <c r="J504" s="115"/>
      <c r="K504" s="115"/>
      <c r="L504" s="115"/>
      <c r="M504" s="353"/>
      <c r="N504" s="115"/>
      <c r="O504" s="115"/>
      <c r="P504" s="115"/>
      <c r="Q504" s="115"/>
      <c r="R504" s="115"/>
      <c r="S504" s="115"/>
      <c r="T504" s="115"/>
      <c r="U504" s="115"/>
      <c r="V504" s="115"/>
      <c r="W504" s="115"/>
      <c r="X504" s="115"/>
      <c r="Y504" s="115"/>
      <c r="Z504" s="115"/>
      <c r="AA504" s="115"/>
      <c r="AB504" s="115"/>
      <c r="AI504" s="263"/>
      <c r="AJ504" s="263"/>
      <c r="AK504" s="263"/>
      <c r="AN504" s="115"/>
      <c r="AO504" s="115"/>
    </row>
    <row r="505">
      <c r="A505" s="397"/>
      <c r="B505" s="385"/>
      <c r="C505" s="385"/>
      <c r="H505" s="115"/>
      <c r="I505" s="115"/>
      <c r="J505" s="115"/>
      <c r="K505" s="115"/>
      <c r="L505" s="115"/>
      <c r="M505" s="353"/>
      <c r="N505" s="115"/>
      <c r="O505" s="115"/>
      <c r="P505" s="115"/>
      <c r="Q505" s="115"/>
      <c r="R505" s="115"/>
      <c r="S505" s="115"/>
      <c r="T505" s="115"/>
      <c r="U505" s="115"/>
      <c r="V505" s="115"/>
      <c r="W505" s="115"/>
      <c r="X505" s="115"/>
      <c r="Y505" s="115"/>
      <c r="Z505" s="115"/>
      <c r="AA505" s="115"/>
      <c r="AB505" s="115"/>
      <c r="AI505" s="263"/>
      <c r="AJ505" s="263"/>
      <c r="AK505" s="263"/>
      <c r="AN505" s="115"/>
      <c r="AO505" s="115"/>
    </row>
    <row r="506">
      <c r="A506" s="397"/>
      <c r="B506" s="385"/>
      <c r="C506" s="385"/>
      <c r="H506" s="115"/>
      <c r="I506" s="115"/>
      <c r="J506" s="115"/>
      <c r="K506" s="115"/>
      <c r="L506" s="115"/>
      <c r="M506" s="353"/>
      <c r="N506" s="115"/>
      <c r="O506" s="115"/>
      <c r="P506" s="115"/>
      <c r="Q506" s="115"/>
      <c r="R506" s="115"/>
      <c r="S506" s="115"/>
      <c r="T506" s="115"/>
      <c r="U506" s="115"/>
      <c r="V506" s="115"/>
      <c r="W506" s="115"/>
      <c r="X506" s="115"/>
      <c r="Y506" s="115"/>
      <c r="Z506" s="115"/>
      <c r="AA506" s="115"/>
      <c r="AB506" s="115"/>
      <c r="AI506" s="263"/>
      <c r="AJ506" s="263"/>
      <c r="AK506" s="263"/>
      <c r="AN506" s="115"/>
      <c r="AO506" s="115"/>
    </row>
    <row r="507">
      <c r="A507" s="397"/>
      <c r="B507" s="385"/>
      <c r="C507" s="385"/>
      <c r="H507" s="115"/>
      <c r="I507" s="115"/>
      <c r="J507" s="115"/>
      <c r="K507" s="115"/>
      <c r="L507" s="115"/>
      <c r="M507" s="353"/>
      <c r="N507" s="115"/>
      <c r="O507" s="115"/>
      <c r="P507" s="115"/>
      <c r="Q507" s="115"/>
      <c r="R507" s="115"/>
      <c r="S507" s="115"/>
      <c r="T507" s="115"/>
      <c r="U507" s="115"/>
      <c r="V507" s="115"/>
      <c r="W507" s="115"/>
      <c r="X507" s="115"/>
      <c r="Y507" s="115"/>
      <c r="Z507" s="115"/>
      <c r="AA507" s="115"/>
      <c r="AB507" s="115"/>
      <c r="AI507" s="263"/>
      <c r="AJ507" s="263"/>
      <c r="AK507" s="263"/>
      <c r="AN507" s="115"/>
      <c r="AO507" s="115"/>
    </row>
    <row r="508">
      <c r="A508" s="397"/>
      <c r="B508" s="385"/>
      <c r="C508" s="385"/>
      <c r="H508" s="115"/>
      <c r="I508" s="115"/>
      <c r="J508" s="115"/>
      <c r="K508" s="115"/>
      <c r="L508" s="115"/>
      <c r="M508" s="353"/>
      <c r="N508" s="115"/>
      <c r="O508" s="115"/>
      <c r="P508" s="115"/>
      <c r="Q508" s="115"/>
      <c r="R508" s="115"/>
      <c r="S508" s="115"/>
      <c r="T508" s="115"/>
      <c r="U508" s="115"/>
      <c r="V508" s="115"/>
      <c r="W508" s="115"/>
      <c r="X508" s="115"/>
      <c r="Y508" s="115"/>
      <c r="Z508" s="115"/>
      <c r="AA508" s="115"/>
      <c r="AB508" s="115"/>
      <c r="AI508" s="263"/>
      <c r="AJ508" s="263"/>
      <c r="AK508" s="263"/>
      <c r="AN508" s="115"/>
      <c r="AO508" s="115"/>
    </row>
    <row r="509">
      <c r="A509" s="397"/>
      <c r="B509" s="385"/>
      <c r="C509" s="385"/>
      <c r="H509" s="115"/>
      <c r="I509" s="115"/>
      <c r="J509" s="115"/>
      <c r="K509" s="115"/>
      <c r="L509" s="115"/>
      <c r="M509" s="353"/>
      <c r="N509" s="115"/>
      <c r="O509" s="115"/>
      <c r="P509" s="115"/>
      <c r="Q509" s="115"/>
      <c r="R509" s="115"/>
      <c r="S509" s="115"/>
      <c r="T509" s="115"/>
      <c r="U509" s="115"/>
      <c r="V509" s="115"/>
      <c r="W509" s="115"/>
      <c r="X509" s="115"/>
      <c r="Y509" s="115"/>
      <c r="Z509" s="115"/>
      <c r="AA509" s="115"/>
      <c r="AB509" s="115"/>
      <c r="AI509" s="263"/>
      <c r="AJ509" s="263"/>
      <c r="AK509" s="263"/>
      <c r="AN509" s="115"/>
      <c r="AO509" s="115"/>
    </row>
    <row r="510">
      <c r="A510" s="397"/>
      <c r="B510" s="385"/>
      <c r="C510" s="385"/>
      <c r="H510" s="115"/>
      <c r="I510" s="115"/>
      <c r="J510" s="115"/>
      <c r="K510" s="115"/>
      <c r="L510" s="115"/>
      <c r="M510" s="353"/>
      <c r="N510" s="115"/>
      <c r="O510" s="115"/>
      <c r="P510" s="115"/>
      <c r="Q510" s="115"/>
      <c r="R510" s="115"/>
      <c r="S510" s="115"/>
      <c r="T510" s="115"/>
      <c r="U510" s="115"/>
      <c r="V510" s="115"/>
      <c r="W510" s="115"/>
      <c r="X510" s="115"/>
      <c r="Y510" s="115"/>
      <c r="Z510" s="115"/>
      <c r="AA510" s="115"/>
      <c r="AB510" s="115"/>
      <c r="AI510" s="263"/>
      <c r="AJ510" s="263"/>
      <c r="AK510" s="263"/>
      <c r="AN510" s="115"/>
      <c r="AO510" s="115"/>
    </row>
    <row r="511">
      <c r="A511" s="397"/>
      <c r="B511" s="385"/>
      <c r="C511" s="385"/>
      <c r="H511" s="115"/>
      <c r="I511" s="115"/>
      <c r="J511" s="115"/>
      <c r="K511" s="115"/>
      <c r="L511" s="115"/>
      <c r="M511" s="353"/>
      <c r="N511" s="115"/>
      <c r="O511" s="115"/>
      <c r="P511" s="115"/>
      <c r="Q511" s="115"/>
      <c r="R511" s="115"/>
      <c r="S511" s="115"/>
      <c r="T511" s="115"/>
      <c r="U511" s="115"/>
      <c r="V511" s="115"/>
      <c r="W511" s="115"/>
      <c r="X511" s="115"/>
      <c r="Y511" s="115"/>
      <c r="Z511" s="115"/>
      <c r="AA511" s="115"/>
      <c r="AB511" s="115"/>
      <c r="AI511" s="263"/>
      <c r="AJ511" s="263"/>
      <c r="AK511" s="263"/>
      <c r="AN511" s="115"/>
      <c r="AO511" s="115"/>
    </row>
    <row r="512">
      <c r="A512" s="397"/>
      <c r="B512" s="385"/>
      <c r="C512" s="385"/>
      <c r="H512" s="115"/>
      <c r="I512" s="115"/>
      <c r="J512" s="115"/>
      <c r="K512" s="115"/>
      <c r="L512" s="115"/>
      <c r="M512" s="353"/>
      <c r="N512" s="115"/>
      <c r="O512" s="115"/>
      <c r="P512" s="115"/>
      <c r="Q512" s="115"/>
      <c r="R512" s="115"/>
      <c r="S512" s="115"/>
      <c r="T512" s="115"/>
      <c r="U512" s="115"/>
      <c r="V512" s="115"/>
      <c r="W512" s="115"/>
      <c r="X512" s="115"/>
      <c r="Y512" s="115"/>
      <c r="Z512" s="115"/>
      <c r="AA512" s="115"/>
      <c r="AB512" s="115"/>
      <c r="AI512" s="263"/>
      <c r="AJ512" s="263"/>
      <c r="AK512" s="263"/>
      <c r="AN512" s="115"/>
      <c r="AO512" s="115"/>
    </row>
    <row r="513">
      <c r="A513" s="397"/>
      <c r="B513" s="385"/>
      <c r="C513" s="385"/>
      <c r="H513" s="115"/>
      <c r="I513" s="115"/>
      <c r="J513" s="115"/>
      <c r="K513" s="115"/>
      <c r="L513" s="115"/>
      <c r="M513" s="353"/>
      <c r="N513" s="115"/>
      <c r="O513" s="115"/>
      <c r="P513" s="115"/>
      <c r="Q513" s="115"/>
      <c r="R513" s="115"/>
      <c r="S513" s="115"/>
      <c r="T513" s="115"/>
      <c r="U513" s="115"/>
      <c r="V513" s="115"/>
      <c r="W513" s="115"/>
      <c r="X513" s="115"/>
      <c r="Y513" s="115"/>
      <c r="Z513" s="115"/>
      <c r="AA513" s="115"/>
      <c r="AB513" s="115"/>
      <c r="AI513" s="263"/>
      <c r="AJ513" s="263"/>
      <c r="AK513" s="263"/>
      <c r="AN513" s="115"/>
      <c r="AO513" s="115"/>
    </row>
    <row r="514">
      <c r="A514" s="397"/>
      <c r="B514" s="385"/>
      <c r="C514" s="385"/>
      <c r="H514" s="115"/>
      <c r="I514" s="115"/>
      <c r="J514" s="115"/>
      <c r="K514" s="115"/>
      <c r="L514" s="115"/>
      <c r="M514" s="353"/>
      <c r="N514" s="115"/>
      <c r="O514" s="115"/>
      <c r="P514" s="115"/>
      <c r="Q514" s="115"/>
      <c r="R514" s="115"/>
      <c r="S514" s="115"/>
      <c r="T514" s="115"/>
      <c r="U514" s="115"/>
      <c r="V514" s="115"/>
      <c r="W514" s="115"/>
      <c r="X514" s="115"/>
      <c r="Y514" s="115"/>
      <c r="Z514" s="115"/>
      <c r="AA514" s="115"/>
      <c r="AB514" s="115"/>
      <c r="AI514" s="263"/>
      <c r="AJ514" s="263"/>
      <c r="AK514" s="263"/>
      <c r="AN514" s="115"/>
      <c r="AO514" s="115"/>
    </row>
    <row r="515">
      <c r="A515" s="397"/>
      <c r="B515" s="385"/>
      <c r="C515" s="385"/>
      <c r="H515" s="115"/>
      <c r="I515" s="115"/>
      <c r="J515" s="115"/>
      <c r="K515" s="115"/>
      <c r="L515" s="115"/>
      <c r="M515" s="353"/>
      <c r="N515" s="115"/>
      <c r="O515" s="115"/>
      <c r="P515" s="115"/>
      <c r="Q515" s="115"/>
      <c r="R515" s="115"/>
      <c r="S515" s="115"/>
      <c r="T515" s="115"/>
      <c r="U515" s="115"/>
      <c r="V515" s="115"/>
      <c r="W515" s="115"/>
      <c r="X515" s="115"/>
      <c r="Y515" s="115"/>
      <c r="Z515" s="115"/>
      <c r="AA515" s="115"/>
      <c r="AB515" s="115"/>
      <c r="AI515" s="263"/>
      <c r="AJ515" s="263"/>
      <c r="AK515" s="263"/>
      <c r="AN515" s="115"/>
      <c r="AO515" s="115"/>
    </row>
    <row r="516">
      <c r="A516" s="397"/>
      <c r="B516" s="385"/>
      <c r="C516" s="385"/>
      <c r="H516" s="115"/>
      <c r="I516" s="115"/>
      <c r="J516" s="115"/>
      <c r="K516" s="115"/>
      <c r="L516" s="115"/>
      <c r="M516" s="353"/>
      <c r="N516" s="115"/>
      <c r="O516" s="115"/>
      <c r="P516" s="115"/>
      <c r="Q516" s="115"/>
      <c r="R516" s="115"/>
      <c r="S516" s="115"/>
      <c r="T516" s="115"/>
      <c r="U516" s="115"/>
      <c r="V516" s="115"/>
      <c r="W516" s="115"/>
      <c r="X516" s="115"/>
      <c r="Y516" s="115"/>
      <c r="Z516" s="115"/>
      <c r="AA516" s="115"/>
      <c r="AB516" s="115"/>
      <c r="AI516" s="263"/>
      <c r="AJ516" s="263"/>
      <c r="AK516" s="263"/>
      <c r="AN516" s="115"/>
      <c r="AO516" s="115"/>
    </row>
    <row r="517">
      <c r="A517" s="397"/>
      <c r="B517" s="385"/>
      <c r="C517" s="385"/>
      <c r="H517" s="115"/>
      <c r="I517" s="115"/>
      <c r="J517" s="115"/>
      <c r="K517" s="115"/>
      <c r="L517" s="115"/>
      <c r="M517" s="353"/>
      <c r="N517" s="115"/>
      <c r="O517" s="115"/>
      <c r="P517" s="115"/>
      <c r="Q517" s="115"/>
      <c r="R517" s="115"/>
      <c r="S517" s="115"/>
      <c r="T517" s="115"/>
      <c r="U517" s="115"/>
      <c r="V517" s="115"/>
      <c r="W517" s="115"/>
      <c r="X517" s="115"/>
      <c r="Y517" s="115"/>
      <c r="Z517" s="115"/>
      <c r="AA517" s="115"/>
      <c r="AB517" s="115"/>
      <c r="AI517" s="263"/>
      <c r="AJ517" s="263"/>
      <c r="AK517" s="263"/>
      <c r="AN517" s="115"/>
      <c r="AO517" s="115"/>
    </row>
    <row r="518">
      <c r="A518" s="397"/>
      <c r="B518" s="385"/>
      <c r="C518" s="385"/>
      <c r="H518" s="115"/>
      <c r="I518" s="115"/>
      <c r="J518" s="115"/>
      <c r="K518" s="115"/>
      <c r="L518" s="115"/>
      <c r="M518" s="353"/>
      <c r="N518" s="115"/>
      <c r="O518" s="115"/>
      <c r="P518" s="115"/>
      <c r="Q518" s="115"/>
      <c r="R518" s="115"/>
      <c r="S518" s="115"/>
      <c r="T518" s="115"/>
      <c r="U518" s="115"/>
      <c r="V518" s="115"/>
      <c r="W518" s="115"/>
      <c r="X518" s="115"/>
      <c r="Y518" s="115"/>
      <c r="Z518" s="115"/>
      <c r="AA518" s="115"/>
      <c r="AB518" s="115"/>
      <c r="AI518" s="263"/>
      <c r="AJ518" s="263"/>
      <c r="AK518" s="263"/>
      <c r="AN518" s="115"/>
      <c r="AO518" s="115"/>
    </row>
    <row r="519">
      <c r="A519" s="397"/>
      <c r="B519" s="385"/>
      <c r="C519" s="385"/>
      <c r="H519" s="115"/>
      <c r="I519" s="115"/>
      <c r="J519" s="115"/>
      <c r="K519" s="115"/>
      <c r="L519" s="115"/>
      <c r="M519" s="353"/>
      <c r="N519" s="115"/>
      <c r="O519" s="115"/>
      <c r="P519" s="115"/>
      <c r="Q519" s="115"/>
      <c r="R519" s="115"/>
      <c r="S519" s="115"/>
      <c r="T519" s="115"/>
      <c r="U519" s="115"/>
      <c r="V519" s="115"/>
      <c r="W519" s="115"/>
      <c r="X519" s="115"/>
      <c r="Y519" s="115"/>
      <c r="Z519" s="115"/>
      <c r="AA519" s="115"/>
      <c r="AB519" s="115"/>
      <c r="AI519" s="263"/>
      <c r="AJ519" s="263"/>
      <c r="AK519" s="263"/>
      <c r="AN519" s="115"/>
      <c r="AO519" s="115"/>
    </row>
    <row r="520">
      <c r="A520" s="397"/>
      <c r="B520" s="385"/>
      <c r="C520" s="385"/>
      <c r="H520" s="115"/>
      <c r="I520" s="115"/>
      <c r="J520" s="115"/>
      <c r="K520" s="115"/>
      <c r="L520" s="115"/>
      <c r="M520" s="353"/>
      <c r="N520" s="115"/>
      <c r="O520" s="115"/>
      <c r="P520" s="115"/>
      <c r="Q520" s="115"/>
      <c r="R520" s="115"/>
      <c r="S520" s="115"/>
      <c r="T520" s="115"/>
      <c r="U520" s="115"/>
      <c r="V520" s="115"/>
      <c r="W520" s="115"/>
      <c r="X520" s="115"/>
      <c r="Y520" s="115"/>
      <c r="Z520" s="115"/>
      <c r="AA520" s="115"/>
      <c r="AB520" s="115"/>
      <c r="AI520" s="263"/>
      <c r="AJ520" s="263"/>
      <c r="AK520" s="263"/>
      <c r="AN520" s="115"/>
      <c r="AO520" s="115"/>
    </row>
    <row r="521">
      <c r="A521" s="397"/>
      <c r="B521" s="385"/>
      <c r="C521" s="385"/>
      <c r="H521" s="115"/>
      <c r="I521" s="115"/>
      <c r="J521" s="115"/>
      <c r="K521" s="115"/>
      <c r="L521" s="115"/>
      <c r="M521" s="353"/>
      <c r="N521" s="115"/>
      <c r="O521" s="115"/>
      <c r="P521" s="115"/>
      <c r="Q521" s="115"/>
      <c r="R521" s="115"/>
      <c r="S521" s="115"/>
      <c r="T521" s="115"/>
      <c r="U521" s="115"/>
      <c r="V521" s="115"/>
      <c r="W521" s="115"/>
      <c r="X521" s="115"/>
      <c r="Y521" s="115"/>
      <c r="Z521" s="115"/>
      <c r="AA521" s="115"/>
      <c r="AB521" s="115"/>
      <c r="AI521" s="263"/>
      <c r="AJ521" s="263"/>
      <c r="AK521" s="263"/>
      <c r="AN521" s="115"/>
      <c r="AO521" s="115"/>
    </row>
    <row r="522">
      <c r="A522" s="397"/>
      <c r="B522" s="385"/>
      <c r="C522" s="385"/>
      <c r="H522" s="115"/>
      <c r="I522" s="115"/>
      <c r="J522" s="115"/>
      <c r="K522" s="115"/>
      <c r="L522" s="115"/>
      <c r="M522" s="353"/>
      <c r="N522" s="115"/>
      <c r="O522" s="115"/>
      <c r="P522" s="115"/>
      <c r="Q522" s="115"/>
      <c r="R522" s="115"/>
      <c r="S522" s="115"/>
      <c r="T522" s="115"/>
      <c r="U522" s="115"/>
      <c r="V522" s="115"/>
      <c r="W522" s="115"/>
      <c r="X522" s="115"/>
      <c r="Y522" s="115"/>
      <c r="Z522" s="115"/>
      <c r="AA522" s="115"/>
      <c r="AB522" s="115"/>
      <c r="AI522" s="263"/>
      <c r="AJ522" s="263"/>
      <c r="AK522" s="263"/>
      <c r="AN522" s="115"/>
      <c r="AO522" s="115"/>
    </row>
    <row r="523">
      <c r="A523" s="397"/>
      <c r="B523" s="385"/>
      <c r="C523" s="385"/>
      <c r="H523" s="115"/>
      <c r="I523" s="115"/>
      <c r="J523" s="115"/>
      <c r="K523" s="115"/>
      <c r="L523" s="115"/>
      <c r="M523" s="353"/>
      <c r="N523" s="115"/>
      <c r="O523" s="115"/>
      <c r="P523" s="115"/>
      <c r="Q523" s="115"/>
      <c r="R523" s="115"/>
      <c r="S523" s="115"/>
      <c r="T523" s="115"/>
      <c r="U523" s="115"/>
      <c r="V523" s="115"/>
      <c r="W523" s="115"/>
      <c r="X523" s="115"/>
      <c r="Y523" s="115"/>
      <c r="Z523" s="115"/>
      <c r="AA523" s="115"/>
      <c r="AB523" s="115"/>
      <c r="AI523" s="263"/>
      <c r="AJ523" s="263"/>
      <c r="AK523" s="263"/>
      <c r="AN523" s="115"/>
      <c r="AO523" s="115"/>
    </row>
    <row r="524">
      <c r="A524" s="397"/>
      <c r="B524" s="385"/>
      <c r="C524" s="385"/>
      <c r="H524" s="115"/>
      <c r="I524" s="115"/>
      <c r="J524" s="115"/>
      <c r="K524" s="115"/>
      <c r="L524" s="115"/>
      <c r="M524" s="353"/>
      <c r="N524" s="115"/>
      <c r="O524" s="115"/>
      <c r="P524" s="115"/>
      <c r="Q524" s="115"/>
      <c r="R524" s="115"/>
      <c r="S524" s="115"/>
      <c r="T524" s="115"/>
      <c r="U524" s="115"/>
      <c r="V524" s="115"/>
      <c r="W524" s="115"/>
      <c r="X524" s="115"/>
      <c r="Y524" s="115"/>
      <c r="Z524" s="115"/>
      <c r="AA524" s="115"/>
      <c r="AB524" s="115"/>
      <c r="AI524" s="263"/>
      <c r="AJ524" s="263"/>
      <c r="AK524" s="263"/>
      <c r="AN524" s="115"/>
      <c r="AO524" s="115"/>
    </row>
    <row r="525">
      <c r="A525" s="397"/>
      <c r="B525" s="385"/>
      <c r="C525" s="385"/>
      <c r="H525" s="115"/>
      <c r="I525" s="115"/>
      <c r="J525" s="115"/>
      <c r="K525" s="115"/>
      <c r="L525" s="115"/>
      <c r="M525" s="353"/>
      <c r="N525" s="115"/>
      <c r="O525" s="115"/>
      <c r="P525" s="115"/>
      <c r="Q525" s="115"/>
      <c r="R525" s="115"/>
      <c r="S525" s="115"/>
      <c r="T525" s="115"/>
      <c r="U525" s="115"/>
      <c r="V525" s="115"/>
      <c r="W525" s="115"/>
      <c r="X525" s="115"/>
      <c r="Y525" s="115"/>
      <c r="Z525" s="115"/>
      <c r="AA525" s="115"/>
      <c r="AB525" s="115"/>
      <c r="AI525" s="263"/>
      <c r="AJ525" s="263"/>
      <c r="AK525" s="263"/>
      <c r="AN525" s="115"/>
      <c r="AO525" s="115"/>
    </row>
    <row r="526">
      <c r="A526" s="397"/>
      <c r="B526" s="385"/>
      <c r="C526" s="385"/>
      <c r="H526" s="115"/>
      <c r="I526" s="115"/>
      <c r="J526" s="115"/>
      <c r="K526" s="115"/>
      <c r="L526" s="115"/>
      <c r="M526" s="353"/>
      <c r="N526" s="115"/>
      <c r="O526" s="115"/>
      <c r="P526" s="115"/>
      <c r="Q526" s="115"/>
      <c r="R526" s="115"/>
      <c r="S526" s="115"/>
      <c r="T526" s="115"/>
      <c r="U526" s="115"/>
      <c r="V526" s="115"/>
      <c r="W526" s="115"/>
      <c r="X526" s="115"/>
      <c r="Y526" s="115"/>
      <c r="Z526" s="115"/>
      <c r="AA526" s="115"/>
      <c r="AB526" s="115"/>
      <c r="AI526" s="263"/>
      <c r="AJ526" s="263"/>
      <c r="AK526" s="263"/>
      <c r="AN526" s="115"/>
      <c r="AO526" s="115"/>
    </row>
    <row r="527">
      <c r="A527" s="397"/>
      <c r="B527" s="385"/>
      <c r="C527" s="385"/>
      <c r="H527" s="115"/>
      <c r="I527" s="115"/>
      <c r="J527" s="115"/>
      <c r="K527" s="115"/>
      <c r="L527" s="115"/>
      <c r="M527" s="353"/>
      <c r="N527" s="115"/>
      <c r="O527" s="115"/>
      <c r="P527" s="115"/>
      <c r="Q527" s="115"/>
      <c r="R527" s="115"/>
      <c r="S527" s="115"/>
      <c r="T527" s="115"/>
      <c r="U527" s="115"/>
      <c r="V527" s="115"/>
      <c r="W527" s="115"/>
      <c r="X527" s="115"/>
      <c r="Y527" s="115"/>
      <c r="Z527" s="115"/>
      <c r="AA527" s="115"/>
      <c r="AB527" s="115"/>
      <c r="AI527" s="263"/>
      <c r="AJ527" s="263"/>
      <c r="AK527" s="263"/>
      <c r="AN527" s="115"/>
      <c r="AO527" s="115"/>
    </row>
    <row r="528">
      <c r="A528" s="397"/>
      <c r="B528" s="385"/>
      <c r="C528" s="385"/>
      <c r="H528" s="115"/>
      <c r="I528" s="115"/>
      <c r="J528" s="115"/>
      <c r="K528" s="115"/>
      <c r="L528" s="115"/>
      <c r="M528" s="353"/>
      <c r="N528" s="115"/>
      <c r="O528" s="115"/>
      <c r="P528" s="115"/>
      <c r="Q528" s="115"/>
      <c r="R528" s="115"/>
      <c r="S528" s="115"/>
      <c r="T528" s="115"/>
      <c r="U528" s="115"/>
      <c r="V528" s="115"/>
      <c r="W528" s="115"/>
      <c r="X528" s="115"/>
      <c r="Y528" s="115"/>
      <c r="Z528" s="115"/>
      <c r="AA528" s="115"/>
      <c r="AB528" s="115"/>
      <c r="AI528" s="263"/>
      <c r="AJ528" s="263"/>
      <c r="AK528" s="263"/>
      <c r="AN528" s="115"/>
      <c r="AO528" s="115"/>
    </row>
    <row r="529">
      <c r="A529" s="397"/>
      <c r="B529" s="385"/>
      <c r="C529" s="385"/>
      <c r="H529" s="115"/>
      <c r="I529" s="115"/>
      <c r="J529" s="115"/>
      <c r="K529" s="115"/>
      <c r="L529" s="115"/>
      <c r="M529" s="353"/>
      <c r="N529" s="115"/>
      <c r="O529" s="115"/>
      <c r="P529" s="115"/>
      <c r="Q529" s="115"/>
      <c r="R529" s="115"/>
      <c r="S529" s="115"/>
      <c r="T529" s="115"/>
      <c r="U529" s="115"/>
      <c r="V529" s="115"/>
      <c r="W529" s="115"/>
      <c r="X529" s="115"/>
      <c r="Y529" s="115"/>
      <c r="Z529" s="115"/>
      <c r="AA529" s="115"/>
      <c r="AB529" s="115"/>
      <c r="AI529" s="263"/>
      <c r="AJ529" s="263"/>
      <c r="AK529" s="263"/>
      <c r="AN529" s="115"/>
      <c r="AO529" s="115"/>
    </row>
    <row r="530">
      <c r="A530" s="397"/>
      <c r="B530" s="385"/>
      <c r="C530" s="385"/>
      <c r="H530" s="115"/>
      <c r="I530" s="115"/>
      <c r="J530" s="115"/>
      <c r="K530" s="115"/>
      <c r="L530" s="115"/>
      <c r="M530" s="353"/>
      <c r="N530" s="115"/>
      <c r="O530" s="115"/>
      <c r="P530" s="115"/>
      <c r="Q530" s="115"/>
      <c r="R530" s="115"/>
      <c r="S530" s="115"/>
      <c r="T530" s="115"/>
      <c r="U530" s="115"/>
      <c r="V530" s="115"/>
      <c r="W530" s="115"/>
      <c r="X530" s="115"/>
      <c r="Y530" s="115"/>
      <c r="Z530" s="115"/>
      <c r="AA530" s="115"/>
      <c r="AB530" s="115"/>
      <c r="AI530" s="263"/>
      <c r="AJ530" s="263"/>
      <c r="AK530" s="263"/>
      <c r="AN530" s="115"/>
      <c r="AO530" s="115"/>
    </row>
    <row r="531">
      <c r="A531" s="397"/>
      <c r="B531" s="385"/>
      <c r="C531" s="385"/>
      <c r="H531" s="115"/>
      <c r="I531" s="115"/>
      <c r="J531" s="115"/>
      <c r="K531" s="115"/>
      <c r="L531" s="115"/>
      <c r="M531" s="353"/>
      <c r="N531" s="115"/>
      <c r="O531" s="115"/>
      <c r="P531" s="115"/>
      <c r="Q531" s="115"/>
      <c r="R531" s="115"/>
      <c r="S531" s="115"/>
      <c r="T531" s="115"/>
      <c r="U531" s="115"/>
      <c r="V531" s="115"/>
      <c r="W531" s="115"/>
      <c r="X531" s="115"/>
      <c r="Y531" s="115"/>
      <c r="Z531" s="115"/>
      <c r="AA531" s="115"/>
      <c r="AB531" s="115"/>
      <c r="AI531" s="263"/>
      <c r="AJ531" s="263"/>
      <c r="AK531" s="263"/>
      <c r="AN531" s="115"/>
      <c r="AO531" s="115"/>
    </row>
    <row r="532">
      <c r="A532" s="397"/>
      <c r="B532" s="385"/>
      <c r="C532" s="385"/>
      <c r="H532" s="115"/>
      <c r="I532" s="115"/>
      <c r="J532" s="115"/>
      <c r="K532" s="115"/>
      <c r="L532" s="115"/>
      <c r="M532" s="353"/>
      <c r="N532" s="115"/>
      <c r="O532" s="115"/>
      <c r="P532" s="115"/>
      <c r="Q532" s="115"/>
      <c r="R532" s="115"/>
      <c r="S532" s="115"/>
      <c r="T532" s="115"/>
      <c r="U532" s="115"/>
      <c r="V532" s="115"/>
      <c r="W532" s="115"/>
      <c r="X532" s="115"/>
      <c r="Y532" s="115"/>
      <c r="Z532" s="115"/>
      <c r="AA532" s="115"/>
      <c r="AB532" s="115"/>
      <c r="AI532" s="263"/>
      <c r="AJ532" s="263"/>
      <c r="AK532" s="263"/>
      <c r="AN532" s="115"/>
      <c r="AO532" s="115"/>
    </row>
    <row r="533">
      <c r="A533" s="397"/>
      <c r="B533" s="385"/>
      <c r="C533" s="385"/>
      <c r="H533" s="115"/>
      <c r="I533" s="115"/>
      <c r="J533" s="115"/>
      <c r="K533" s="115"/>
      <c r="L533" s="115"/>
      <c r="M533" s="353"/>
      <c r="N533" s="115"/>
      <c r="O533" s="115"/>
      <c r="P533" s="115"/>
      <c r="Q533" s="115"/>
      <c r="R533" s="115"/>
      <c r="S533" s="115"/>
      <c r="T533" s="115"/>
      <c r="U533" s="115"/>
      <c r="V533" s="115"/>
      <c r="W533" s="115"/>
      <c r="X533" s="115"/>
      <c r="Y533" s="115"/>
      <c r="Z533" s="115"/>
      <c r="AA533" s="115"/>
      <c r="AB533" s="115"/>
      <c r="AI533" s="263"/>
      <c r="AJ533" s="263"/>
      <c r="AK533" s="263"/>
      <c r="AN533" s="115"/>
      <c r="AO533" s="115"/>
    </row>
    <row r="534">
      <c r="A534" s="397"/>
      <c r="B534" s="385"/>
      <c r="C534" s="385"/>
      <c r="H534" s="115"/>
      <c r="I534" s="115"/>
      <c r="J534" s="115"/>
      <c r="K534" s="115"/>
      <c r="L534" s="115"/>
      <c r="M534" s="353"/>
      <c r="N534" s="115"/>
      <c r="O534" s="115"/>
      <c r="P534" s="115"/>
      <c r="Q534" s="115"/>
      <c r="R534" s="115"/>
      <c r="S534" s="115"/>
      <c r="T534" s="115"/>
      <c r="U534" s="115"/>
      <c r="V534" s="115"/>
      <c r="W534" s="115"/>
      <c r="X534" s="115"/>
      <c r="Y534" s="115"/>
      <c r="Z534" s="115"/>
      <c r="AA534" s="115"/>
      <c r="AB534" s="115"/>
      <c r="AI534" s="263"/>
      <c r="AJ534" s="263"/>
      <c r="AK534" s="263"/>
      <c r="AN534" s="115"/>
      <c r="AO534" s="115"/>
    </row>
    <row r="535">
      <c r="A535" s="397"/>
      <c r="B535" s="385"/>
      <c r="C535" s="385"/>
      <c r="H535" s="115"/>
      <c r="I535" s="115"/>
      <c r="J535" s="115"/>
      <c r="K535" s="115"/>
      <c r="L535" s="115"/>
      <c r="M535" s="353"/>
      <c r="N535" s="115"/>
      <c r="O535" s="115"/>
      <c r="P535" s="115"/>
      <c r="Q535" s="115"/>
      <c r="R535" s="115"/>
      <c r="S535" s="115"/>
      <c r="T535" s="115"/>
      <c r="U535" s="115"/>
      <c r="V535" s="115"/>
      <c r="W535" s="115"/>
      <c r="X535" s="115"/>
      <c r="Y535" s="115"/>
      <c r="Z535" s="115"/>
      <c r="AA535" s="115"/>
      <c r="AB535" s="115"/>
      <c r="AI535" s="263"/>
      <c r="AJ535" s="263"/>
      <c r="AK535" s="263"/>
      <c r="AN535" s="115"/>
      <c r="AO535" s="115"/>
    </row>
    <row r="536">
      <c r="A536" s="397"/>
      <c r="B536" s="385"/>
      <c r="C536" s="385"/>
      <c r="H536" s="115"/>
      <c r="I536" s="115"/>
      <c r="J536" s="115"/>
      <c r="K536" s="115"/>
      <c r="L536" s="115"/>
      <c r="M536" s="353"/>
      <c r="N536" s="115"/>
      <c r="O536" s="115"/>
      <c r="P536" s="115"/>
      <c r="Q536" s="115"/>
      <c r="R536" s="115"/>
      <c r="S536" s="115"/>
      <c r="T536" s="115"/>
      <c r="U536" s="115"/>
      <c r="V536" s="115"/>
      <c r="W536" s="115"/>
      <c r="X536" s="115"/>
      <c r="Y536" s="115"/>
      <c r="Z536" s="115"/>
      <c r="AA536" s="115"/>
      <c r="AB536" s="115"/>
      <c r="AI536" s="263"/>
      <c r="AJ536" s="263"/>
      <c r="AK536" s="263"/>
      <c r="AN536" s="115"/>
      <c r="AO536" s="115"/>
    </row>
    <row r="537">
      <c r="A537" s="397"/>
      <c r="B537" s="385"/>
      <c r="C537" s="385"/>
      <c r="H537" s="115"/>
      <c r="I537" s="115"/>
      <c r="J537" s="115"/>
      <c r="K537" s="115"/>
      <c r="L537" s="115"/>
      <c r="M537" s="353"/>
      <c r="N537" s="115"/>
      <c r="O537" s="115"/>
      <c r="P537" s="115"/>
      <c r="Q537" s="115"/>
      <c r="R537" s="115"/>
      <c r="S537" s="115"/>
      <c r="T537" s="115"/>
      <c r="U537" s="115"/>
      <c r="V537" s="115"/>
      <c r="W537" s="115"/>
      <c r="X537" s="115"/>
      <c r="Y537" s="115"/>
      <c r="Z537" s="115"/>
      <c r="AA537" s="115"/>
      <c r="AB537" s="115"/>
      <c r="AI537" s="263"/>
      <c r="AJ537" s="263"/>
      <c r="AK537" s="263"/>
      <c r="AN537" s="115"/>
      <c r="AO537" s="115"/>
    </row>
    <row r="538">
      <c r="A538" s="397"/>
      <c r="B538" s="385"/>
      <c r="C538" s="385"/>
      <c r="H538" s="115"/>
      <c r="I538" s="115"/>
      <c r="J538" s="115"/>
      <c r="K538" s="115"/>
      <c r="L538" s="115"/>
      <c r="M538" s="353"/>
      <c r="N538" s="115"/>
      <c r="O538" s="115"/>
      <c r="P538" s="115"/>
      <c r="Q538" s="115"/>
      <c r="R538" s="115"/>
      <c r="S538" s="115"/>
      <c r="T538" s="115"/>
      <c r="U538" s="115"/>
      <c r="V538" s="115"/>
      <c r="W538" s="115"/>
      <c r="X538" s="115"/>
      <c r="Y538" s="115"/>
      <c r="Z538" s="115"/>
      <c r="AA538" s="115"/>
      <c r="AB538" s="115"/>
      <c r="AI538" s="263"/>
      <c r="AJ538" s="263"/>
      <c r="AK538" s="263"/>
      <c r="AN538" s="115"/>
      <c r="AO538" s="115"/>
    </row>
    <row r="539">
      <c r="A539" s="397"/>
      <c r="B539" s="385"/>
      <c r="C539" s="385"/>
      <c r="H539" s="115"/>
      <c r="I539" s="115"/>
      <c r="J539" s="115"/>
      <c r="K539" s="115"/>
      <c r="L539" s="115"/>
      <c r="M539" s="353"/>
      <c r="N539" s="115"/>
      <c r="O539" s="115"/>
      <c r="P539" s="115"/>
      <c r="Q539" s="115"/>
      <c r="R539" s="115"/>
      <c r="S539" s="115"/>
      <c r="T539" s="115"/>
      <c r="U539" s="115"/>
      <c r="V539" s="115"/>
      <c r="W539" s="115"/>
      <c r="X539" s="115"/>
      <c r="Y539" s="115"/>
      <c r="Z539" s="115"/>
      <c r="AA539" s="115"/>
      <c r="AB539" s="115"/>
      <c r="AI539" s="263"/>
      <c r="AJ539" s="263"/>
      <c r="AK539" s="263"/>
      <c r="AN539" s="115"/>
      <c r="AO539" s="115"/>
    </row>
    <row r="540">
      <c r="A540" s="397"/>
      <c r="B540" s="385"/>
      <c r="C540" s="385"/>
      <c r="H540" s="115"/>
      <c r="I540" s="115"/>
      <c r="J540" s="115"/>
      <c r="K540" s="115"/>
      <c r="L540" s="115"/>
      <c r="M540" s="353"/>
      <c r="N540" s="115"/>
      <c r="O540" s="115"/>
      <c r="P540" s="115"/>
      <c r="Q540" s="115"/>
      <c r="R540" s="115"/>
      <c r="S540" s="115"/>
      <c r="T540" s="115"/>
      <c r="U540" s="115"/>
      <c r="V540" s="115"/>
      <c r="W540" s="115"/>
      <c r="X540" s="115"/>
      <c r="Y540" s="115"/>
      <c r="Z540" s="115"/>
      <c r="AA540" s="115"/>
      <c r="AB540" s="115"/>
      <c r="AI540" s="263"/>
      <c r="AJ540" s="263"/>
      <c r="AK540" s="263"/>
      <c r="AN540" s="115"/>
      <c r="AO540" s="115"/>
    </row>
    <row r="541">
      <c r="A541" s="397"/>
      <c r="B541" s="385"/>
      <c r="C541" s="385"/>
      <c r="H541" s="115"/>
      <c r="I541" s="115"/>
      <c r="J541" s="115"/>
      <c r="K541" s="115"/>
      <c r="L541" s="115"/>
      <c r="M541" s="353"/>
      <c r="N541" s="115"/>
      <c r="O541" s="115"/>
      <c r="P541" s="115"/>
      <c r="Q541" s="115"/>
      <c r="R541" s="115"/>
      <c r="S541" s="115"/>
      <c r="T541" s="115"/>
      <c r="U541" s="115"/>
      <c r="V541" s="115"/>
      <c r="W541" s="115"/>
      <c r="X541" s="115"/>
      <c r="Y541" s="115"/>
      <c r="Z541" s="115"/>
      <c r="AA541" s="115"/>
      <c r="AB541" s="115"/>
      <c r="AI541" s="263"/>
      <c r="AJ541" s="263"/>
      <c r="AK541" s="263"/>
      <c r="AN541" s="115"/>
      <c r="AO541" s="115"/>
    </row>
    <row r="542">
      <c r="A542" s="397"/>
      <c r="B542" s="385"/>
      <c r="C542" s="385"/>
      <c r="H542" s="115"/>
      <c r="I542" s="115"/>
      <c r="J542" s="115"/>
      <c r="K542" s="115"/>
      <c r="L542" s="115"/>
      <c r="M542" s="353"/>
      <c r="N542" s="115"/>
      <c r="O542" s="115"/>
      <c r="P542" s="115"/>
      <c r="Q542" s="115"/>
      <c r="R542" s="115"/>
      <c r="S542" s="115"/>
      <c r="T542" s="115"/>
      <c r="U542" s="115"/>
      <c r="V542" s="115"/>
      <c r="W542" s="115"/>
      <c r="X542" s="115"/>
      <c r="Y542" s="115"/>
      <c r="Z542" s="115"/>
      <c r="AA542" s="115"/>
      <c r="AB542" s="115"/>
      <c r="AI542" s="263"/>
      <c r="AJ542" s="263"/>
      <c r="AK542" s="263"/>
      <c r="AN542" s="115"/>
      <c r="AO542" s="115"/>
    </row>
    <row r="543">
      <c r="A543" s="397"/>
      <c r="B543" s="385"/>
      <c r="C543" s="385"/>
      <c r="H543" s="115"/>
      <c r="I543" s="115"/>
      <c r="J543" s="115"/>
      <c r="K543" s="115"/>
      <c r="L543" s="115"/>
      <c r="M543" s="353"/>
      <c r="N543" s="115"/>
      <c r="O543" s="115"/>
      <c r="P543" s="115"/>
      <c r="Q543" s="115"/>
      <c r="R543" s="115"/>
      <c r="S543" s="115"/>
      <c r="T543" s="115"/>
      <c r="U543" s="115"/>
      <c r="V543" s="115"/>
      <c r="W543" s="115"/>
      <c r="X543" s="115"/>
      <c r="Y543" s="115"/>
      <c r="Z543" s="115"/>
      <c r="AA543" s="115"/>
      <c r="AB543" s="115"/>
      <c r="AI543" s="263"/>
      <c r="AJ543" s="263"/>
      <c r="AK543" s="263"/>
      <c r="AN543" s="115"/>
      <c r="AO543" s="115"/>
    </row>
    <row r="544">
      <c r="A544" s="397"/>
      <c r="B544" s="385"/>
      <c r="C544" s="385"/>
      <c r="H544" s="115"/>
      <c r="I544" s="115"/>
      <c r="J544" s="115"/>
      <c r="K544" s="115"/>
      <c r="L544" s="115"/>
      <c r="M544" s="353"/>
      <c r="N544" s="115"/>
      <c r="O544" s="115"/>
      <c r="P544" s="115"/>
      <c r="Q544" s="115"/>
      <c r="R544" s="115"/>
      <c r="S544" s="115"/>
      <c r="T544" s="115"/>
      <c r="U544" s="115"/>
      <c r="V544" s="115"/>
      <c r="W544" s="115"/>
      <c r="X544" s="115"/>
      <c r="Y544" s="115"/>
      <c r="Z544" s="115"/>
      <c r="AA544" s="115"/>
      <c r="AB544" s="115"/>
      <c r="AI544" s="263"/>
      <c r="AJ544" s="263"/>
      <c r="AK544" s="263"/>
      <c r="AN544" s="115"/>
      <c r="AO544" s="115"/>
    </row>
    <row r="545">
      <c r="A545" s="397"/>
      <c r="B545" s="385"/>
      <c r="C545" s="385"/>
      <c r="H545" s="115"/>
      <c r="I545" s="115"/>
      <c r="J545" s="115"/>
      <c r="K545" s="115"/>
      <c r="L545" s="115"/>
      <c r="M545" s="353"/>
      <c r="N545" s="115"/>
      <c r="O545" s="115"/>
      <c r="P545" s="115"/>
      <c r="Q545" s="115"/>
      <c r="R545" s="115"/>
      <c r="S545" s="115"/>
      <c r="T545" s="115"/>
      <c r="U545" s="115"/>
      <c r="V545" s="115"/>
      <c r="W545" s="115"/>
      <c r="X545" s="115"/>
      <c r="Y545" s="115"/>
      <c r="Z545" s="115"/>
      <c r="AA545" s="115"/>
      <c r="AB545" s="115"/>
      <c r="AI545" s="263"/>
      <c r="AJ545" s="263"/>
      <c r="AK545" s="263"/>
      <c r="AN545" s="115"/>
      <c r="AO545" s="115"/>
    </row>
    <row r="546">
      <c r="A546" s="397"/>
      <c r="B546" s="385"/>
      <c r="C546" s="385"/>
      <c r="H546" s="115"/>
      <c r="I546" s="115"/>
      <c r="J546" s="115"/>
      <c r="K546" s="115"/>
      <c r="L546" s="115"/>
      <c r="M546" s="353"/>
      <c r="N546" s="115"/>
      <c r="O546" s="115"/>
      <c r="P546" s="115"/>
      <c r="Q546" s="115"/>
      <c r="R546" s="115"/>
      <c r="S546" s="115"/>
      <c r="T546" s="115"/>
      <c r="U546" s="115"/>
      <c r="V546" s="115"/>
      <c r="W546" s="115"/>
      <c r="X546" s="115"/>
      <c r="Y546" s="115"/>
      <c r="Z546" s="115"/>
      <c r="AA546" s="115"/>
      <c r="AB546" s="115"/>
      <c r="AI546" s="263"/>
      <c r="AJ546" s="263"/>
      <c r="AK546" s="263"/>
      <c r="AN546" s="115"/>
      <c r="AO546" s="115"/>
    </row>
    <row r="547">
      <c r="A547" s="397"/>
      <c r="B547" s="385"/>
      <c r="C547" s="385"/>
      <c r="H547" s="115"/>
      <c r="I547" s="115"/>
      <c r="J547" s="115"/>
      <c r="K547" s="115"/>
      <c r="L547" s="115"/>
      <c r="M547" s="353"/>
      <c r="N547" s="115"/>
      <c r="O547" s="115"/>
      <c r="P547" s="115"/>
      <c r="Q547" s="115"/>
      <c r="R547" s="115"/>
      <c r="S547" s="115"/>
      <c r="T547" s="115"/>
      <c r="U547" s="115"/>
      <c r="V547" s="115"/>
      <c r="W547" s="115"/>
      <c r="X547" s="115"/>
      <c r="Y547" s="115"/>
      <c r="Z547" s="115"/>
      <c r="AA547" s="115"/>
      <c r="AB547" s="115"/>
      <c r="AI547" s="263"/>
      <c r="AJ547" s="263"/>
      <c r="AK547" s="263"/>
      <c r="AN547" s="115"/>
      <c r="AO547" s="115"/>
    </row>
    <row r="548">
      <c r="A548" s="397"/>
      <c r="B548" s="385"/>
      <c r="C548" s="385"/>
      <c r="H548" s="115"/>
      <c r="I548" s="115"/>
      <c r="J548" s="115"/>
      <c r="K548" s="115"/>
      <c r="L548" s="115"/>
      <c r="M548" s="353"/>
      <c r="N548" s="115"/>
      <c r="O548" s="115"/>
      <c r="P548" s="115"/>
      <c r="Q548" s="115"/>
      <c r="R548" s="115"/>
      <c r="S548" s="115"/>
      <c r="T548" s="115"/>
      <c r="U548" s="115"/>
      <c r="V548" s="115"/>
      <c r="W548" s="115"/>
      <c r="X548" s="115"/>
      <c r="Y548" s="115"/>
      <c r="Z548" s="115"/>
      <c r="AA548" s="115"/>
      <c r="AB548" s="115"/>
      <c r="AI548" s="263"/>
      <c r="AJ548" s="263"/>
      <c r="AK548" s="263"/>
      <c r="AN548" s="115"/>
      <c r="AO548" s="115"/>
    </row>
    <row r="549">
      <c r="A549" s="397"/>
      <c r="B549" s="385"/>
      <c r="C549" s="385"/>
      <c r="H549" s="115"/>
      <c r="I549" s="115"/>
      <c r="J549" s="115"/>
      <c r="K549" s="115"/>
      <c r="L549" s="115"/>
      <c r="M549" s="353"/>
      <c r="N549" s="115"/>
      <c r="O549" s="115"/>
      <c r="P549" s="115"/>
      <c r="Q549" s="115"/>
      <c r="R549" s="115"/>
      <c r="S549" s="115"/>
      <c r="T549" s="115"/>
      <c r="U549" s="115"/>
      <c r="V549" s="115"/>
      <c r="W549" s="115"/>
      <c r="X549" s="115"/>
      <c r="Y549" s="115"/>
      <c r="Z549" s="115"/>
      <c r="AA549" s="115"/>
      <c r="AB549" s="115"/>
      <c r="AI549" s="263"/>
      <c r="AJ549" s="263"/>
      <c r="AK549" s="263"/>
      <c r="AN549" s="115"/>
      <c r="AO549" s="115"/>
    </row>
    <row r="550">
      <c r="A550" s="397"/>
      <c r="B550" s="385"/>
      <c r="C550" s="385"/>
      <c r="H550" s="115"/>
      <c r="I550" s="115"/>
      <c r="J550" s="115"/>
      <c r="K550" s="115"/>
      <c r="L550" s="115"/>
      <c r="M550" s="353"/>
      <c r="N550" s="115"/>
      <c r="O550" s="115"/>
      <c r="P550" s="115"/>
      <c r="Q550" s="115"/>
      <c r="R550" s="115"/>
      <c r="S550" s="115"/>
      <c r="T550" s="115"/>
      <c r="U550" s="115"/>
      <c r="V550" s="115"/>
      <c r="W550" s="115"/>
      <c r="X550" s="115"/>
      <c r="Y550" s="115"/>
      <c r="Z550" s="115"/>
      <c r="AA550" s="115"/>
      <c r="AB550" s="115"/>
      <c r="AI550" s="263"/>
      <c r="AJ550" s="263"/>
      <c r="AK550" s="263"/>
      <c r="AN550" s="115"/>
      <c r="AO550" s="115"/>
    </row>
    <row r="551">
      <c r="A551" s="397"/>
      <c r="B551" s="385"/>
      <c r="C551" s="385"/>
      <c r="H551" s="115"/>
      <c r="I551" s="115"/>
      <c r="J551" s="115"/>
      <c r="K551" s="115"/>
      <c r="L551" s="115"/>
      <c r="M551" s="353"/>
      <c r="N551" s="115"/>
      <c r="O551" s="115"/>
      <c r="P551" s="115"/>
      <c r="Q551" s="115"/>
      <c r="R551" s="115"/>
      <c r="S551" s="115"/>
      <c r="T551" s="115"/>
      <c r="U551" s="115"/>
      <c r="V551" s="115"/>
      <c r="W551" s="115"/>
      <c r="X551" s="115"/>
      <c r="Y551" s="115"/>
      <c r="Z551" s="115"/>
      <c r="AA551" s="115"/>
      <c r="AB551" s="115"/>
      <c r="AI551" s="263"/>
      <c r="AJ551" s="263"/>
      <c r="AK551" s="263"/>
      <c r="AN551" s="115"/>
      <c r="AO551" s="115"/>
    </row>
    <row r="552">
      <c r="A552" s="397"/>
      <c r="B552" s="385"/>
      <c r="C552" s="385"/>
      <c r="H552" s="115"/>
      <c r="I552" s="115"/>
      <c r="J552" s="115"/>
      <c r="K552" s="115"/>
      <c r="L552" s="115"/>
      <c r="M552" s="353"/>
      <c r="N552" s="115"/>
      <c r="O552" s="115"/>
      <c r="P552" s="115"/>
      <c r="Q552" s="115"/>
      <c r="R552" s="115"/>
      <c r="S552" s="115"/>
      <c r="T552" s="115"/>
      <c r="U552" s="115"/>
      <c r="V552" s="115"/>
      <c r="W552" s="115"/>
      <c r="X552" s="115"/>
      <c r="Y552" s="115"/>
      <c r="Z552" s="115"/>
      <c r="AA552" s="115"/>
      <c r="AB552" s="115"/>
      <c r="AI552" s="263"/>
      <c r="AJ552" s="263"/>
      <c r="AK552" s="263"/>
      <c r="AN552" s="115"/>
      <c r="AO552" s="115"/>
    </row>
    <row r="553">
      <c r="A553" s="397"/>
      <c r="B553" s="385"/>
      <c r="C553" s="385"/>
      <c r="H553" s="115"/>
      <c r="I553" s="115"/>
      <c r="J553" s="115"/>
      <c r="K553" s="115"/>
      <c r="L553" s="115"/>
      <c r="M553" s="353"/>
      <c r="N553" s="115"/>
      <c r="O553" s="115"/>
      <c r="P553" s="115"/>
      <c r="Q553" s="115"/>
      <c r="R553" s="115"/>
      <c r="S553" s="115"/>
      <c r="T553" s="115"/>
      <c r="U553" s="115"/>
      <c r="V553" s="115"/>
      <c r="W553" s="115"/>
      <c r="X553" s="115"/>
      <c r="Y553" s="115"/>
      <c r="Z553" s="115"/>
      <c r="AA553" s="115"/>
      <c r="AB553" s="115"/>
      <c r="AI553" s="263"/>
      <c r="AJ553" s="263"/>
      <c r="AK553" s="263"/>
      <c r="AN553" s="115"/>
      <c r="AO553" s="115"/>
    </row>
    <row r="554">
      <c r="A554" s="397"/>
      <c r="B554" s="385"/>
      <c r="C554" s="385"/>
      <c r="H554" s="115"/>
      <c r="I554" s="115"/>
      <c r="J554" s="115"/>
      <c r="K554" s="115"/>
      <c r="L554" s="115"/>
      <c r="M554" s="353"/>
      <c r="N554" s="115"/>
      <c r="O554" s="115"/>
      <c r="P554" s="115"/>
      <c r="Q554" s="115"/>
      <c r="R554" s="115"/>
      <c r="S554" s="115"/>
      <c r="T554" s="115"/>
      <c r="U554" s="115"/>
      <c r="V554" s="115"/>
      <c r="W554" s="115"/>
      <c r="X554" s="115"/>
      <c r="Y554" s="115"/>
      <c r="Z554" s="115"/>
      <c r="AA554" s="115"/>
      <c r="AB554" s="115"/>
      <c r="AI554" s="263"/>
      <c r="AJ554" s="263"/>
      <c r="AK554" s="263"/>
      <c r="AN554" s="115"/>
      <c r="AO554" s="115"/>
    </row>
    <row r="555">
      <c r="A555" s="397"/>
      <c r="B555" s="385"/>
      <c r="C555" s="385"/>
      <c r="H555" s="115"/>
      <c r="I555" s="115"/>
      <c r="J555" s="115"/>
      <c r="K555" s="115"/>
      <c r="L555" s="115"/>
      <c r="M555" s="353"/>
      <c r="N555" s="115"/>
      <c r="O555" s="115"/>
      <c r="P555" s="115"/>
      <c r="Q555" s="115"/>
      <c r="R555" s="115"/>
      <c r="S555" s="115"/>
      <c r="T555" s="115"/>
      <c r="U555" s="115"/>
      <c r="V555" s="115"/>
      <c r="W555" s="115"/>
      <c r="X555" s="115"/>
      <c r="Y555" s="115"/>
      <c r="Z555" s="115"/>
      <c r="AA555" s="115"/>
      <c r="AB555" s="115"/>
      <c r="AI555" s="263"/>
      <c r="AJ555" s="263"/>
      <c r="AK555" s="263"/>
      <c r="AN555" s="115"/>
      <c r="AO555" s="115"/>
    </row>
    <row r="556">
      <c r="A556" s="397"/>
      <c r="B556" s="385"/>
      <c r="C556" s="385"/>
      <c r="H556" s="115"/>
      <c r="I556" s="115"/>
      <c r="J556" s="115"/>
      <c r="K556" s="115"/>
      <c r="L556" s="115"/>
      <c r="M556" s="353"/>
      <c r="N556" s="115"/>
      <c r="O556" s="115"/>
      <c r="P556" s="115"/>
      <c r="Q556" s="115"/>
      <c r="R556" s="115"/>
      <c r="S556" s="115"/>
      <c r="T556" s="115"/>
      <c r="U556" s="115"/>
      <c r="V556" s="115"/>
      <c r="W556" s="115"/>
      <c r="X556" s="115"/>
      <c r="Y556" s="115"/>
      <c r="Z556" s="115"/>
      <c r="AA556" s="115"/>
      <c r="AB556" s="115"/>
      <c r="AI556" s="263"/>
      <c r="AJ556" s="263"/>
      <c r="AK556" s="263"/>
      <c r="AN556" s="115"/>
      <c r="AO556" s="115"/>
    </row>
    <row r="557">
      <c r="A557" s="397"/>
      <c r="B557" s="385"/>
      <c r="C557" s="385"/>
      <c r="H557" s="115"/>
      <c r="I557" s="115"/>
      <c r="J557" s="115"/>
      <c r="K557" s="115"/>
      <c r="L557" s="115"/>
      <c r="M557" s="353"/>
      <c r="N557" s="115"/>
      <c r="O557" s="115"/>
      <c r="P557" s="115"/>
      <c r="Q557" s="115"/>
      <c r="R557" s="115"/>
      <c r="S557" s="115"/>
      <c r="T557" s="115"/>
      <c r="U557" s="115"/>
      <c r="V557" s="115"/>
      <c r="W557" s="115"/>
      <c r="X557" s="115"/>
      <c r="Y557" s="115"/>
      <c r="Z557" s="115"/>
      <c r="AA557" s="115"/>
      <c r="AB557" s="115"/>
      <c r="AI557" s="263"/>
      <c r="AJ557" s="263"/>
      <c r="AK557" s="263"/>
      <c r="AN557" s="115"/>
      <c r="AO557" s="115"/>
    </row>
    <row r="558">
      <c r="A558" s="397"/>
      <c r="B558" s="385"/>
      <c r="C558" s="385"/>
      <c r="H558" s="115"/>
      <c r="I558" s="115"/>
      <c r="J558" s="115"/>
      <c r="K558" s="115"/>
      <c r="L558" s="115"/>
      <c r="M558" s="353"/>
      <c r="N558" s="115"/>
      <c r="O558" s="115"/>
      <c r="P558" s="115"/>
      <c r="Q558" s="115"/>
      <c r="R558" s="115"/>
      <c r="S558" s="115"/>
      <c r="T558" s="115"/>
      <c r="U558" s="115"/>
      <c r="V558" s="115"/>
      <c r="W558" s="115"/>
      <c r="X558" s="115"/>
      <c r="Y558" s="115"/>
      <c r="Z558" s="115"/>
      <c r="AA558" s="115"/>
      <c r="AB558" s="115"/>
      <c r="AI558" s="263"/>
      <c r="AJ558" s="263"/>
      <c r="AK558" s="263"/>
      <c r="AN558" s="115"/>
      <c r="AO558" s="115"/>
    </row>
    <row r="559">
      <c r="A559" s="397"/>
      <c r="B559" s="385"/>
      <c r="C559" s="385"/>
      <c r="H559" s="115"/>
      <c r="I559" s="115"/>
      <c r="J559" s="115"/>
      <c r="K559" s="115"/>
      <c r="L559" s="115"/>
      <c r="M559" s="353"/>
      <c r="N559" s="115"/>
      <c r="O559" s="115"/>
      <c r="P559" s="115"/>
      <c r="Q559" s="115"/>
      <c r="R559" s="115"/>
      <c r="S559" s="115"/>
      <c r="T559" s="115"/>
      <c r="U559" s="115"/>
      <c r="V559" s="115"/>
      <c r="W559" s="115"/>
      <c r="X559" s="115"/>
      <c r="Y559" s="115"/>
      <c r="Z559" s="115"/>
      <c r="AA559" s="115"/>
      <c r="AB559" s="115"/>
      <c r="AI559" s="263"/>
      <c r="AJ559" s="263"/>
      <c r="AK559" s="263"/>
      <c r="AN559" s="115"/>
      <c r="AO559" s="115"/>
    </row>
    <row r="560">
      <c r="A560" s="397"/>
      <c r="B560" s="385"/>
      <c r="C560" s="385"/>
      <c r="H560" s="115"/>
      <c r="I560" s="115"/>
      <c r="J560" s="115"/>
      <c r="K560" s="115"/>
      <c r="L560" s="115"/>
      <c r="M560" s="353"/>
      <c r="N560" s="115"/>
      <c r="O560" s="115"/>
      <c r="P560" s="115"/>
      <c r="Q560" s="115"/>
      <c r="R560" s="115"/>
      <c r="S560" s="115"/>
      <c r="T560" s="115"/>
      <c r="U560" s="115"/>
      <c r="V560" s="115"/>
      <c r="W560" s="115"/>
      <c r="X560" s="115"/>
      <c r="Y560" s="115"/>
      <c r="Z560" s="115"/>
      <c r="AA560" s="115"/>
      <c r="AB560" s="115"/>
      <c r="AI560" s="263"/>
      <c r="AJ560" s="263"/>
      <c r="AK560" s="263"/>
      <c r="AN560" s="115"/>
      <c r="AO560" s="115"/>
    </row>
    <row r="561">
      <c r="A561" s="397"/>
      <c r="B561" s="385"/>
      <c r="C561" s="385"/>
      <c r="H561" s="115"/>
      <c r="I561" s="115"/>
      <c r="J561" s="115"/>
      <c r="K561" s="115"/>
      <c r="L561" s="115"/>
      <c r="M561" s="353"/>
      <c r="N561" s="115"/>
      <c r="O561" s="115"/>
      <c r="P561" s="115"/>
      <c r="Q561" s="115"/>
      <c r="R561" s="115"/>
      <c r="S561" s="115"/>
      <c r="T561" s="115"/>
      <c r="U561" s="115"/>
      <c r="V561" s="115"/>
      <c r="W561" s="115"/>
      <c r="X561" s="115"/>
      <c r="Y561" s="115"/>
      <c r="Z561" s="115"/>
      <c r="AA561" s="115"/>
      <c r="AB561" s="115"/>
      <c r="AI561" s="263"/>
      <c r="AJ561" s="263"/>
      <c r="AK561" s="263"/>
      <c r="AN561" s="115"/>
      <c r="AO561" s="115"/>
    </row>
    <row r="562">
      <c r="A562" s="397"/>
      <c r="B562" s="385"/>
      <c r="C562" s="385"/>
      <c r="H562" s="115"/>
      <c r="I562" s="115"/>
      <c r="J562" s="115"/>
      <c r="K562" s="115"/>
      <c r="L562" s="115"/>
      <c r="M562" s="353"/>
      <c r="N562" s="115"/>
      <c r="O562" s="115"/>
      <c r="P562" s="115"/>
      <c r="Q562" s="115"/>
      <c r="R562" s="115"/>
      <c r="S562" s="115"/>
      <c r="T562" s="115"/>
      <c r="U562" s="115"/>
      <c r="V562" s="115"/>
      <c r="W562" s="115"/>
      <c r="X562" s="115"/>
      <c r="Y562" s="115"/>
      <c r="Z562" s="115"/>
      <c r="AA562" s="115"/>
      <c r="AB562" s="115"/>
      <c r="AI562" s="263"/>
      <c r="AJ562" s="263"/>
      <c r="AK562" s="263"/>
      <c r="AN562" s="115"/>
      <c r="AO562" s="115"/>
    </row>
    <row r="563">
      <c r="A563" s="397"/>
      <c r="B563" s="385"/>
      <c r="C563" s="385"/>
      <c r="H563" s="115"/>
      <c r="I563" s="115"/>
      <c r="J563" s="115"/>
      <c r="K563" s="115"/>
      <c r="L563" s="115"/>
      <c r="M563" s="353"/>
      <c r="N563" s="115"/>
      <c r="O563" s="115"/>
      <c r="P563" s="115"/>
      <c r="Q563" s="115"/>
      <c r="R563" s="115"/>
      <c r="S563" s="115"/>
      <c r="T563" s="115"/>
      <c r="U563" s="115"/>
      <c r="V563" s="115"/>
      <c r="W563" s="115"/>
      <c r="X563" s="115"/>
      <c r="Y563" s="115"/>
      <c r="Z563" s="115"/>
      <c r="AA563" s="115"/>
      <c r="AB563" s="115"/>
      <c r="AI563" s="263"/>
      <c r="AJ563" s="263"/>
      <c r="AK563" s="263"/>
      <c r="AN563" s="115"/>
      <c r="AO563" s="115"/>
    </row>
    <row r="564">
      <c r="A564" s="397"/>
      <c r="B564" s="385"/>
      <c r="C564" s="385"/>
      <c r="H564" s="115"/>
      <c r="I564" s="115"/>
      <c r="J564" s="115"/>
      <c r="K564" s="115"/>
      <c r="L564" s="115"/>
      <c r="M564" s="353"/>
      <c r="N564" s="115"/>
      <c r="O564" s="115"/>
      <c r="P564" s="115"/>
      <c r="Q564" s="115"/>
      <c r="R564" s="115"/>
      <c r="S564" s="115"/>
      <c r="T564" s="115"/>
      <c r="U564" s="115"/>
      <c r="V564" s="115"/>
      <c r="W564" s="115"/>
      <c r="X564" s="115"/>
      <c r="Y564" s="115"/>
      <c r="Z564" s="115"/>
      <c r="AA564" s="115"/>
      <c r="AB564" s="115"/>
      <c r="AI564" s="263"/>
      <c r="AJ564" s="263"/>
      <c r="AK564" s="263"/>
      <c r="AN564" s="115"/>
      <c r="AO564" s="115"/>
    </row>
    <row r="565">
      <c r="A565" s="397"/>
      <c r="B565" s="385"/>
      <c r="C565" s="385"/>
      <c r="H565" s="115"/>
      <c r="I565" s="115"/>
      <c r="J565" s="115"/>
      <c r="K565" s="115"/>
      <c r="L565" s="115"/>
      <c r="M565" s="353"/>
      <c r="N565" s="115"/>
      <c r="O565" s="115"/>
      <c r="P565" s="115"/>
      <c r="Q565" s="115"/>
      <c r="R565" s="115"/>
      <c r="S565" s="115"/>
      <c r="T565" s="115"/>
      <c r="U565" s="115"/>
      <c r="V565" s="115"/>
      <c r="W565" s="115"/>
      <c r="X565" s="115"/>
      <c r="Y565" s="115"/>
      <c r="Z565" s="115"/>
      <c r="AA565" s="115"/>
      <c r="AB565" s="115"/>
      <c r="AI565" s="263"/>
      <c r="AJ565" s="263"/>
      <c r="AK565" s="263"/>
      <c r="AN565" s="115"/>
      <c r="AO565" s="115"/>
    </row>
    <row r="566">
      <c r="A566" s="397"/>
      <c r="B566" s="385"/>
      <c r="C566" s="385"/>
      <c r="H566" s="115"/>
      <c r="I566" s="115"/>
      <c r="J566" s="115"/>
      <c r="K566" s="115"/>
      <c r="L566" s="115"/>
      <c r="M566" s="353"/>
      <c r="N566" s="115"/>
      <c r="O566" s="115"/>
      <c r="P566" s="115"/>
      <c r="Q566" s="115"/>
      <c r="R566" s="115"/>
      <c r="S566" s="115"/>
      <c r="T566" s="115"/>
      <c r="U566" s="115"/>
      <c r="V566" s="115"/>
      <c r="W566" s="115"/>
      <c r="X566" s="115"/>
      <c r="Y566" s="115"/>
      <c r="Z566" s="115"/>
      <c r="AA566" s="115"/>
      <c r="AB566" s="115"/>
      <c r="AI566" s="263"/>
      <c r="AJ566" s="263"/>
      <c r="AK566" s="263"/>
      <c r="AN566" s="115"/>
      <c r="AO566" s="115"/>
    </row>
    <row r="567">
      <c r="A567" s="397"/>
      <c r="B567" s="385"/>
      <c r="C567" s="385"/>
      <c r="H567" s="115"/>
      <c r="I567" s="115"/>
      <c r="J567" s="115"/>
      <c r="K567" s="115"/>
      <c r="L567" s="115"/>
      <c r="M567" s="353"/>
      <c r="N567" s="115"/>
      <c r="O567" s="115"/>
      <c r="P567" s="115"/>
      <c r="Q567" s="115"/>
      <c r="R567" s="115"/>
      <c r="S567" s="115"/>
      <c r="T567" s="115"/>
      <c r="U567" s="115"/>
      <c r="V567" s="115"/>
      <c r="W567" s="115"/>
      <c r="X567" s="115"/>
      <c r="Y567" s="115"/>
      <c r="Z567" s="115"/>
      <c r="AA567" s="115"/>
      <c r="AB567" s="115"/>
      <c r="AI567" s="263"/>
      <c r="AJ567" s="263"/>
      <c r="AK567" s="263"/>
      <c r="AN567" s="115"/>
      <c r="AO567" s="115"/>
    </row>
    <row r="568">
      <c r="A568" s="397"/>
      <c r="B568" s="385"/>
      <c r="C568" s="385"/>
      <c r="H568" s="115"/>
      <c r="I568" s="115"/>
      <c r="J568" s="115"/>
      <c r="K568" s="115"/>
      <c r="L568" s="115"/>
      <c r="M568" s="353"/>
      <c r="N568" s="115"/>
      <c r="O568" s="115"/>
      <c r="P568" s="115"/>
      <c r="Q568" s="115"/>
      <c r="R568" s="115"/>
      <c r="S568" s="115"/>
      <c r="T568" s="115"/>
      <c r="U568" s="115"/>
      <c r="V568" s="115"/>
      <c r="W568" s="115"/>
      <c r="X568" s="115"/>
      <c r="Y568" s="115"/>
      <c r="Z568" s="115"/>
      <c r="AA568" s="115"/>
      <c r="AB568" s="115"/>
      <c r="AI568" s="263"/>
      <c r="AJ568" s="263"/>
      <c r="AK568" s="263"/>
      <c r="AN568" s="115"/>
      <c r="AO568" s="115"/>
    </row>
    <row r="569">
      <c r="A569" s="397"/>
      <c r="B569" s="385"/>
      <c r="C569" s="385"/>
      <c r="H569" s="115"/>
      <c r="I569" s="115"/>
      <c r="J569" s="115"/>
      <c r="K569" s="115"/>
      <c r="L569" s="115"/>
      <c r="M569" s="353"/>
      <c r="N569" s="115"/>
      <c r="O569" s="115"/>
      <c r="P569" s="115"/>
      <c r="Q569" s="115"/>
      <c r="R569" s="115"/>
      <c r="S569" s="115"/>
      <c r="T569" s="115"/>
      <c r="U569" s="115"/>
      <c r="V569" s="115"/>
      <c r="W569" s="115"/>
      <c r="X569" s="115"/>
      <c r="Y569" s="115"/>
      <c r="Z569" s="115"/>
      <c r="AA569" s="115"/>
      <c r="AB569" s="115"/>
      <c r="AI569" s="263"/>
      <c r="AJ569" s="263"/>
      <c r="AK569" s="263"/>
      <c r="AN569" s="115"/>
      <c r="AO569" s="115"/>
    </row>
    <row r="570">
      <c r="A570" s="397"/>
      <c r="B570" s="385"/>
      <c r="C570" s="385"/>
      <c r="H570" s="115"/>
      <c r="I570" s="115"/>
      <c r="J570" s="115"/>
      <c r="K570" s="115"/>
      <c r="L570" s="115"/>
      <c r="M570" s="353"/>
      <c r="N570" s="115"/>
      <c r="O570" s="115"/>
      <c r="P570" s="115"/>
      <c r="Q570" s="115"/>
      <c r="R570" s="115"/>
      <c r="S570" s="115"/>
      <c r="T570" s="115"/>
      <c r="U570" s="115"/>
      <c r="V570" s="115"/>
      <c r="W570" s="115"/>
      <c r="X570" s="115"/>
      <c r="Y570" s="115"/>
      <c r="Z570" s="115"/>
      <c r="AA570" s="115"/>
      <c r="AB570" s="115"/>
      <c r="AI570" s="263"/>
      <c r="AJ570" s="263"/>
      <c r="AK570" s="263"/>
      <c r="AN570" s="115"/>
      <c r="AO570" s="115"/>
    </row>
    <row r="571">
      <c r="A571" s="397"/>
      <c r="B571" s="385"/>
      <c r="C571" s="385"/>
      <c r="H571" s="115"/>
      <c r="I571" s="115"/>
      <c r="J571" s="115"/>
      <c r="K571" s="115"/>
      <c r="L571" s="115"/>
      <c r="M571" s="353"/>
      <c r="N571" s="115"/>
      <c r="O571" s="115"/>
      <c r="P571" s="115"/>
      <c r="Q571" s="115"/>
      <c r="R571" s="115"/>
      <c r="S571" s="115"/>
      <c r="T571" s="115"/>
      <c r="U571" s="115"/>
      <c r="V571" s="115"/>
      <c r="W571" s="115"/>
      <c r="X571" s="115"/>
      <c r="Y571" s="115"/>
      <c r="Z571" s="115"/>
      <c r="AA571" s="115"/>
      <c r="AB571" s="115"/>
      <c r="AI571" s="263"/>
      <c r="AJ571" s="263"/>
      <c r="AK571" s="263"/>
      <c r="AN571" s="115"/>
      <c r="AO571" s="115"/>
    </row>
    <row r="572">
      <c r="A572" s="397"/>
      <c r="B572" s="385"/>
      <c r="C572" s="385"/>
      <c r="H572" s="115"/>
      <c r="I572" s="115"/>
      <c r="J572" s="115"/>
      <c r="K572" s="115"/>
      <c r="L572" s="115"/>
      <c r="M572" s="353"/>
      <c r="N572" s="115"/>
      <c r="O572" s="115"/>
      <c r="P572" s="115"/>
      <c r="Q572" s="115"/>
      <c r="R572" s="115"/>
      <c r="S572" s="115"/>
      <c r="T572" s="115"/>
      <c r="U572" s="115"/>
      <c r="V572" s="115"/>
      <c r="W572" s="115"/>
      <c r="X572" s="115"/>
      <c r="Y572" s="115"/>
      <c r="Z572" s="115"/>
      <c r="AA572" s="115"/>
      <c r="AB572" s="115"/>
      <c r="AI572" s="263"/>
      <c r="AJ572" s="263"/>
      <c r="AK572" s="263"/>
      <c r="AN572" s="115"/>
      <c r="AO572" s="115"/>
    </row>
    <row r="573">
      <c r="A573" s="397"/>
      <c r="B573" s="385"/>
      <c r="C573" s="385"/>
      <c r="H573" s="115"/>
      <c r="I573" s="115"/>
      <c r="J573" s="115"/>
      <c r="K573" s="115"/>
      <c r="L573" s="115"/>
      <c r="M573" s="353"/>
      <c r="N573" s="115"/>
      <c r="O573" s="115"/>
      <c r="P573" s="115"/>
      <c r="Q573" s="115"/>
      <c r="R573" s="115"/>
      <c r="S573" s="115"/>
      <c r="T573" s="115"/>
      <c r="U573" s="115"/>
      <c r="V573" s="115"/>
      <c r="W573" s="115"/>
      <c r="X573" s="115"/>
      <c r="Y573" s="115"/>
      <c r="Z573" s="115"/>
      <c r="AA573" s="115"/>
      <c r="AB573" s="115"/>
      <c r="AI573" s="263"/>
      <c r="AJ573" s="263"/>
      <c r="AK573" s="263"/>
      <c r="AN573" s="115"/>
      <c r="AO573" s="115"/>
    </row>
    <row r="574">
      <c r="A574" s="397"/>
      <c r="B574" s="385"/>
      <c r="C574" s="385"/>
      <c r="H574" s="115"/>
      <c r="I574" s="115"/>
      <c r="J574" s="115"/>
      <c r="K574" s="115"/>
      <c r="L574" s="115"/>
      <c r="M574" s="353"/>
      <c r="N574" s="115"/>
      <c r="O574" s="115"/>
      <c r="P574" s="115"/>
      <c r="Q574" s="115"/>
      <c r="R574" s="115"/>
      <c r="S574" s="115"/>
      <c r="T574" s="115"/>
      <c r="U574" s="115"/>
      <c r="V574" s="115"/>
      <c r="W574" s="115"/>
      <c r="X574" s="115"/>
      <c r="Y574" s="115"/>
      <c r="Z574" s="115"/>
      <c r="AA574" s="115"/>
      <c r="AB574" s="115"/>
      <c r="AI574" s="263"/>
      <c r="AJ574" s="263"/>
      <c r="AK574" s="263"/>
      <c r="AN574" s="115"/>
      <c r="AO574" s="115"/>
    </row>
    <row r="575">
      <c r="A575" s="397"/>
      <c r="B575" s="385"/>
      <c r="C575" s="385"/>
      <c r="H575" s="115"/>
      <c r="I575" s="115"/>
      <c r="J575" s="115"/>
      <c r="K575" s="115"/>
      <c r="L575" s="115"/>
      <c r="M575" s="353"/>
      <c r="N575" s="115"/>
      <c r="O575" s="115"/>
      <c r="P575" s="115"/>
      <c r="Q575" s="115"/>
      <c r="R575" s="115"/>
      <c r="S575" s="115"/>
      <c r="T575" s="115"/>
      <c r="U575" s="115"/>
      <c r="V575" s="115"/>
      <c r="W575" s="115"/>
      <c r="X575" s="115"/>
      <c r="Y575" s="115"/>
      <c r="Z575" s="115"/>
      <c r="AA575" s="115"/>
      <c r="AB575" s="115"/>
      <c r="AI575" s="263"/>
      <c r="AJ575" s="263"/>
      <c r="AK575" s="263"/>
      <c r="AN575" s="115"/>
      <c r="AO575" s="115"/>
    </row>
    <row r="576">
      <c r="A576" s="397"/>
      <c r="B576" s="385"/>
      <c r="C576" s="385"/>
      <c r="H576" s="115"/>
      <c r="I576" s="115"/>
      <c r="J576" s="115"/>
      <c r="K576" s="115"/>
      <c r="L576" s="115"/>
      <c r="M576" s="353"/>
      <c r="N576" s="115"/>
      <c r="O576" s="115"/>
      <c r="P576" s="115"/>
      <c r="Q576" s="115"/>
      <c r="R576" s="115"/>
      <c r="S576" s="115"/>
      <c r="T576" s="115"/>
      <c r="U576" s="115"/>
      <c r="V576" s="115"/>
      <c r="W576" s="115"/>
      <c r="X576" s="115"/>
      <c r="Y576" s="115"/>
      <c r="Z576" s="115"/>
      <c r="AA576" s="115"/>
      <c r="AB576" s="115"/>
      <c r="AI576" s="263"/>
      <c r="AJ576" s="263"/>
      <c r="AK576" s="263"/>
      <c r="AN576" s="115"/>
      <c r="AO576" s="115"/>
    </row>
    <row r="577">
      <c r="A577" s="397"/>
      <c r="B577" s="385"/>
      <c r="C577" s="385"/>
      <c r="H577" s="115"/>
      <c r="I577" s="115"/>
      <c r="J577" s="115"/>
      <c r="K577" s="115"/>
      <c r="L577" s="115"/>
      <c r="M577" s="353"/>
      <c r="N577" s="115"/>
      <c r="O577" s="115"/>
      <c r="P577" s="115"/>
      <c r="Q577" s="115"/>
      <c r="R577" s="115"/>
      <c r="S577" s="115"/>
      <c r="T577" s="115"/>
      <c r="U577" s="115"/>
      <c r="V577" s="115"/>
      <c r="W577" s="115"/>
      <c r="X577" s="115"/>
      <c r="Y577" s="115"/>
      <c r="Z577" s="115"/>
      <c r="AA577" s="115"/>
      <c r="AB577" s="115"/>
      <c r="AI577" s="263"/>
      <c r="AJ577" s="263"/>
      <c r="AK577" s="263"/>
      <c r="AN577" s="115"/>
      <c r="AO577" s="115"/>
    </row>
    <row r="578">
      <c r="A578" s="397"/>
      <c r="B578" s="385"/>
      <c r="C578" s="385"/>
      <c r="H578" s="115"/>
      <c r="I578" s="115"/>
      <c r="J578" s="115"/>
      <c r="K578" s="115"/>
      <c r="L578" s="115"/>
      <c r="M578" s="353"/>
      <c r="N578" s="115"/>
      <c r="O578" s="115"/>
      <c r="P578" s="115"/>
      <c r="Q578" s="115"/>
      <c r="R578" s="115"/>
      <c r="S578" s="115"/>
      <c r="T578" s="115"/>
      <c r="U578" s="115"/>
      <c r="V578" s="115"/>
      <c r="W578" s="115"/>
      <c r="X578" s="115"/>
      <c r="Y578" s="115"/>
      <c r="Z578" s="115"/>
      <c r="AA578" s="115"/>
      <c r="AB578" s="115"/>
      <c r="AI578" s="263"/>
      <c r="AJ578" s="263"/>
      <c r="AK578" s="263"/>
      <c r="AN578" s="115"/>
      <c r="AO578" s="115"/>
    </row>
    <row r="579">
      <c r="A579" s="397"/>
      <c r="B579" s="385"/>
      <c r="C579" s="385"/>
      <c r="H579" s="115"/>
      <c r="I579" s="115"/>
      <c r="J579" s="115"/>
      <c r="K579" s="115"/>
      <c r="L579" s="115"/>
      <c r="M579" s="353"/>
      <c r="N579" s="115"/>
      <c r="O579" s="115"/>
      <c r="P579" s="115"/>
      <c r="Q579" s="115"/>
      <c r="R579" s="115"/>
      <c r="S579" s="115"/>
      <c r="T579" s="115"/>
      <c r="U579" s="115"/>
      <c r="V579" s="115"/>
      <c r="W579" s="115"/>
      <c r="X579" s="115"/>
      <c r="Y579" s="115"/>
      <c r="Z579" s="115"/>
      <c r="AA579" s="115"/>
      <c r="AB579" s="115"/>
      <c r="AI579" s="263"/>
      <c r="AJ579" s="263"/>
      <c r="AK579" s="263"/>
      <c r="AN579" s="115"/>
      <c r="AO579" s="115"/>
    </row>
    <row r="580">
      <c r="A580" s="397"/>
      <c r="B580" s="385"/>
      <c r="C580" s="385"/>
      <c r="H580" s="115"/>
      <c r="I580" s="115"/>
      <c r="J580" s="115"/>
      <c r="K580" s="115"/>
      <c r="L580" s="115"/>
      <c r="M580" s="353"/>
      <c r="N580" s="115"/>
      <c r="O580" s="115"/>
      <c r="P580" s="115"/>
      <c r="Q580" s="115"/>
      <c r="R580" s="115"/>
      <c r="S580" s="115"/>
      <c r="T580" s="115"/>
      <c r="U580" s="115"/>
      <c r="V580" s="115"/>
      <c r="W580" s="115"/>
      <c r="X580" s="115"/>
      <c r="Y580" s="115"/>
      <c r="Z580" s="115"/>
      <c r="AA580" s="115"/>
      <c r="AB580" s="115"/>
      <c r="AI580" s="263"/>
      <c r="AJ580" s="263"/>
      <c r="AK580" s="263"/>
      <c r="AN580" s="115"/>
      <c r="AO580" s="115"/>
    </row>
    <row r="581">
      <c r="A581" s="397"/>
      <c r="B581" s="385"/>
      <c r="C581" s="385"/>
      <c r="H581" s="115"/>
      <c r="I581" s="115"/>
      <c r="J581" s="115"/>
      <c r="K581" s="115"/>
      <c r="L581" s="115"/>
      <c r="M581" s="353"/>
      <c r="N581" s="115"/>
      <c r="O581" s="115"/>
      <c r="P581" s="115"/>
      <c r="Q581" s="115"/>
      <c r="R581" s="115"/>
      <c r="S581" s="115"/>
      <c r="T581" s="115"/>
      <c r="U581" s="115"/>
      <c r="V581" s="115"/>
      <c r="W581" s="115"/>
      <c r="X581" s="115"/>
      <c r="Y581" s="115"/>
      <c r="Z581" s="115"/>
      <c r="AA581" s="115"/>
      <c r="AB581" s="115"/>
      <c r="AI581" s="263"/>
      <c r="AJ581" s="263"/>
      <c r="AK581" s="263"/>
      <c r="AN581" s="115"/>
      <c r="AO581" s="115"/>
    </row>
    <row r="582">
      <c r="A582" s="397"/>
      <c r="B582" s="385"/>
      <c r="C582" s="385"/>
      <c r="H582" s="115"/>
      <c r="I582" s="115"/>
      <c r="J582" s="115"/>
      <c r="K582" s="115"/>
      <c r="L582" s="115"/>
      <c r="M582" s="353"/>
      <c r="N582" s="115"/>
      <c r="O582" s="115"/>
      <c r="P582" s="115"/>
      <c r="Q582" s="115"/>
      <c r="R582" s="115"/>
      <c r="S582" s="115"/>
      <c r="T582" s="115"/>
      <c r="U582" s="115"/>
      <c r="V582" s="115"/>
      <c r="W582" s="115"/>
      <c r="X582" s="115"/>
      <c r="Y582" s="115"/>
      <c r="Z582" s="115"/>
      <c r="AA582" s="115"/>
      <c r="AB582" s="115"/>
      <c r="AI582" s="263"/>
      <c r="AJ582" s="263"/>
      <c r="AK582" s="263"/>
      <c r="AN582" s="115"/>
      <c r="AO582" s="115"/>
    </row>
    <row r="583">
      <c r="A583" s="397"/>
      <c r="B583" s="385"/>
      <c r="C583" s="385"/>
      <c r="H583" s="115"/>
      <c r="I583" s="115"/>
      <c r="J583" s="115"/>
      <c r="K583" s="115"/>
      <c r="L583" s="115"/>
      <c r="M583" s="353"/>
      <c r="N583" s="115"/>
      <c r="O583" s="115"/>
      <c r="P583" s="115"/>
      <c r="Q583" s="115"/>
      <c r="R583" s="115"/>
      <c r="S583" s="115"/>
      <c r="T583" s="115"/>
      <c r="U583" s="115"/>
      <c r="V583" s="115"/>
      <c r="W583" s="115"/>
      <c r="X583" s="115"/>
      <c r="Y583" s="115"/>
      <c r="Z583" s="115"/>
      <c r="AA583" s="115"/>
      <c r="AB583" s="115"/>
      <c r="AI583" s="263"/>
      <c r="AJ583" s="263"/>
      <c r="AK583" s="263"/>
      <c r="AN583" s="115"/>
      <c r="AO583" s="115"/>
    </row>
    <row r="584">
      <c r="A584" s="397"/>
      <c r="B584" s="385"/>
      <c r="C584" s="385"/>
      <c r="H584" s="115"/>
      <c r="I584" s="115"/>
      <c r="J584" s="115"/>
      <c r="K584" s="115"/>
      <c r="L584" s="115"/>
      <c r="M584" s="353"/>
      <c r="N584" s="115"/>
      <c r="O584" s="115"/>
      <c r="P584" s="115"/>
      <c r="Q584" s="115"/>
      <c r="R584" s="115"/>
      <c r="S584" s="115"/>
      <c r="T584" s="115"/>
      <c r="U584" s="115"/>
      <c r="V584" s="115"/>
      <c r="W584" s="115"/>
      <c r="X584" s="115"/>
      <c r="Y584" s="115"/>
      <c r="Z584" s="115"/>
      <c r="AA584" s="115"/>
      <c r="AB584" s="115"/>
      <c r="AI584" s="263"/>
      <c r="AJ584" s="263"/>
      <c r="AK584" s="263"/>
      <c r="AN584" s="115"/>
      <c r="AO584" s="115"/>
    </row>
    <row r="585">
      <c r="A585" s="397"/>
      <c r="B585" s="385"/>
      <c r="C585" s="385"/>
      <c r="H585" s="115"/>
      <c r="I585" s="115"/>
      <c r="J585" s="115"/>
      <c r="K585" s="115"/>
      <c r="L585" s="115"/>
      <c r="M585" s="353"/>
      <c r="N585" s="115"/>
      <c r="O585" s="115"/>
      <c r="P585" s="115"/>
      <c r="Q585" s="115"/>
      <c r="R585" s="115"/>
      <c r="S585" s="115"/>
      <c r="T585" s="115"/>
      <c r="U585" s="115"/>
      <c r="V585" s="115"/>
      <c r="W585" s="115"/>
      <c r="X585" s="115"/>
      <c r="Y585" s="115"/>
      <c r="Z585" s="115"/>
      <c r="AA585" s="115"/>
      <c r="AB585" s="115"/>
      <c r="AI585" s="263"/>
      <c r="AJ585" s="263"/>
      <c r="AK585" s="263"/>
      <c r="AN585" s="115"/>
      <c r="AO585" s="115"/>
    </row>
    <row r="586">
      <c r="A586" s="397"/>
      <c r="B586" s="385"/>
      <c r="C586" s="385"/>
      <c r="H586" s="115"/>
      <c r="I586" s="115"/>
      <c r="J586" s="115"/>
      <c r="K586" s="115"/>
      <c r="L586" s="115"/>
      <c r="M586" s="353"/>
      <c r="N586" s="115"/>
      <c r="O586" s="115"/>
      <c r="P586" s="115"/>
      <c r="Q586" s="115"/>
      <c r="R586" s="115"/>
      <c r="S586" s="115"/>
      <c r="T586" s="115"/>
      <c r="U586" s="115"/>
      <c r="V586" s="115"/>
      <c r="W586" s="115"/>
      <c r="X586" s="115"/>
      <c r="Y586" s="115"/>
      <c r="Z586" s="115"/>
      <c r="AA586" s="115"/>
      <c r="AB586" s="115"/>
      <c r="AI586" s="263"/>
      <c r="AJ586" s="263"/>
      <c r="AK586" s="263"/>
      <c r="AN586" s="115"/>
      <c r="AO586" s="115"/>
    </row>
    <row r="587">
      <c r="A587" s="397"/>
      <c r="B587" s="385"/>
      <c r="C587" s="385"/>
      <c r="H587" s="115"/>
      <c r="I587" s="115"/>
      <c r="J587" s="115"/>
      <c r="K587" s="115"/>
      <c r="L587" s="115"/>
      <c r="M587" s="353"/>
      <c r="N587" s="115"/>
      <c r="O587" s="115"/>
      <c r="P587" s="115"/>
      <c r="Q587" s="115"/>
      <c r="R587" s="115"/>
      <c r="S587" s="115"/>
      <c r="T587" s="115"/>
      <c r="U587" s="115"/>
      <c r="V587" s="115"/>
      <c r="W587" s="115"/>
      <c r="X587" s="115"/>
      <c r="Y587" s="115"/>
      <c r="Z587" s="115"/>
      <c r="AA587" s="115"/>
      <c r="AB587" s="115"/>
      <c r="AI587" s="263"/>
      <c r="AJ587" s="263"/>
      <c r="AK587" s="263"/>
      <c r="AN587" s="115"/>
      <c r="AO587" s="115"/>
    </row>
    <row r="588">
      <c r="A588" s="397"/>
      <c r="B588" s="385"/>
      <c r="C588" s="385"/>
      <c r="H588" s="115"/>
      <c r="I588" s="115"/>
      <c r="J588" s="115"/>
      <c r="K588" s="115"/>
      <c r="L588" s="115"/>
      <c r="M588" s="353"/>
      <c r="N588" s="115"/>
      <c r="O588" s="115"/>
      <c r="P588" s="115"/>
      <c r="Q588" s="115"/>
      <c r="R588" s="115"/>
      <c r="S588" s="115"/>
      <c r="T588" s="115"/>
      <c r="U588" s="115"/>
      <c r="V588" s="115"/>
      <c r="W588" s="115"/>
      <c r="X588" s="115"/>
      <c r="Y588" s="115"/>
      <c r="Z588" s="115"/>
      <c r="AA588" s="115"/>
      <c r="AB588" s="115"/>
      <c r="AI588" s="263"/>
      <c r="AJ588" s="263"/>
      <c r="AK588" s="263"/>
      <c r="AN588" s="115"/>
      <c r="AO588" s="115"/>
    </row>
    <row r="589">
      <c r="A589" s="397"/>
      <c r="B589" s="385"/>
      <c r="C589" s="385"/>
      <c r="H589" s="115"/>
      <c r="I589" s="115"/>
      <c r="J589" s="115"/>
      <c r="K589" s="115"/>
      <c r="L589" s="115"/>
      <c r="M589" s="353"/>
      <c r="N589" s="115"/>
      <c r="O589" s="115"/>
      <c r="P589" s="115"/>
      <c r="Q589" s="115"/>
      <c r="R589" s="115"/>
      <c r="S589" s="115"/>
      <c r="T589" s="115"/>
      <c r="U589" s="115"/>
      <c r="V589" s="115"/>
      <c r="W589" s="115"/>
      <c r="X589" s="115"/>
      <c r="Y589" s="115"/>
      <c r="Z589" s="115"/>
      <c r="AA589" s="115"/>
      <c r="AB589" s="115"/>
      <c r="AI589" s="263"/>
      <c r="AJ589" s="263"/>
      <c r="AK589" s="263"/>
      <c r="AN589" s="115"/>
      <c r="AO589" s="115"/>
    </row>
    <row r="590">
      <c r="A590" s="397"/>
      <c r="B590" s="385"/>
      <c r="C590" s="385"/>
      <c r="H590" s="115"/>
      <c r="I590" s="115"/>
      <c r="J590" s="115"/>
      <c r="K590" s="115"/>
      <c r="L590" s="115"/>
      <c r="M590" s="353"/>
      <c r="N590" s="115"/>
      <c r="O590" s="115"/>
      <c r="P590" s="115"/>
      <c r="Q590" s="115"/>
      <c r="R590" s="115"/>
      <c r="S590" s="115"/>
      <c r="T590" s="115"/>
      <c r="U590" s="115"/>
      <c r="V590" s="115"/>
      <c r="W590" s="115"/>
      <c r="X590" s="115"/>
      <c r="Y590" s="115"/>
      <c r="Z590" s="115"/>
      <c r="AA590" s="115"/>
      <c r="AB590" s="115"/>
      <c r="AI590" s="263"/>
      <c r="AJ590" s="263"/>
      <c r="AK590" s="263"/>
      <c r="AN590" s="115"/>
      <c r="AO590" s="115"/>
    </row>
    <row r="591">
      <c r="A591" s="397"/>
      <c r="B591" s="385"/>
      <c r="C591" s="385"/>
      <c r="H591" s="115"/>
      <c r="I591" s="115"/>
      <c r="J591" s="115"/>
      <c r="K591" s="115"/>
      <c r="L591" s="115"/>
      <c r="M591" s="353"/>
      <c r="N591" s="115"/>
      <c r="O591" s="115"/>
      <c r="P591" s="115"/>
      <c r="Q591" s="115"/>
      <c r="R591" s="115"/>
      <c r="S591" s="115"/>
      <c r="T591" s="115"/>
      <c r="U591" s="115"/>
      <c r="V591" s="115"/>
      <c r="W591" s="115"/>
      <c r="X591" s="115"/>
      <c r="Y591" s="115"/>
      <c r="Z591" s="115"/>
      <c r="AA591" s="115"/>
      <c r="AB591" s="115"/>
      <c r="AI591" s="263"/>
      <c r="AJ591" s="263"/>
      <c r="AK591" s="263"/>
      <c r="AN591" s="115"/>
      <c r="AO591" s="115"/>
    </row>
    <row r="592">
      <c r="A592" s="397"/>
      <c r="B592" s="385"/>
      <c r="C592" s="385"/>
      <c r="H592" s="115"/>
      <c r="I592" s="115"/>
      <c r="J592" s="115"/>
      <c r="K592" s="115"/>
      <c r="L592" s="115"/>
      <c r="M592" s="353"/>
      <c r="N592" s="115"/>
      <c r="O592" s="115"/>
      <c r="P592" s="115"/>
      <c r="Q592" s="115"/>
      <c r="R592" s="115"/>
      <c r="S592" s="115"/>
      <c r="T592" s="115"/>
      <c r="U592" s="115"/>
      <c r="V592" s="115"/>
      <c r="W592" s="115"/>
      <c r="X592" s="115"/>
      <c r="Y592" s="115"/>
      <c r="Z592" s="115"/>
      <c r="AA592" s="115"/>
      <c r="AB592" s="115"/>
      <c r="AI592" s="263"/>
      <c r="AJ592" s="263"/>
      <c r="AK592" s="263"/>
      <c r="AN592" s="115"/>
      <c r="AO592" s="115"/>
    </row>
    <row r="593">
      <c r="A593" s="397"/>
      <c r="B593" s="385"/>
      <c r="C593" s="385"/>
      <c r="H593" s="115"/>
      <c r="I593" s="115"/>
      <c r="J593" s="115"/>
      <c r="K593" s="115"/>
      <c r="L593" s="115"/>
      <c r="M593" s="353"/>
      <c r="N593" s="115"/>
      <c r="O593" s="115"/>
      <c r="P593" s="115"/>
      <c r="Q593" s="115"/>
      <c r="R593" s="115"/>
      <c r="S593" s="115"/>
      <c r="T593" s="115"/>
      <c r="U593" s="115"/>
      <c r="V593" s="115"/>
      <c r="W593" s="115"/>
      <c r="X593" s="115"/>
      <c r="Y593" s="115"/>
      <c r="Z593" s="115"/>
      <c r="AA593" s="115"/>
      <c r="AB593" s="115"/>
      <c r="AI593" s="263"/>
      <c r="AJ593" s="263"/>
      <c r="AK593" s="263"/>
      <c r="AN593" s="115"/>
      <c r="AO593" s="115"/>
    </row>
    <row r="594">
      <c r="A594" s="397"/>
      <c r="B594" s="385"/>
      <c r="C594" s="385"/>
      <c r="H594" s="115"/>
      <c r="I594" s="115"/>
      <c r="J594" s="115"/>
      <c r="K594" s="115"/>
      <c r="L594" s="115"/>
      <c r="M594" s="353"/>
      <c r="N594" s="115"/>
      <c r="O594" s="115"/>
      <c r="P594" s="115"/>
      <c r="Q594" s="115"/>
      <c r="R594" s="115"/>
      <c r="S594" s="115"/>
      <c r="T594" s="115"/>
      <c r="U594" s="115"/>
      <c r="V594" s="115"/>
      <c r="W594" s="115"/>
      <c r="X594" s="115"/>
      <c r="Y594" s="115"/>
      <c r="Z594" s="115"/>
      <c r="AA594" s="115"/>
      <c r="AB594" s="115"/>
      <c r="AI594" s="263"/>
      <c r="AJ594" s="263"/>
      <c r="AK594" s="263"/>
      <c r="AN594" s="115"/>
      <c r="AO594" s="115"/>
    </row>
    <row r="595">
      <c r="A595" s="397"/>
      <c r="B595" s="385"/>
      <c r="C595" s="385"/>
      <c r="H595" s="115"/>
      <c r="I595" s="115"/>
      <c r="J595" s="115"/>
      <c r="K595" s="115"/>
      <c r="L595" s="115"/>
      <c r="M595" s="353"/>
      <c r="N595" s="115"/>
      <c r="O595" s="115"/>
      <c r="P595" s="115"/>
      <c r="Q595" s="115"/>
      <c r="R595" s="115"/>
      <c r="S595" s="115"/>
      <c r="T595" s="115"/>
      <c r="U595" s="115"/>
      <c r="V595" s="115"/>
      <c r="W595" s="115"/>
      <c r="X595" s="115"/>
      <c r="Y595" s="115"/>
      <c r="Z595" s="115"/>
      <c r="AA595" s="115"/>
      <c r="AB595" s="115"/>
      <c r="AI595" s="263"/>
      <c r="AJ595" s="263"/>
      <c r="AK595" s="263"/>
      <c r="AN595" s="115"/>
      <c r="AO595" s="115"/>
    </row>
    <row r="596">
      <c r="A596" s="397"/>
      <c r="B596" s="385"/>
      <c r="C596" s="385"/>
      <c r="H596" s="115"/>
      <c r="I596" s="115"/>
      <c r="J596" s="115"/>
      <c r="K596" s="115"/>
      <c r="L596" s="115"/>
      <c r="M596" s="353"/>
      <c r="N596" s="115"/>
      <c r="O596" s="115"/>
      <c r="P596" s="115"/>
      <c r="Q596" s="115"/>
      <c r="R596" s="115"/>
      <c r="S596" s="115"/>
      <c r="T596" s="115"/>
      <c r="U596" s="115"/>
      <c r="V596" s="115"/>
      <c r="W596" s="115"/>
      <c r="X596" s="115"/>
      <c r="Y596" s="115"/>
      <c r="Z596" s="115"/>
      <c r="AA596" s="115"/>
      <c r="AB596" s="115"/>
      <c r="AI596" s="263"/>
      <c r="AJ596" s="263"/>
      <c r="AK596" s="263"/>
      <c r="AN596" s="115"/>
      <c r="AO596" s="115"/>
    </row>
    <row r="597">
      <c r="A597" s="397"/>
      <c r="B597" s="385"/>
      <c r="C597" s="385"/>
      <c r="H597" s="115"/>
      <c r="I597" s="115"/>
      <c r="J597" s="115"/>
      <c r="K597" s="115"/>
      <c r="L597" s="115"/>
      <c r="M597" s="353"/>
      <c r="N597" s="115"/>
      <c r="O597" s="115"/>
      <c r="P597" s="115"/>
      <c r="Q597" s="115"/>
      <c r="R597" s="115"/>
      <c r="S597" s="115"/>
      <c r="T597" s="115"/>
      <c r="U597" s="115"/>
      <c r="V597" s="115"/>
      <c r="W597" s="115"/>
      <c r="X597" s="115"/>
      <c r="Y597" s="115"/>
      <c r="Z597" s="115"/>
      <c r="AA597" s="115"/>
      <c r="AB597" s="115"/>
      <c r="AI597" s="263"/>
      <c r="AJ597" s="263"/>
      <c r="AK597" s="263"/>
      <c r="AN597" s="115"/>
      <c r="AO597" s="115"/>
    </row>
    <row r="598">
      <c r="A598" s="397"/>
      <c r="B598" s="385"/>
      <c r="C598" s="385"/>
      <c r="H598" s="115"/>
      <c r="I598" s="115"/>
      <c r="J598" s="115"/>
      <c r="K598" s="115"/>
      <c r="L598" s="115"/>
      <c r="M598" s="353"/>
      <c r="N598" s="115"/>
      <c r="O598" s="115"/>
      <c r="P598" s="115"/>
      <c r="Q598" s="115"/>
      <c r="R598" s="115"/>
      <c r="S598" s="115"/>
      <c r="T598" s="115"/>
      <c r="U598" s="115"/>
      <c r="V598" s="115"/>
      <c r="W598" s="115"/>
      <c r="X598" s="115"/>
      <c r="Y598" s="115"/>
      <c r="Z598" s="115"/>
      <c r="AA598" s="115"/>
      <c r="AB598" s="115"/>
      <c r="AI598" s="263"/>
      <c r="AJ598" s="263"/>
      <c r="AK598" s="263"/>
      <c r="AN598" s="115"/>
      <c r="AO598" s="115"/>
    </row>
    <row r="599">
      <c r="A599" s="397"/>
      <c r="B599" s="385"/>
      <c r="C599" s="385"/>
      <c r="H599" s="115"/>
      <c r="I599" s="115"/>
      <c r="J599" s="115"/>
      <c r="K599" s="115"/>
      <c r="L599" s="115"/>
      <c r="M599" s="353"/>
      <c r="N599" s="115"/>
      <c r="O599" s="115"/>
      <c r="P599" s="115"/>
      <c r="Q599" s="115"/>
      <c r="R599" s="115"/>
      <c r="S599" s="115"/>
      <c r="T599" s="115"/>
      <c r="U599" s="115"/>
      <c r="V599" s="115"/>
      <c r="W599" s="115"/>
      <c r="X599" s="115"/>
      <c r="Y599" s="115"/>
      <c r="Z599" s="115"/>
      <c r="AA599" s="115"/>
      <c r="AB599" s="115"/>
      <c r="AI599" s="263"/>
      <c r="AJ599" s="263"/>
      <c r="AK599" s="263"/>
      <c r="AN599" s="115"/>
      <c r="AO599" s="115"/>
    </row>
    <row r="600">
      <c r="A600" s="397"/>
      <c r="B600" s="385"/>
      <c r="C600" s="385"/>
      <c r="H600" s="115"/>
      <c r="I600" s="115"/>
      <c r="J600" s="115"/>
      <c r="K600" s="115"/>
      <c r="L600" s="115"/>
      <c r="M600" s="353"/>
      <c r="N600" s="115"/>
      <c r="O600" s="115"/>
      <c r="P600" s="115"/>
      <c r="Q600" s="115"/>
      <c r="R600" s="115"/>
      <c r="S600" s="115"/>
      <c r="T600" s="115"/>
      <c r="U600" s="115"/>
      <c r="V600" s="115"/>
      <c r="W600" s="115"/>
      <c r="X600" s="115"/>
      <c r="Y600" s="115"/>
      <c r="Z600" s="115"/>
      <c r="AA600" s="115"/>
      <c r="AB600" s="115"/>
      <c r="AI600" s="263"/>
      <c r="AJ600" s="263"/>
      <c r="AK600" s="263"/>
      <c r="AN600" s="115"/>
      <c r="AO600" s="115"/>
    </row>
    <row r="601">
      <c r="A601" s="397"/>
      <c r="B601" s="385"/>
      <c r="C601" s="385"/>
      <c r="H601" s="115"/>
      <c r="I601" s="115"/>
      <c r="J601" s="115"/>
      <c r="K601" s="115"/>
      <c r="L601" s="115"/>
      <c r="M601" s="353"/>
      <c r="N601" s="115"/>
      <c r="O601" s="115"/>
      <c r="P601" s="115"/>
      <c r="Q601" s="115"/>
      <c r="R601" s="115"/>
      <c r="S601" s="115"/>
      <c r="T601" s="115"/>
      <c r="U601" s="115"/>
      <c r="V601" s="115"/>
      <c r="W601" s="115"/>
      <c r="X601" s="115"/>
      <c r="Y601" s="115"/>
      <c r="Z601" s="115"/>
      <c r="AA601" s="115"/>
      <c r="AB601" s="115"/>
      <c r="AI601" s="263"/>
      <c r="AJ601" s="263"/>
      <c r="AK601" s="263"/>
      <c r="AN601" s="115"/>
      <c r="AO601" s="115"/>
    </row>
    <row r="602">
      <c r="A602" s="397"/>
      <c r="B602" s="385"/>
      <c r="C602" s="385"/>
      <c r="H602" s="115"/>
      <c r="I602" s="115"/>
      <c r="J602" s="115"/>
      <c r="K602" s="115"/>
      <c r="L602" s="115"/>
      <c r="M602" s="353"/>
      <c r="N602" s="115"/>
      <c r="O602" s="115"/>
      <c r="P602" s="115"/>
      <c r="Q602" s="115"/>
      <c r="R602" s="115"/>
      <c r="S602" s="115"/>
      <c r="T602" s="115"/>
      <c r="U602" s="115"/>
      <c r="V602" s="115"/>
      <c r="W602" s="115"/>
      <c r="X602" s="115"/>
      <c r="Y602" s="115"/>
      <c r="Z602" s="115"/>
      <c r="AA602" s="115"/>
      <c r="AB602" s="115"/>
      <c r="AI602" s="263"/>
      <c r="AJ602" s="263"/>
      <c r="AK602" s="263"/>
      <c r="AN602" s="115"/>
      <c r="AO602" s="115"/>
    </row>
    <row r="603">
      <c r="A603" s="397"/>
      <c r="B603" s="385"/>
      <c r="C603" s="385"/>
      <c r="H603" s="115"/>
      <c r="I603" s="115"/>
      <c r="J603" s="115"/>
      <c r="K603" s="115"/>
      <c r="L603" s="115"/>
      <c r="M603" s="353"/>
      <c r="N603" s="115"/>
      <c r="O603" s="115"/>
      <c r="P603" s="115"/>
      <c r="Q603" s="115"/>
      <c r="R603" s="115"/>
      <c r="S603" s="115"/>
      <c r="T603" s="115"/>
      <c r="U603" s="115"/>
      <c r="V603" s="115"/>
      <c r="W603" s="115"/>
      <c r="X603" s="115"/>
      <c r="Y603" s="115"/>
      <c r="Z603" s="115"/>
      <c r="AA603" s="115"/>
      <c r="AB603" s="115"/>
      <c r="AI603" s="263"/>
      <c r="AJ603" s="263"/>
      <c r="AK603" s="263"/>
      <c r="AN603" s="115"/>
      <c r="AO603" s="115"/>
    </row>
    <row r="604">
      <c r="A604" s="397"/>
      <c r="B604" s="385"/>
      <c r="C604" s="385"/>
      <c r="H604" s="115"/>
      <c r="I604" s="115"/>
      <c r="J604" s="115"/>
      <c r="K604" s="115"/>
      <c r="L604" s="115"/>
      <c r="M604" s="353"/>
      <c r="N604" s="115"/>
      <c r="O604" s="115"/>
      <c r="P604" s="115"/>
      <c r="Q604" s="115"/>
      <c r="R604" s="115"/>
      <c r="S604" s="115"/>
      <c r="T604" s="115"/>
      <c r="U604" s="115"/>
      <c r="V604" s="115"/>
      <c r="W604" s="115"/>
      <c r="X604" s="115"/>
      <c r="Y604" s="115"/>
      <c r="Z604" s="115"/>
      <c r="AA604" s="115"/>
      <c r="AB604" s="115"/>
      <c r="AI604" s="263"/>
      <c r="AJ604" s="263"/>
      <c r="AK604" s="263"/>
      <c r="AN604" s="115"/>
      <c r="AO604" s="115"/>
    </row>
    <row r="605">
      <c r="A605" s="397"/>
      <c r="B605" s="385"/>
      <c r="C605" s="385"/>
      <c r="H605" s="115"/>
      <c r="I605" s="115"/>
      <c r="J605" s="115"/>
      <c r="K605" s="115"/>
      <c r="L605" s="115"/>
      <c r="M605" s="353"/>
      <c r="N605" s="115"/>
      <c r="O605" s="115"/>
      <c r="P605" s="115"/>
      <c r="Q605" s="115"/>
      <c r="R605" s="115"/>
      <c r="S605" s="115"/>
      <c r="T605" s="115"/>
      <c r="U605" s="115"/>
      <c r="V605" s="115"/>
      <c r="W605" s="115"/>
      <c r="X605" s="115"/>
      <c r="Y605" s="115"/>
      <c r="Z605" s="115"/>
      <c r="AA605" s="115"/>
      <c r="AB605" s="115"/>
      <c r="AI605" s="263"/>
      <c r="AJ605" s="263"/>
      <c r="AK605" s="263"/>
      <c r="AN605" s="115"/>
      <c r="AO605" s="115"/>
    </row>
    <row r="606">
      <c r="A606" s="397"/>
      <c r="B606" s="385"/>
      <c r="C606" s="385"/>
      <c r="H606" s="115"/>
      <c r="I606" s="115"/>
      <c r="J606" s="115"/>
      <c r="K606" s="115"/>
      <c r="L606" s="115"/>
      <c r="M606" s="353"/>
      <c r="N606" s="115"/>
      <c r="O606" s="115"/>
      <c r="P606" s="115"/>
      <c r="Q606" s="115"/>
      <c r="R606" s="115"/>
      <c r="S606" s="115"/>
      <c r="T606" s="115"/>
      <c r="U606" s="115"/>
      <c r="V606" s="115"/>
      <c r="W606" s="115"/>
      <c r="X606" s="115"/>
      <c r="Y606" s="115"/>
      <c r="Z606" s="115"/>
      <c r="AA606" s="115"/>
      <c r="AB606" s="115"/>
      <c r="AI606" s="263"/>
      <c r="AJ606" s="263"/>
      <c r="AK606" s="263"/>
      <c r="AN606" s="115"/>
      <c r="AO606" s="115"/>
    </row>
    <row r="607">
      <c r="A607" s="397"/>
      <c r="B607" s="385"/>
      <c r="C607" s="385"/>
      <c r="H607" s="115"/>
      <c r="I607" s="115"/>
      <c r="J607" s="115"/>
      <c r="K607" s="115"/>
      <c r="L607" s="115"/>
      <c r="M607" s="353"/>
      <c r="N607" s="115"/>
      <c r="O607" s="115"/>
      <c r="P607" s="115"/>
      <c r="Q607" s="115"/>
      <c r="R607" s="115"/>
      <c r="S607" s="115"/>
      <c r="T607" s="115"/>
      <c r="U607" s="115"/>
      <c r="V607" s="115"/>
      <c r="W607" s="115"/>
      <c r="X607" s="115"/>
      <c r="Y607" s="115"/>
      <c r="Z607" s="115"/>
      <c r="AA607" s="115"/>
      <c r="AB607" s="115"/>
      <c r="AI607" s="263"/>
      <c r="AJ607" s="263"/>
      <c r="AK607" s="263"/>
      <c r="AN607" s="115"/>
      <c r="AO607" s="115"/>
    </row>
    <row r="608">
      <c r="A608" s="397"/>
      <c r="B608" s="385"/>
      <c r="C608" s="385"/>
      <c r="H608" s="115"/>
      <c r="I608" s="115"/>
      <c r="J608" s="115"/>
      <c r="K608" s="115"/>
      <c r="L608" s="115"/>
      <c r="M608" s="353"/>
      <c r="N608" s="115"/>
      <c r="O608" s="115"/>
      <c r="P608" s="115"/>
      <c r="Q608" s="115"/>
      <c r="R608" s="115"/>
      <c r="S608" s="115"/>
      <c r="T608" s="115"/>
      <c r="U608" s="115"/>
      <c r="V608" s="115"/>
      <c r="W608" s="115"/>
      <c r="X608" s="115"/>
      <c r="Y608" s="115"/>
      <c r="Z608" s="115"/>
      <c r="AA608" s="115"/>
      <c r="AB608" s="115"/>
      <c r="AI608" s="263"/>
      <c r="AJ608" s="263"/>
      <c r="AK608" s="263"/>
      <c r="AN608" s="115"/>
      <c r="AO608" s="115"/>
    </row>
    <row r="609">
      <c r="A609" s="397"/>
      <c r="B609" s="385"/>
      <c r="C609" s="385"/>
      <c r="H609" s="115"/>
      <c r="I609" s="115"/>
      <c r="J609" s="115"/>
      <c r="K609" s="115"/>
      <c r="L609" s="115"/>
      <c r="M609" s="353"/>
      <c r="N609" s="115"/>
      <c r="O609" s="115"/>
      <c r="P609" s="115"/>
      <c r="Q609" s="115"/>
      <c r="R609" s="115"/>
      <c r="S609" s="115"/>
      <c r="T609" s="115"/>
      <c r="U609" s="115"/>
      <c r="V609" s="115"/>
      <c r="W609" s="115"/>
      <c r="X609" s="115"/>
      <c r="Y609" s="115"/>
      <c r="Z609" s="115"/>
      <c r="AA609" s="115"/>
      <c r="AB609" s="115"/>
      <c r="AI609" s="263"/>
      <c r="AJ609" s="263"/>
      <c r="AK609" s="263"/>
      <c r="AN609" s="115"/>
      <c r="AO609" s="115"/>
    </row>
    <row r="610">
      <c r="A610" s="397"/>
      <c r="B610" s="385"/>
      <c r="C610" s="385"/>
      <c r="H610" s="115"/>
      <c r="I610" s="115"/>
      <c r="J610" s="115"/>
      <c r="K610" s="115"/>
      <c r="L610" s="115"/>
      <c r="M610" s="353"/>
      <c r="N610" s="115"/>
      <c r="O610" s="115"/>
      <c r="P610" s="115"/>
      <c r="Q610" s="115"/>
      <c r="R610" s="115"/>
      <c r="S610" s="115"/>
      <c r="T610" s="115"/>
      <c r="U610" s="115"/>
      <c r="V610" s="115"/>
      <c r="W610" s="115"/>
      <c r="X610" s="115"/>
      <c r="Y610" s="115"/>
      <c r="Z610" s="115"/>
      <c r="AA610" s="115"/>
      <c r="AB610" s="115"/>
      <c r="AI610" s="263"/>
      <c r="AJ610" s="263"/>
      <c r="AK610" s="263"/>
      <c r="AN610" s="115"/>
      <c r="AO610" s="115"/>
    </row>
    <row r="611">
      <c r="A611" s="397"/>
      <c r="B611" s="385"/>
      <c r="C611" s="385"/>
      <c r="H611" s="115"/>
      <c r="I611" s="115"/>
      <c r="J611" s="115"/>
      <c r="K611" s="115"/>
      <c r="L611" s="115"/>
      <c r="M611" s="353"/>
      <c r="N611" s="115"/>
      <c r="O611" s="115"/>
      <c r="P611" s="115"/>
      <c r="Q611" s="115"/>
      <c r="R611" s="115"/>
      <c r="S611" s="115"/>
      <c r="T611" s="115"/>
      <c r="U611" s="115"/>
      <c r="V611" s="115"/>
      <c r="W611" s="115"/>
      <c r="X611" s="115"/>
      <c r="Y611" s="115"/>
      <c r="Z611" s="115"/>
      <c r="AA611" s="115"/>
      <c r="AB611" s="115"/>
      <c r="AI611" s="263"/>
      <c r="AJ611" s="263"/>
      <c r="AK611" s="263"/>
      <c r="AN611" s="115"/>
      <c r="AO611" s="115"/>
    </row>
    <row r="612">
      <c r="A612" s="397"/>
      <c r="B612" s="385"/>
      <c r="C612" s="385"/>
      <c r="H612" s="115"/>
      <c r="I612" s="115"/>
      <c r="J612" s="115"/>
      <c r="K612" s="115"/>
      <c r="L612" s="115"/>
      <c r="M612" s="353"/>
      <c r="N612" s="115"/>
      <c r="O612" s="115"/>
      <c r="P612" s="115"/>
      <c r="Q612" s="115"/>
      <c r="R612" s="115"/>
      <c r="S612" s="115"/>
      <c r="T612" s="115"/>
      <c r="U612" s="115"/>
      <c r="V612" s="115"/>
      <c r="W612" s="115"/>
      <c r="X612" s="115"/>
      <c r="Y612" s="115"/>
      <c r="Z612" s="115"/>
      <c r="AA612" s="115"/>
      <c r="AB612" s="115"/>
      <c r="AI612" s="263"/>
      <c r="AJ612" s="263"/>
      <c r="AK612" s="263"/>
      <c r="AN612" s="115"/>
      <c r="AO612" s="115"/>
    </row>
    <row r="613">
      <c r="A613" s="397"/>
      <c r="B613" s="385"/>
      <c r="C613" s="385"/>
      <c r="H613" s="115"/>
      <c r="I613" s="115"/>
      <c r="J613" s="115"/>
      <c r="K613" s="115"/>
      <c r="L613" s="115"/>
      <c r="M613" s="353"/>
      <c r="N613" s="115"/>
      <c r="O613" s="115"/>
      <c r="P613" s="115"/>
      <c r="Q613" s="115"/>
      <c r="R613" s="115"/>
      <c r="S613" s="115"/>
      <c r="T613" s="115"/>
      <c r="U613" s="115"/>
      <c r="V613" s="115"/>
      <c r="W613" s="115"/>
      <c r="X613" s="115"/>
      <c r="Y613" s="115"/>
      <c r="Z613" s="115"/>
      <c r="AA613" s="115"/>
      <c r="AB613" s="115"/>
      <c r="AI613" s="263"/>
      <c r="AJ613" s="263"/>
      <c r="AK613" s="263"/>
      <c r="AN613" s="115"/>
      <c r="AO613" s="115"/>
    </row>
    <row r="614">
      <c r="A614" s="397"/>
      <c r="B614" s="385"/>
      <c r="C614" s="385"/>
      <c r="H614" s="115"/>
      <c r="I614" s="115"/>
      <c r="J614" s="115"/>
      <c r="K614" s="115"/>
      <c r="L614" s="115"/>
      <c r="M614" s="353"/>
      <c r="N614" s="115"/>
      <c r="O614" s="115"/>
      <c r="P614" s="115"/>
      <c r="Q614" s="115"/>
      <c r="R614" s="115"/>
      <c r="S614" s="115"/>
      <c r="T614" s="115"/>
      <c r="U614" s="115"/>
      <c r="V614" s="115"/>
      <c r="W614" s="115"/>
      <c r="X614" s="115"/>
      <c r="Y614" s="115"/>
      <c r="Z614" s="115"/>
      <c r="AA614" s="115"/>
      <c r="AB614" s="115"/>
      <c r="AI614" s="263"/>
      <c r="AJ614" s="263"/>
      <c r="AK614" s="263"/>
      <c r="AN614" s="115"/>
      <c r="AO614" s="115"/>
    </row>
    <row r="615">
      <c r="A615" s="397"/>
      <c r="B615" s="385"/>
      <c r="C615" s="385"/>
      <c r="H615" s="115"/>
      <c r="I615" s="115"/>
      <c r="J615" s="115"/>
      <c r="K615" s="115"/>
      <c r="L615" s="115"/>
      <c r="M615" s="353"/>
      <c r="N615" s="115"/>
      <c r="O615" s="115"/>
      <c r="P615" s="115"/>
      <c r="Q615" s="115"/>
      <c r="R615" s="115"/>
      <c r="S615" s="115"/>
      <c r="T615" s="115"/>
      <c r="U615" s="115"/>
      <c r="V615" s="115"/>
      <c r="W615" s="115"/>
      <c r="X615" s="115"/>
      <c r="Y615" s="115"/>
      <c r="Z615" s="115"/>
      <c r="AA615" s="115"/>
      <c r="AB615" s="115"/>
      <c r="AI615" s="263"/>
      <c r="AJ615" s="263"/>
      <c r="AK615" s="263"/>
      <c r="AN615" s="115"/>
      <c r="AO615" s="115"/>
    </row>
    <row r="616">
      <c r="A616" s="397"/>
      <c r="B616" s="385"/>
      <c r="C616" s="385"/>
      <c r="H616" s="115"/>
      <c r="I616" s="115"/>
      <c r="J616" s="115"/>
      <c r="K616" s="115"/>
      <c r="L616" s="115"/>
      <c r="M616" s="353"/>
      <c r="N616" s="115"/>
      <c r="O616" s="115"/>
      <c r="P616" s="115"/>
      <c r="Q616" s="115"/>
      <c r="R616" s="115"/>
      <c r="S616" s="115"/>
      <c r="T616" s="115"/>
      <c r="U616" s="115"/>
      <c r="V616" s="115"/>
      <c r="W616" s="115"/>
      <c r="X616" s="115"/>
      <c r="Y616" s="115"/>
      <c r="Z616" s="115"/>
      <c r="AA616" s="115"/>
      <c r="AB616" s="115"/>
      <c r="AI616" s="263"/>
      <c r="AJ616" s="263"/>
      <c r="AK616" s="263"/>
      <c r="AN616" s="115"/>
      <c r="AO616" s="115"/>
    </row>
    <row r="617">
      <c r="A617" s="397"/>
      <c r="B617" s="385"/>
      <c r="C617" s="385"/>
      <c r="H617" s="115"/>
      <c r="I617" s="115"/>
      <c r="J617" s="115"/>
      <c r="K617" s="115"/>
      <c r="L617" s="115"/>
      <c r="M617" s="353"/>
      <c r="N617" s="115"/>
      <c r="O617" s="115"/>
      <c r="P617" s="115"/>
      <c r="Q617" s="115"/>
      <c r="R617" s="115"/>
      <c r="S617" s="115"/>
      <c r="T617" s="115"/>
      <c r="U617" s="115"/>
      <c r="V617" s="115"/>
      <c r="W617" s="115"/>
      <c r="X617" s="115"/>
      <c r="Y617" s="115"/>
      <c r="Z617" s="115"/>
      <c r="AA617" s="115"/>
      <c r="AB617" s="115"/>
      <c r="AI617" s="263"/>
      <c r="AJ617" s="263"/>
      <c r="AK617" s="263"/>
      <c r="AN617" s="115"/>
      <c r="AO617" s="115"/>
    </row>
    <row r="618">
      <c r="A618" s="397"/>
      <c r="B618" s="385"/>
      <c r="C618" s="385"/>
      <c r="H618" s="115"/>
      <c r="I618" s="115"/>
      <c r="J618" s="115"/>
      <c r="K618" s="115"/>
      <c r="L618" s="115"/>
      <c r="M618" s="353"/>
      <c r="N618" s="115"/>
      <c r="O618" s="115"/>
      <c r="P618" s="115"/>
      <c r="Q618" s="115"/>
      <c r="R618" s="115"/>
      <c r="S618" s="115"/>
      <c r="T618" s="115"/>
      <c r="U618" s="115"/>
      <c r="V618" s="115"/>
      <c r="W618" s="115"/>
      <c r="X618" s="115"/>
      <c r="Y618" s="115"/>
      <c r="Z618" s="115"/>
      <c r="AA618" s="115"/>
      <c r="AB618" s="115"/>
      <c r="AI618" s="263"/>
      <c r="AJ618" s="263"/>
      <c r="AK618" s="263"/>
      <c r="AN618" s="115"/>
      <c r="AO618" s="115"/>
    </row>
    <row r="619">
      <c r="A619" s="397"/>
      <c r="B619" s="385"/>
      <c r="C619" s="385"/>
      <c r="H619" s="115"/>
      <c r="I619" s="115"/>
      <c r="J619" s="115"/>
      <c r="K619" s="115"/>
      <c r="L619" s="115"/>
      <c r="M619" s="353"/>
      <c r="N619" s="115"/>
      <c r="O619" s="115"/>
      <c r="P619" s="115"/>
      <c r="Q619" s="115"/>
      <c r="R619" s="115"/>
      <c r="S619" s="115"/>
      <c r="T619" s="115"/>
      <c r="U619" s="115"/>
      <c r="V619" s="115"/>
      <c r="W619" s="115"/>
      <c r="X619" s="115"/>
      <c r="Y619" s="115"/>
      <c r="Z619" s="115"/>
      <c r="AA619" s="115"/>
      <c r="AB619" s="115"/>
      <c r="AI619" s="263"/>
      <c r="AJ619" s="263"/>
      <c r="AK619" s="263"/>
      <c r="AN619" s="115"/>
      <c r="AO619" s="115"/>
    </row>
    <row r="620">
      <c r="A620" s="397"/>
      <c r="B620" s="385"/>
      <c r="C620" s="385"/>
      <c r="H620" s="115"/>
      <c r="I620" s="115"/>
      <c r="J620" s="115"/>
      <c r="K620" s="115"/>
      <c r="L620" s="115"/>
      <c r="M620" s="353"/>
      <c r="N620" s="115"/>
      <c r="O620" s="115"/>
      <c r="P620" s="115"/>
      <c r="Q620" s="115"/>
      <c r="R620" s="115"/>
      <c r="S620" s="115"/>
      <c r="T620" s="115"/>
      <c r="U620" s="115"/>
      <c r="V620" s="115"/>
      <c r="W620" s="115"/>
      <c r="X620" s="115"/>
      <c r="Y620" s="115"/>
      <c r="Z620" s="115"/>
      <c r="AA620" s="115"/>
      <c r="AB620" s="115"/>
      <c r="AI620" s="263"/>
      <c r="AJ620" s="263"/>
      <c r="AK620" s="263"/>
      <c r="AN620" s="115"/>
      <c r="AO620" s="115"/>
    </row>
    <row r="621">
      <c r="A621" s="397"/>
      <c r="B621" s="385"/>
      <c r="C621" s="385"/>
      <c r="H621" s="115"/>
      <c r="I621" s="115"/>
      <c r="J621" s="115"/>
      <c r="K621" s="115"/>
      <c r="L621" s="115"/>
      <c r="M621" s="353"/>
      <c r="N621" s="115"/>
      <c r="O621" s="115"/>
      <c r="P621" s="115"/>
      <c r="Q621" s="115"/>
      <c r="R621" s="115"/>
      <c r="S621" s="115"/>
      <c r="T621" s="115"/>
      <c r="U621" s="115"/>
      <c r="V621" s="115"/>
      <c r="W621" s="115"/>
      <c r="X621" s="115"/>
      <c r="Y621" s="115"/>
      <c r="Z621" s="115"/>
      <c r="AA621" s="115"/>
      <c r="AB621" s="115"/>
      <c r="AI621" s="263"/>
      <c r="AJ621" s="263"/>
      <c r="AK621" s="263"/>
      <c r="AN621" s="115"/>
      <c r="AO621" s="115"/>
    </row>
    <row r="622">
      <c r="A622" s="397"/>
      <c r="B622" s="385"/>
      <c r="C622" s="385"/>
      <c r="H622" s="115"/>
      <c r="I622" s="115"/>
      <c r="J622" s="115"/>
      <c r="K622" s="115"/>
      <c r="L622" s="115"/>
      <c r="M622" s="353"/>
      <c r="N622" s="115"/>
      <c r="O622" s="115"/>
      <c r="P622" s="115"/>
      <c r="Q622" s="115"/>
      <c r="R622" s="115"/>
      <c r="S622" s="115"/>
      <c r="T622" s="115"/>
      <c r="U622" s="115"/>
      <c r="V622" s="115"/>
      <c r="W622" s="115"/>
      <c r="X622" s="115"/>
      <c r="Y622" s="115"/>
      <c r="Z622" s="115"/>
      <c r="AA622" s="115"/>
      <c r="AB622" s="115"/>
      <c r="AI622" s="263"/>
      <c r="AJ622" s="263"/>
      <c r="AK622" s="263"/>
      <c r="AN622" s="115"/>
      <c r="AO622" s="115"/>
    </row>
    <row r="623">
      <c r="A623" s="397"/>
      <c r="B623" s="385"/>
      <c r="C623" s="385"/>
      <c r="H623" s="115"/>
      <c r="I623" s="115"/>
      <c r="J623" s="115"/>
      <c r="K623" s="115"/>
      <c r="L623" s="115"/>
      <c r="M623" s="353"/>
      <c r="N623" s="115"/>
      <c r="O623" s="115"/>
      <c r="P623" s="115"/>
      <c r="Q623" s="115"/>
      <c r="R623" s="115"/>
      <c r="S623" s="115"/>
      <c r="T623" s="115"/>
      <c r="U623" s="115"/>
      <c r="V623" s="115"/>
      <c r="W623" s="115"/>
      <c r="X623" s="115"/>
      <c r="Y623" s="115"/>
      <c r="Z623" s="115"/>
      <c r="AA623" s="115"/>
      <c r="AB623" s="115"/>
      <c r="AI623" s="263"/>
      <c r="AJ623" s="263"/>
      <c r="AK623" s="263"/>
      <c r="AN623" s="115"/>
      <c r="AO623" s="115"/>
    </row>
    <row r="624">
      <c r="A624" s="397"/>
      <c r="B624" s="385"/>
      <c r="C624" s="385"/>
      <c r="H624" s="115"/>
      <c r="I624" s="115"/>
      <c r="J624" s="115"/>
      <c r="K624" s="115"/>
      <c r="L624" s="115"/>
      <c r="M624" s="353"/>
      <c r="N624" s="115"/>
      <c r="O624" s="115"/>
      <c r="P624" s="115"/>
      <c r="Q624" s="115"/>
      <c r="R624" s="115"/>
      <c r="S624" s="115"/>
      <c r="T624" s="115"/>
      <c r="U624" s="115"/>
      <c r="V624" s="115"/>
      <c r="W624" s="115"/>
      <c r="X624" s="115"/>
      <c r="Y624" s="115"/>
      <c r="Z624" s="115"/>
      <c r="AA624" s="115"/>
      <c r="AB624" s="115"/>
      <c r="AI624" s="263"/>
      <c r="AJ624" s="263"/>
      <c r="AK624" s="263"/>
      <c r="AN624" s="115"/>
      <c r="AO624" s="115"/>
    </row>
    <row r="625">
      <c r="A625" s="397"/>
      <c r="B625" s="385"/>
      <c r="C625" s="385"/>
      <c r="H625" s="115"/>
      <c r="I625" s="115"/>
      <c r="J625" s="115"/>
      <c r="K625" s="115"/>
      <c r="L625" s="115"/>
      <c r="M625" s="353"/>
      <c r="N625" s="115"/>
      <c r="O625" s="115"/>
      <c r="P625" s="115"/>
      <c r="Q625" s="115"/>
      <c r="R625" s="115"/>
      <c r="S625" s="115"/>
      <c r="T625" s="115"/>
      <c r="U625" s="115"/>
      <c r="V625" s="115"/>
      <c r="W625" s="115"/>
      <c r="X625" s="115"/>
      <c r="Y625" s="115"/>
      <c r="Z625" s="115"/>
      <c r="AA625" s="115"/>
      <c r="AB625" s="115"/>
      <c r="AI625" s="263"/>
      <c r="AJ625" s="263"/>
      <c r="AK625" s="263"/>
      <c r="AN625" s="115"/>
      <c r="AO625" s="115"/>
    </row>
    <row r="626">
      <c r="A626" s="397"/>
      <c r="B626" s="385"/>
      <c r="C626" s="385"/>
      <c r="H626" s="115"/>
      <c r="I626" s="115"/>
      <c r="J626" s="115"/>
      <c r="K626" s="115"/>
      <c r="L626" s="115"/>
      <c r="M626" s="353"/>
      <c r="N626" s="115"/>
      <c r="O626" s="115"/>
      <c r="P626" s="115"/>
      <c r="Q626" s="115"/>
      <c r="R626" s="115"/>
      <c r="S626" s="115"/>
      <c r="T626" s="115"/>
      <c r="U626" s="115"/>
      <c r="V626" s="115"/>
      <c r="W626" s="115"/>
      <c r="X626" s="115"/>
      <c r="Y626" s="115"/>
      <c r="Z626" s="115"/>
      <c r="AA626" s="115"/>
      <c r="AB626" s="115"/>
      <c r="AI626" s="263"/>
      <c r="AJ626" s="263"/>
      <c r="AK626" s="263"/>
      <c r="AN626" s="115"/>
      <c r="AO626" s="115"/>
    </row>
    <row r="627">
      <c r="A627" s="397"/>
      <c r="B627" s="385"/>
      <c r="C627" s="385"/>
      <c r="H627" s="115"/>
      <c r="I627" s="115"/>
      <c r="J627" s="115"/>
      <c r="K627" s="115"/>
      <c r="L627" s="115"/>
      <c r="M627" s="353"/>
      <c r="N627" s="115"/>
      <c r="O627" s="115"/>
      <c r="P627" s="115"/>
      <c r="Q627" s="115"/>
      <c r="R627" s="115"/>
      <c r="S627" s="115"/>
      <c r="T627" s="115"/>
      <c r="U627" s="115"/>
      <c r="V627" s="115"/>
      <c r="W627" s="115"/>
      <c r="X627" s="115"/>
      <c r="Y627" s="115"/>
      <c r="Z627" s="115"/>
      <c r="AA627" s="115"/>
      <c r="AB627" s="115"/>
      <c r="AI627" s="263"/>
      <c r="AJ627" s="263"/>
      <c r="AK627" s="263"/>
      <c r="AN627" s="115"/>
      <c r="AO627" s="115"/>
    </row>
    <row r="628">
      <c r="A628" s="397"/>
      <c r="B628" s="385"/>
      <c r="C628" s="385"/>
      <c r="H628" s="115"/>
      <c r="I628" s="115"/>
      <c r="J628" s="115"/>
      <c r="K628" s="115"/>
      <c r="L628" s="115"/>
      <c r="M628" s="353"/>
      <c r="N628" s="115"/>
      <c r="O628" s="115"/>
      <c r="P628" s="115"/>
      <c r="Q628" s="115"/>
      <c r="R628" s="115"/>
      <c r="S628" s="115"/>
      <c r="T628" s="115"/>
      <c r="U628" s="115"/>
      <c r="V628" s="115"/>
      <c r="W628" s="115"/>
      <c r="X628" s="115"/>
      <c r="Y628" s="115"/>
      <c r="Z628" s="115"/>
      <c r="AA628" s="115"/>
      <c r="AB628" s="115"/>
      <c r="AI628" s="263"/>
      <c r="AJ628" s="263"/>
      <c r="AK628" s="263"/>
      <c r="AN628" s="115"/>
      <c r="AO628" s="115"/>
    </row>
    <row r="629">
      <c r="A629" s="397"/>
      <c r="B629" s="385"/>
      <c r="C629" s="385"/>
      <c r="H629" s="115"/>
      <c r="I629" s="115"/>
      <c r="J629" s="115"/>
      <c r="K629" s="115"/>
      <c r="L629" s="115"/>
      <c r="M629" s="353"/>
      <c r="N629" s="115"/>
      <c r="O629" s="115"/>
      <c r="P629" s="115"/>
      <c r="Q629" s="115"/>
      <c r="R629" s="115"/>
      <c r="S629" s="115"/>
      <c r="T629" s="115"/>
      <c r="U629" s="115"/>
      <c r="V629" s="115"/>
      <c r="W629" s="115"/>
      <c r="X629" s="115"/>
      <c r="Y629" s="115"/>
      <c r="Z629" s="115"/>
      <c r="AA629" s="115"/>
      <c r="AB629" s="115"/>
      <c r="AI629" s="263"/>
      <c r="AJ629" s="263"/>
      <c r="AK629" s="263"/>
      <c r="AN629" s="115"/>
      <c r="AO629" s="115"/>
    </row>
    <row r="630">
      <c r="A630" s="397"/>
      <c r="B630" s="385"/>
      <c r="C630" s="385"/>
      <c r="H630" s="115"/>
      <c r="I630" s="115"/>
      <c r="J630" s="115"/>
      <c r="K630" s="115"/>
      <c r="L630" s="115"/>
      <c r="M630" s="353"/>
      <c r="N630" s="115"/>
      <c r="O630" s="115"/>
      <c r="P630" s="115"/>
      <c r="Q630" s="115"/>
      <c r="R630" s="115"/>
      <c r="S630" s="115"/>
      <c r="T630" s="115"/>
      <c r="U630" s="115"/>
      <c r="V630" s="115"/>
      <c r="W630" s="115"/>
      <c r="X630" s="115"/>
      <c r="Y630" s="115"/>
      <c r="Z630" s="115"/>
      <c r="AA630" s="115"/>
      <c r="AB630" s="115"/>
      <c r="AI630" s="263"/>
      <c r="AJ630" s="263"/>
      <c r="AK630" s="263"/>
      <c r="AN630" s="115"/>
      <c r="AO630" s="115"/>
    </row>
    <row r="631">
      <c r="A631" s="397"/>
      <c r="B631" s="385"/>
      <c r="C631" s="385"/>
      <c r="H631" s="115"/>
      <c r="I631" s="115"/>
      <c r="J631" s="115"/>
      <c r="K631" s="115"/>
      <c r="L631" s="115"/>
      <c r="M631" s="353"/>
      <c r="N631" s="115"/>
      <c r="O631" s="115"/>
      <c r="P631" s="115"/>
      <c r="Q631" s="115"/>
      <c r="R631" s="115"/>
      <c r="S631" s="115"/>
      <c r="T631" s="115"/>
      <c r="U631" s="115"/>
      <c r="V631" s="115"/>
      <c r="W631" s="115"/>
      <c r="X631" s="115"/>
      <c r="Y631" s="115"/>
      <c r="Z631" s="115"/>
      <c r="AA631" s="115"/>
      <c r="AB631" s="115"/>
      <c r="AI631" s="263"/>
      <c r="AJ631" s="263"/>
      <c r="AK631" s="263"/>
      <c r="AN631" s="115"/>
      <c r="AO631" s="115"/>
    </row>
    <row r="632">
      <c r="A632" s="397"/>
      <c r="B632" s="385"/>
      <c r="C632" s="385"/>
      <c r="H632" s="115"/>
      <c r="I632" s="115"/>
      <c r="J632" s="115"/>
      <c r="K632" s="115"/>
      <c r="L632" s="115"/>
      <c r="M632" s="353"/>
      <c r="N632" s="115"/>
      <c r="O632" s="115"/>
      <c r="P632" s="115"/>
      <c r="Q632" s="115"/>
      <c r="R632" s="115"/>
      <c r="S632" s="115"/>
      <c r="T632" s="115"/>
      <c r="U632" s="115"/>
      <c r="V632" s="115"/>
      <c r="W632" s="115"/>
      <c r="X632" s="115"/>
      <c r="Y632" s="115"/>
      <c r="Z632" s="115"/>
      <c r="AA632" s="115"/>
      <c r="AB632" s="115"/>
      <c r="AI632" s="263"/>
      <c r="AJ632" s="263"/>
      <c r="AK632" s="263"/>
      <c r="AN632" s="115"/>
      <c r="AO632" s="115"/>
    </row>
    <row r="633">
      <c r="A633" s="397"/>
      <c r="B633" s="385"/>
      <c r="C633" s="385"/>
      <c r="H633" s="115"/>
      <c r="I633" s="115"/>
      <c r="J633" s="115"/>
      <c r="K633" s="115"/>
      <c r="L633" s="115"/>
      <c r="M633" s="353"/>
      <c r="N633" s="115"/>
      <c r="O633" s="115"/>
      <c r="P633" s="115"/>
      <c r="Q633" s="115"/>
      <c r="R633" s="115"/>
      <c r="S633" s="115"/>
      <c r="T633" s="115"/>
      <c r="U633" s="115"/>
      <c r="V633" s="115"/>
      <c r="W633" s="115"/>
      <c r="X633" s="115"/>
      <c r="Y633" s="115"/>
      <c r="Z633" s="115"/>
      <c r="AA633" s="115"/>
      <c r="AB633" s="115"/>
      <c r="AI633" s="263"/>
      <c r="AJ633" s="263"/>
      <c r="AK633" s="263"/>
      <c r="AN633" s="115"/>
      <c r="AO633" s="115"/>
    </row>
    <row r="634">
      <c r="A634" s="397"/>
      <c r="B634" s="385"/>
      <c r="C634" s="385"/>
      <c r="H634" s="115"/>
      <c r="I634" s="115"/>
      <c r="J634" s="115"/>
      <c r="K634" s="115"/>
      <c r="L634" s="115"/>
      <c r="M634" s="353"/>
      <c r="N634" s="115"/>
      <c r="O634" s="115"/>
      <c r="P634" s="115"/>
      <c r="Q634" s="115"/>
      <c r="R634" s="115"/>
      <c r="S634" s="115"/>
      <c r="T634" s="115"/>
      <c r="U634" s="115"/>
      <c r="V634" s="115"/>
      <c r="W634" s="115"/>
      <c r="X634" s="115"/>
      <c r="Y634" s="115"/>
      <c r="Z634" s="115"/>
      <c r="AA634" s="115"/>
      <c r="AB634" s="115"/>
      <c r="AI634" s="263"/>
      <c r="AJ634" s="263"/>
      <c r="AK634" s="263"/>
      <c r="AN634" s="115"/>
      <c r="AO634" s="115"/>
    </row>
    <row r="635">
      <c r="A635" s="397"/>
      <c r="B635" s="385"/>
      <c r="C635" s="385"/>
      <c r="H635" s="115"/>
      <c r="I635" s="115"/>
      <c r="J635" s="115"/>
      <c r="K635" s="115"/>
      <c r="L635" s="115"/>
      <c r="M635" s="353"/>
      <c r="N635" s="115"/>
      <c r="O635" s="115"/>
      <c r="P635" s="115"/>
      <c r="Q635" s="115"/>
      <c r="R635" s="115"/>
      <c r="S635" s="115"/>
      <c r="T635" s="115"/>
      <c r="U635" s="115"/>
      <c r="V635" s="115"/>
      <c r="W635" s="115"/>
      <c r="X635" s="115"/>
      <c r="Y635" s="115"/>
      <c r="Z635" s="115"/>
      <c r="AA635" s="115"/>
      <c r="AB635" s="115"/>
      <c r="AI635" s="263"/>
      <c r="AJ635" s="263"/>
      <c r="AK635" s="263"/>
      <c r="AN635" s="115"/>
      <c r="AO635" s="115"/>
    </row>
    <row r="636">
      <c r="A636" s="397"/>
      <c r="B636" s="385"/>
      <c r="C636" s="385"/>
      <c r="H636" s="115"/>
      <c r="I636" s="115"/>
      <c r="J636" s="115"/>
      <c r="K636" s="115"/>
      <c r="L636" s="115"/>
      <c r="M636" s="353"/>
      <c r="N636" s="115"/>
      <c r="O636" s="115"/>
      <c r="P636" s="115"/>
      <c r="Q636" s="115"/>
      <c r="R636" s="115"/>
      <c r="S636" s="115"/>
      <c r="T636" s="115"/>
      <c r="U636" s="115"/>
      <c r="V636" s="115"/>
      <c r="W636" s="115"/>
      <c r="X636" s="115"/>
      <c r="Y636" s="115"/>
      <c r="Z636" s="115"/>
      <c r="AA636" s="115"/>
      <c r="AB636" s="115"/>
      <c r="AI636" s="263"/>
      <c r="AJ636" s="263"/>
      <c r="AK636" s="263"/>
      <c r="AN636" s="115"/>
      <c r="AO636" s="115"/>
    </row>
    <row r="637">
      <c r="A637" s="397"/>
      <c r="B637" s="385"/>
      <c r="C637" s="385"/>
      <c r="H637" s="115"/>
      <c r="I637" s="115"/>
      <c r="J637" s="115"/>
      <c r="K637" s="115"/>
      <c r="L637" s="115"/>
      <c r="M637" s="353"/>
      <c r="N637" s="115"/>
      <c r="O637" s="115"/>
      <c r="P637" s="115"/>
      <c r="Q637" s="115"/>
      <c r="R637" s="115"/>
      <c r="S637" s="115"/>
      <c r="T637" s="115"/>
      <c r="U637" s="115"/>
      <c r="V637" s="115"/>
      <c r="W637" s="115"/>
      <c r="X637" s="115"/>
      <c r="Y637" s="115"/>
      <c r="Z637" s="115"/>
      <c r="AA637" s="115"/>
      <c r="AB637" s="115"/>
      <c r="AI637" s="263"/>
      <c r="AJ637" s="263"/>
      <c r="AK637" s="263"/>
      <c r="AN637" s="115"/>
      <c r="AO637" s="115"/>
    </row>
    <row r="638">
      <c r="A638" s="397"/>
      <c r="B638" s="385"/>
      <c r="C638" s="385"/>
      <c r="H638" s="115"/>
      <c r="I638" s="115"/>
      <c r="J638" s="115"/>
      <c r="K638" s="115"/>
      <c r="L638" s="115"/>
      <c r="M638" s="353"/>
      <c r="N638" s="115"/>
      <c r="O638" s="115"/>
      <c r="P638" s="115"/>
      <c r="Q638" s="115"/>
      <c r="R638" s="115"/>
      <c r="S638" s="115"/>
      <c r="T638" s="115"/>
      <c r="U638" s="115"/>
      <c r="V638" s="115"/>
      <c r="W638" s="115"/>
      <c r="X638" s="115"/>
      <c r="Y638" s="115"/>
      <c r="Z638" s="115"/>
      <c r="AA638" s="115"/>
      <c r="AB638" s="115"/>
      <c r="AI638" s="263"/>
      <c r="AJ638" s="263"/>
      <c r="AK638" s="263"/>
      <c r="AN638" s="115"/>
      <c r="AO638" s="115"/>
    </row>
    <row r="639">
      <c r="A639" s="397"/>
      <c r="B639" s="385"/>
      <c r="C639" s="385"/>
      <c r="H639" s="115"/>
      <c r="I639" s="115"/>
      <c r="J639" s="115"/>
      <c r="K639" s="115"/>
      <c r="L639" s="115"/>
      <c r="M639" s="353"/>
      <c r="N639" s="115"/>
      <c r="O639" s="115"/>
      <c r="P639" s="115"/>
      <c r="Q639" s="115"/>
      <c r="R639" s="115"/>
      <c r="S639" s="115"/>
      <c r="T639" s="115"/>
      <c r="U639" s="115"/>
      <c r="V639" s="115"/>
      <c r="W639" s="115"/>
      <c r="X639" s="115"/>
      <c r="Y639" s="115"/>
      <c r="Z639" s="115"/>
      <c r="AA639" s="115"/>
      <c r="AB639" s="115"/>
      <c r="AI639" s="263"/>
      <c r="AJ639" s="263"/>
      <c r="AK639" s="263"/>
      <c r="AN639" s="115"/>
      <c r="AO639" s="115"/>
    </row>
    <row r="640">
      <c r="A640" s="397"/>
      <c r="B640" s="385"/>
      <c r="C640" s="385"/>
      <c r="H640" s="115"/>
      <c r="I640" s="115"/>
      <c r="J640" s="115"/>
      <c r="K640" s="115"/>
      <c r="L640" s="115"/>
      <c r="M640" s="353"/>
      <c r="N640" s="115"/>
      <c r="O640" s="115"/>
      <c r="P640" s="115"/>
      <c r="Q640" s="115"/>
      <c r="R640" s="115"/>
      <c r="S640" s="115"/>
      <c r="T640" s="115"/>
      <c r="U640" s="115"/>
      <c r="V640" s="115"/>
      <c r="W640" s="115"/>
      <c r="X640" s="115"/>
      <c r="Y640" s="115"/>
      <c r="Z640" s="115"/>
      <c r="AA640" s="115"/>
      <c r="AB640" s="115"/>
      <c r="AI640" s="263"/>
      <c r="AJ640" s="263"/>
      <c r="AK640" s="263"/>
      <c r="AN640" s="115"/>
      <c r="AO640" s="115"/>
    </row>
    <row r="641">
      <c r="A641" s="397"/>
      <c r="B641" s="385"/>
      <c r="C641" s="385"/>
      <c r="H641" s="115"/>
      <c r="I641" s="115"/>
      <c r="J641" s="115"/>
      <c r="K641" s="115"/>
      <c r="L641" s="115"/>
      <c r="M641" s="353"/>
      <c r="N641" s="115"/>
      <c r="O641" s="115"/>
      <c r="P641" s="115"/>
      <c r="Q641" s="115"/>
      <c r="R641" s="115"/>
      <c r="S641" s="115"/>
      <c r="T641" s="115"/>
      <c r="U641" s="115"/>
      <c r="V641" s="115"/>
      <c r="W641" s="115"/>
      <c r="X641" s="115"/>
      <c r="Y641" s="115"/>
      <c r="Z641" s="115"/>
      <c r="AA641" s="115"/>
      <c r="AB641" s="115"/>
      <c r="AI641" s="263"/>
      <c r="AJ641" s="263"/>
      <c r="AK641" s="263"/>
      <c r="AN641" s="115"/>
      <c r="AO641" s="115"/>
    </row>
    <row r="642">
      <c r="A642" s="397"/>
      <c r="B642" s="385"/>
      <c r="C642" s="385"/>
      <c r="H642" s="115"/>
      <c r="I642" s="115"/>
      <c r="J642" s="115"/>
      <c r="K642" s="115"/>
      <c r="L642" s="115"/>
      <c r="M642" s="353"/>
      <c r="N642" s="115"/>
      <c r="O642" s="115"/>
      <c r="P642" s="115"/>
      <c r="Q642" s="115"/>
      <c r="R642" s="115"/>
      <c r="S642" s="115"/>
      <c r="T642" s="115"/>
      <c r="U642" s="115"/>
      <c r="V642" s="115"/>
      <c r="W642" s="115"/>
      <c r="X642" s="115"/>
      <c r="Y642" s="115"/>
      <c r="Z642" s="115"/>
      <c r="AA642" s="115"/>
      <c r="AB642" s="115"/>
      <c r="AI642" s="263"/>
      <c r="AJ642" s="263"/>
      <c r="AK642" s="263"/>
      <c r="AN642" s="115"/>
      <c r="AO642" s="115"/>
    </row>
    <row r="643">
      <c r="A643" s="397"/>
      <c r="B643" s="385"/>
      <c r="C643" s="385"/>
      <c r="H643" s="115"/>
      <c r="I643" s="115"/>
      <c r="J643" s="115"/>
      <c r="K643" s="115"/>
      <c r="L643" s="115"/>
      <c r="M643" s="353"/>
      <c r="N643" s="115"/>
      <c r="O643" s="115"/>
      <c r="P643" s="115"/>
      <c r="Q643" s="115"/>
      <c r="R643" s="115"/>
      <c r="S643" s="115"/>
      <c r="T643" s="115"/>
      <c r="U643" s="115"/>
      <c r="V643" s="115"/>
      <c r="W643" s="115"/>
      <c r="X643" s="115"/>
      <c r="Y643" s="115"/>
      <c r="Z643" s="115"/>
      <c r="AA643" s="115"/>
      <c r="AB643" s="115"/>
      <c r="AI643" s="263"/>
      <c r="AJ643" s="263"/>
      <c r="AK643" s="263"/>
      <c r="AN643" s="115"/>
      <c r="AO643" s="115"/>
    </row>
    <row r="644">
      <c r="A644" s="397"/>
      <c r="B644" s="385"/>
      <c r="C644" s="385"/>
      <c r="H644" s="115"/>
      <c r="I644" s="115"/>
      <c r="J644" s="115"/>
      <c r="K644" s="115"/>
      <c r="L644" s="115"/>
      <c r="M644" s="353"/>
      <c r="N644" s="115"/>
      <c r="O644" s="115"/>
      <c r="P644" s="115"/>
      <c r="Q644" s="115"/>
      <c r="R644" s="115"/>
      <c r="S644" s="115"/>
      <c r="T644" s="115"/>
      <c r="U644" s="115"/>
      <c r="V644" s="115"/>
      <c r="W644" s="115"/>
      <c r="X644" s="115"/>
      <c r="Y644" s="115"/>
      <c r="Z644" s="115"/>
      <c r="AA644" s="115"/>
      <c r="AB644" s="115"/>
      <c r="AI644" s="263"/>
      <c r="AJ644" s="263"/>
      <c r="AK644" s="263"/>
      <c r="AN644" s="115"/>
      <c r="AO644" s="115"/>
    </row>
    <row r="645">
      <c r="A645" s="397"/>
      <c r="B645" s="385"/>
      <c r="C645" s="385"/>
      <c r="H645" s="115"/>
      <c r="I645" s="115"/>
      <c r="J645" s="115"/>
      <c r="K645" s="115"/>
      <c r="L645" s="115"/>
      <c r="M645" s="353"/>
      <c r="N645" s="115"/>
      <c r="O645" s="115"/>
      <c r="P645" s="115"/>
      <c r="Q645" s="115"/>
      <c r="R645" s="115"/>
      <c r="S645" s="115"/>
      <c r="T645" s="115"/>
      <c r="U645" s="115"/>
      <c r="V645" s="115"/>
      <c r="W645" s="115"/>
      <c r="X645" s="115"/>
      <c r="Y645" s="115"/>
      <c r="Z645" s="115"/>
      <c r="AA645" s="115"/>
      <c r="AB645" s="115"/>
      <c r="AI645" s="263"/>
      <c r="AJ645" s="263"/>
      <c r="AK645" s="263"/>
      <c r="AN645" s="115"/>
      <c r="AO645" s="115"/>
    </row>
    <row r="646">
      <c r="A646" s="397"/>
      <c r="B646" s="385"/>
      <c r="C646" s="385"/>
      <c r="H646" s="115"/>
      <c r="I646" s="115"/>
      <c r="J646" s="115"/>
      <c r="K646" s="115"/>
      <c r="L646" s="115"/>
      <c r="M646" s="353"/>
      <c r="N646" s="115"/>
      <c r="O646" s="115"/>
      <c r="P646" s="115"/>
      <c r="Q646" s="115"/>
      <c r="R646" s="115"/>
      <c r="S646" s="115"/>
      <c r="T646" s="115"/>
      <c r="U646" s="115"/>
      <c r="V646" s="115"/>
      <c r="W646" s="115"/>
      <c r="X646" s="115"/>
      <c r="Y646" s="115"/>
      <c r="Z646" s="115"/>
      <c r="AA646" s="115"/>
      <c r="AB646" s="115"/>
      <c r="AI646" s="263"/>
      <c r="AJ646" s="263"/>
      <c r="AK646" s="263"/>
      <c r="AN646" s="115"/>
      <c r="AO646" s="115"/>
    </row>
    <row r="647">
      <c r="A647" s="397"/>
      <c r="B647" s="385"/>
      <c r="C647" s="385"/>
      <c r="H647" s="115"/>
      <c r="I647" s="115"/>
      <c r="J647" s="115"/>
      <c r="K647" s="115"/>
      <c r="L647" s="115"/>
      <c r="M647" s="353"/>
      <c r="N647" s="115"/>
      <c r="O647" s="115"/>
      <c r="P647" s="115"/>
      <c r="Q647" s="115"/>
      <c r="R647" s="115"/>
      <c r="S647" s="115"/>
      <c r="T647" s="115"/>
      <c r="U647" s="115"/>
      <c r="V647" s="115"/>
      <c r="W647" s="115"/>
      <c r="X647" s="115"/>
      <c r="Y647" s="115"/>
      <c r="Z647" s="115"/>
      <c r="AA647" s="115"/>
      <c r="AB647" s="115"/>
      <c r="AI647" s="263"/>
      <c r="AJ647" s="263"/>
      <c r="AK647" s="263"/>
      <c r="AN647" s="115"/>
      <c r="AO647" s="115"/>
    </row>
    <row r="648">
      <c r="A648" s="397"/>
      <c r="B648" s="385"/>
      <c r="C648" s="385"/>
      <c r="H648" s="115"/>
      <c r="I648" s="115"/>
      <c r="J648" s="115"/>
      <c r="K648" s="115"/>
      <c r="L648" s="115"/>
      <c r="M648" s="353"/>
      <c r="N648" s="115"/>
      <c r="O648" s="115"/>
      <c r="P648" s="115"/>
      <c r="Q648" s="115"/>
      <c r="R648" s="115"/>
      <c r="S648" s="115"/>
      <c r="T648" s="115"/>
      <c r="U648" s="115"/>
      <c r="V648" s="115"/>
      <c r="W648" s="115"/>
      <c r="X648" s="115"/>
      <c r="Y648" s="115"/>
      <c r="Z648" s="115"/>
      <c r="AA648" s="115"/>
      <c r="AB648" s="115"/>
      <c r="AI648" s="263"/>
      <c r="AJ648" s="263"/>
      <c r="AK648" s="263"/>
      <c r="AN648" s="115"/>
      <c r="AO648" s="115"/>
    </row>
    <row r="649">
      <c r="A649" s="397"/>
      <c r="B649" s="385"/>
      <c r="C649" s="385"/>
      <c r="H649" s="115"/>
      <c r="I649" s="115"/>
      <c r="J649" s="115"/>
      <c r="K649" s="115"/>
      <c r="L649" s="115"/>
      <c r="M649" s="353"/>
      <c r="N649" s="115"/>
      <c r="O649" s="115"/>
      <c r="P649" s="115"/>
      <c r="Q649" s="115"/>
      <c r="R649" s="115"/>
      <c r="S649" s="115"/>
      <c r="T649" s="115"/>
      <c r="U649" s="115"/>
      <c r="V649" s="115"/>
      <c r="W649" s="115"/>
      <c r="X649" s="115"/>
      <c r="Y649" s="115"/>
      <c r="Z649" s="115"/>
      <c r="AA649" s="115"/>
      <c r="AB649" s="115"/>
      <c r="AI649" s="263"/>
      <c r="AJ649" s="263"/>
      <c r="AK649" s="263"/>
      <c r="AN649" s="115"/>
      <c r="AO649" s="115"/>
    </row>
    <row r="650">
      <c r="A650" s="397"/>
      <c r="B650" s="385"/>
      <c r="C650" s="385"/>
      <c r="H650" s="115"/>
      <c r="I650" s="115"/>
      <c r="J650" s="115"/>
      <c r="K650" s="115"/>
      <c r="L650" s="115"/>
      <c r="M650" s="353"/>
      <c r="N650" s="115"/>
      <c r="O650" s="115"/>
      <c r="P650" s="115"/>
      <c r="Q650" s="115"/>
      <c r="R650" s="115"/>
      <c r="S650" s="115"/>
      <c r="T650" s="115"/>
      <c r="U650" s="115"/>
      <c r="V650" s="115"/>
      <c r="W650" s="115"/>
      <c r="X650" s="115"/>
      <c r="Y650" s="115"/>
      <c r="Z650" s="115"/>
      <c r="AA650" s="115"/>
      <c r="AB650" s="115"/>
      <c r="AI650" s="263"/>
      <c r="AJ650" s="263"/>
      <c r="AK650" s="263"/>
      <c r="AN650" s="115"/>
      <c r="AO650" s="115"/>
    </row>
    <row r="651">
      <c r="A651" s="397"/>
      <c r="B651" s="385"/>
      <c r="C651" s="385"/>
      <c r="H651" s="115"/>
      <c r="I651" s="115"/>
      <c r="J651" s="115"/>
      <c r="K651" s="115"/>
      <c r="L651" s="115"/>
      <c r="M651" s="353"/>
      <c r="N651" s="115"/>
      <c r="O651" s="115"/>
      <c r="P651" s="115"/>
      <c r="Q651" s="115"/>
      <c r="R651" s="115"/>
      <c r="S651" s="115"/>
      <c r="T651" s="115"/>
      <c r="U651" s="115"/>
      <c r="V651" s="115"/>
      <c r="W651" s="115"/>
      <c r="X651" s="115"/>
      <c r="Y651" s="115"/>
      <c r="Z651" s="115"/>
      <c r="AA651" s="115"/>
      <c r="AB651" s="115"/>
      <c r="AI651" s="263"/>
      <c r="AJ651" s="263"/>
      <c r="AK651" s="263"/>
      <c r="AN651" s="115"/>
      <c r="AO651" s="115"/>
    </row>
    <row r="652">
      <c r="A652" s="397"/>
      <c r="B652" s="385"/>
      <c r="C652" s="385"/>
      <c r="H652" s="115"/>
      <c r="I652" s="115"/>
      <c r="J652" s="115"/>
      <c r="K652" s="115"/>
      <c r="L652" s="115"/>
      <c r="M652" s="353"/>
      <c r="N652" s="115"/>
      <c r="O652" s="115"/>
      <c r="P652" s="115"/>
      <c r="Q652" s="115"/>
      <c r="R652" s="115"/>
      <c r="S652" s="115"/>
      <c r="T652" s="115"/>
      <c r="U652" s="115"/>
      <c r="V652" s="115"/>
      <c r="W652" s="115"/>
      <c r="X652" s="115"/>
      <c r="Y652" s="115"/>
      <c r="Z652" s="115"/>
      <c r="AA652" s="115"/>
      <c r="AB652" s="115"/>
      <c r="AI652" s="263"/>
      <c r="AJ652" s="263"/>
      <c r="AK652" s="263"/>
      <c r="AN652" s="115"/>
      <c r="AO652" s="115"/>
    </row>
    <row r="653">
      <c r="A653" s="397"/>
      <c r="B653" s="385"/>
      <c r="C653" s="385"/>
      <c r="H653" s="115"/>
      <c r="I653" s="115"/>
      <c r="J653" s="115"/>
      <c r="K653" s="115"/>
      <c r="L653" s="115"/>
      <c r="M653" s="353"/>
      <c r="N653" s="115"/>
      <c r="O653" s="115"/>
      <c r="P653" s="115"/>
      <c r="Q653" s="115"/>
      <c r="R653" s="115"/>
      <c r="S653" s="115"/>
      <c r="T653" s="115"/>
      <c r="U653" s="115"/>
      <c r="V653" s="115"/>
      <c r="W653" s="115"/>
      <c r="X653" s="115"/>
      <c r="Y653" s="115"/>
      <c r="Z653" s="115"/>
      <c r="AA653" s="115"/>
      <c r="AB653" s="115"/>
      <c r="AI653" s="263"/>
      <c r="AJ653" s="263"/>
      <c r="AK653" s="263"/>
      <c r="AN653" s="115"/>
      <c r="AO653" s="115"/>
    </row>
    <row r="654">
      <c r="A654" s="397"/>
      <c r="B654" s="385"/>
      <c r="C654" s="385"/>
      <c r="H654" s="115"/>
      <c r="I654" s="115"/>
      <c r="J654" s="115"/>
      <c r="K654" s="115"/>
      <c r="L654" s="115"/>
      <c r="M654" s="353"/>
      <c r="N654" s="115"/>
      <c r="O654" s="115"/>
      <c r="P654" s="115"/>
      <c r="Q654" s="115"/>
      <c r="R654" s="115"/>
      <c r="S654" s="115"/>
      <c r="T654" s="115"/>
      <c r="U654" s="115"/>
      <c r="V654" s="115"/>
      <c r="W654" s="115"/>
      <c r="X654" s="115"/>
      <c r="Y654" s="115"/>
      <c r="Z654" s="115"/>
      <c r="AA654" s="115"/>
      <c r="AB654" s="115"/>
      <c r="AI654" s="263"/>
      <c r="AJ654" s="263"/>
      <c r="AK654" s="263"/>
      <c r="AN654" s="115"/>
      <c r="AO654" s="115"/>
    </row>
    <row r="655">
      <c r="A655" s="397"/>
      <c r="B655" s="385"/>
      <c r="C655" s="385"/>
      <c r="H655" s="115"/>
      <c r="I655" s="115"/>
      <c r="J655" s="115"/>
      <c r="K655" s="115"/>
      <c r="L655" s="115"/>
      <c r="M655" s="353"/>
      <c r="N655" s="115"/>
      <c r="O655" s="115"/>
      <c r="P655" s="115"/>
      <c r="Q655" s="115"/>
      <c r="R655" s="115"/>
      <c r="S655" s="115"/>
      <c r="T655" s="115"/>
      <c r="U655" s="115"/>
      <c r="V655" s="115"/>
      <c r="W655" s="115"/>
      <c r="X655" s="115"/>
      <c r="Y655" s="115"/>
      <c r="Z655" s="115"/>
      <c r="AA655" s="115"/>
      <c r="AB655" s="115"/>
      <c r="AI655" s="263"/>
      <c r="AJ655" s="263"/>
      <c r="AK655" s="263"/>
      <c r="AN655" s="115"/>
      <c r="AO655" s="115"/>
    </row>
    <row r="656">
      <c r="A656" s="397"/>
      <c r="B656" s="385"/>
      <c r="C656" s="385"/>
      <c r="H656" s="115"/>
      <c r="I656" s="115"/>
      <c r="J656" s="115"/>
      <c r="K656" s="115"/>
      <c r="L656" s="115"/>
      <c r="M656" s="353"/>
      <c r="N656" s="115"/>
      <c r="O656" s="115"/>
      <c r="P656" s="115"/>
      <c r="Q656" s="115"/>
      <c r="R656" s="115"/>
      <c r="S656" s="115"/>
      <c r="T656" s="115"/>
      <c r="U656" s="115"/>
      <c r="V656" s="115"/>
      <c r="W656" s="115"/>
      <c r="X656" s="115"/>
      <c r="Y656" s="115"/>
      <c r="Z656" s="115"/>
      <c r="AA656" s="115"/>
      <c r="AB656" s="115"/>
      <c r="AI656" s="263"/>
      <c r="AJ656" s="263"/>
      <c r="AK656" s="263"/>
      <c r="AN656" s="115"/>
      <c r="AO656" s="115"/>
    </row>
    <row r="657">
      <c r="A657" s="397"/>
      <c r="B657" s="385"/>
      <c r="C657" s="385"/>
      <c r="H657" s="115"/>
      <c r="I657" s="115"/>
      <c r="J657" s="115"/>
      <c r="K657" s="115"/>
      <c r="L657" s="115"/>
      <c r="M657" s="353"/>
      <c r="N657" s="115"/>
      <c r="O657" s="115"/>
      <c r="P657" s="115"/>
      <c r="Q657" s="115"/>
      <c r="R657" s="115"/>
      <c r="S657" s="115"/>
      <c r="T657" s="115"/>
      <c r="U657" s="115"/>
      <c r="V657" s="115"/>
      <c r="W657" s="115"/>
      <c r="X657" s="115"/>
      <c r="Y657" s="115"/>
      <c r="Z657" s="115"/>
      <c r="AA657" s="115"/>
      <c r="AB657" s="115"/>
      <c r="AI657" s="263"/>
      <c r="AJ657" s="263"/>
      <c r="AK657" s="263"/>
      <c r="AN657" s="115"/>
      <c r="AO657" s="115"/>
    </row>
    <row r="658">
      <c r="A658" s="397"/>
      <c r="B658" s="385"/>
      <c r="C658" s="385"/>
      <c r="H658" s="115"/>
      <c r="I658" s="115"/>
      <c r="J658" s="115"/>
      <c r="K658" s="115"/>
      <c r="L658" s="115"/>
      <c r="M658" s="353"/>
      <c r="N658" s="115"/>
      <c r="O658" s="115"/>
      <c r="P658" s="115"/>
      <c r="Q658" s="115"/>
      <c r="R658" s="115"/>
      <c r="S658" s="115"/>
      <c r="T658" s="115"/>
      <c r="U658" s="115"/>
      <c r="V658" s="115"/>
      <c r="W658" s="115"/>
      <c r="X658" s="115"/>
      <c r="Y658" s="115"/>
      <c r="Z658" s="115"/>
      <c r="AA658" s="115"/>
      <c r="AB658" s="115"/>
      <c r="AI658" s="263"/>
      <c r="AJ658" s="263"/>
      <c r="AK658" s="263"/>
      <c r="AN658" s="115"/>
      <c r="AO658" s="115"/>
    </row>
    <row r="659">
      <c r="A659" s="397"/>
      <c r="B659" s="385"/>
      <c r="C659" s="385"/>
      <c r="H659" s="115"/>
      <c r="I659" s="115"/>
      <c r="J659" s="115"/>
      <c r="K659" s="115"/>
      <c r="L659" s="115"/>
      <c r="M659" s="353"/>
      <c r="N659" s="115"/>
      <c r="O659" s="115"/>
      <c r="P659" s="115"/>
      <c r="Q659" s="115"/>
      <c r="R659" s="115"/>
      <c r="S659" s="115"/>
      <c r="T659" s="115"/>
      <c r="U659" s="115"/>
      <c r="V659" s="115"/>
      <c r="W659" s="115"/>
      <c r="X659" s="115"/>
      <c r="Y659" s="115"/>
      <c r="Z659" s="115"/>
      <c r="AA659" s="115"/>
      <c r="AB659" s="115"/>
      <c r="AI659" s="263"/>
      <c r="AJ659" s="263"/>
      <c r="AK659" s="263"/>
      <c r="AN659" s="115"/>
      <c r="AO659" s="115"/>
    </row>
    <row r="660">
      <c r="A660" s="397"/>
      <c r="B660" s="385"/>
      <c r="C660" s="385"/>
      <c r="H660" s="115"/>
      <c r="I660" s="115"/>
      <c r="J660" s="115"/>
      <c r="K660" s="115"/>
      <c r="L660" s="115"/>
      <c r="M660" s="353"/>
      <c r="N660" s="115"/>
      <c r="O660" s="115"/>
      <c r="P660" s="115"/>
      <c r="Q660" s="115"/>
      <c r="R660" s="115"/>
      <c r="S660" s="115"/>
      <c r="T660" s="115"/>
      <c r="U660" s="115"/>
      <c r="V660" s="115"/>
      <c r="W660" s="115"/>
      <c r="X660" s="115"/>
      <c r="Y660" s="115"/>
      <c r="Z660" s="115"/>
      <c r="AA660" s="115"/>
      <c r="AB660" s="115"/>
      <c r="AI660" s="263"/>
      <c r="AJ660" s="263"/>
      <c r="AK660" s="263"/>
      <c r="AN660" s="115"/>
      <c r="AO660" s="115"/>
    </row>
    <row r="661">
      <c r="A661" s="397"/>
      <c r="B661" s="385"/>
      <c r="C661" s="385"/>
      <c r="H661" s="115"/>
      <c r="I661" s="115"/>
      <c r="J661" s="115"/>
      <c r="K661" s="115"/>
      <c r="L661" s="115"/>
      <c r="M661" s="353"/>
      <c r="N661" s="115"/>
      <c r="O661" s="115"/>
      <c r="P661" s="115"/>
      <c r="Q661" s="115"/>
      <c r="R661" s="115"/>
      <c r="S661" s="115"/>
      <c r="T661" s="115"/>
      <c r="U661" s="115"/>
      <c r="V661" s="115"/>
      <c r="W661" s="115"/>
      <c r="X661" s="115"/>
      <c r="Y661" s="115"/>
      <c r="Z661" s="115"/>
      <c r="AA661" s="115"/>
      <c r="AB661" s="115"/>
      <c r="AI661" s="263"/>
      <c r="AJ661" s="263"/>
      <c r="AK661" s="263"/>
      <c r="AN661" s="115"/>
      <c r="AO661" s="115"/>
    </row>
    <row r="662">
      <c r="A662" s="397"/>
      <c r="B662" s="385"/>
      <c r="C662" s="385"/>
      <c r="H662" s="115"/>
      <c r="I662" s="115"/>
      <c r="J662" s="115"/>
      <c r="K662" s="115"/>
      <c r="L662" s="115"/>
      <c r="M662" s="353"/>
      <c r="N662" s="115"/>
      <c r="O662" s="115"/>
      <c r="P662" s="115"/>
      <c r="Q662" s="115"/>
      <c r="R662" s="115"/>
      <c r="S662" s="115"/>
      <c r="T662" s="115"/>
      <c r="U662" s="115"/>
      <c r="V662" s="115"/>
      <c r="W662" s="115"/>
      <c r="X662" s="115"/>
      <c r="Y662" s="115"/>
      <c r="Z662" s="115"/>
      <c r="AA662" s="115"/>
      <c r="AB662" s="115"/>
      <c r="AI662" s="263"/>
      <c r="AJ662" s="263"/>
      <c r="AK662" s="263"/>
      <c r="AN662" s="115"/>
      <c r="AO662" s="115"/>
    </row>
    <row r="663">
      <c r="A663" s="397"/>
      <c r="B663" s="385"/>
      <c r="C663" s="385"/>
      <c r="H663" s="115"/>
      <c r="I663" s="115"/>
      <c r="J663" s="115"/>
      <c r="K663" s="115"/>
      <c r="L663" s="115"/>
      <c r="M663" s="353"/>
      <c r="N663" s="115"/>
      <c r="O663" s="115"/>
      <c r="P663" s="115"/>
      <c r="Q663" s="115"/>
      <c r="R663" s="115"/>
      <c r="S663" s="115"/>
      <c r="T663" s="115"/>
      <c r="U663" s="115"/>
      <c r="V663" s="115"/>
      <c r="W663" s="115"/>
      <c r="X663" s="115"/>
      <c r="Y663" s="115"/>
      <c r="Z663" s="115"/>
      <c r="AA663" s="115"/>
      <c r="AB663" s="115"/>
      <c r="AI663" s="263"/>
      <c r="AJ663" s="263"/>
      <c r="AK663" s="263"/>
      <c r="AN663" s="115"/>
      <c r="AO663" s="115"/>
    </row>
    <row r="664">
      <c r="A664" s="397"/>
      <c r="B664" s="385"/>
      <c r="C664" s="385"/>
      <c r="H664" s="115"/>
      <c r="I664" s="115"/>
      <c r="J664" s="115"/>
      <c r="K664" s="115"/>
      <c r="L664" s="115"/>
      <c r="M664" s="353"/>
      <c r="N664" s="115"/>
      <c r="O664" s="115"/>
      <c r="P664" s="115"/>
      <c r="Q664" s="115"/>
      <c r="R664" s="115"/>
      <c r="S664" s="115"/>
      <c r="T664" s="115"/>
      <c r="U664" s="115"/>
      <c r="V664" s="115"/>
      <c r="W664" s="115"/>
      <c r="X664" s="115"/>
      <c r="Y664" s="115"/>
      <c r="Z664" s="115"/>
      <c r="AA664" s="115"/>
      <c r="AB664" s="115"/>
      <c r="AI664" s="263"/>
      <c r="AJ664" s="263"/>
      <c r="AK664" s="263"/>
      <c r="AN664" s="115"/>
      <c r="AO664" s="115"/>
    </row>
    <row r="665">
      <c r="A665" s="397"/>
      <c r="B665" s="385"/>
      <c r="C665" s="385"/>
      <c r="H665" s="115"/>
      <c r="I665" s="115"/>
      <c r="J665" s="115"/>
      <c r="K665" s="115"/>
      <c r="L665" s="115"/>
      <c r="M665" s="353"/>
      <c r="N665" s="115"/>
      <c r="O665" s="115"/>
      <c r="P665" s="115"/>
      <c r="Q665" s="115"/>
      <c r="R665" s="115"/>
      <c r="S665" s="115"/>
      <c r="T665" s="115"/>
      <c r="U665" s="115"/>
      <c r="V665" s="115"/>
      <c r="W665" s="115"/>
      <c r="X665" s="115"/>
      <c r="Y665" s="115"/>
      <c r="Z665" s="115"/>
      <c r="AA665" s="115"/>
      <c r="AB665" s="115"/>
      <c r="AI665" s="263"/>
      <c r="AJ665" s="263"/>
      <c r="AK665" s="263"/>
      <c r="AN665" s="115"/>
      <c r="AO665" s="115"/>
    </row>
    <row r="666">
      <c r="A666" s="397"/>
      <c r="B666" s="385"/>
      <c r="C666" s="385"/>
      <c r="H666" s="115"/>
      <c r="I666" s="115"/>
      <c r="J666" s="115"/>
      <c r="K666" s="115"/>
      <c r="L666" s="115"/>
      <c r="M666" s="353"/>
      <c r="N666" s="115"/>
      <c r="O666" s="115"/>
      <c r="P666" s="115"/>
      <c r="Q666" s="115"/>
      <c r="R666" s="115"/>
      <c r="S666" s="115"/>
      <c r="T666" s="115"/>
      <c r="U666" s="115"/>
      <c r="V666" s="115"/>
      <c r="W666" s="115"/>
      <c r="X666" s="115"/>
      <c r="Y666" s="115"/>
      <c r="Z666" s="115"/>
      <c r="AA666" s="115"/>
      <c r="AB666" s="115"/>
      <c r="AI666" s="263"/>
      <c r="AJ666" s="263"/>
      <c r="AK666" s="263"/>
      <c r="AN666" s="115"/>
      <c r="AO666" s="115"/>
    </row>
    <row r="667">
      <c r="A667" s="397"/>
      <c r="B667" s="385"/>
      <c r="C667" s="385"/>
      <c r="H667" s="115"/>
      <c r="I667" s="115"/>
      <c r="J667" s="115"/>
      <c r="K667" s="115"/>
      <c r="L667" s="115"/>
      <c r="M667" s="353"/>
      <c r="N667" s="115"/>
      <c r="O667" s="115"/>
      <c r="P667" s="115"/>
      <c r="Q667" s="115"/>
      <c r="R667" s="115"/>
      <c r="S667" s="115"/>
      <c r="T667" s="115"/>
      <c r="U667" s="115"/>
      <c r="V667" s="115"/>
      <c r="W667" s="115"/>
      <c r="X667" s="115"/>
      <c r="Y667" s="115"/>
      <c r="Z667" s="115"/>
      <c r="AA667" s="115"/>
      <c r="AB667" s="115"/>
      <c r="AI667" s="263"/>
      <c r="AJ667" s="263"/>
      <c r="AK667" s="263"/>
      <c r="AN667" s="115"/>
      <c r="AO667" s="115"/>
    </row>
    <row r="668">
      <c r="A668" s="397"/>
      <c r="B668" s="385"/>
      <c r="C668" s="385"/>
      <c r="H668" s="115"/>
      <c r="I668" s="115"/>
      <c r="J668" s="115"/>
      <c r="K668" s="115"/>
      <c r="L668" s="115"/>
      <c r="M668" s="353"/>
      <c r="N668" s="115"/>
      <c r="O668" s="115"/>
      <c r="P668" s="115"/>
      <c r="Q668" s="115"/>
      <c r="R668" s="115"/>
      <c r="S668" s="115"/>
      <c r="T668" s="115"/>
      <c r="U668" s="115"/>
      <c r="V668" s="115"/>
      <c r="W668" s="115"/>
      <c r="X668" s="115"/>
      <c r="Y668" s="115"/>
      <c r="Z668" s="115"/>
      <c r="AA668" s="115"/>
      <c r="AB668" s="115"/>
      <c r="AI668" s="263"/>
      <c r="AJ668" s="263"/>
      <c r="AK668" s="263"/>
      <c r="AN668" s="115"/>
      <c r="AO668" s="115"/>
    </row>
    <row r="669">
      <c r="A669" s="397"/>
      <c r="B669" s="385"/>
      <c r="C669" s="385"/>
      <c r="H669" s="115"/>
      <c r="I669" s="115"/>
      <c r="J669" s="115"/>
      <c r="K669" s="115"/>
      <c r="L669" s="115"/>
      <c r="M669" s="353"/>
      <c r="N669" s="115"/>
      <c r="O669" s="115"/>
      <c r="P669" s="115"/>
      <c r="Q669" s="115"/>
      <c r="R669" s="115"/>
      <c r="S669" s="115"/>
      <c r="T669" s="115"/>
      <c r="U669" s="115"/>
      <c r="V669" s="115"/>
      <c r="W669" s="115"/>
      <c r="X669" s="115"/>
      <c r="Y669" s="115"/>
      <c r="Z669" s="115"/>
      <c r="AA669" s="115"/>
      <c r="AB669" s="115"/>
      <c r="AI669" s="263"/>
      <c r="AJ669" s="263"/>
      <c r="AK669" s="263"/>
      <c r="AN669" s="115"/>
      <c r="AO669" s="115"/>
    </row>
    <row r="670">
      <c r="A670" s="397"/>
      <c r="B670" s="385"/>
      <c r="C670" s="385"/>
      <c r="H670" s="115"/>
      <c r="I670" s="115"/>
      <c r="J670" s="115"/>
      <c r="K670" s="115"/>
      <c r="L670" s="115"/>
      <c r="M670" s="353"/>
      <c r="N670" s="115"/>
      <c r="O670" s="115"/>
      <c r="P670" s="115"/>
      <c r="Q670" s="115"/>
      <c r="R670" s="115"/>
      <c r="S670" s="115"/>
      <c r="T670" s="115"/>
      <c r="U670" s="115"/>
      <c r="V670" s="115"/>
      <c r="W670" s="115"/>
      <c r="X670" s="115"/>
      <c r="Y670" s="115"/>
      <c r="Z670" s="115"/>
      <c r="AA670" s="115"/>
      <c r="AB670" s="115"/>
      <c r="AI670" s="263"/>
      <c r="AJ670" s="263"/>
      <c r="AK670" s="263"/>
      <c r="AN670" s="115"/>
      <c r="AO670" s="115"/>
    </row>
    <row r="671">
      <c r="A671" s="397"/>
      <c r="B671" s="385"/>
      <c r="C671" s="385"/>
      <c r="H671" s="115"/>
      <c r="I671" s="115"/>
      <c r="J671" s="115"/>
      <c r="K671" s="115"/>
      <c r="L671" s="115"/>
      <c r="M671" s="353"/>
      <c r="N671" s="115"/>
      <c r="O671" s="115"/>
      <c r="P671" s="115"/>
      <c r="Q671" s="115"/>
      <c r="R671" s="115"/>
      <c r="S671" s="115"/>
      <c r="T671" s="115"/>
      <c r="U671" s="115"/>
      <c r="V671" s="115"/>
      <c r="W671" s="115"/>
      <c r="X671" s="115"/>
      <c r="Y671" s="115"/>
      <c r="Z671" s="115"/>
      <c r="AA671" s="115"/>
      <c r="AB671" s="115"/>
      <c r="AI671" s="263"/>
      <c r="AJ671" s="263"/>
      <c r="AK671" s="263"/>
      <c r="AN671" s="115"/>
      <c r="AO671" s="115"/>
    </row>
    <row r="672">
      <c r="A672" s="397"/>
      <c r="B672" s="385"/>
      <c r="C672" s="385"/>
      <c r="H672" s="115"/>
      <c r="I672" s="115"/>
      <c r="J672" s="115"/>
      <c r="K672" s="115"/>
      <c r="L672" s="115"/>
      <c r="M672" s="353"/>
      <c r="N672" s="115"/>
      <c r="O672" s="115"/>
      <c r="P672" s="115"/>
      <c r="Q672" s="115"/>
      <c r="R672" s="115"/>
      <c r="S672" s="115"/>
      <c r="T672" s="115"/>
      <c r="U672" s="115"/>
      <c r="V672" s="115"/>
      <c r="W672" s="115"/>
      <c r="X672" s="115"/>
      <c r="Y672" s="115"/>
      <c r="Z672" s="115"/>
      <c r="AA672" s="115"/>
      <c r="AB672" s="115"/>
      <c r="AI672" s="263"/>
      <c r="AJ672" s="263"/>
      <c r="AK672" s="263"/>
      <c r="AN672" s="115"/>
      <c r="AO672" s="115"/>
    </row>
    <row r="673">
      <c r="A673" s="397"/>
      <c r="B673" s="385"/>
      <c r="C673" s="385"/>
      <c r="H673" s="115"/>
      <c r="I673" s="115"/>
      <c r="J673" s="115"/>
      <c r="K673" s="115"/>
      <c r="L673" s="115"/>
      <c r="M673" s="353"/>
      <c r="N673" s="115"/>
      <c r="O673" s="115"/>
      <c r="P673" s="115"/>
      <c r="Q673" s="115"/>
      <c r="R673" s="115"/>
      <c r="S673" s="115"/>
      <c r="T673" s="115"/>
      <c r="U673" s="115"/>
      <c r="V673" s="115"/>
      <c r="W673" s="115"/>
      <c r="X673" s="115"/>
      <c r="Y673" s="115"/>
      <c r="Z673" s="115"/>
      <c r="AA673" s="115"/>
      <c r="AB673" s="115"/>
      <c r="AI673" s="263"/>
      <c r="AJ673" s="263"/>
      <c r="AK673" s="263"/>
      <c r="AN673" s="115"/>
      <c r="AO673" s="115"/>
    </row>
    <row r="674">
      <c r="A674" s="397"/>
      <c r="B674" s="385"/>
      <c r="C674" s="385"/>
      <c r="H674" s="115"/>
      <c r="I674" s="115"/>
      <c r="J674" s="115"/>
      <c r="K674" s="115"/>
      <c r="L674" s="115"/>
      <c r="M674" s="353"/>
      <c r="N674" s="115"/>
      <c r="O674" s="115"/>
      <c r="P674" s="115"/>
      <c r="Q674" s="115"/>
      <c r="R674" s="115"/>
      <c r="S674" s="115"/>
      <c r="T674" s="115"/>
      <c r="U674" s="115"/>
      <c r="V674" s="115"/>
      <c r="W674" s="115"/>
      <c r="X674" s="115"/>
      <c r="Y674" s="115"/>
      <c r="Z674" s="115"/>
      <c r="AA674" s="115"/>
      <c r="AB674" s="115"/>
      <c r="AI674" s="263"/>
      <c r="AJ674" s="263"/>
      <c r="AK674" s="263"/>
      <c r="AN674" s="115"/>
      <c r="AO674" s="115"/>
    </row>
    <row r="675">
      <c r="A675" s="397"/>
      <c r="B675" s="385"/>
      <c r="C675" s="385"/>
      <c r="H675" s="115"/>
      <c r="I675" s="115"/>
      <c r="J675" s="115"/>
      <c r="K675" s="115"/>
      <c r="L675" s="115"/>
      <c r="M675" s="353"/>
      <c r="N675" s="115"/>
      <c r="O675" s="115"/>
      <c r="P675" s="115"/>
      <c r="Q675" s="115"/>
      <c r="R675" s="115"/>
      <c r="S675" s="115"/>
      <c r="T675" s="115"/>
      <c r="U675" s="115"/>
      <c r="V675" s="115"/>
      <c r="W675" s="115"/>
      <c r="X675" s="115"/>
      <c r="Y675" s="115"/>
      <c r="Z675" s="115"/>
      <c r="AA675" s="115"/>
      <c r="AB675" s="115"/>
      <c r="AI675" s="263"/>
      <c r="AJ675" s="263"/>
      <c r="AK675" s="263"/>
      <c r="AN675" s="115"/>
      <c r="AO675" s="115"/>
    </row>
    <row r="676">
      <c r="A676" s="397"/>
      <c r="B676" s="385"/>
      <c r="C676" s="385"/>
      <c r="H676" s="115"/>
      <c r="I676" s="115"/>
      <c r="J676" s="115"/>
      <c r="K676" s="115"/>
      <c r="L676" s="115"/>
      <c r="M676" s="353"/>
      <c r="N676" s="115"/>
      <c r="O676" s="115"/>
      <c r="P676" s="115"/>
      <c r="Q676" s="115"/>
      <c r="R676" s="115"/>
      <c r="S676" s="115"/>
      <c r="T676" s="115"/>
      <c r="U676" s="115"/>
      <c r="V676" s="115"/>
      <c r="W676" s="115"/>
      <c r="X676" s="115"/>
      <c r="Y676" s="115"/>
      <c r="Z676" s="115"/>
      <c r="AA676" s="115"/>
      <c r="AB676" s="115"/>
      <c r="AI676" s="263"/>
      <c r="AJ676" s="263"/>
      <c r="AK676" s="263"/>
      <c r="AN676" s="115"/>
      <c r="AO676" s="115"/>
    </row>
    <row r="677">
      <c r="A677" s="397"/>
      <c r="B677" s="385"/>
      <c r="C677" s="385"/>
      <c r="H677" s="115"/>
      <c r="I677" s="115"/>
      <c r="J677" s="115"/>
      <c r="K677" s="115"/>
      <c r="L677" s="115"/>
      <c r="M677" s="353"/>
      <c r="N677" s="115"/>
      <c r="O677" s="115"/>
      <c r="P677" s="115"/>
      <c r="Q677" s="115"/>
      <c r="R677" s="115"/>
      <c r="S677" s="115"/>
      <c r="T677" s="115"/>
      <c r="U677" s="115"/>
      <c r="V677" s="115"/>
      <c r="W677" s="115"/>
      <c r="X677" s="115"/>
      <c r="Y677" s="115"/>
      <c r="Z677" s="115"/>
      <c r="AA677" s="115"/>
      <c r="AB677" s="115"/>
      <c r="AI677" s="263"/>
      <c r="AJ677" s="263"/>
      <c r="AK677" s="263"/>
      <c r="AN677" s="115"/>
      <c r="AO677" s="115"/>
    </row>
    <row r="678">
      <c r="A678" s="397"/>
      <c r="B678" s="385"/>
      <c r="C678" s="385"/>
      <c r="H678" s="115"/>
      <c r="I678" s="115"/>
      <c r="J678" s="115"/>
      <c r="K678" s="115"/>
      <c r="L678" s="115"/>
      <c r="M678" s="353"/>
      <c r="N678" s="115"/>
      <c r="O678" s="115"/>
      <c r="P678" s="115"/>
      <c r="Q678" s="115"/>
      <c r="R678" s="115"/>
      <c r="S678" s="115"/>
      <c r="T678" s="115"/>
      <c r="U678" s="115"/>
      <c r="V678" s="115"/>
      <c r="W678" s="115"/>
      <c r="X678" s="115"/>
      <c r="Y678" s="115"/>
      <c r="Z678" s="115"/>
      <c r="AA678" s="115"/>
      <c r="AB678" s="115"/>
      <c r="AI678" s="263"/>
      <c r="AJ678" s="263"/>
      <c r="AK678" s="263"/>
      <c r="AN678" s="115"/>
      <c r="AO678" s="115"/>
    </row>
    <row r="679">
      <c r="A679" s="397"/>
      <c r="B679" s="385"/>
      <c r="C679" s="385"/>
      <c r="H679" s="115"/>
      <c r="I679" s="115"/>
      <c r="J679" s="115"/>
      <c r="K679" s="115"/>
      <c r="L679" s="115"/>
      <c r="M679" s="353"/>
      <c r="N679" s="115"/>
      <c r="O679" s="115"/>
      <c r="P679" s="115"/>
      <c r="Q679" s="115"/>
      <c r="R679" s="115"/>
      <c r="S679" s="115"/>
      <c r="T679" s="115"/>
      <c r="U679" s="115"/>
      <c r="V679" s="115"/>
      <c r="W679" s="115"/>
      <c r="X679" s="115"/>
      <c r="Y679" s="115"/>
      <c r="Z679" s="115"/>
      <c r="AA679" s="115"/>
      <c r="AB679" s="115"/>
      <c r="AI679" s="263"/>
      <c r="AJ679" s="263"/>
      <c r="AK679" s="263"/>
      <c r="AN679" s="115"/>
      <c r="AO679" s="115"/>
    </row>
    <row r="680">
      <c r="A680" s="397"/>
      <c r="B680" s="385"/>
      <c r="C680" s="385"/>
      <c r="H680" s="115"/>
      <c r="I680" s="115"/>
      <c r="J680" s="115"/>
      <c r="K680" s="115"/>
      <c r="L680" s="115"/>
      <c r="M680" s="353"/>
      <c r="N680" s="115"/>
      <c r="O680" s="115"/>
      <c r="P680" s="115"/>
      <c r="Q680" s="115"/>
      <c r="R680" s="115"/>
      <c r="S680" s="115"/>
      <c r="T680" s="115"/>
      <c r="U680" s="115"/>
      <c r="V680" s="115"/>
      <c r="W680" s="115"/>
      <c r="X680" s="115"/>
      <c r="Y680" s="115"/>
      <c r="Z680" s="115"/>
      <c r="AA680" s="115"/>
      <c r="AB680" s="115"/>
      <c r="AI680" s="263"/>
      <c r="AJ680" s="263"/>
      <c r="AK680" s="263"/>
      <c r="AN680" s="115"/>
      <c r="AO680" s="115"/>
    </row>
    <row r="681">
      <c r="A681" s="397"/>
      <c r="B681" s="385"/>
      <c r="C681" s="385"/>
      <c r="H681" s="115"/>
      <c r="I681" s="115"/>
      <c r="J681" s="115"/>
      <c r="K681" s="115"/>
      <c r="L681" s="115"/>
      <c r="M681" s="353"/>
      <c r="N681" s="115"/>
      <c r="O681" s="115"/>
      <c r="P681" s="115"/>
      <c r="Q681" s="115"/>
      <c r="R681" s="115"/>
      <c r="S681" s="115"/>
      <c r="T681" s="115"/>
      <c r="U681" s="115"/>
      <c r="V681" s="115"/>
      <c r="W681" s="115"/>
      <c r="X681" s="115"/>
      <c r="Y681" s="115"/>
      <c r="Z681" s="115"/>
      <c r="AA681" s="115"/>
      <c r="AB681" s="115"/>
      <c r="AI681" s="263"/>
      <c r="AJ681" s="263"/>
      <c r="AK681" s="263"/>
      <c r="AN681" s="115"/>
      <c r="AO681" s="115"/>
    </row>
    <row r="682">
      <c r="A682" s="397"/>
      <c r="B682" s="385"/>
      <c r="C682" s="385"/>
      <c r="H682" s="115"/>
      <c r="I682" s="115"/>
      <c r="J682" s="115"/>
      <c r="K682" s="115"/>
      <c r="L682" s="115"/>
      <c r="M682" s="353"/>
      <c r="N682" s="115"/>
      <c r="O682" s="115"/>
      <c r="P682" s="115"/>
      <c r="Q682" s="115"/>
      <c r="R682" s="115"/>
      <c r="S682" s="115"/>
      <c r="T682" s="115"/>
      <c r="U682" s="115"/>
      <c r="V682" s="115"/>
      <c r="W682" s="115"/>
      <c r="X682" s="115"/>
      <c r="Y682" s="115"/>
      <c r="Z682" s="115"/>
      <c r="AA682" s="115"/>
      <c r="AB682" s="115"/>
      <c r="AI682" s="263"/>
      <c r="AJ682" s="263"/>
      <c r="AK682" s="263"/>
      <c r="AN682" s="115"/>
      <c r="AO682" s="115"/>
    </row>
    <row r="683">
      <c r="A683" s="397"/>
      <c r="B683" s="385"/>
      <c r="C683" s="385"/>
      <c r="H683" s="115"/>
      <c r="I683" s="115"/>
      <c r="J683" s="115"/>
      <c r="K683" s="115"/>
      <c r="L683" s="115"/>
      <c r="M683" s="353"/>
      <c r="N683" s="115"/>
      <c r="O683" s="115"/>
      <c r="P683" s="115"/>
      <c r="Q683" s="115"/>
      <c r="R683" s="115"/>
      <c r="S683" s="115"/>
      <c r="T683" s="115"/>
      <c r="U683" s="115"/>
      <c r="V683" s="115"/>
      <c r="W683" s="115"/>
      <c r="X683" s="115"/>
      <c r="Y683" s="115"/>
      <c r="Z683" s="115"/>
      <c r="AA683" s="115"/>
      <c r="AB683" s="115"/>
      <c r="AI683" s="263"/>
      <c r="AJ683" s="263"/>
      <c r="AK683" s="263"/>
      <c r="AN683" s="115"/>
      <c r="AO683" s="115"/>
    </row>
    <row r="684">
      <c r="A684" s="397"/>
      <c r="B684" s="385"/>
      <c r="C684" s="385"/>
      <c r="H684" s="115"/>
      <c r="I684" s="115"/>
      <c r="J684" s="115"/>
      <c r="K684" s="115"/>
      <c r="L684" s="115"/>
      <c r="M684" s="353"/>
      <c r="N684" s="115"/>
      <c r="O684" s="115"/>
      <c r="P684" s="115"/>
      <c r="Q684" s="115"/>
      <c r="R684" s="115"/>
      <c r="S684" s="115"/>
      <c r="T684" s="115"/>
      <c r="U684" s="115"/>
      <c r="V684" s="115"/>
      <c r="W684" s="115"/>
      <c r="X684" s="115"/>
      <c r="Y684" s="115"/>
      <c r="Z684" s="115"/>
      <c r="AA684" s="115"/>
      <c r="AB684" s="115"/>
      <c r="AI684" s="263"/>
      <c r="AJ684" s="263"/>
      <c r="AK684" s="263"/>
      <c r="AN684" s="115"/>
      <c r="AO684" s="115"/>
    </row>
    <row r="685">
      <c r="A685" s="397"/>
      <c r="B685" s="385"/>
      <c r="C685" s="385"/>
      <c r="H685" s="115"/>
      <c r="I685" s="115"/>
      <c r="J685" s="115"/>
      <c r="K685" s="115"/>
      <c r="L685" s="115"/>
      <c r="M685" s="353"/>
      <c r="N685" s="115"/>
      <c r="O685" s="115"/>
      <c r="P685" s="115"/>
      <c r="Q685" s="115"/>
      <c r="R685" s="115"/>
      <c r="S685" s="115"/>
      <c r="T685" s="115"/>
      <c r="U685" s="115"/>
      <c r="V685" s="115"/>
      <c r="W685" s="115"/>
      <c r="X685" s="115"/>
      <c r="Y685" s="115"/>
      <c r="Z685" s="115"/>
      <c r="AA685" s="115"/>
      <c r="AB685" s="115"/>
      <c r="AI685" s="263"/>
      <c r="AJ685" s="263"/>
      <c r="AK685" s="263"/>
      <c r="AN685" s="115"/>
      <c r="AO685" s="115"/>
    </row>
    <row r="686">
      <c r="A686" s="397"/>
      <c r="B686" s="385"/>
      <c r="C686" s="385"/>
      <c r="H686" s="115"/>
      <c r="I686" s="115"/>
      <c r="J686" s="115"/>
      <c r="K686" s="115"/>
      <c r="L686" s="115"/>
      <c r="M686" s="353"/>
      <c r="N686" s="115"/>
      <c r="O686" s="115"/>
      <c r="P686" s="115"/>
      <c r="Q686" s="115"/>
      <c r="R686" s="115"/>
      <c r="S686" s="115"/>
      <c r="T686" s="115"/>
      <c r="U686" s="115"/>
      <c r="V686" s="115"/>
      <c r="W686" s="115"/>
      <c r="X686" s="115"/>
      <c r="Y686" s="115"/>
      <c r="Z686" s="115"/>
      <c r="AA686" s="115"/>
      <c r="AB686" s="115"/>
      <c r="AI686" s="263"/>
      <c r="AJ686" s="263"/>
      <c r="AK686" s="263"/>
      <c r="AN686" s="115"/>
      <c r="AO686" s="115"/>
    </row>
    <row r="687">
      <c r="A687" s="397"/>
      <c r="B687" s="385"/>
      <c r="C687" s="385"/>
      <c r="H687" s="115"/>
      <c r="I687" s="115"/>
      <c r="J687" s="115"/>
      <c r="K687" s="115"/>
      <c r="L687" s="115"/>
      <c r="M687" s="353"/>
      <c r="N687" s="115"/>
      <c r="O687" s="115"/>
      <c r="P687" s="115"/>
      <c r="Q687" s="115"/>
      <c r="R687" s="115"/>
      <c r="S687" s="115"/>
      <c r="T687" s="115"/>
      <c r="U687" s="115"/>
      <c r="V687" s="115"/>
      <c r="W687" s="115"/>
      <c r="X687" s="115"/>
      <c r="Y687" s="115"/>
      <c r="Z687" s="115"/>
      <c r="AA687" s="115"/>
      <c r="AB687" s="115"/>
      <c r="AI687" s="263"/>
      <c r="AJ687" s="263"/>
      <c r="AK687" s="263"/>
      <c r="AN687" s="115"/>
      <c r="AO687" s="115"/>
    </row>
    <row r="688">
      <c r="A688" s="397"/>
      <c r="B688" s="385"/>
      <c r="C688" s="385"/>
      <c r="H688" s="115"/>
      <c r="I688" s="115"/>
      <c r="J688" s="115"/>
      <c r="K688" s="115"/>
      <c r="L688" s="115"/>
      <c r="M688" s="353"/>
      <c r="N688" s="115"/>
      <c r="O688" s="115"/>
      <c r="P688" s="115"/>
      <c r="Q688" s="115"/>
      <c r="R688" s="115"/>
      <c r="S688" s="115"/>
      <c r="T688" s="115"/>
      <c r="U688" s="115"/>
      <c r="V688" s="115"/>
      <c r="W688" s="115"/>
      <c r="X688" s="115"/>
      <c r="Y688" s="115"/>
      <c r="Z688" s="115"/>
      <c r="AA688" s="115"/>
      <c r="AB688" s="115"/>
      <c r="AI688" s="263"/>
      <c r="AJ688" s="263"/>
      <c r="AK688" s="263"/>
      <c r="AN688" s="115"/>
      <c r="AO688" s="115"/>
    </row>
    <row r="689">
      <c r="A689" s="397"/>
      <c r="B689" s="385"/>
      <c r="C689" s="385"/>
      <c r="H689" s="115"/>
      <c r="I689" s="115"/>
      <c r="J689" s="115"/>
      <c r="K689" s="115"/>
      <c r="L689" s="115"/>
      <c r="M689" s="353"/>
      <c r="N689" s="115"/>
      <c r="O689" s="115"/>
      <c r="P689" s="115"/>
      <c r="Q689" s="115"/>
      <c r="R689" s="115"/>
      <c r="S689" s="115"/>
      <c r="T689" s="115"/>
      <c r="U689" s="115"/>
      <c r="V689" s="115"/>
      <c r="W689" s="115"/>
      <c r="X689" s="115"/>
      <c r="Y689" s="115"/>
      <c r="Z689" s="115"/>
      <c r="AA689" s="115"/>
      <c r="AB689" s="115"/>
      <c r="AI689" s="263"/>
      <c r="AJ689" s="263"/>
      <c r="AK689" s="263"/>
      <c r="AN689" s="115"/>
      <c r="AO689" s="115"/>
    </row>
    <row r="690">
      <c r="A690" s="397"/>
      <c r="B690" s="385"/>
      <c r="C690" s="385"/>
      <c r="H690" s="115"/>
      <c r="I690" s="115"/>
      <c r="J690" s="115"/>
      <c r="K690" s="115"/>
      <c r="L690" s="115"/>
      <c r="M690" s="353"/>
      <c r="N690" s="115"/>
      <c r="O690" s="115"/>
      <c r="P690" s="115"/>
      <c r="Q690" s="115"/>
      <c r="R690" s="115"/>
      <c r="S690" s="115"/>
      <c r="T690" s="115"/>
      <c r="U690" s="115"/>
      <c r="V690" s="115"/>
      <c r="W690" s="115"/>
      <c r="X690" s="115"/>
      <c r="Y690" s="115"/>
      <c r="Z690" s="115"/>
      <c r="AA690" s="115"/>
      <c r="AB690" s="115"/>
      <c r="AI690" s="263"/>
      <c r="AJ690" s="263"/>
      <c r="AK690" s="263"/>
      <c r="AN690" s="115"/>
      <c r="AO690" s="115"/>
    </row>
    <row r="691">
      <c r="A691" s="397"/>
      <c r="B691" s="385"/>
      <c r="C691" s="385"/>
      <c r="H691" s="115"/>
      <c r="I691" s="115"/>
      <c r="J691" s="115"/>
      <c r="K691" s="115"/>
      <c r="L691" s="115"/>
      <c r="M691" s="353"/>
      <c r="N691" s="115"/>
      <c r="O691" s="115"/>
      <c r="P691" s="115"/>
      <c r="Q691" s="115"/>
      <c r="R691" s="115"/>
      <c r="S691" s="115"/>
      <c r="T691" s="115"/>
      <c r="U691" s="115"/>
      <c r="V691" s="115"/>
      <c r="W691" s="115"/>
      <c r="X691" s="115"/>
      <c r="Y691" s="115"/>
      <c r="Z691" s="115"/>
      <c r="AA691" s="115"/>
      <c r="AB691" s="115"/>
      <c r="AI691" s="263"/>
      <c r="AJ691" s="263"/>
      <c r="AK691" s="263"/>
      <c r="AN691" s="115"/>
      <c r="AO691" s="115"/>
    </row>
    <row r="692">
      <c r="A692" s="397"/>
      <c r="B692" s="385"/>
      <c r="C692" s="385"/>
      <c r="H692" s="115"/>
      <c r="I692" s="115"/>
      <c r="J692" s="115"/>
      <c r="K692" s="115"/>
      <c r="L692" s="115"/>
      <c r="M692" s="353"/>
      <c r="N692" s="115"/>
      <c r="O692" s="115"/>
      <c r="P692" s="115"/>
      <c r="Q692" s="115"/>
      <c r="R692" s="115"/>
      <c r="S692" s="115"/>
      <c r="T692" s="115"/>
      <c r="U692" s="115"/>
      <c r="V692" s="115"/>
      <c r="W692" s="115"/>
      <c r="X692" s="115"/>
      <c r="Y692" s="115"/>
      <c r="Z692" s="115"/>
      <c r="AA692" s="115"/>
      <c r="AB692" s="115"/>
      <c r="AI692" s="263"/>
      <c r="AJ692" s="263"/>
      <c r="AK692" s="263"/>
      <c r="AN692" s="115"/>
      <c r="AO692" s="115"/>
    </row>
    <row r="693">
      <c r="A693" s="397"/>
      <c r="B693" s="385"/>
      <c r="C693" s="385"/>
      <c r="H693" s="115"/>
      <c r="I693" s="115"/>
      <c r="J693" s="115"/>
      <c r="K693" s="115"/>
      <c r="L693" s="115"/>
      <c r="M693" s="353"/>
      <c r="N693" s="115"/>
      <c r="O693" s="115"/>
      <c r="P693" s="115"/>
      <c r="Q693" s="115"/>
      <c r="R693" s="115"/>
      <c r="S693" s="115"/>
      <c r="T693" s="115"/>
      <c r="U693" s="115"/>
      <c r="V693" s="115"/>
      <c r="W693" s="115"/>
      <c r="X693" s="115"/>
      <c r="Y693" s="115"/>
      <c r="Z693" s="115"/>
      <c r="AA693" s="115"/>
      <c r="AB693" s="115"/>
      <c r="AI693" s="263"/>
      <c r="AJ693" s="263"/>
      <c r="AK693" s="263"/>
      <c r="AN693" s="115"/>
      <c r="AO693" s="115"/>
    </row>
    <row r="694">
      <c r="A694" s="397"/>
      <c r="B694" s="385"/>
      <c r="C694" s="385"/>
      <c r="H694" s="115"/>
      <c r="I694" s="115"/>
      <c r="J694" s="115"/>
      <c r="K694" s="115"/>
      <c r="L694" s="115"/>
      <c r="M694" s="353"/>
      <c r="N694" s="115"/>
      <c r="O694" s="115"/>
      <c r="P694" s="115"/>
      <c r="Q694" s="115"/>
      <c r="R694" s="115"/>
      <c r="S694" s="115"/>
      <c r="T694" s="115"/>
      <c r="U694" s="115"/>
      <c r="V694" s="115"/>
      <c r="W694" s="115"/>
      <c r="X694" s="115"/>
      <c r="Y694" s="115"/>
      <c r="Z694" s="115"/>
      <c r="AA694" s="115"/>
      <c r="AB694" s="115"/>
      <c r="AI694" s="263"/>
      <c r="AJ694" s="263"/>
      <c r="AK694" s="263"/>
      <c r="AN694" s="115"/>
      <c r="AO694" s="115"/>
    </row>
    <row r="695">
      <c r="A695" s="397"/>
      <c r="B695" s="385"/>
      <c r="C695" s="385"/>
      <c r="H695" s="115"/>
      <c r="I695" s="115"/>
      <c r="J695" s="115"/>
      <c r="K695" s="115"/>
      <c r="L695" s="115"/>
      <c r="M695" s="353"/>
      <c r="N695" s="115"/>
      <c r="O695" s="115"/>
      <c r="P695" s="115"/>
      <c r="Q695" s="115"/>
      <c r="R695" s="115"/>
      <c r="S695" s="115"/>
      <c r="T695" s="115"/>
      <c r="U695" s="115"/>
      <c r="V695" s="115"/>
      <c r="W695" s="115"/>
      <c r="X695" s="115"/>
      <c r="Y695" s="115"/>
      <c r="Z695" s="115"/>
      <c r="AA695" s="115"/>
      <c r="AB695" s="115"/>
      <c r="AI695" s="263"/>
      <c r="AJ695" s="263"/>
      <c r="AK695" s="263"/>
      <c r="AN695" s="115"/>
      <c r="AO695" s="115"/>
    </row>
    <row r="696">
      <c r="A696" s="397"/>
      <c r="B696" s="385"/>
      <c r="C696" s="385"/>
      <c r="H696" s="115"/>
      <c r="I696" s="115"/>
      <c r="J696" s="115"/>
      <c r="K696" s="115"/>
      <c r="L696" s="115"/>
      <c r="M696" s="353"/>
      <c r="N696" s="115"/>
      <c r="O696" s="115"/>
      <c r="P696" s="115"/>
      <c r="Q696" s="115"/>
      <c r="R696" s="115"/>
      <c r="S696" s="115"/>
      <c r="T696" s="115"/>
      <c r="U696" s="115"/>
      <c r="V696" s="115"/>
      <c r="W696" s="115"/>
      <c r="X696" s="115"/>
      <c r="Y696" s="115"/>
      <c r="Z696" s="115"/>
      <c r="AA696" s="115"/>
      <c r="AB696" s="115"/>
      <c r="AI696" s="263"/>
      <c r="AJ696" s="263"/>
      <c r="AK696" s="263"/>
      <c r="AN696" s="115"/>
      <c r="AO696" s="115"/>
    </row>
    <row r="697">
      <c r="A697" s="397"/>
      <c r="B697" s="385"/>
      <c r="C697" s="385"/>
      <c r="H697" s="115"/>
      <c r="I697" s="115"/>
      <c r="J697" s="115"/>
      <c r="K697" s="115"/>
      <c r="L697" s="115"/>
      <c r="M697" s="353"/>
      <c r="N697" s="115"/>
      <c r="O697" s="115"/>
      <c r="P697" s="115"/>
      <c r="Q697" s="115"/>
      <c r="R697" s="115"/>
      <c r="S697" s="115"/>
      <c r="T697" s="115"/>
      <c r="U697" s="115"/>
      <c r="V697" s="115"/>
      <c r="W697" s="115"/>
      <c r="X697" s="115"/>
      <c r="Y697" s="115"/>
      <c r="Z697" s="115"/>
      <c r="AA697" s="115"/>
      <c r="AB697" s="115"/>
      <c r="AI697" s="263"/>
      <c r="AJ697" s="263"/>
      <c r="AK697" s="263"/>
      <c r="AN697" s="115"/>
      <c r="AO697" s="115"/>
    </row>
    <row r="698">
      <c r="A698" s="397"/>
      <c r="B698" s="385"/>
      <c r="C698" s="385"/>
      <c r="H698" s="115"/>
      <c r="I698" s="115"/>
      <c r="J698" s="115"/>
      <c r="K698" s="115"/>
      <c r="L698" s="115"/>
      <c r="M698" s="353"/>
      <c r="N698" s="115"/>
      <c r="O698" s="115"/>
      <c r="P698" s="115"/>
      <c r="Q698" s="115"/>
      <c r="R698" s="115"/>
      <c r="S698" s="115"/>
      <c r="T698" s="115"/>
      <c r="U698" s="115"/>
      <c r="V698" s="115"/>
      <c r="W698" s="115"/>
      <c r="X698" s="115"/>
      <c r="Y698" s="115"/>
      <c r="Z698" s="115"/>
      <c r="AA698" s="115"/>
      <c r="AB698" s="115"/>
      <c r="AI698" s="263"/>
      <c r="AJ698" s="263"/>
      <c r="AK698" s="263"/>
      <c r="AN698" s="115"/>
      <c r="AO698" s="115"/>
    </row>
    <row r="699">
      <c r="A699" s="397"/>
      <c r="B699" s="385"/>
      <c r="C699" s="385"/>
      <c r="H699" s="115"/>
      <c r="I699" s="115"/>
      <c r="J699" s="115"/>
      <c r="K699" s="115"/>
      <c r="L699" s="115"/>
      <c r="M699" s="353"/>
      <c r="N699" s="115"/>
      <c r="O699" s="115"/>
      <c r="P699" s="115"/>
      <c r="Q699" s="115"/>
      <c r="R699" s="115"/>
      <c r="S699" s="115"/>
      <c r="T699" s="115"/>
      <c r="U699" s="115"/>
      <c r="V699" s="115"/>
      <c r="W699" s="115"/>
      <c r="X699" s="115"/>
      <c r="Y699" s="115"/>
      <c r="Z699" s="115"/>
      <c r="AA699" s="115"/>
      <c r="AB699" s="115"/>
      <c r="AI699" s="263"/>
      <c r="AJ699" s="263"/>
      <c r="AK699" s="263"/>
      <c r="AN699" s="115"/>
      <c r="AO699" s="115"/>
    </row>
    <row r="700">
      <c r="A700" s="397"/>
      <c r="B700" s="385"/>
      <c r="C700" s="385"/>
      <c r="H700" s="115"/>
      <c r="I700" s="115"/>
      <c r="J700" s="115"/>
      <c r="K700" s="115"/>
      <c r="L700" s="115"/>
      <c r="M700" s="353"/>
      <c r="N700" s="115"/>
      <c r="O700" s="115"/>
      <c r="P700" s="115"/>
      <c r="Q700" s="115"/>
      <c r="R700" s="115"/>
      <c r="S700" s="115"/>
      <c r="T700" s="115"/>
      <c r="U700" s="115"/>
      <c r="V700" s="115"/>
      <c r="W700" s="115"/>
      <c r="X700" s="115"/>
      <c r="Y700" s="115"/>
      <c r="Z700" s="115"/>
      <c r="AA700" s="115"/>
      <c r="AB700" s="115"/>
      <c r="AI700" s="263"/>
      <c r="AJ700" s="263"/>
      <c r="AK700" s="263"/>
      <c r="AN700" s="115"/>
      <c r="AO700" s="115"/>
    </row>
    <row r="701">
      <c r="A701" s="397"/>
      <c r="B701" s="385"/>
      <c r="C701" s="385"/>
      <c r="H701" s="115"/>
      <c r="I701" s="115"/>
      <c r="J701" s="115"/>
      <c r="K701" s="115"/>
      <c r="L701" s="115"/>
      <c r="M701" s="353"/>
      <c r="N701" s="115"/>
      <c r="O701" s="115"/>
      <c r="P701" s="115"/>
      <c r="Q701" s="115"/>
      <c r="R701" s="115"/>
      <c r="S701" s="115"/>
      <c r="T701" s="115"/>
      <c r="U701" s="115"/>
      <c r="V701" s="115"/>
      <c r="W701" s="115"/>
      <c r="X701" s="115"/>
      <c r="Y701" s="115"/>
      <c r="Z701" s="115"/>
      <c r="AA701" s="115"/>
      <c r="AB701" s="115"/>
      <c r="AI701" s="263"/>
      <c r="AJ701" s="263"/>
      <c r="AK701" s="263"/>
      <c r="AN701" s="115"/>
      <c r="AO701" s="115"/>
    </row>
    <row r="702">
      <c r="A702" s="397"/>
      <c r="B702" s="385"/>
      <c r="C702" s="385"/>
      <c r="H702" s="115"/>
      <c r="I702" s="115"/>
      <c r="J702" s="115"/>
      <c r="K702" s="115"/>
      <c r="L702" s="115"/>
      <c r="M702" s="353"/>
      <c r="N702" s="115"/>
      <c r="O702" s="115"/>
      <c r="P702" s="115"/>
      <c r="Q702" s="115"/>
      <c r="R702" s="115"/>
      <c r="S702" s="115"/>
      <c r="T702" s="115"/>
      <c r="U702" s="115"/>
      <c r="V702" s="115"/>
      <c r="W702" s="115"/>
      <c r="X702" s="115"/>
      <c r="Y702" s="115"/>
      <c r="Z702" s="115"/>
      <c r="AA702" s="115"/>
      <c r="AB702" s="115"/>
      <c r="AI702" s="263"/>
      <c r="AJ702" s="263"/>
      <c r="AK702" s="263"/>
      <c r="AN702" s="115"/>
      <c r="AO702" s="115"/>
    </row>
    <row r="703">
      <c r="A703" s="397"/>
      <c r="B703" s="385"/>
      <c r="C703" s="385"/>
      <c r="H703" s="115"/>
      <c r="I703" s="115"/>
      <c r="J703" s="115"/>
      <c r="K703" s="115"/>
      <c r="L703" s="115"/>
      <c r="M703" s="353"/>
      <c r="N703" s="115"/>
      <c r="O703" s="115"/>
      <c r="P703" s="115"/>
      <c r="Q703" s="115"/>
      <c r="R703" s="115"/>
      <c r="S703" s="115"/>
      <c r="T703" s="115"/>
      <c r="U703" s="115"/>
      <c r="V703" s="115"/>
      <c r="W703" s="115"/>
      <c r="X703" s="115"/>
      <c r="Y703" s="115"/>
      <c r="Z703" s="115"/>
      <c r="AA703" s="115"/>
      <c r="AB703" s="115"/>
      <c r="AI703" s="263"/>
      <c r="AJ703" s="263"/>
      <c r="AK703" s="263"/>
      <c r="AN703" s="115"/>
      <c r="AO703" s="115"/>
    </row>
    <row r="704">
      <c r="A704" s="397"/>
      <c r="B704" s="385"/>
      <c r="C704" s="385"/>
      <c r="H704" s="115"/>
      <c r="I704" s="115"/>
      <c r="J704" s="115"/>
      <c r="K704" s="115"/>
      <c r="L704" s="115"/>
      <c r="M704" s="353"/>
      <c r="N704" s="115"/>
      <c r="O704" s="115"/>
      <c r="P704" s="115"/>
      <c r="Q704" s="115"/>
      <c r="R704" s="115"/>
      <c r="S704" s="115"/>
      <c r="T704" s="115"/>
      <c r="U704" s="115"/>
      <c r="V704" s="115"/>
      <c r="W704" s="115"/>
      <c r="X704" s="115"/>
      <c r="Y704" s="115"/>
      <c r="Z704" s="115"/>
      <c r="AA704" s="115"/>
      <c r="AB704" s="115"/>
      <c r="AI704" s="263"/>
      <c r="AJ704" s="263"/>
      <c r="AK704" s="263"/>
      <c r="AN704" s="115"/>
      <c r="AO704" s="115"/>
    </row>
    <row r="705">
      <c r="A705" s="397"/>
      <c r="B705" s="385"/>
      <c r="C705" s="385"/>
      <c r="H705" s="115"/>
      <c r="I705" s="115"/>
      <c r="J705" s="115"/>
      <c r="K705" s="115"/>
      <c r="L705" s="115"/>
      <c r="M705" s="353"/>
      <c r="N705" s="115"/>
      <c r="O705" s="115"/>
      <c r="P705" s="115"/>
      <c r="Q705" s="115"/>
      <c r="R705" s="115"/>
      <c r="S705" s="115"/>
      <c r="T705" s="115"/>
      <c r="U705" s="115"/>
      <c r="V705" s="115"/>
      <c r="W705" s="115"/>
      <c r="X705" s="115"/>
      <c r="Y705" s="115"/>
      <c r="Z705" s="115"/>
      <c r="AA705" s="115"/>
      <c r="AB705" s="115"/>
      <c r="AI705" s="263"/>
      <c r="AJ705" s="263"/>
      <c r="AK705" s="263"/>
      <c r="AN705" s="115"/>
      <c r="AO705" s="115"/>
    </row>
    <row r="706">
      <c r="A706" s="397"/>
      <c r="B706" s="385"/>
      <c r="C706" s="385"/>
      <c r="H706" s="115"/>
      <c r="I706" s="115"/>
      <c r="J706" s="115"/>
      <c r="K706" s="115"/>
      <c r="L706" s="115"/>
      <c r="M706" s="353"/>
      <c r="N706" s="115"/>
      <c r="O706" s="115"/>
      <c r="P706" s="115"/>
      <c r="Q706" s="115"/>
      <c r="R706" s="115"/>
      <c r="S706" s="115"/>
      <c r="T706" s="115"/>
      <c r="U706" s="115"/>
      <c r="V706" s="115"/>
      <c r="W706" s="115"/>
      <c r="X706" s="115"/>
      <c r="Y706" s="115"/>
      <c r="Z706" s="115"/>
      <c r="AA706" s="115"/>
      <c r="AB706" s="115"/>
      <c r="AI706" s="263"/>
      <c r="AJ706" s="263"/>
      <c r="AK706" s="263"/>
      <c r="AN706" s="115"/>
      <c r="AO706" s="115"/>
    </row>
    <row r="707">
      <c r="A707" s="397"/>
      <c r="B707" s="385"/>
      <c r="C707" s="385"/>
      <c r="H707" s="115"/>
      <c r="I707" s="115"/>
      <c r="J707" s="115"/>
      <c r="K707" s="115"/>
      <c r="L707" s="115"/>
      <c r="M707" s="353"/>
      <c r="N707" s="115"/>
      <c r="O707" s="115"/>
      <c r="P707" s="115"/>
      <c r="Q707" s="115"/>
      <c r="R707" s="115"/>
      <c r="S707" s="115"/>
      <c r="T707" s="115"/>
      <c r="U707" s="115"/>
      <c r="V707" s="115"/>
      <c r="W707" s="115"/>
      <c r="X707" s="115"/>
      <c r="Y707" s="115"/>
      <c r="Z707" s="115"/>
      <c r="AA707" s="115"/>
      <c r="AB707" s="115"/>
      <c r="AI707" s="263"/>
      <c r="AJ707" s="263"/>
      <c r="AK707" s="263"/>
      <c r="AN707" s="115"/>
      <c r="AO707" s="115"/>
    </row>
    <row r="708">
      <c r="A708" s="397"/>
      <c r="B708" s="385"/>
      <c r="C708" s="385"/>
      <c r="H708" s="115"/>
      <c r="I708" s="115"/>
      <c r="J708" s="115"/>
      <c r="K708" s="115"/>
      <c r="L708" s="115"/>
      <c r="M708" s="353"/>
      <c r="N708" s="115"/>
      <c r="O708" s="115"/>
      <c r="P708" s="115"/>
      <c r="Q708" s="115"/>
      <c r="R708" s="115"/>
      <c r="S708" s="115"/>
      <c r="T708" s="115"/>
      <c r="U708" s="115"/>
      <c r="V708" s="115"/>
      <c r="W708" s="115"/>
      <c r="X708" s="115"/>
      <c r="Y708" s="115"/>
      <c r="Z708" s="115"/>
      <c r="AA708" s="115"/>
      <c r="AB708" s="115"/>
      <c r="AI708" s="263"/>
      <c r="AJ708" s="263"/>
      <c r="AK708" s="263"/>
      <c r="AN708" s="115"/>
      <c r="AO708" s="115"/>
    </row>
    <row r="709">
      <c r="A709" s="397"/>
      <c r="B709" s="385"/>
      <c r="C709" s="385"/>
      <c r="H709" s="115"/>
      <c r="I709" s="115"/>
      <c r="J709" s="115"/>
      <c r="K709" s="115"/>
      <c r="L709" s="115"/>
      <c r="M709" s="353"/>
      <c r="N709" s="115"/>
      <c r="O709" s="115"/>
      <c r="P709" s="115"/>
      <c r="Q709" s="115"/>
      <c r="R709" s="115"/>
      <c r="S709" s="115"/>
      <c r="T709" s="115"/>
      <c r="U709" s="115"/>
      <c r="V709" s="115"/>
      <c r="W709" s="115"/>
      <c r="X709" s="115"/>
      <c r="Y709" s="115"/>
      <c r="Z709" s="115"/>
      <c r="AA709" s="115"/>
      <c r="AB709" s="115"/>
      <c r="AI709" s="263"/>
      <c r="AJ709" s="263"/>
      <c r="AK709" s="263"/>
      <c r="AN709" s="115"/>
      <c r="AO709" s="115"/>
    </row>
    <row r="710">
      <c r="A710" s="397"/>
      <c r="B710" s="385"/>
      <c r="C710" s="385"/>
      <c r="H710" s="115"/>
      <c r="I710" s="115"/>
      <c r="J710" s="115"/>
      <c r="K710" s="115"/>
      <c r="L710" s="115"/>
      <c r="M710" s="353"/>
      <c r="N710" s="115"/>
      <c r="O710" s="115"/>
      <c r="P710" s="115"/>
      <c r="Q710" s="115"/>
      <c r="R710" s="115"/>
      <c r="S710" s="115"/>
      <c r="T710" s="115"/>
      <c r="U710" s="115"/>
      <c r="V710" s="115"/>
      <c r="W710" s="115"/>
      <c r="X710" s="115"/>
      <c r="Y710" s="115"/>
      <c r="Z710" s="115"/>
      <c r="AA710" s="115"/>
      <c r="AB710" s="115"/>
      <c r="AI710" s="263"/>
      <c r="AJ710" s="263"/>
      <c r="AK710" s="263"/>
      <c r="AN710" s="115"/>
      <c r="AO710" s="115"/>
    </row>
    <row r="711">
      <c r="A711" s="397"/>
      <c r="B711" s="385"/>
      <c r="C711" s="385"/>
      <c r="H711" s="115"/>
      <c r="I711" s="115"/>
      <c r="J711" s="115"/>
      <c r="K711" s="115"/>
      <c r="L711" s="115"/>
      <c r="M711" s="353"/>
      <c r="N711" s="115"/>
      <c r="O711" s="115"/>
      <c r="P711" s="115"/>
      <c r="Q711" s="115"/>
      <c r="R711" s="115"/>
      <c r="S711" s="115"/>
      <c r="T711" s="115"/>
      <c r="U711" s="115"/>
      <c r="V711" s="115"/>
      <c r="W711" s="115"/>
      <c r="X711" s="115"/>
      <c r="Y711" s="115"/>
      <c r="Z711" s="115"/>
      <c r="AA711" s="115"/>
      <c r="AB711" s="115"/>
      <c r="AI711" s="263"/>
      <c r="AJ711" s="263"/>
      <c r="AK711" s="263"/>
      <c r="AN711" s="115"/>
      <c r="AO711" s="115"/>
    </row>
    <row r="712">
      <c r="A712" s="397"/>
      <c r="B712" s="385"/>
      <c r="C712" s="385"/>
      <c r="H712" s="115"/>
      <c r="I712" s="115"/>
      <c r="J712" s="115"/>
      <c r="K712" s="115"/>
      <c r="L712" s="115"/>
      <c r="M712" s="353"/>
      <c r="N712" s="115"/>
      <c r="O712" s="115"/>
      <c r="P712" s="115"/>
      <c r="Q712" s="115"/>
      <c r="R712" s="115"/>
      <c r="S712" s="115"/>
      <c r="T712" s="115"/>
      <c r="U712" s="115"/>
      <c r="V712" s="115"/>
      <c r="W712" s="115"/>
      <c r="X712" s="115"/>
      <c r="Y712" s="115"/>
      <c r="Z712" s="115"/>
      <c r="AA712" s="115"/>
      <c r="AB712" s="115"/>
      <c r="AI712" s="263"/>
      <c r="AJ712" s="263"/>
      <c r="AK712" s="263"/>
      <c r="AN712" s="115"/>
      <c r="AO712" s="115"/>
    </row>
    <row r="713">
      <c r="A713" s="397"/>
      <c r="B713" s="385"/>
      <c r="C713" s="385"/>
      <c r="H713" s="115"/>
      <c r="I713" s="115"/>
      <c r="J713" s="115"/>
      <c r="K713" s="115"/>
      <c r="L713" s="115"/>
      <c r="M713" s="353"/>
      <c r="N713" s="115"/>
      <c r="O713" s="115"/>
      <c r="P713" s="115"/>
      <c r="Q713" s="115"/>
      <c r="R713" s="115"/>
      <c r="S713" s="115"/>
      <c r="T713" s="115"/>
      <c r="U713" s="115"/>
      <c r="V713" s="115"/>
      <c r="W713" s="115"/>
      <c r="X713" s="115"/>
      <c r="Y713" s="115"/>
      <c r="Z713" s="115"/>
      <c r="AA713" s="115"/>
      <c r="AB713" s="115"/>
      <c r="AI713" s="263"/>
      <c r="AJ713" s="263"/>
      <c r="AK713" s="263"/>
      <c r="AN713" s="115"/>
      <c r="AO713" s="115"/>
    </row>
    <row r="714">
      <c r="A714" s="397"/>
      <c r="B714" s="385"/>
      <c r="C714" s="385"/>
      <c r="H714" s="115"/>
      <c r="I714" s="115"/>
      <c r="J714" s="115"/>
      <c r="K714" s="115"/>
      <c r="L714" s="115"/>
      <c r="M714" s="353"/>
      <c r="N714" s="115"/>
      <c r="O714" s="115"/>
      <c r="P714" s="115"/>
      <c r="Q714" s="115"/>
      <c r="R714" s="115"/>
      <c r="S714" s="115"/>
      <c r="T714" s="115"/>
      <c r="U714" s="115"/>
      <c r="V714" s="115"/>
      <c r="W714" s="115"/>
      <c r="X714" s="115"/>
      <c r="Y714" s="115"/>
      <c r="Z714" s="115"/>
      <c r="AA714" s="115"/>
      <c r="AB714" s="115"/>
      <c r="AI714" s="263"/>
      <c r="AJ714" s="263"/>
      <c r="AK714" s="263"/>
      <c r="AN714" s="115"/>
      <c r="AO714" s="115"/>
    </row>
    <row r="715">
      <c r="A715" s="397"/>
      <c r="B715" s="385"/>
      <c r="C715" s="385"/>
      <c r="H715" s="115"/>
      <c r="I715" s="115"/>
      <c r="J715" s="115"/>
      <c r="K715" s="115"/>
      <c r="L715" s="115"/>
      <c r="M715" s="353"/>
      <c r="N715" s="115"/>
      <c r="O715" s="115"/>
      <c r="P715" s="115"/>
      <c r="Q715" s="115"/>
      <c r="R715" s="115"/>
      <c r="S715" s="115"/>
      <c r="T715" s="115"/>
      <c r="U715" s="115"/>
      <c r="V715" s="115"/>
      <c r="W715" s="115"/>
      <c r="X715" s="115"/>
      <c r="Y715" s="115"/>
      <c r="Z715" s="115"/>
      <c r="AA715" s="115"/>
      <c r="AB715" s="115"/>
      <c r="AI715" s="263"/>
      <c r="AJ715" s="263"/>
      <c r="AK715" s="263"/>
      <c r="AN715" s="115"/>
      <c r="AO715" s="115"/>
    </row>
    <row r="716">
      <c r="A716" s="397"/>
      <c r="B716" s="385"/>
      <c r="C716" s="385"/>
      <c r="H716" s="115"/>
      <c r="I716" s="115"/>
      <c r="J716" s="115"/>
      <c r="K716" s="115"/>
      <c r="L716" s="115"/>
      <c r="M716" s="353"/>
      <c r="N716" s="115"/>
      <c r="O716" s="115"/>
      <c r="P716" s="115"/>
      <c r="Q716" s="115"/>
      <c r="R716" s="115"/>
      <c r="S716" s="115"/>
      <c r="T716" s="115"/>
      <c r="U716" s="115"/>
      <c r="V716" s="115"/>
      <c r="W716" s="115"/>
      <c r="X716" s="115"/>
      <c r="Y716" s="115"/>
      <c r="Z716" s="115"/>
      <c r="AA716" s="115"/>
      <c r="AB716" s="115"/>
      <c r="AI716" s="263"/>
      <c r="AJ716" s="263"/>
      <c r="AK716" s="263"/>
      <c r="AN716" s="115"/>
      <c r="AO716" s="115"/>
    </row>
    <row r="717">
      <c r="A717" s="397"/>
      <c r="B717" s="385"/>
      <c r="C717" s="385"/>
      <c r="H717" s="115"/>
      <c r="I717" s="115"/>
      <c r="J717" s="115"/>
      <c r="K717" s="115"/>
      <c r="L717" s="115"/>
      <c r="M717" s="353"/>
      <c r="N717" s="115"/>
      <c r="O717" s="115"/>
      <c r="P717" s="115"/>
      <c r="Q717" s="115"/>
      <c r="R717" s="115"/>
      <c r="S717" s="115"/>
      <c r="T717" s="115"/>
      <c r="U717" s="115"/>
      <c r="V717" s="115"/>
      <c r="W717" s="115"/>
      <c r="X717" s="115"/>
      <c r="Y717" s="115"/>
      <c r="Z717" s="115"/>
      <c r="AA717" s="115"/>
      <c r="AB717" s="115"/>
      <c r="AI717" s="263"/>
      <c r="AJ717" s="263"/>
      <c r="AK717" s="263"/>
      <c r="AN717" s="115"/>
      <c r="AO717" s="115"/>
    </row>
    <row r="718">
      <c r="A718" s="397"/>
      <c r="B718" s="385"/>
      <c r="C718" s="385"/>
      <c r="H718" s="115"/>
      <c r="I718" s="115"/>
      <c r="J718" s="115"/>
      <c r="K718" s="115"/>
      <c r="L718" s="115"/>
      <c r="M718" s="353"/>
      <c r="N718" s="115"/>
      <c r="O718" s="115"/>
      <c r="P718" s="115"/>
      <c r="Q718" s="115"/>
      <c r="R718" s="115"/>
      <c r="S718" s="115"/>
      <c r="T718" s="115"/>
      <c r="U718" s="115"/>
      <c r="V718" s="115"/>
      <c r="W718" s="115"/>
      <c r="X718" s="115"/>
      <c r="Y718" s="115"/>
      <c r="Z718" s="115"/>
      <c r="AA718" s="115"/>
      <c r="AB718" s="115"/>
      <c r="AI718" s="263"/>
      <c r="AJ718" s="263"/>
      <c r="AK718" s="263"/>
      <c r="AN718" s="115"/>
      <c r="AO718" s="115"/>
    </row>
    <row r="719">
      <c r="A719" s="397"/>
      <c r="B719" s="385"/>
      <c r="C719" s="385"/>
      <c r="H719" s="115"/>
      <c r="I719" s="115"/>
      <c r="J719" s="115"/>
      <c r="K719" s="115"/>
      <c r="L719" s="115"/>
      <c r="M719" s="353"/>
      <c r="N719" s="115"/>
      <c r="O719" s="115"/>
      <c r="P719" s="115"/>
      <c r="Q719" s="115"/>
      <c r="R719" s="115"/>
      <c r="S719" s="115"/>
      <c r="T719" s="115"/>
      <c r="U719" s="115"/>
      <c r="V719" s="115"/>
      <c r="W719" s="115"/>
      <c r="X719" s="115"/>
      <c r="Y719" s="115"/>
      <c r="Z719" s="115"/>
      <c r="AA719" s="115"/>
      <c r="AB719" s="115"/>
      <c r="AI719" s="263"/>
      <c r="AJ719" s="263"/>
      <c r="AK719" s="263"/>
      <c r="AN719" s="115"/>
      <c r="AO719" s="115"/>
    </row>
    <row r="720">
      <c r="A720" s="397"/>
      <c r="B720" s="385"/>
      <c r="C720" s="385"/>
      <c r="H720" s="115"/>
      <c r="I720" s="115"/>
      <c r="J720" s="115"/>
      <c r="K720" s="115"/>
      <c r="L720" s="115"/>
      <c r="M720" s="353"/>
      <c r="N720" s="115"/>
      <c r="O720" s="115"/>
      <c r="P720" s="115"/>
      <c r="Q720" s="115"/>
      <c r="R720" s="115"/>
      <c r="S720" s="115"/>
      <c r="T720" s="115"/>
      <c r="U720" s="115"/>
      <c r="V720" s="115"/>
      <c r="W720" s="115"/>
      <c r="X720" s="115"/>
      <c r="Y720" s="115"/>
      <c r="Z720" s="115"/>
      <c r="AA720" s="115"/>
      <c r="AB720" s="115"/>
      <c r="AI720" s="263"/>
      <c r="AJ720" s="263"/>
      <c r="AK720" s="263"/>
      <c r="AN720" s="115"/>
      <c r="AO720" s="115"/>
    </row>
    <row r="721">
      <c r="A721" s="397"/>
      <c r="B721" s="385"/>
      <c r="C721" s="385"/>
      <c r="H721" s="115"/>
      <c r="I721" s="115"/>
      <c r="J721" s="115"/>
      <c r="K721" s="115"/>
      <c r="L721" s="115"/>
      <c r="M721" s="353"/>
      <c r="N721" s="115"/>
      <c r="O721" s="115"/>
      <c r="P721" s="115"/>
      <c r="Q721" s="115"/>
      <c r="R721" s="115"/>
      <c r="S721" s="115"/>
      <c r="T721" s="115"/>
      <c r="U721" s="115"/>
      <c r="V721" s="115"/>
      <c r="W721" s="115"/>
      <c r="X721" s="115"/>
      <c r="Y721" s="115"/>
      <c r="Z721" s="115"/>
      <c r="AA721" s="115"/>
      <c r="AB721" s="115"/>
      <c r="AI721" s="263"/>
      <c r="AJ721" s="263"/>
      <c r="AK721" s="263"/>
      <c r="AN721" s="115"/>
      <c r="AO721" s="115"/>
    </row>
    <row r="722">
      <c r="A722" s="397"/>
      <c r="B722" s="385"/>
      <c r="C722" s="385"/>
      <c r="H722" s="115"/>
      <c r="I722" s="115"/>
      <c r="J722" s="115"/>
      <c r="K722" s="115"/>
      <c r="L722" s="115"/>
      <c r="M722" s="353"/>
      <c r="N722" s="115"/>
      <c r="O722" s="115"/>
      <c r="P722" s="115"/>
      <c r="Q722" s="115"/>
      <c r="R722" s="115"/>
      <c r="S722" s="115"/>
      <c r="T722" s="115"/>
      <c r="U722" s="115"/>
      <c r="V722" s="115"/>
      <c r="W722" s="115"/>
      <c r="X722" s="115"/>
      <c r="Y722" s="115"/>
      <c r="Z722" s="115"/>
      <c r="AA722" s="115"/>
      <c r="AB722" s="115"/>
      <c r="AI722" s="263"/>
      <c r="AJ722" s="263"/>
      <c r="AK722" s="263"/>
      <c r="AN722" s="115"/>
      <c r="AO722" s="115"/>
    </row>
    <row r="723">
      <c r="A723" s="397"/>
      <c r="B723" s="385"/>
      <c r="C723" s="385"/>
      <c r="H723" s="115"/>
      <c r="I723" s="115"/>
      <c r="J723" s="115"/>
      <c r="K723" s="115"/>
      <c r="L723" s="115"/>
      <c r="M723" s="353"/>
      <c r="N723" s="115"/>
      <c r="O723" s="115"/>
      <c r="P723" s="115"/>
      <c r="Q723" s="115"/>
      <c r="R723" s="115"/>
      <c r="S723" s="115"/>
      <c r="T723" s="115"/>
      <c r="U723" s="115"/>
      <c r="V723" s="115"/>
      <c r="W723" s="115"/>
      <c r="X723" s="115"/>
      <c r="Y723" s="115"/>
      <c r="Z723" s="115"/>
      <c r="AA723" s="115"/>
      <c r="AB723" s="115"/>
      <c r="AI723" s="263"/>
      <c r="AJ723" s="263"/>
      <c r="AK723" s="263"/>
      <c r="AN723" s="115"/>
      <c r="AO723" s="115"/>
    </row>
    <row r="724">
      <c r="A724" s="397"/>
      <c r="B724" s="385"/>
      <c r="C724" s="385"/>
      <c r="H724" s="115"/>
      <c r="I724" s="115"/>
      <c r="J724" s="115"/>
      <c r="K724" s="115"/>
      <c r="L724" s="115"/>
      <c r="M724" s="353"/>
      <c r="N724" s="115"/>
      <c r="O724" s="115"/>
      <c r="P724" s="115"/>
      <c r="Q724" s="115"/>
      <c r="R724" s="115"/>
      <c r="S724" s="115"/>
      <c r="T724" s="115"/>
      <c r="U724" s="115"/>
      <c r="V724" s="115"/>
      <c r="W724" s="115"/>
      <c r="X724" s="115"/>
      <c r="Y724" s="115"/>
      <c r="Z724" s="115"/>
      <c r="AA724" s="115"/>
      <c r="AB724" s="115"/>
      <c r="AI724" s="263"/>
      <c r="AJ724" s="263"/>
      <c r="AK724" s="263"/>
      <c r="AN724" s="115"/>
      <c r="AO724" s="115"/>
    </row>
    <row r="725">
      <c r="A725" s="397"/>
      <c r="B725" s="385"/>
      <c r="C725" s="385"/>
      <c r="H725" s="115"/>
      <c r="I725" s="115"/>
      <c r="J725" s="115"/>
      <c r="K725" s="115"/>
      <c r="L725" s="115"/>
      <c r="M725" s="353"/>
      <c r="N725" s="115"/>
      <c r="O725" s="115"/>
      <c r="P725" s="115"/>
      <c r="Q725" s="115"/>
      <c r="R725" s="115"/>
      <c r="S725" s="115"/>
      <c r="T725" s="115"/>
      <c r="U725" s="115"/>
      <c r="V725" s="115"/>
      <c r="W725" s="115"/>
      <c r="X725" s="115"/>
      <c r="Y725" s="115"/>
      <c r="Z725" s="115"/>
      <c r="AA725" s="115"/>
      <c r="AB725" s="115"/>
      <c r="AI725" s="263"/>
      <c r="AJ725" s="263"/>
      <c r="AK725" s="263"/>
      <c r="AN725" s="115"/>
      <c r="AO725" s="115"/>
    </row>
    <row r="726">
      <c r="A726" s="397"/>
      <c r="B726" s="385"/>
      <c r="C726" s="385"/>
      <c r="H726" s="115"/>
      <c r="I726" s="115"/>
      <c r="J726" s="115"/>
      <c r="K726" s="115"/>
      <c r="L726" s="115"/>
      <c r="M726" s="353"/>
      <c r="N726" s="115"/>
      <c r="O726" s="115"/>
      <c r="P726" s="115"/>
      <c r="Q726" s="115"/>
      <c r="R726" s="115"/>
      <c r="S726" s="115"/>
      <c r="T726" s="115"/>
      <c r="U726" s="115"/>
      <c r="V726" s="115"/>
      <c r="W726" s="115"/>
      <c r="X726" s="115"/>
      <c r="Y726" s="115"/>
      <c r="Z726" s="115"/>
      <c r="AA726" s="115"/>
      <c r="AB726" s="115"/>
      <c r="AI726" s="263"/>
      <c r="AJ726" s="263"/>
      <c r="AK726" s="263"/>
      <c r="AN726" s="115"/>
      <c r="AO726" s="115"/>
    </row>
    <row r="727">
      <c r="A727" s="397"/>
      <c r="B727" s="385"/>
      <c r="C727" s="385"/>
      <c r="H727" s="115"/>
      <c r="I727" s="115"/>
      <c r="J727" s="115"/>
      <c r="K727" s="115"/>
      <c r="L727" s="115"/>
      <c r="M727" s="353"/>
      <c r="N727" s="115"/>
      <c r="O727" s="115"/>
      <c r="P727" s="115"/>
      <c r="Q727" s="115"/>
      <c r="R727" s="115"/>
      <c r="S727" s="115"/>
      <c r="T727" s="115"/>
      <c r="U727" s="115"/>
      <c r="V727" s="115"/>
      <c r="W727" s="115"/>
      <c r="X727" s="115"/>
      <c r="Y727" s="115"/>
      <c r="Z727" s="115"/>
      <c r="AA727" s="115"/>
      <c r="AB727" s="115"/>
      <c r="AI727" s="263"/>
      <c r="AJ727" s="263"/>
      <c r="AK727" s="263"/>
      <c r="AN727" s="115"/>
      <c r="AO727" s="115"/>
    </row>
    <row r="728">
      <c r="A728" s="397"/>
      <c r="B728" s="385"/>
      <c r="C728" s="385"/>
      <c r="H728" s="115"/>
      <c r="I728" s="115"/>
      <c r="J728" s="115"/>
      <c r="K728" s="115"/>
      <c r="L728" s="115"/>
      <c r="M728" s="353"/>
      <c r="N728" s="115"/>
      <c r="O728" s="115"/>
      <c r="P728" s="115"/>
      <c r="Q728" s="115"/>
      <c r="R728" s="115"/>
      <c r="S728" s="115"/>
      <c r="T728" s="115"/>
      <c r="U728" s="115"/>
      <c r="V728" s="115"/>
      <c r="W728" s="115"/>
      <c r="X728" s="115"/>
      <c r="Y728" s="115"/>
      <c r="Z728" s="115"/>
      <c r="AA728" s="115"/>
      <c r="AB728" s="115"/>
      <c r="AI728" s="263"/>
      <c r="AJ728" s="263"/>
      <c r="AK728" s="263"/>
      <c r="AN728" s="115"/>
      <c r="AO728" s="115"/>
    </row>
    <row r="729">
      <c r="A729" s="397"/>
      <c r="B729" s="385"/>
      <c r="C729" s="385"/>
      <c r="H729" s="115"/>
      <c r="I729" s="115"/>
      <c r="J729" s="115"/>
      <c r="K729" s="115"/>
      <c r="L729" s="115"/>
      <c r="M729" s="353"/>
      <c r="N729" s="115"/>
      <c r="O729" s="115"/>
      <c r="P729" s="115"/>
      <c r="Q729" s="115"/>
      <c r="R729" s="115"/>
      <c r="S729" s="115"/>
      <c r="T729" s="115"/>
      <c r="U729" s="115"/>
      <c r="V729" s="115"/>
      <c r="W729" s="115"/>
      <c r="X729" s="115"/>
      <c r="Y729" s="115"/>
      <c r="Z729" s="115"/>
      <c r="AA729" s="115"/>
      <c r="AB729" s="115"/>
      <c r="AI729" s="263"/>
      <c r="AJ729" s="263"/>
      <c r="AK729" s="263"/>
      <c r="AN729" s="115"/>
      <c r="AO729" s="115"/>
    </row>
    <row r="730">
      <c r="A730" s="397"/>
      <c r="B730" s="385"/>
      <c r="C730" s="385"/>
      <c r="H730" s="115"/>
      <c r="I730" s="115"/>
      <c r="J730" s="115"/>
      <c r="K730" s="115"/>
      <c r="L730" s="115"/>
      <c r="M730" s="353"/>
      <c r="N730" s="115"/>
      <c r="O730" s="115"/>
      <c r="P730" s="115"/>
      <c r="Q730" s="115"/>
      <c r="R730" s="115"/>
      <c r="S730" s="115"/>
      <c r="T730" s="115"/>
      <c r="U730" s="115"/>
      <c r="V730" s="115"/>
      <c r="W730" s="115"/>
      <c r="X730" s="115"/>
      <c r="Y730" s="115"/>
      <c r="Z730" s="115"/>
      <c r="AA730" s="115"/>
      <c r="AB730" s="115"/>
      <c r="AI730" s="263"/>
      <c r="AJ730" s="263"/>
      <c r="AK730" s="263"/>
      <c r="AN730" s="115"/>
      <c r="AO730" s="115"/>
    </row>
    <row r="731">
      <c r="A731" s="397"/>
      <c r="B731" s="385"/>
      <c r="C731" s="385"/>
      <c r="H731" s="115"/>
      <c r="I731" s="115"/>
      <c r="J731" s="115"/>
      <c r="K731" s="115"/>
      <c r="L731" s="115"/>
      <c r="M731" s="353"/>
      <c r="N731" s="115"/>
      <c r="O731" s="115"/>
      <c r="P731" s="115"/>
      <c r="Q731" s="115"/>
      <c r="R731" s="115"/>
      <c r="S731" s="115"/>
      <c r="T731" s="115"/>
      <c r="U731" s="115"/>
      <c r="V731" s="115"/>
      <c r="W731" s="115"/>
      <c r="X731" s="115"/>
      <c r="Y731" s="115"/>
      <c r="Z731" s="115"/>
      <c r="AA731" s="115"/>
      <c r="AB731" s="115"/>
      <c r="AI731" s="263"/>
      <c r="AJ731" s="263"/>
      <c r="AK731" s="263"/>
      <c r="AN731" s="115"/>
      <c r="AO731" s="115"/>
    </row>
    <row r="732">
      <c r="A732" s="397"/>
      <c r="B732" s="385"/>
      <c r="C732" s="385"/>
      <c r="H732" s="115"/>
      <c r="I732" s="115"/>
      <c r="J732" s="115"/>
      <c r="K732" s="115"/>
      <c r="L732" s="115"/>
      <c r="M732" s="353"/>
      <c r="N732" s="115"/>
      <c r="O732" s="115"/>
      <c r="P732" s="115"/>
      <c r="Q732" s="115"/>
      <c r="R732" s="115"/>
      <c r="S732" s="115"/>
      <c r="T732" s="115"/>
      <c r="U732" s="115"/>
      <c r="V732" s="115"/>
      <c r="W732" s="115"/>
      <c r="X732" s="115"/>
      <c r="Y732" s="115"/>
      <c r="Z732" s="115"/>
      <c r="AA732" s="115"/>
      <c r="AB732" s="115"/>
      <c r="AI732" s="263"/>
      <c r="AJ732" s="263"/>
      <c r="AK732" s="263"/>
      <c r="AN732" s="115"/>
      <c r="AO732" s="115"/>
    </row>
    <row r="733">
      <c r="A733" s="397"/>
      <c r="B733" s="385"/>
      <c r="C733" s="385"/>
      <c r="H733" s="115"/>
      <c r="I733" s="115"/>
      <c r="J733" s="115"/>
      <c r="K733" s="115"/>
      <c r="L733" s="115"/>
      <c r="M733" s="353"/>
      <c r="N733" s="115"/>
      <c r="O733" s="115"/>
      <c r="P733" s="115"/>
      <c r="Q733" s="115"/>
      <c r="R733" s="115"/>
      <c r="S733" s="115"/>
      <c r="T733" s="115"/>
      <c r="U733" s="115"/>
      <c r="V733" s="115"/>
      <c r="W733" s="115"/>
      <c r="X733" s="115"/>
      <c r="Y733" s="115"/>
      <c r="Z733" s="115"/>
      <c r="AA733" s="115"/>
      <c r="AB733" s="115"/>
      <c r="AI733" s="263"/>
      <c r="AJ733" s="263"/>
      <c r="AK733" s="263"/>
      <c r="AN733" s="115"/>
      <c r="AO733" s="115"/>
    </row>
    <row r="734">
      <c r="A734" s="397"/>
      <c r="B734" s="385"/>
      <c r="C734" s="385"/>
      <c r="H734" s="115"/>
      <c r="I734" s="115"/>
      <c r="J734" s="115"/>
      <c r="K734" s="115"/>
      <c r="L734" s="115"/>
      <c r="M734" s="353"/>
      <c r="N734" s="115"/>
      <c r="O734" s="115"/>
      <c r="P734" s="115"/>
      <c r="Q734" s="115"/>
      <c r="R734" s="115"/>
      <c r="S734" s="115"/>
      <c r="T734" s="115"/>
      <c r="U734" s="115"/>
      <c r="V734" s="115"/>
      <c r="W734" s="115"/>
      <c r="X734" s="115"/>
      <c r="Y734" s="115"/>
      <c r="Z734" s="115"/>
      <c r="AA734" s="115"/>
      <c r="AB734" s="115"/>
      <c r="AI734" s="263"/>
      <c r="AJ734" s="263"/>
      <c r="AK734" s="263"/>
      <c r="AN734" s="115"/>
      <c r="AO734" s="115"/>
    </row>
    <row r="735">
      <c r="A735" s="397"/>
      <c r="B735" s="385"/>
      <c r="C735" s="385"/>
      <c r="H735" s="115"/>
      <c r="I735" s="115"/>
      <c r="J735" s="115"/>
      <c r="K735" s="115"/>
      <c r="L735" s="115"/>
      <c r="M735" s="353"/>
      <c r="N735" s="115"/>
      <c r="O735" s="115"/>
      <c r="P735" s="115"/>
      <c r="Q735" s="115"/>
      <c r="R735" s="115"/>
      <c r="S735" s="115"/>
      <c r="T735" s="115"/>
      <c r="U735" s="115"/>
      <c r="V735" s="115"/>
      <c r="W735" s="115"/>
      <c r="X735" s="115"/>
      <c r="Y735" s="115"/>
      <c r="Z735" s="115"/>
      <c r="AA735" s="115"/>
      <c r="AB735" s="115"/>
      <c r="AI735" s="263"/>
      <c r="AJ735" s="263"/>
      <c r="AK735" s="263"/>
      <c r="AN735" s="115"/>
      <c r="AO735" s="115"/>
    </row>
    <row r="736">
      <c r="A736" s="397"/>
      <c r="B736" s="385"/>
      <c r="C736" s="385"/>
      <c r="H736" s="115"/>
      <c r="I736" s="115"/>
      <c r="J736" s="115"/>
      <c r="K736" s="115"/>
      <c r="L736" s="115"/>
      <c r="M736" s="353"/>
      <c r="N736" s="115"/>
      <c r="O736" s="115"/>
      <c r="P736" s="115"/>
      <c r="Q736" s="115"/>
      <c r="R736" s="115"/>
      <c r="S736" s="115"/>
      <c r="T736" s="115"/>
      <c r="U736" s="115"/>
      <c r="V736" s="115"/>
      <c r="W736" s="115"/>
      <c r="X736" s="115"/>
      <c r="Y736" s="115"/>
      <c r="Z736" s="115"/>
      <c r="AA736" s="115"/>
      <c r="AB736" s="115"/>
      <c r="AI736" s="263"/>
      <c r="AJ736" s="263"/>
      <c r="AK736" s="263"/>
      <c r="AN736" s="115"/>
      <c r="AO736" s="115"/>
    </row>
    <row r="737">
      <c r="A737" s="397"/>
      <c r="B737" s="385"/>
      <c r="C737" s="385"/>
      <c r="H737" s="115"/>
      <c r="I737" s="115"/>
      <c r="J737" s="115"/>
      <c r="K737" s="115"/>
      <c r="L737" s="115"/>
      <c r="M737" s="353"/>
      <c r="N737" s="115"/>
      <c r="O737" s="115"/>
      <c r="P737" s="115"/>
      <c r="Q737" s="115"/>
      <c r="R737" s="115"/>
      <c r="S737" s="115"/>
      <c r="T737" s="115"/>
      <c r="U737" s="115"/>
      <c r="V737" s="115"/>
      <c r="W737" s="115"/>
      <c r="X737" s="115"/>
      <c r="Y737" s="115"/>
      <c r="Z737" s="115"/>
      <c r="AA737" s="115"/>
      <c r="AB737" s="115"/>
      <c r="AI737" s="263"/>
      <c r="AJ737" s="263"/>
      <c r="AK737" s="263"/>
      <c r="AN737" s="115"/>
      <c r="AO737" s="115"/>
    </row>
    <row r="738">
      <c r="A738" s="397"/>
      <c r="B738" s="385"/>
      <c r="C738" s="385"/>
      <c r="H738" s="115"/>
      <c r="I738" s="115"/>
      <c r="J738" s="115"/>
      <c r="K738" s="115"/>
      <c r="L738" s="115"/>
      <c r="M738" s="353"/>
      <c r="N738" s="115"/>
      <c r="O738" s="115"/>
      <c r="P738" s="115"/>
      <c r="Q738" s="115"/>
      <c r="R738" s="115"/>
      <c r="S738" s="115"/>
      <c r="T738" s="115"/>
      <c r="U738" s="115"/>
      <c r="V738" s="115"/>
      <c r="W738" s="115"/>
      <c r="X738" s="115"/>
      <c r="Y738" s="115"/>
      <c r="Z738" s="115"/>
      <c r="AA738" s="115"/>
      <c r="AB738" s="115"/>
      <c r="AI738" s="263"/>
      <c r="AJ738" s="263"/>
      <c r="AK738" s="263"/>
      <c r="AN738" s="115"/>
      <c r="AO738" s="115"/>
    </row>
    <row r="739">
      <c r="A739" s="397"/>
      <c r="B739" s="385"/>
      <c r="C739" s="385"/>
      <c r="H739" s="115"/>
      <c r="I739" s="115"/>
      <c r="J739" s="115"/>
      <c r="K739" s="115"/>
      <c r="L739" s="115"/>
      <c r="M739" s="353"/>
      <c r="N739" s="115"/>
      <c r="O739" s="115"/>
      <c r="P739" s="115"/>
      <c r="Q739" s="115"/>
      <c r="R739" s="115"/>
      <c r="S739" s="115"/>
      <c r="T739" s="115"/>
      <c r="U739" s="115"/>
      <c r="V739" s="115"/>
      <c r="W739" s="115"/>
      <c r="X739" s="115"/>
      <c r="Y739" s="115"/>
      <c r="Z739" s="115"/>
      <c r="AA739" s="115"/>
      <c r="AB739" s="115"/>
      <c r="AI739" s="263"/>
      <c r="AJ739" s="263"/>
      <c r="AK739" s="263"/>
      <c r="AN739" s="115"/>
      <c r="AO739" s="115"/>
    </row>
    <row r="740">
      <c r="A740" s="397"/>
      <c r="B740" s="385"/>
      <c r="C740" s="385"/>
      <c r="H740" s="115"/>
      <c r="I740" s="115"/>
      <c r="J740" s="115"/>
      <c r="K740" s="115"/>
      <c r="L740" s="115"/>
      <c r="M740" s="353"/>
      <c r="N740" s="115"/>
      <c r="O740" s="115"/>
      <c r="P740" s="115"/>
      <c r="Q740" s="115"/>
      <c r="R740" s="115"/>
      <c r="S740" s="115"/>
      <c r="T740" s="115"/>
      <c r="U740" s="115"/>
      <c r="V740" s="115"/>
      <c r="W740" s="115"/>
      <c r="X740" s="115"/>
      <c r="Y740" s="115"/>
      <c r="Z740" s="115"/>
      <c r="AA740" s="115"/>
      <c r="AB740" s="115"/>
      <c r="AI740" s="263"/>
      <c r="AJ740" s="263"/>
      <c r="AK740" s="263"/>
      <c r="AN740" s="115"/>
      <c r="AO740" s="115"/>
    </row>
    <row r="741">
      <c r="A741" s="397"/>
      <c r="B741" s="385"/>
      <c r="C741" s="385"/>
      <c r="H741" s="115"/>
      <c r="I741" s="115"/>
      <c r="J741" s="115"/>
      <c r="K741" s="115"/>
      <c r="L741" s="115"/>
      <c r="M741" s="353"/>
      <c r="N741" s="115"/>
      <c r="O741" s="115"/>
      <c r="P741" s="115"/>
      <c r="Q741" s="115"/>
      <c r="R741" s="115"/>
      <c r="S741" s="115"/>
      <c r="T741" s="115"/>
      <c r="U741" s="115"/>
      <c r="V741" s="115"/>
      <c r="W741" s="115"/>
      <c r="X741" s="115"/>
      <c r="Y741" s="115"/>
      <c r="Z741" s="115"/>
      <c r="AA741" s="115"/>
      <c r="AB741" s="115"/>
      <c r="AI741" s="263"/>
      <c r="AJ741" s="263"/>
      <c r="AK741" s="263"/>
      <c r="AN741" s="115"/>
      <c r="AO741" s="115"/>
    </row>
    <row r="742">
      <c r="A742" s="397"/>
      <c r="B742" s="385"/>
      <c r="C742" s="385"/>
      <c r="H742" s="115"/>
      <c r="I742" s="115"/>
      <c r="J742" s="115"/>
      <c r="K742" s="115"/>
      <c r="L742" s="115"/>
      <c r="M742" s="353"/>
      <c r="N742" s="115"/>
      <c r="O742" s="115"/>
      <c r="P742" s="115"/>
      <c r="Q742" s="115"/>
      <c r="R742" s="115"/>
      <c r="S742" s="115"/>
      <c r="T742" s="115"/>
      <c r="U742" s="115"/>
      <c r="V742" s="115"/>
      <c r="W742" s="115"/>
      <c r="X742" s="115"/>
      <c r="Y742" s="115"/>
      <c r="Z742" s="115"/>
      <c r="AA742" s="115"/>
      <c r="AB742" s="115"/>
      <c r="AI742" s="263"/>
      <c r="AJ742" s="263"/>
      <c r="AK742" s="263"/>
      <c r="AN742" s="115"/>
      <c r="AO742" s="115"/>
    </row>
    <row r="743">
      <c r="A743" s="397"/>
      <c r="B743" s="385"/>
      <c r="C743" s="385"/>
      <c r="H743" s="115"/>
      <c r="I743" s="115"/>
      <c r="J743" s="115"/>
      <c r="K743" s="115"/>
      <c r="L743" s="115"/>
      <c r="M743" s="353"/>
      <c r="N743" s="115"/>
      <c r="O743" s="115"/>
      <c r="P743" s="115"/>
      <c r="Q743" s="115"/>
      <c r="R743" s="115"/>
      <c r="S743" s="115"/>
      <c r="T743" s="115"/>
      <c r="U743" s="115"/>
      <c r="V743" s="115"/>
      <c r="W743" s="115"/>
      <c r="X743" s="115"/>
      <c r="Y743" s="115"/>
      <c r="Z743" s="115"/>
      <c r="AA743" s="115"/>
      <c r="AB743" s="115"/>
      <c r="AI743" s="263"/>
      <c r="AJ743" s="263"/>
      <c r="AK743" s="263"/>
      <c r="AN743" s="115"/>
      <c r="AO743" s="115"/>
    </row>
    <row r="744">
      <c r="A744" s="397"/>
      <c r="B744" s="385"/>
      <c r="C744" s="385"/>
      <c r="H744" s="115"/>
      <c r="I744" s="115"/>
      <c r="J744" s="115"/>
      <c r="K744" s="115"/>
      <c r="L744" s="115"/>
      <c r="M744" s="353"/>
      <c r="N744" s="115"/>
      <c r="O744" s="115"/>
      <c r="P744" s="115"/>
      <c r="Q744" s="115"/>
      <c r="R744" s="115"/>
      <c r="S744" s="115"/>
      <c r="T744" s="115"/>
      <c r="U744" s="115"/>
      <c r="V744" s="115"/>
      <c r="W744" s="115"/>
      <c r="X744" s="115"/>
      <c r="Y744" s="115"/>
      <c r="Z744" s="115"/>
      <c r="AA744" s="115"/>
      <c r="AB744" s="115"/>
      <c r="AI744" s="263"/>
      <c r="AJ744" s="263"/>
      <c r="AK744" s="263"/>
      <c r="AN744" s="115"/>
      <c r="AO744" s="115"/>
    </row>
    <row r="745">
      <c r="A745" s="397"/>
      <c r="B745" s="385"/>
      <c r="C745" s="385"/>
      <c r="H745" s="115"/>
      <c r="I745" s="115"/>
      <c r="J745" s="115"/>
      <c r="K745" s="115"/>
      <c r="L745" s="115"/>
      <c r="M745" s="353"/>
      <c r="N745" s="115"/>
      <c r="O745" s="115"/>
      <c r="P745" s="115"/>
      <c r="Q745" s="115"/>
      <c r="R745" s="115"/>
      <c r="S745" s="115"/>
      <c r="T745" s="115"/>
      <c r="U745" s="115"/>
      <c r="V745" s="115"/>
      <c r="W745" s="115"/>
      <c r="X745" s="115"/>
      <c r="Y745" s="115"/>
      <c r="Z745" s="115"/>
      <c r="AA745" s="115"/>
      <c r="AB745" s="115"/>
      <c r="AI745" s="263"/>
      <c r="AJ745" s="263"/>
      <c r="AK745" s="263"/>
      <c r="AN745" s="115"/>
      <c r="AO745" s="115"/>
    </row>
    <row r="746">
      <c r="A746" s="397"/>
      <c r="B746" s="385"/>
      <c r="C746" s="385"/>
      <c r="H746" s="115"/>
      <c r="I746" s="115"/>
      <c r="J746" s="115"/>
      <c r="K746" s="115"/>
      <c r="L746" s="115"/>
      <c r="M746" s="353"/>
      <c r="N746" s="115"/>
      <c r="O746" s="115"/>
      <c r="P746" s="115"/>
      <c r="Q746" s="115"/>
      <c r="R746" s="115"/>
      <c r="S746" s="115"/>
      <c r="T746" s="115"/>
      <c r="U746" s="115"/>
      <c r="V746" s="115"/>
      <c r="W746" s="115"/>
      <c r="X746" s="115"/>
      <c r="Y746" s="115"/>
      <c r="Z746" s="115"/>
      <c r="AA746" s="115"/>
      <c r="AB746" s="115"/>
      <c r="AI746" s="263"/>
      <c r="AJ746" s="263"/>
      <c r="AK746" s="263"/>
      <c r="AN746" s="115"/>
      <c r="AO746" s="115"/>
    </row>
    <row r="747">
      <c r="A747" s="397"/>
      <c r="B747" s="385"/>
      <c r="C747" s="385"/>
      <c r="H747" s="115"/>
      <c r="I747" s="115"/>
      <c r="J747" s="115"/>
      <c r="K747" s="115"/>
      <c r="L747" s="115"/>
      <c r="M747" s="353"/>
      <c r="N747" s="115"/>
      <c r="O747" s="115"/>
      <c r="P747" s="115"/>
      <c r="Q747" s="115"/>
      <c r="R747" s="115"/>
      <c r="S747" s="115"/>
      <c r="T747" s="115"/>
      <c r="U747" s="115"/>
      <c r="V747" s="115"/>
      <c r="W747" s="115"/>
      <c r="X747" s="115"/>
      <c r="Y747" s="115"/>
      <c r="Z747" s="115"/>
      <c r="AA747" s="115"/>
      <c r="AB747" s="115"/>
      <c r="AI747" s="263"/>
      <c r="AJ747" s="263"/>
      <c r="AK747" s="263"/>
      <c r="AN747" s="115"/>
      <c r="AO747" s="115"/>
    </row>
    <row r="748">
      <c r="A748" s="397"/>
      <c r="B748" s="385"/>
      <c r="C748" s="385"/>
      <c r="H748" s="115"/>
      <c r="I748" s="115"/>
      <c r="J748" s="115"/>
      <c r="K748" s="115"/>
      <c r="L748" s="115"/>
      <c r="M748" s="353"/>
      <c r="N748" s="115"/>
      <c r="O748" s="115"/>
      <c r="P748" s="115"/>
      <c r="Q748" s="115"/>
      <c r="R748" s="115"/>
      <c r="S748" s="115"/>
      <c r="T748" s="115"/>
      <c r="U748" s="115"/>
      <c r="V748" s="115"/>
      <c r="W748" s="115"/>
      <c r="X748" s="115"/>
      <c r="Y748" s="115"/>
      <c r="Z748" s="115"/>
      <c r="AA748" s="115"/>
      <c r="AB748" s="115"/>
      <c r="AI748" s="263"/>
      <c r="AJ748" s="263"/>
      <c r="AK748" s="263"/>
      <c r="AN748" s="115"/>
      <c r="AO748" s="115"/>
    </row>
    <row r="749">
      <c r="A749" s="397"/>
      <c r="B749" s="385"/>
      <c r="C749" s="385"/>
      <c r="H749" s="115"/>
      <c r="I749" s="115"/>
      <c r="J749" s="115"/>
      <c r="K749" s="115"/>
      <c r="L749" s="115"/>
      <c r="M749" s="353"/>
      <c r="N749" s="115"/>
      <c r="O749" s="115"/>
      <c r="P749" s="115"/>
      <c r="Q749" s="115"/>
      <c r="R749" s="115"/>
      <c r="S749" s="115"/>
      <c r="T749" s="115"/>
      <c r="U749" s="115"/>
      <c r="V749" s="115"/>
      <c r="W749" s="115"/>
      <c r="X749" s="115"/>
      <c r="Y749" s="115"/>
      <c r="Z749" s="115"/>
      <c r="AA749" s="115"/>
      <c r="AB749" s="115"/>
      <c r="AI749" s="263"/>
      <c r="AJ749" s="263"/>
      <c r="AK749" s="263"/>
      <c r="AN749" s="115"/>
      <c r="AO749" s="115"/>
    </row>
    <row r="750">
      <c r="A750" s="397"/>
      <c r="B750" s="385"/>
      <c r="C750" s="385"/>
      <c r="H750" s="115"/>
      <c r="I750" s="115"/>
      <c r="J750" s="115"/>
      <c r="K750" s="115"/>
      <c r="L750" s="115"/>
      <c r="M750" s="353"/>
      <c r="N750" s="115"/>
      <c r="O750" s="115"/>
      <c r="P750" s="115"/>
      <c r="Q750" s="115"/>
      <c r="R750" s="115"/>
      <c r="S750" s="115"/>
      <c r="T750" s="115"/>
      <c r="U750" s="115"/>
      <c r="V750" s="115"/>
      <c r="W750" s="115"/>
      <c r="X750" s="115"/>
      <c r="Y750" s="115"/>
      <c r="Z750" s="115"/>
      <c r="AA750" s="115"/>
      <c r="AB750" s="115"/>
      <c r="AI750" s="263"/>
      <c r="AJ750" s="263"/>
      <c r="AK750" s="263"/>
      <c r="AN750" s="115"/>
      <c r="AO750" s="115"/>
    </row>
    <row r="751">
      <c r="A751" s="397"/>
      <c r="B751" s="385"/>
      <c r="C751" s="385"/>
      <c r="H751" s="115"/>
      <c r="I751" s="115"/>
      <c r="J751" s="115"/>
      <c r="K751" s="115"/>
      <c r="L751" s="115"/>
      <c r="M751" s="353"/>
      <c r="N751" s="115"/>
      <c r="O751" s="115"/>
      <c r="P751" s="115"/>
      <c r="Q751" s="115"/>
      <c r="R751" s="115"/>
      <c r="S751" s="115"/>
      <c r="T751" s="115"/>
      <c r="U751" s="115"/>
      <c r="V751" s="115"/>
      <c r="W751" s="115"/>
      <c r="X751" s="115"/>
      <c r="Y751" s="115"/>
      <c r="Z751" s="115"/>
      <c r="AA751" s="115"/>
      <c r="AB751" s="115"/>
      <c r="AI751" s="263"/>
      <c r="AJ751" s="263"/>
      <c r="AK751" s="263"/>
      <c r="AN751" s="115"/>
      <c r="AO751" s="115"/>
    </row>
    <row r="752">
      <c r="A752" s="397"/>
      <c r="B752" s="385"/>
      <c r="C752" s="385"/>
      <c r="H752" s="115"/>
      <c r="I752" s="115"/>
      <c r="J752" s="115"/>
      <c r="K752" s="115"/>
      <c r="L752" s="115"/>
      <c r="M752" s="353"/>
      <c r="N752" s="115"/>
      <c r="O752" s="115"/>
      <c r="P752" s="115"/>
      <c r="Q752" s="115"/>
      <c r="R752" s="115"/>
      <c r="S752" s="115"/>
      <c r="T752" s="115"/>
      <c r="U752" s="115"/>
      <c r="V752" s="115"/>
      <c r="W752" s="115"/>
      <c r="X752" s="115"/>
      <c r="Y752" s="115"/>
      <c r="Z752" s="115"/>
      <c r="AA752" s="115"/>
      <c r="AB752" s="115"/>
      <c r="AI752" s="263"/>
      <c r="AJ752" s="263"/>
      <c r="AK752" s="263"/>
      <c r="AN752" s="115"/>
      <c r="AO752" s="115"/>
    </row>
    <row r="753">
      <c r="A753" s="397"/>
      <c r="B753" s="385"/>
      <c r="C753" s="385"/>
      <c r="H753" s="115"/>
      <c r="I753" s="115"/>
      <c r="J753" s="115"/>
      <c r="K753" s="115"/>
      <c r="L753" s="115"/>
      <c r="M753" s="353"/>
      <c r="N753" s="115"/>
      <c r="O753" s="115"/>
      <c r="P753" s="115"/>
      <c r="Q753" s="115"/>
      <c r="R753" s="115"/>
      <c r="S753" s="115"/>
      <c r="T753" s="115"/>
      <c r="U753" s="115"/>
      <c r="V753" s="115"/>
      <c r="W753" s="115"/>
      <c r="X753" s="115"/>
      <c r="Y753" s="115"/>
      <c r="Z753" s="115"/>
      <c r="AA753" s="115"/>
      <c r="AB753" s="115"/>
      <c r="AI753" s="263"/>
      <c r="AJ753" s="263"/>
      <c r="AK753" s="263"/>
      <c r="AN753" s="115"/>
      <c r="AO753" s="115"/>
    </row>
    <row r="754">
      <c r="A754" s="397"/>
      <c r="B754" s="385"/>
      <c r="C754" s="385"/>
      <c r="H754" s="115"/>
      <c r="I754" s="115"/>
      <c r="J754" s="115"/>
      <c r="K754" s="115"/>
      <c r="L754" s="115"/>
      <c r="M754" s="353"/>
      <c r="N754" s="115"/>
      <c r="O754" s="115"/>
      <c r="P754" s="115"/>
      <c r="Q754" s="115"/>
      <c r="R754" s="115"/>
      <c r="S754" s="115"/>
      <c r="T754" s="115"/>
      <c r="U754" s="115"/>
      <c r="V754" s="115"/>
      <c r="W754" s="115"/>
      <c r="X754" s="115"/>
      <c r="Y754" s="115"/>
      <c r="Z754" s="115"/>
      <c r="AA754" s="115"/>
      <c r="AB754" s="115"/>
      <c r="AI754" s="263"/>
      <c r="AJ754" s="263"/>
      <c r="AK754" s="263"/>
      <c r="AN754" s="115"/>
      <c r="AO754" s="115"/>
    </row>
    <row r="755">
      <c r="A755" s="397"/>
      <c r="B755" s="385"/>
      <c r="C755" s="385"/>
      <c r="H755" s="115"/>
      <c r="I755" s="115"/>
      <c r="J755" s="115"/>
      <c r="K755" s="115"/>
      <c r="L755" s="115"/>
      <c r="M755" s="353"/>
      <c r="N755" s="115"/>
      <c r="O755" s="115"/>
      <c r="P755" s="115"/>
      <c r="Q755" s="115"/>
      <c r="R755" s="115"/>
      <c r="S755" s="115"/>
      <c r="T755" s="115"/>
      <c r="U755" s="115"/>
      <c r="V755" s="115"/>
      <c r="W755" s="115"/>
      <c r="X755" s="115"/>
      <c r="Y755" s="115"/>
      <c r="Z755" s="115"/>
      <c r="AA755" s="115"/>
      <c r="AB755" s="115"/>
      <c r="AI755" s="263"/>
      <c r="AJ755" s="263"/>
      <c r="AK755" s="263"/>
      <c r="AN755" s="115"/>
      <c r="AO755" s="115"/>
    </row>
    <row r="756">
      <c r="A756" s="397"/>
      <c r="B756" s="385"/>
      <c r="C756" s="385"/>
      <c r="H756" s="115"/>
      <c r="I756" s="115"/>
      <c r="J756" s="115"/>
      <c r="K756" s="115"/>
      <c r="L756" s="115"/>
      <c r="M756" s="353"/>
      <c r="N756" s="115"/>
      <c r="O756" s="115"/>
      <c r="P756" s="115"/>
      <c r="Q756" s="115"/>
      <c r="R756" s="115"/>
      <c r="S756" s="115"/>
      <c r="T756" s="115"/>
      <c r="U756" s="115"/>
      <c r="V756" s="115"/>
      <c r="W756" s="115"/>
      <c r="X756" s="115"/>
      <c r="Y756" s="115"/>
      <c r="Z756" s="115"/>
      <c r="AA756" s="115"/>
      <c r="AB756" s="115"/>
      <c r="AI756" s="263"/>
      <c r="AJ756" s="263"/>
      <c r="AK756" s="263"/>
      <c r="AN756" s="115"/>
      <c r="AO756" s="115"/>
    </row>
    <row r="757">
      <c r="A757" s="397"/>
      <c r="B757" s="385"/>
      <c r="C757" s="385"/>
      <c r="H757" s="115"/>
      <c r="I757" s="115"/>
      <c r="J757" s="115"/>
      <c r="K757" s="115"/>
      <c r="L757" s="115"/>
      <c r="M757" s="353"/>
      <c r="N757" s="115"/>
      <c r="O757" s="115"/>
      <c r="P757" s="115"/>
      <c r="Q757" s="115"/>
      <c r="R757" s="115"/>
      <c r="S757" s="115"/>
      <c r="T757" s="115"/>
      <c r="U757" s="115"/>
      <c r="V757" s="115"/>
      <c r="W757" s="115"/>
      <c r="X757" s="115"/>
      <c r="Y757" s="115"/>
      <c r="Z757" s="115"/>
      <c r="AA757" s="115"/>
      <c r="AB757" s="115"/>
      <c r="AI757" s="263"/>
      <c r="AJ757" s="263"/>
      <c r="AK757" s="263"/>
      <c r="AN757" s="115"/>
      <c r="AO757" s="115"/>
    </row>
    <row r="758">
      <c r="A758" s="397"/>
      <c r="B758" s="385"/>
      <c r="C758" s="385"/>
      <c r="H758" s="115"/>
      <c r="I758" s="115"/>
      <c r="J758" s="115"/>
      <c r="K758" s="115"/>
      <c r="L758" s="115"/>
      <c r="M758" s="353"/>
      <c r="N758" s="115"/>
      <c r="O758" s="115"/>
      <c r="P758" s="115"/>
      <c r="Q758" s="115"/>
      <c r="R758" s="115"/>
      <c r="S758" s="115"/>
      <c r="T758" s="115"/>
      <c r="U758" s="115"/>
      <c r="V758" s="115"/>
      <c r="W758" s="115"/>
      <c r="X758" s="115"/>
      <c r="Y758" s="115"/>
      <c r="Z758" s="115"/>
      <c r="AA758" s="115"/>
      <c r="AB758" s="115"/>
      <c r="AI758" s="263"/>
      <c r="AJ758" s="263"/>
      <c r="AK758" s="263"/>
      <c r="AN758" s="115"/>
      <c r="AO758" s="115"/>
    </row>
    <row r="759">
      <c r="A759" s="397"/>
      <c r="B759" s="385"/>
      <c r="C759" s="385"/>
      <c r="H759" s="115"/>
      <c r="I759" s="115"/>
      <c r="J759" s="115"/>
      <c r="K759" s="115"/>
      <c r="L759" s="115"/>
      <c r="M759" s="353"/>
      <c r="N759" s="115"/>
      <c r="O759" s="115"/>
      <c r="P759" s="115"/>
      <c r="Q759" s="115"/>
      <c r="R759" s="115"/>
      <c r="S759" s="115"/>
      <c r="T759" s="115"/>
      <c r="U759" s="115"/>
      <c r="V759" s="115"/>
      <c r="W759" s="115"/>
      <c r="X759" s="115"/>
      <c r="Y759" s="115"/>
      <c r="Z759" s="115"/>
      <c r="AA759" s="115"/>
      <c r="AB759" s="115"/>
      <c r="AI759" s="263"/>
      <c r="AJ759" s="263"/>
      <c r="AK759" s="263"/>
      <c r="AN759" s="115"/>
      <c r="AO759" s="115"/>
    </row>
    <row r="760">
      <c r="A760" s="397"/>
      <c r="B760" s="385"/>
      <c r="C760" s="385"/>
      <c r="H760" s="115"/>
      <c r="I760" s="115"/>
      <c r="J760" s="115"/>
      <c r="K760" s="115"/>
      <c r="L760" s="115"/>
      <c r="M760" s="353"/>
      <c r="N760" s="115"/>
      <c r="O760" s="115"/>
      <c r="P760" s="115"/>
      <c r="Q760" s="115"/>
      <c r="R760" s="115"/>
      <c r="S760" s="115"/>
      <c r="T760" s="115"/>
      <c r="U760" s="115"/>
      <c r="V760" s="115"/>
      <c r="W760" s="115"/>
      <c r="X760" s="115"/>
      <c r="Y760" s="115"/>
      <c r="Z760" s="115"/>
      <c r="AA760" s="115"/>
      <c r="AB760" s="115"/>
      <c r="AI760" s="263"/>
      <c r="AJ760" s="263"/>
      <c r="AK760" s="263"/>
      <c r="AN760" s="115"/>
      <c r="AO760" s="115"/>
    </row>
    <row r="761">
      <c r="A761" s="397"/>
      <c r="B761" s="385"/>
      <c r="C761" s="385"/>
      <c r="H761" s="115"/>
      <c r="I761" s="115"/>
      <c r="J761" s="115"/>
      <c r="K761" s="115"/>
      <c r="L761" s="115"/>
      <c r="M761" s="353"/>
      <c r="N761" s="115"/>
      <c r="O761" s="115"/>
      <c r="P761" s="115"/>
      <c r="Q761" s="115"/>
      <c r="R761" s="115"/>
      <c r="S761" s="115"/>
      <c r="T761" s="115"/>
      <c r="U761" s="115"/>
      <c r="V761" s="115"/>
      <c r="W761" s="115"/>
      <c r="X761" s="115"/>
      <c r="Y761" s="115"/>
      <c r="Z761" s="115"/>
      <c r="AA761" s="115"/>
      <c r="AB761" s="115"/>
      <c r="AI761" s="263"/>
      <c r="AJ761" s="263"/>
      <c r="AK761" s="263"/>
      <c r="AN761" s="115"/>
      <c r="AO761" s="115"/>
    </row>
    <row r="762">
      <c r="A762" s="397"/>
      <c r="B762" s="385"/>
      <c r="C762" s="385"/>
      <c r="H762" s="115"/>
      <c r="I762" s="115"/>
      <c r="J762" s="115"/>
      <c r="K762" s="115"/>
      <c r="L762" s="115"/>
      <c r="M762" s="353"/>
      <c r="N762" s="115"/>
      <c r="O762" s="115"/>
      <c r="P762" s="115"/>
      <c r="Q762" s="115"/>
      <c r="R762" s="115"/>
      <c r="S762" s="115"/>
      <c r="T762" s="115"/>
      <c r="U762" s="115"/>
      <c r="V762" s="115"/>
      <c r="W762" s="115"/>
      <c r="X762" s="115"/>
      <c r="Y762" s="115"/>
      <c r="Z762" s="115"/>
      <c r="AA762" s="115"/>
      <c r="AB762" s="115"/>
      <c r="AI762" s="263"/>
      <c r="AJ762" s="263"/>
      <c r="AK762" s="263"/>
      <c r="AN762" s="115"/>
      <c r="AO762" s="115"/>
    </row>
    <row r="763">
      <c r="A763" s="397"/>
      <c r="B763" s="385"/>
      <c r="C763" s="385"/>
      <c r="H763" s="115"/>
      <c r="I763" s="115"/>
      <c r="J763" s="115"/>
      <c r="K763" s="115"/>
      <c r="L763" s="115"/>
      <c r="M763" s="353"/>
      <c r="N763" s="115"/>
      <c r="O763" s="115"/>
      <c r="P763" s="115"/>
      <c r="Q763" s="115"/>
      <c r="R763" s="115"/>
      <c r="S763" s="115"/>
      <c r="T763" s="115"/>
      <c r="U763" s="115"/>
      <c r="V763" s="115"/>
      <c r="W763" s="115"/>
      <c r="X763" s="115"/>
      <c r="Y763" s="115"/>
      <c r="Z763" s="115"/>
      <c r="AA763" s="115"/>
      <c r="AB763" s="115"/>
      <c r="AI763" s="263"/>
      <c r="AJ763" s="263"/>
      <c r="AK763" s="263"/>
      <c r="AN763" s="115"/>
      <c r="AO763" s="115"/>
    </row>
    <row r="764">
      <c r="A764" s="397"/>
      <c r="B764" s="385"/>
      <c r="C764" s="385"/>
      <c r="H764" s="115"/>
      <c r="I764" s="115"/>
      <c r="J764" s="115"/>
      <c r="K764" s="115"/>
      <c r="L764" s="115"/>
      <c r="M764" s="353"/>
      <c r="N764" s="115"/>
      <c r="O764" s="115"/>
      <c r="P764" s="115"/>
      <c r="Q764" s="115"/>
      <c r="R764" s="115"/>
      <c r="S764" s="115"/>
      <c r="T764" s="115"/>
      <c r="U764" s="115"/>
      <c r="V764" s="115"/>
      <c r="W764" s="115"/>
      <c r="X764" s="115"/>
      <c r="Y764" s="115"/>
      <c r="Z764" s="115"/>
      <c r="AA764" s="115"/>
      <c r="AB764" s="115"/>
      <c r="AI764" s="263"/>
      <c r="AJ764" s="263"/>
      <c r="AK764" s="263"/>
      <c r="AN764" s="115"/>
      <c r="AO764" s="115"/>
    </row>
    <row r="765">
      <c r="A765" s="397"/>
      <c r="B765" s="385"/>
      <c r="C765" s="385"/>
      <c r="H765" s="115"/>
      <c r="I765" s="115"/>
      <c r="J765" s="115"/>
      <c r="K765" s="115"/>
      <c r="L765" s="115"/>
      <c r="M765" s="353"/>
      <c r="N765" s="115"/>
      <c r="O765" s="115"/>
      <c r="P765" s="115"/>
      <c r="Q765" s="115"/>
      <c r="R765" s="115"/>
      <c r="S765" s="115"/>
      <c r="T765" s="115"/>
      <c r="U765" s="115"/>
      <c r="V765" s="115"/>
      <c r="W765" s="115"/>
      <c r="X765" s="115"/>
      <c r="Y765" s="115"/>
      <c r="Z765" s="115"/>
      <c r="AA765" s="115"/>
      <c r="AB765" s="115"/>
      <c r="AI765" s="263"/>
      <c r="AJ765" s="263"/>
      <c r="AK765" s="263"/>
      <c r="AN765" s="115"/>
      <c r="AO765" s="115"/>
    </row>
    <row r="766">
      <c r="A766" s="397"/>
      <c r="B766" s="385"/>
      <c r="C766" s="385"/>
      <c r="H766" s="115"/>
      <c r="I766" s="115"/>
      <c r="J766" s="115"/>
      <c r="K766" s="115"/>
      <c r="L766" s="115"/>
      <c r="M766" s="353"/>
      <c r="N766" s="115"/>
      <c r="O766" s="115"/>
      <c r="P766" s="115"/>
      <c r="Q766" s="115"/>
      <c r="R766" s="115"/>
      <c r="S766" s="115"/>
      <c r="T766" s="115"/>
      <c r="U766" s="115"/>
      <c r="V766" s="115"/>
      <c r="W766" s="115"/>
      <c r="X766" s="115"/>
      <c r="Y766" s="115"/>
      <c r="Z766" s="115"/>
      <c r="AA766" s="115"/>
      <c r="AB766" s="115"/>
      <c r="AI766" s="263"/>
      <c r="AJ766" s="263"/>
      <c r="AK766" s="263"/>
      <c r="AN766" s="115"/>
      <c r="AO766" s="115"/>
    </row>
    <row r="767">
      <c r="A767" s="397"/>
      <c r="B767" s="385"/>
      <c r="C767" s="385"/>
      <c r="H767" s="115"/>
      <c r="I767" s="115"/>
      <c r="J767" s="115"/>
      <c r="K767" s="115"/>
      <c r="L767" s="115"/>
      <c r="M767" s="353"/>
      <c r="N767" s="115"/>
      <c r="O767" s="115"/>
      <c r="P767" s="115"/>
      <c r="Q767" s="115"/>
      <c r="R767" s="115"/>
      <c r="S767" s="115"/>
      <c r="T767" s="115"/>
      <c r="U767" s="115"/>
      <c r="V767" s="115"/>
      <c r="W767" s="115"/>
      <c r="X767" s="115"/>
      <c r="Y767" s="115"/>
      <c r="Z767" s="115"/>
      <c r="AA767" s="115"/>
      <c r="AB767" s="115"/>
      <c r="AI767" s="263"/>
      <c r="AJ767" s="263"/>
      <c r="AK767" s="263"/>
      <c r="AN767" s="115"/>
      <c r="AO767" s="115"/>
    </row>
    <row r="768">
      <c r="A768" s="397"/>
      <c r="B768" s="385"/>
      <c r="C768" s="385"/>
      <c r="H768" s="115"/>
      <c r="I768" s="115"/>
      <c r="J768" s="115"/>
      <c r="K768" s="115"/>
      <c r="L768" s="115"/>
      <c r="M768" s="353"/>
      <c r="N768" s="115"/>
      <c r="O768" s="115"/>
      <c r="P768" s="115"/>
      <c r="Q768" s="115"/>
      <c r="R768" s="115"/>
      <c r="S768" s="115"/>
      <c r="T768" s="115"/>
      <c r="U768" s="115"/>
      <c r="V768" s="115"/>
      <c r="W768" s="115"/>
      <c r="X768" s="115"/>
      <c r="Y768" s="115"/>
      <c r="Z768" s="115"/>
      <c r="AA768" s="115"/>
      <c r="AB768" s="115"/>
      <c r="AI768" s="263"/>
      <c r="AJ768" s="263"/>
      <c r="AK768" s="263"/>
      <c r="AN768" s="115"/>
      <c r="AO768" s="115"/>
    </row>
    <row r="769">
      <c r="A769" s="397"/>
      <c r="B769" s="385"/>
      <c r="C769" s="385"/>
      <c r="H769" s="115"/>
      <c r="I769" s="115"/>
      <c r="J769" s="115"/>
      <c r="K769" s="115"/>
      <c r="L769" s="115"/>
      <c r="M769" s="353"/>
      <c r="N769" s="115"/>
      <c r="O769" s="115"/>
      <c r="P769" s="115"/>
      <c r="Q769" s="115"/>
      <c r="R769" s="115"/>
      <c r="S769" s="115"/>
      <c r="T769" s="115"/>
      <c r="U769" s="115"/>
      <c r="V769" s="115"/>
      <c r="W769" s="115"/>
      <c r="X769" s="115"/>
      <c r="Y769" s="115"/>
      <c r="Z769" s="115"/>
      <c r="AA769" s="115"/>
      <c r="AB769" s="115"/>
      <c r="AI769" s="263"/>
      <c r="AJ769" s="263"/>
      <c r="AK769" s="263"/>
      <c r="AN769" s="115"/>
      <c r="AO769" s="115"/>
    </row>
    <row r="770">
      <c r="A770" s="397"/>
      <c r="B770" s="385"/>
      <c r="C770" s="385"/>
      <c r="H770" s="115"/>
      <c r="I770" s="115"/>
      <c r="J770" s="115"/>
      <c r="K770" s="115"/>
      <c r="L770" s="115"/>
      <c r="M770" s="353"/>
      <c r="N770" s="115"/>
      <c r="O770" s="115"/>
      <c r="P770" s="115"/>
      <c r="Q770" s="115"/>
      <c r="R770" s="115"/>
      <c r="S770" s="115"/>
      <c r="T770" s="115"/>
      <c r="U770" s="115"/>
      <c r="V770" s="115"/>
      <c r="W770" s="115"/>
      <c r="X770" s="115"/>
      <c r="Y770" s="115"/>
      <c r="Z770" s="115"/>
      <c r="AA770" s="115"/>
      <c r="AB770" s="115"/>
      <c r="AI770" s="263"/>
      <c r="AJ770" s="263"/>
      <c r="AK770" s="263"/>
      <c r="AN770" s="115"/>
      <c r="AO770" s="115"/>
    </row>
    <row r="771">
      <c r="A771" s="397"/>
      <c r="B771" s="385"/>
      <c r="C771" s="385"/>
      <c r="H771" s="115"/>
      <c r="I771" s="115"/>
      <c r="J771" s="115"/>
      <c r="K771" s="115"/>
      <c r="L771" s="115"/>
      <c r="M771" s="353"/>
      <c r="N771" s="115"/>
      <c r="O771" s="115"/>
      <c r="P771" s="115"/>
      <c r="Q771" s="115"/>
      <c r="R771" s="115"/>
      <c r="S771" s="115"/>
      <c r="T771" s="115"/>
      <c r="U771" s="115"/>
      <c r="V771" s="115"/>
      <c r="W771" s="115"/>
      <c r="X771" s="115"/>
      <c r="Y771" s="115"/>
      <c r="Z771" s="115"/>
      <c r="AA771" s="115"/>
      <c r="AB771" s="115"/>
      <c r="AI771" s="263"/>
      <c r="AJ771" s="263"/>
      <c r="AK771" s="263"/>
      <c r="AN771" s="115"/>
      <c r="AO771" s="115"/>
    </row>
    <row r="772">
      <c r="A772" s="397"/>
      <c r="B772" s="385"/>
      <c r="C772" s="385"/>
      <c r="H772" s="115"/>
      <c r="I772" s="115"/>
      <c r="J772" s="115"/>
      <c r="K772" s="115"/>
      <c r="L772" s="115"/>
      <c r="M772" s="353"/>
      <c r="N772" s="115"/>
      <c r="O772" s="115"/>
      <c r="P772" s="115"/>
      <c r="Q772" s="115"/>
      <c r="R772" s="115"/>
      <c r="S772" s="115"/>
      <c r="T772" s="115"/>
      <c r="U772" s="115"/>
      <c r="V772" s="115"/>
      <c r="W772" s="115"/>
      <c r="X772" s="115"/>
      <c r="Y772" s="115"/>
      <c r="Z772" s="115"/>
      <c r="AA772" s="115"/>
      <c r="AB772" s="115"/>
      <c r="AI772" s="263"/>
      <c r="AJ772" s="263"/>
      <c r="AK772" s="263"/>
      <c r="AN772" s="115"/>
      <c r="AO772" s="115"/>
    </row>
    <row r="773">
      <c r="A773" s="397"/>
      <c r="B773" s="385"/>
      <c r="C773" s="385"/>
      <c r="H773" s="115"/>
      <c r="I773" s="115"/>
      <c r="J773" s="115"/>
      <c r="K773" s="115"/>
      <c r="L773" s="115"/>
      <c r="M773" s="353"/>
      <c r="N773" s="115"/>
      <c r="O773" s="115"/>
      <c r="P773" s="115"/>
      <c r="Q773" s="115"/>
      <c r="R773" s="115"/>
      <c r="S773" s="115"/>
      <c r="T773" s="115"/>
      <c r="U773" s="115"/>
      <c r="V773" s="115"/>
      <c r="W773" s="115"/>
      <c r="X773" s="115"/>
      <c r="Y773" s="115"/>
      <c r="Z773" s="115"/>
      <c r="AA773" s="115"/>
      <c r="AB773" s="115"/>
      <c r="AI773" s="263"/>
      <c r="AJ773" s="263"/>
      <c r="AK773" s="263"/>
      <c r="AN773" s="115"/>
      <c r="AO773" s="115"/>
    </row>
    <row r="774">
      <c r="A774" s="397"/>
      <c r="B774" s="385"/>
      <c r="C774" s="385"/>
      <c r="H774" s="115"/>
      <c r="I774" s="115"/>
      <c r="J774" s="115"/>
      <c r="K774" s="115"/>
      <c r="L774" s="115"/>
      <c r="M774" s="353"/>
      <c r="N774" s="115"/>
      <c r="O774" s="115"/>
      <c r="P774" s="115"/>
      <c r="Q774" s="115"/>
      <c r="R774" s="115"/>
      <c r="S774" s="115"/>
      <c r="T774" s="115"/>
      <c r="U774" s="115"/>
      <c r="V774" s="115"/>
      <c r="W774" s="115"/>
      <c r="X774" s="115"/>
      <c r="Y774" s="115"/>
      <c r="Z774" s="115"/>
      <c r="AA774" s="115"/>
      <c r="AB774" s="115"/>
      <c r="AI774" s="263"/>
      <c r="AJ774" s="263"/>
      <c r="AK774" s="263"/>
      <c r="AN774" s="115"/>
      <c r="AO774" s="115"/>
    </row>
    <row r="775">
      <c r="A775" s="397"/>
      <c r="B775" s="385"/>
      <c r="C775" s="385"/>
      <c r="H775" s="115"/>
      <c r="I775" s="115"/>
      <c r="J775" s="115"/>
      <c r="K775" s="115"/>
      <c r="L775" s="115"/>
      <c r="M775" s="353"/>
      <c r="N775" s="115"/>
      <c r="O775" s="115"/>
      <c r="P775" s="115"/>
      <c r="Q775" s="115"/>
      <c r="R775" s="115"/>
      <c r="S775" s="115"/>
      <c r="T775" s="115"/>
      <c r="U775" s="115"/>
      <c r="V775" s="115"/>
      <c r="W775" s="115"/>
      <c r="X775" s="115"/>
      <c r="Y775" s="115"/>
      <c r="Z775" s="115"/>
      <c r="AA775" s="115"/>
      <c r="AB775" s="115"/>
      <c r="AI775" s="263"/>
      <c r="AJ775" s="263"/>
      <c r="AK775" s="263"/>
      <c r="AN775" s="115"/>
      <c r="AO775" s="115"/>
    </row>
    <row r="776">
      <c r="A776" s="397"/>
      <c r="B776" s="385"/>
      <c r="C776" s="385"/>
      <c r="H776" s="115"/>
      <c r="I776" s="115"/>
      <c r="J776" s="115"/>
      <c r="K776" s="115"/>
      <c r="L776" s="115"/>
      <c r="M776" s="353"/>
      <c r="N776" s="115"/>
      <c r="O776" s="115"/>
      <c r="P776" s="115"/>
      <c r="Q776" s="115"/>
      <c r="R776" s="115"/>
      <c r="S776" s="115"/>
      <c r="T776" s="115"/>
      <c r="U776" s="115"/>
      <c r="V776" s="115"/>
      <c r="W776" s="115"/>
      <c r="X776" s="115"/>
      <c r="Y776" s="115"/>
      <c r="Z776" s="115"/>
      <c r="AA776" s="115"/>
      <c r="AB776" s="115"/>
      <c r="AI776" s="263"/>
      <c r="AJ776" s="263"/>
      <c r="AK776" s="263"/>
      <c r="AN776" s="115"/>
      <c r="AO776" s="115"/>
    </row>
    <row r="777">
      <c r="A777" s="397"/>
      <c r="B777" s="385"/>
      <c r="C777" s="385"/>
      <c r="H777" s="115"/>
      <c r="I777" s="115"/>
      <c r="J777" s="115"/>
      <c r="K777" s="115"/>
      <c r="L777" s="115"/>
      <c r="M777" s="353"/>
      <c r="N777" s="115"/>
      <c r="O777" s="115"/>
      <c r="P777" s="115"/>
      <c r="Q777" s="115"/>
      <c r="R777" s="115"/>
      <c r="S777" s="115"/>
      <c r="T777" s="115"/>
      <c r="U777" s="115"/>
      <c r="V777" s="115"/>
      <c r="W777" s="115"/>
      <c r="X777" s="115"/>
      <c r="Y777" s="115"/>
      <c r="Z777" s="115"/>
      <c r="AA777" s="115"/>
      <c r="AB777" s="115"/>
      <c r="AI777" s="263"/>
      <c r="AJ777" s="263"/>
      <c r="AK777" s="263"/>
      <c r="AN777" s="115"/>
      <c r="AO777" s="115"/>
    </row>
    <row r="778">
      <c r="A778" s="397"/>
      <c r="B778" s="385"/>
      <c r="C778" s="385"/>
      <c r="H778" s="115"/>
      <c r="I778" s="115"/>
      <c r="J778" s="115"/>
      <c r="K778" s="115"/>
      <c r="L778" s="115"/>
      <c r="M778" s="353"/>
      <c r="N778" s="115"/>
      <c r="O778" s="115"/>
      <c r="P778" s="115"/>
      <c r="Q778" s="115"/>
      <c r="R778" s="115"/>
      <c r="S778" s="115"/>
      <c r="T778" s="115"/>
      <c r="U778" s="115"/>
      <c r="V778" s="115"/>
      <c r="W778" s="115"/>
      <c r="X778" s="115"/>
      <c r="Y778" s="115"/>
      <c r="Z778" s="115"/>
      <c r="AA778" s="115"/>
      <c r="AB778" s="115"/>
      <c r="AI778" s="263"/>
      <c r="AJ778" s="263"/>
      <c r="AK778" s="263"/>
      <c r="AN778" s="115"/>
      <c r="AO778" s="115"/>
    </row>
    <row r="779">
      <c r="A779" s="397"/>
      <c r="B779" s="385"/>
      <c r="C779" s="385"/>
      <c r="H779" s="115"/>
      <c r="I779" s="115"/>
      <c r="J779" s="115"/>
      <c r="K779" s="115"/>
      <c r="L779" s="115"/>
      <c r="M779" s="353"/>
      <c r="N779" s="115"/>
      <c r="O779" s="115"/>
      <c r="P779" s="115"/>
      <c r="Q779" s="115"/>
      <c r="R779" s="115"/>
      <c r="S779" s="115"/>
      <c r="T779" s="115"/>
      <c r="U779" s="115"/>
      <c r="V779" s="115"/>
      <c r="W779" s="115"/>
      <c r="X779" s="115"/>
      <c r="Y779" s="115"/>
      <c r="Z779" s="115"/>
      <c r="AA779" s="115"/>
      <c r="AB779" s="115"/>
      <c r="AI779" s="263"/>
      <c r="AJ779" s="263"/>
      <c r="AK779" s="263"/>
      <c r="AN779" s="115"/>
      <c r="AO779" s="115"/>
    </row>
    <row r="780">
      <c r="A780" s="397"/>
      <c r="B780" s="385"/>
      <c r="C780" s="385"/>
      <c r="H780" s="115"/>
      <c r="I780" s="115"/>
      <c r="J780" s="115"/>
      <c r="K780" s="115"/>
      <c r="L780" s="115"/>
      <c r="M780" s="353"/>
      <c r="N780" s="115"/>
      <c r="O780" s="115"/>
      <c r="P780" s="115"/>
      <c r="Q780" s="115"/>
      <c r="R780" s="115"/>
      <c r="S780" s="115"/>
      <c r="T780" s="115"/>
      <c r="U780" s="115"/>
      <c r="V780" s="115"/>
      <c r="W780" s="115"/>
      <c r="X780" s="115"/>
      <c r="Y780" s="115"/>
      <c r="Z780" s="115"/>
      <c r="AA780" s="115"/>
      <c r="AB780" s="115"/>
      <c r="AI780" s="263"/>
      <c r="AJ780" s="263"/>
      <c r="AK780" s="263"/>
      <c r="AN780" s="115"/>
      <c r="AO780" s="115"/>
    </row>
    <row r="781">
      <c r="A781" s="397"/>
      <c r="B781" s="385"/>
      <c r="C781" s="385"/>
      <c r="H781" s="115"/>
      <c r="I781" s="115"/>
      <c r="J781" s="115"/>
      <c r="K781" s="115"/>
      <c r="L781" s="115"/>
      <c r="M781" s="353"/>
      <c r="N781" s="115"/>
      <c r="O781" s="115"/>
      <c r="P781" s="115"/>
      <c r="Q781" s="115"/>
      <c r="R781" s="115"/>
      <c r="S781" s="115"/>
      <c r="T781" s="115"/>
      <c r="U781" s="115"/>
      <c r="V781" s="115"/>
      <c r="W781" s="115"/>
      <c r="X781" s="115"/>
      <c r="Y781" s="115"/>
      <c r="Z781" s="115"/>
      <c r="AA781" s="115"/>
      <c r="AB781" s="115"/>
      <c r="AI781" s="263"/>
      <c r="AJ781" s="263"/>
      <c r="AK781" s="263"/>
      <c r="AN781" s="115"/>
      <c r="AO781" s="115"/>
    </row>
    <row r="782">
      <c r="A782" s="397"/>
      <c r="B782" s="385"/>
      <c r="C782" s="385"/>
      <c r="H782" s="115"/>
      <c r="I782" s="115"/>
      <c r="J782" s="115"/>
      <c r="K782" s="115"/>
      <c r="L782" s="115"/>
      <c r="M782" s="353"/>
      <c r="N782" s="115"/>
      <c r="O782" s="115"/>
      <c r="P782" s="115"/>
      <c r="Q782" s="115"/>
      <c r="R782" s="115"/>
      <c r="S782" s="115"/>
      <c r="T782" s="115"/>
      <c r="U782" s="115"/>
      <c r="V782" s="115"/>
      <c r="W782" s="115"/>
      <c r="X782" s="115"/>
      <c r="Y782" s="115"/>
      <c r="Z782" s="115"/>
      <c r="AA782" s="115"/>
      <c r="AB782" s="115"/>
      <c r="AI782" s="263"/>
      <c r="AJ782" s="263"/>
      <c r="AK782" s="263"/>
      <c r="AN782" s="115"/>
      <c r="AO782" s="115"/>
    </row>
    <row r="783">
      <c r="A783" s="397"/>
      <c r="B783" s="385"/>
      <c r="C783" s="385"/>
      <c r="H783" s="115"/>
      <c r="I783" s="115"/>
      <c r="J783" s="115"/>
      <c r="K783" s="115"/>
      <c r="L783" s="115"/>
      <c r="M783" s="353"/>
      <c r="N783" s="115"/>
      <c r="O783" s="115"/>
      <c r="P783" s="115"/>
      <c r="Q783" s="115"/>
      <c r="R783" s="115"/>
      <c r="S783" s="115"/>
      <c r="T783" s="115"/>
      <c r="U783" s="115"/>
      <c r="V783" s="115"/>
      <c r="W783" s="115"/>
      <c r="X783" s="115"/>
      <c r="Y783" s="115"/>
      <c r="Z783" s="115"/>
      <c r="AA783" s="115"/>
      <c r="AB783" s="115"/>
      <c r="AI783" s="263"/>
      <c r="AJ783" s="263"/>
      <c r="AK783" s="263"/>
      <c r="AN783" s="115"/>
      <c r="AO783" s="115"/>
    </row>
    <row r="784">
      <c r="A784" s="397"/>
      <c r="B784" s="385"/>
      <c r="C784" s="385"/>
      <c r="H784" s="115"/>
      <c r="I784" s="115"/>
      <c r="J784" s="115"/>
      <c r="K784" s="115"/>
      <c r="L784" s="115"/>
      <c r="M784" s="353"/>
      <c r="N784" s="115"/>
      <c r="O784" s="115"/>
      <c r="P784" s="115"/>
      <c r="Q784" s="115"/>
      <c r="R784" s="115"/>
      <c r="S784" s="115"/>
      <c r="T784" s="115"/>
      <c r="U784" s="115"/>
      <c r="V784" s="115"/>
      <c r="W784" s="115"/>
      <c r="X784" s="115"/>
      <c r="Y784" s="115"/>
      <c r="Z784" s="115"/>
      <c r="AA784" s="115"/>
      <c r="AB784" s="115"/>
      <c r="AI784" s="263"/>
      <c r="AJ784" s="263"/>
      <c r="AK784" s="263"/>
      <c r="AN784" s="115"/>
      <c r="AO784" s="115"/>
    </row>
    <row r="785">
      <c r="A785" s="397"/>
      <c r="B785" s="385"/>
      <c r="C785" s="385"/>
      <c r="H785" s="115"/>
      <c r="I785" s="115"/>
      <c r="J785" s="115"/>
      <c r="K785" s="115"/>
      <c r="L785" s="115"/>
      <c r="M785" s="353"/>
      <c r="N785" s="115"/>
      <c r="O785" s="115"/>
      <c r="P785" s="115"/>
      <c r="Q785" s="115"/>
      <c r="R785" s="115"/>
      <c r="S785" s="115"/>
      <c r="T785" s="115"/>
      <c r="U785" s="115"/>
      <c r="V785" s="115"/>
      <c r="W785" s="115"/>
      <c r="X785" s="115"/>
      <c r="Y785" s="115"/>
      <c r="Z785" s="115"/>
      <c r="AA785" s="115"/>
      <c r="AB785" s="115"/>
      <c r="AI785" s="263"/>
      <c r="AJ785" s="263"/>
      <c r="AK785" s="263"/>
      <c r="AN785" s="115"/>
      <c r="AO785" s="115"/>
    </row>
    <row r="786">
      <c r="A786" s="397"/>
      <c r="B786" s="385"/>
      <c r="C786" s="385"/>
      <c r="H786" s="115"/>
      <c r="I786" s="115"/>
      <c r="J786" s="115"/>
      <c r="K786" s="115"/>
      <c r="L786" s="115"/>
      <c r="M786" s="353"/>
      <c r="N786" s="115"/>
      <c r="O786" s="115"/>
      <c r="P786" s="115"/>
      <c r="Q786" s="115"/>
      <c r="R786" s="115"/>
      <c r="S786" s="115"/>
      <c r="T786" s="115"/>
      <c r="U786" s="115"/>
      <c r="V786" s="115"/>
      <c r="W786" s="115"/>
      <c r="X786" s="115"/>
      <c r="Y786" s="115"/>
      <c r="Z786" s="115"/>
      <c r="AA786" s="115"/>
      <c r="AB786" s="115"/>
      <c r="AI786" s="263"/>
      <c r="AJ786" s="263"/>
      <c r="AK786" s="263"/>
      <c r="AN786" s="115"/>
      <c r="AO786" s="115"/>
    </row>
    <row r="787">
      <c r="A787" s="397"/>
      <c r="B787" s="385"/>
      <c r="C787" s="385"/>
      <c r="H787" s="115"/>
      <c r="I787" s="115"/>
      <c r="J787" s="115"/>
      <c r="K787" s="115"/>
      <c r="L787" s="115"/>
      <c r="M787" s="353"/>
      <c r="N787" s="115"/>
      <c r="O787" s="115"/>
      <c r="P787" s="115"/>
      <c r="Q787" s="115"/>
      <c r="R787" s="115"/>
      <c r="S787" s="115"/>
      <c r="T787" s="115"/>
      <c r="U787" s="115"/>
      <c r="V787" s="115"/>
      <c r="W787" s="115"/>
      <c r="X787" s="115"/>
      <c r="Y787" s="115"/>
      <c r="Z787" s="115"/>
      <c r="AA787" s="115"/>
      <c r="AB787" s="115"/>
      <c r="AI787" s="263"/>
      <c r="AJ787" s="263"/>
      <c r="AK787" s="263"/>
      <c r="AN787" s="115"/>
      <c r="AO787" s="115"/>
    </row>
    <row r="788">
      <c r="A788" s="397"/>
      <c r="B788" s="385"/>
      <c r="C788" s="385"/>
      <c r="H788" s="115"/>
      <c r="I788" s="115"/>
      <c r="J788" s="115"/>
      <c r="K788" s="115"/>
      <c r="L788" s="115"/>
      <c r="M788" s="353"/>
      <c r="N788" s="115"/>
      <c r="O788" s="115"/>
      <c r="P788" s="115"/>
      <c r="Q788" s="115"/>
      <c r="R788" s="115"/>
      <c r="S788" s="115"/>
      <c r="T788" s="115"/>
      <c r="U788" s="115"/>
      <c r="V788" s="115"/>
      <c r="W788" s="115"/>
      <c r="X788" s="115"/>
      <c r="Y788" s="115"/>
      <c r="Z788" s="115"/>
      <c r="AA788" s="115"/>
      <c r="AB788" s="115"/>
      <c r="AI788" s="263"/>
      <c r="AJ788" s="263"/>
      <c r="AK788" s="263"/>
      <c r="AN788" s="115"/>
      <c r="AO788" s="115"/>
    </row>
    <row r="789">
      <c r="A789" s="397"/>
      <c r="B789" s="385"/>
      <c r="C789" s="385"/>
      <c r="H789" s="115"/>
      <c r="I789" s="115"/>
      <c r="J789" s="115"/>
      <c r="K789" s="115"/>
      <c r="L789" s="115"/>
      <c r="M789" s="353"/>
      <c r="N789" s="115"/>
      <c r="O789" s="115"/>
      <c r="P789" s="115"/>
      <c r="Q789" s="115"/>
      <c r="R789" s="115"/>
      <c r="S789" s="115"/>
      <c r="T789" s="115"/>
      <c r="U789" s="115"/>
      <c r="V789" s="115"/>
      <c r="W789" s="115"/>
      <c r="X789" s="115"/>
      <c r="Y789" s="115"/>
      <c r="Z789" s="115"/>
      <c r="AA789" s="115"/>
      <c r="AB789" s="115"/>
      <c r="AI789" s="263"/>
      <c r="AJ789" s="263"/>
      <c r="AK789" s="263"/>
      <c r="AN789" s="115"/>
      <c r="AO789" s="115"/>
    </row>
    <row r="790">
      <c r="A790" s="397"/>
      <c r="B790" s="385"/>
      <c r="C790" s="385"/>
      <c r="H790" s="115"/>
      <c r="I790" s="115"/>
      <c r="J790" s="115"/>
      <c r="K790" s="115"/>
      <c r="L790" s="115"/>
      <c r="M790" s="353"/>
      <c r="N790" s="115"/>
      <c r="O790" s="115"/>
      <c r="P790" s="115"/>
      <c r="Q790" s="115"/>
      <c r="R790" s="115"/>
      <c r="S790" s="115"/>
      <c r="T790" s="115"/>
      <c r="U790" s="115"/>
      <c r="V790" s="115"/>
      <c r="W790" s="115"/>
      <c r="X790" s="115"/>
      <c r="Y790" s="115"/>
      <c r="Z790" s="115"/>
      <c r="AA790" s="115"/>
      <c r="AB790" s="115"/>
      <c r="AI790" s="263"/>
      <c r="AJ790" s="263"/>
      <c r="AK790" s="263"/>
      <c r="AN790" s="115"/>
      <c r="AO790" s="115"/>
    </row>
    <row r="791">
      <c r="A791" s="397"/>
      <c r="B791" s="385"/>
      <c r="C791" s="385"/>
      <c r="H791" s="115"/>
      <c r="I791" s="115"/>
      <c r="J791" s="115"/>
      <c r="K791" s="115"/>
      <c r="L791" s="115"/>
      <c r="M791" s="353"/>
      <c r="N791" s="115"/>
      <c r="O791" s="115"/>
      <c r="P791" s="115"/>
      <c r="Q791" s="115"/>
      <c r="R791" s="115"/>
      <c r="S791" s="115"/>
      <c r="T791" s="115"/>
      <c r="U791" s="115"/>
      <c r="V791" s="115"/>
      <c r="W791" s="115"/>
      <c r="X791" s="115"/>
      <c r="Y791" s="115"/>
      <c r="Z791" s="115"/>
      <c r="AA791" s="115"/>
      <c r="AB791" s="115"/>
      <c r="AI791" s="263"/>
      <c r="AJ791" s="263"/>
      <c r="AK791" s="263"/>
      <c r="AN791" s="115"/>
      <c r="AO791" s="115"/>
    </row>
    <row r="792">
      <c r="A792" s="397"/>
      <c r="B792" s="385"/>
      <c r="C792" s="385"/>
      <c r="H792" s="115"/>
      <c r="I792" s="115"/>
      <c r="J792" s="115"/>
      <c r="K792" s="115"/>
      <c r="L792" s="115"/>
      <c r="M792" s="353"/>
      <c r="N792" s="115"/>
      <c r="O792" s="115"/>
      <c r="P792" s="115"/>
      <c r="Q792" s="115"/>
      <c r="R792" s="115"/>
      <c r="S792" s="115"/>
      <c r="T792" s="115"/>
      <c r="U792" s="115"/>
      <c r="V792" s="115"/>
      <c r="W792" s="115"/>
      <c r="X792" s="115"/>
      <c r="Y792" s="115"/>
      <c r="Z792" s="115"/>
      <c r="AA792" s="115"/>
      <c r="AB792" s="115"/>
      <c r="AI792" s="263"/>
      <c r="AJ792" s="263"/>
      <c r="AK792" s="263"/>
      <c r="AN792" s="115"/>
      <c r="AO792" s="115"/>
    </row>
    <row r="793">
      <c r="A793" s="397"/>
      <c r="B793" s="385"/>
      <c r="C793" s="385"/>
      <c r="H793" s="115"/>
      <c r="I793" s="115"/>
      <c r="J793" s="115"/>
      <c r="K793" s="115"/>
      <c r="L793" s="115"/>
      <c r="M793" s="353"/>
      <c r="N793" s="115"/>
      <c r="O793" s="115"/>
      <c r="P793" s="115"/>
      <c r="Q793" s="115"/>
      <c r="R793" s="115"/>
      <c r="S793" s="115"/>
      <c r="T793" s="115"/>
      <c r="U793" s="115"/>
      <c r="V793" s="115"/>
      <c r="W793" s="115"/>
      <c r="X793" s="115"/>
      <c r="Y793" s="115"/>
      <c r="Z793" s="115"/>
      <c r="AA793" s="115"/>
      <c r="AB793" s="115"/>
      <c r="AI793" s="263"/>
      <c r="AJ793" s="263"/>
      <c r="AK793" s="263"/>
      <c r="AN793" s="115"/>
      <c r="AO793" s="115"/>
    </row>
    <row r="794">
      <c r="A794" s="397"/>
      <c r="B794" s="385"/>
      <c r="C794" s="385"/>
      <c r="H794" s="115"/>
      <c r="I794" s="115"/>
      <c r="J794" s="115"/>
      <c r="K794" s="115"/>
      <c r="L794" s="115"/>
      <c r="M794" s="353"/>
      <c r="N794" s="115"/>
      <c r="O794" s="115"/>
      <c r="P794" s="115"/>
      <c r="Q794" s="115"/>
      <c r="R794" s="115"/>
      <c r="S794" s="115"/>
      <c r="T794" s="115"/>
      <c r="U794" s="115"/>
      <c r="V794" s="115"/>
      <c r="W794" s="115"/>
      <c r="X794" s="115"/>
      <c r="Y794" s="115"/>
      <c r="Z794" s="115"/>
      <c r="AA794" s="115"/>
      <c r="AB794" s="115"/>
      <c r="AI794" s="263"/>
      <c r="AJ794" s="263"/>
      <c r="AK794" s="263"/>
      <c r="AN794" s="115"/>
      <c r="AO794" s="115"/>
    </row>
    <row r="795">
      <c r="A795" s="397"/>
      <c r="B795" s="385"/>
      <c r="C795" s="385"/>
      <c r="H795" s="115"/>
      <c r="I795" s="115"/>
      <c r="J795" s="115"/>
      <c r="K795" s="115"/>
      <c r="L795" s="115"/>
      <c r="M795" s="353"/>
      <c r="N795" s="115"/>
      <c r="O795" s="115"/>
      <c r="P795" s="115"/>
      <c r="Q795" s="115"/>
      <c r="R795" s="115"/>
      <c r="S795" s="115"/>
      <c r="T795" s="115"/>
      <c r="U795" s="115"/>
      <c r="V795" s="115"/>
      <c r="W795" s="115"/>
      <c r="X795" s="115"/>
      <c r="Y795" s="115"/>
      <c r="Z795" s="115"/>
      <c r="AA795" s="115"/>
      <c r="AB795" s="115"/>
      <c r="AI795" s="263"/>
      <c r="AJ795" s="263"/>
      <c r="AK795" s="263"/>
      <c r="AN795" s="115"/>
      <c r="AO795" s="115"/>
    </row>
    <row r="796">
      <c r="A796" s="397"/>
      <c r="B796" s="385"/>
      <c r="C796" s="385"/>
      <c r="H796" s="115"/>
      <c r="I796" s="115"/>
      <c r="J796" s="115"/>
      <c r="K796" s="115"/>
      <c r="L796" s="115"/>
      <c r="M796" s="353"/>
      <c r="N796" s="115"/>
      <c r="O796" s="115"/>
      <c r="P796" s="115"/>
      <c r="Q796" s="115"/>
      <c r="R796" s="115"/>
      <c r="S796" s="115"/>
      <c r="T796" s="115"/>
      <c r="U796" s="115"/>
      <c r="V796" s="115"/>
      <c r="W796" s="115"/>
      <c r="X796" s="115"/>
      <c r="Y796" s="115"/>
      <c r="Z796" s="115"/>
      <c r="AA796" s="115"/>
      <c r="AB796" s="115"/>
      <c r="AI796" s="263"/>
      <c r="AJ796" s="263"/>
      <c r="AK796" s="263"/>
      <c r="AN796" s="115"/>
      <c r="AO796" s="115"/>
    </row>
    <row r="797">
      <c r="A797" s="397"/>
      <c r="B797" s="385"/>
      <c r="C797" s="385"/>
      <c r="H797" s="115"/>
      <c r="I797" s="115"/>
      <c r="J797" s="115"/>
      <c r="K797" s="115"/>
      <c r="L797" s="115"/>
      <c r="M797" s="353"/>
      <c r="N797" s="115"/>
      <c r="O797" s="115"/>
      <c r="P797" s="115"/>
      <c r="Q797" s="115"/>
      <c r="R797" s="115"/>
      <c r="S797" s="115"/>
      <c r="T797" s="115"/>
      <c r="U797" s="115"/>
      <c r="V797" s="115"/>
      <c r="W797" s="115"/>
      <c r="X797" s="115"/>
      <c r="Y797" s="115"/>
      <c r="Z797" s="115"/>
      <c r="AA797" s="115"/>
      <c r="AB797" s="115"/>
      <c r="AI797" s="263"/>
      <c r="AJ797" s="263"/>
      <c r="AK797" s="263"/>
      <c r="AN797" s="115"/>
      <c r="AO797" s="115"/>
    </row>
    <row r="798">
      <c r="A798" s="397"/>
      <c r="B798" s="385"/>
      <c r="C798" s="385"/>
      <c r="H798" s="115"/>
      <c r="I798" s="115"/>
      <c r="J798" s="115"/>
      <c r="K798" s="115"/>
      <c r="L798" s="115"/>
      <c r="M798" s="353"/>
      <c r="N798" s="115"/>
      <c r="O798" s="115"/>
      <c r="P798" s="115"/>
      <c r="Q798" s="115"/>
      <c r="R798" s="115"/>
      <c r="S798" s="115"/>
      <c r="T798" s="115"/>
      <c r="U798" s="115"/>
      <c r="V798" s="115"/>
      <c r="W798" s="115"/>
      <c r="X798" s="115"/>
      <c r="Y798" s="115"/>
      <c r="Z798" s="115"/>
      <c r="AA798" s="115"/>
      <c r="AB798" s="115"/>
      <c r="AI798" s="263"/>
      <c r="AJ798" s="263"/>
      <c r="AK798" s="263"/>
      <c r="AN798" s="115"/>
      <c r="AO798" s="115"/>
    </row>
    <row r="799">
      <c r="A799" s="397"/>
      <c r="B799" s="385"/>
      <c r="C799" s="385"/>
      <c r="H799" s="115"/>
      <c r="I799" s="115"/>
      <c r="J799" s="115"/>
      <c r="K799" s="115"/>
      <c r="L799" s="115"/>
      <c r="M799" s="353"/>
      <c r="N799" s="115"/>
      <c r="O799" s="115"/>
      <c r="P799" s="115"/>
      <c r="Q799" s="115"/>
      <c r="R799" s="115"/>
      <c r="S799" s="115"/>
      <c r="T799" s="115"/>
      <c r="U799" s="115"/>
      <c r="V799" s="115"/>
      <c r="W799" s="115"/>
      <c r="X799" s="115"/>
      <c r="Y799" s="115"/>
      <c r="Z799" s="115"/>
      <c r="AA799" s="115"/>
      <c r="AB799" s="115"/>
      <c r="AI799" s="263"/>
      <c r="AJ799" s="263"/>
      <c r="AK799" s="263"/>
      <c r="AN799" s="115"/>
      <c r="AO799" s="115"/>
    </row>
    <row r="800">
      <c r="A800" s="397"/>
      <c r="B800" s="385"/>
      <c r="C800" s="385"/>
      <c r="H800" s="115"/>
      <c r="I800" s="115"/>
      <c r="J800" s="115"/>
      <c r="K800" s="115"/>
      <c r="L800" s="115"/>
      <c r="M800" s="353"/>
      <c r="N800" s="115"/>
      <c r="O800" s="115"/>
      <c r="P800" s="115"/>
      <c r="Q800" s="115"/>
      <c r="R800" s="115"/>
      <c r="S800" s="115"/>
      <c r="T800" s="115"/>
      <c r="U800" s="115"/>
      <c r="V800" s="115"/>
      <c r="W800" s="115"/>
      <c r="X800" s="115"/>
      <c r="Y800" s="115"/>
      <c r="Z800" s="115"/>
      <c r="AA800" s="115"/>
      <c r="AB800" s="115"/>
      <c r="AI800" s="263"/>
      <c r="AJ800" s="263"/>
      <c r="AK800" s="263"/>
      <c r="AN800" s="115"/>
      <c r="AO800" s="115"/>
    </row>
    <row r="801">
      <c r="A801" s="397"/>
      <c r="B801" s="385"/>
      <c r="C801" s="385"/>
      <c r="H801" s="115"/>
      <c r="I801" s="115"/>
      <c r="J801" s="115"/>
      <c r="K801" s="115"/>
      <c r="L801" s="115"/>
      <c r="M801" s="353"/>
      <c r="N801" s="115"/>
      <c r="O801" s="115"/>
      <c r="P801" s="115"/>
      <c r="Q801" s="115"/>
      <c r="R801" s="115"/>
      <c r="S801" s="115"/>
      <c r="T801" s="115"/>
      <c r="U801" s="115"/>
      <c r="V801" s="115"/>
      <c r="W801" s="115"/>
      <c r="X801" s="115"/>
      <c r="Y801" s="115"/>
      <c r="Z801" s="115"/>
      <c r="AA801" s="115"/>
      <c r="AB801" s="115"/>
      <c r="AI801" s="263"/>
      <c r="AJ801" s="263"/>
      <c r="AK801" s="263"/>
      <c r="AN801" s="115"/>
      <c r="AO801" s="115"/>
    </row>
    <row r="802">
      <c r="A802" s="397"/>
      <c r="B802" s="385"/>
      <c r="C802" s="385"/>
      <c r="H802" s="115"/>
      <c r="I802" s="115"/>
      <c r="J802" s="115"/>
      <c r="K802" s="115"/>
      <c r="L802" s="115"/>
      <c r="M802" s="353"/>
      <c r="N802" s="115"/>
      <c r="O802" s="115"/>
      <c r="P802" s="115"/>
      <c r="Q802" s="115"/>
      <c r="R802" s="115"/>
      <c r="S802" s="115"/>
      <c r="T802" s="115"/>
      <c r="U802" s="115"/>
      <c r="V802" s="115"/>
      <c r="W802" s="115"/>
      <c r="X802" s="115"/>
      <c r="Y802" s="115"/>
      <c r="Z802" s="115"/>
      <c r="AA802" s="115"/>
      <c r="AB802" s="115"/>
      <c r="AI802" s="263"/>
      <c r="AJ802" s="263"/>
      <c r="AK802" s="263"/>
      <c r="AN802" s="115"/>
      <c r="AO802" s="115"/>
    </row>
    <row r="803">
      <c r="A803" s="397"/>
      <c r="B803" s="385"/>
      <c r="C803" s="385"/>
      <c r="H803" s="115"/>
      <c r="I803" s="115"/>
      <c r="J803" s="115"/>
      <c r="K803" s="115"/>
      <c r="L803" s="115"/>
      <c r="M803" s="353"/>
      <c r="N803" s="115"/>
      <c r="O803" s="115"/>
      <c r="P803" s="115"/>
      <c r="Q803" s="115"/>
      <c r="R803" s="115"/>
      <c r="S803" s="115"/>
      <c r="T803" s="115"/>
      <c r="U803" s="115"/>
      <c r="V803" s="115"/>
      <c r="W803" s="115"/>
      <c r="X803" s="115"/>
      <c r="Y803" s="115"/>
      <c r="Z803" s="115"/>
      <c r="AA803" s="115"/>
      <c r="AB803" s="115"/>
      <c r="AI803" s="263"/>
      <c r="AJ803" s="263"/>
      <c r="AK803" s="263"/>
      <c r="AN803" s="115"/>
      <c r="AO803" s="115"/>
    </row>
    <row r="804">
      <c r="A804" s="397"/>
      <c r="B804" s="385"/>
      <c r="C804" s="385"/>
      <c r="H804" s="115"/>
      <c r="I804" s="115"/>
      <c r="J804" s="115"/>
      <c r="K804" s="115"/>
      <c r="L804" s="115"/>
      <c r="M804" s="353"/>
      <c r="N804" s="115"/>
      <c r="O804" s="115"/>
      <c r="P804" s="115"/>
      <c r="Q804" s="115"/>
      <c r="R804" s="115"/>
      <c r="S804" s="115"/>
      <c r="T804" s="115"/>
      <c r="U804" s="115"/>
      <c r="V804" s="115"/>
      <c r="W804" s="115"/>
      <c r="X804" s="115"/>
      <c r="Y804" s="115"/>
      <c r="Z804" s="115"/>
      <c r="AA804" s="115"/>
      <c r="AB804" s="115"/>
      <c r="AI804" s="263"/>
      <c r="AJ804" s="263"/>
      <c r="AK804" s="263"/>
      <c r="AN804" s="115"/>
      <c r="AO804" s="115"/>
    </row>
    <row r="805">
      <c r="A805" s="397"/>
      <c r="B805" s="385"/>
      <c r="C805" s="385"/>
      <c r="H805" s="115"/>
      <c r="I805" s="115"/>
      <c r="J805" s="115"/>
      <c r="K805" s="115"/>
      <c r="L805" s="115"/>
      <c r="M805" s="353"/>
      <c r="N805" s="115"/>
      <c r="O805" s="115"/>
      <c r="P805" s="115"/>
      <c r="Q805" s="115"/>
      <c r="R805" s="115"/>
      <c r="S805" s="115"/>
      <c r="T805" s="115"/>
      <c r="U805" s="115"/>
      <c r="V805" s="115"/>
      <c r="W805" s="115"/>
      <c r="X805" s="115"/>
      <c r="Y805" s="115"/>
      <c r="Z805" s="115"/>
      <c r="AA805" s="115"/>
      <c r="AB805" s="115"/>
      <c r="AI805" s="263"/>
      <c r="AJ805" s="263"/>
      <c r="AK805" s="263"/>
      <c r="AN805" s="115"/>
      <c r="AO805" s="115"/>
    </row>
    <row r="806">
      <c r="A806" s="397"/>
      <c r="B806" s="385"/>
      <c r="C806" s="385"/>
      <c r="H806" s="115"/>
      <c r="I806" s="115"/>
      <c r="J806" s="115"/>
      <c r="K806" s="115"/>
      <c r="L806" s="115"/>
      <c r="M806" s="353"/>
      <c r="N806" s="115"/>
      <c r="O806" s="115"/>
      <c r="P806" s="115"/>
      <c r="Q806" s="115"/>
      <c r="R806" s="115"/>
      <c r="S806" s="115"/>
      <c r="T806" s="115"/>
      <c r="U806" s="115"/>
      <c r="V806" s="115"/>
      <c r="W806" s="115"/>
      <c r="X806" s="115"/>
      <c r="Y806" s="115"/>
      <c r="Z806" s="115"/>
      <c r="AA806" s="115"/>
      <c r="AB806" s="115"/>
      <c r="AI806" s="263"/>
      <c r="AJ806" s="263"/>
      <c r="AK806" s="263"/>
      <c r="AN806" s="115"/>
      <c r="AO806" s="115"/>
    </row>
    <row r="807">
      <c r="A807" s="397"/>
      <c r="B807" s="385"/>
      <c r="C807" s="385"/>
      <c r="H807" s="115"/>
      <c r="I807" s="115"/>
      <c r="J807" s="115"/>
      <c r="K807" s="115"/>
      <c r="L807" s="115"/>
      <c r="M807" s="353"/>
      <c r="N807" s="115"/>
      <c r="O807" s="115"/>
      <c r="P807" s="115"/>
      <c r="Q807" s="115"/>
      <c r="R807" s="115"/>
      <c r="S807" s="115"/>
      <c r="T807" s="115"/>
      <c r="U807" s="115"/>
      <c r="V807" s="115"/>
      <c r="W807" s="115"/>
      <c r="X807" s="115"/>
      <c r="Y807" s="115"/>
      <c r="Z807" s="115"/>
      <c r="AA807" s="115"/>
      <c r="AB807" s="115"/>
      <c r="AI807" s="263"/>
      <c r="AJ807" s="263"/>
      <c r="AK807" s="263"/>
      <c r="AN807" s="115"/>
      <c r="AO807" s="115"/>
    </row>
    <row r="808">
      <c r="A808" s="397"/>
      <c r="B808" s="385"/>
      <c r="C808" s="385"/>
      <c r="H808" s="115"/>
      <c r="I808" s="115"/>
      <c r="J808" s="115"/>
      <c r="K808" s="115"/>
      <c r="L808" s="115"/>
      <c r="M808" s="353"/>
      <c r="N808" s="115"/>
      <c r="O808" s="115"/>
      <c r="P808" s="115"/>
      <c r="Q808" s="115"/>
      <c r="R808" s="115"/>
      <c r="S808" s="115"/>
      <c r="T808" s="115"/>
      <c r="U808" s="115"/>
      <c r="V808" s="115"/>
      <c r="W808" s="115"/>
      <c r="X808" s="115"/>
      <c r="Y808" s="115"/>
      <c r="Z808" s="115"/>
      <c r="AA808" s="115"/>
      <c r="AB808" s="115"/>
      <c r="AI808" s="263"/>
      <c r="AJ808" s="263"/>
      <c r="AK808" s="263"/>
      <c r="AN808" s="115"/>
      <c r="AO808" s="115"/>
    </row>
    <row r="809">
      <c r="A809" s="397"/>
      <c r="B809" s="385"/>
      <c r="C809" s="385"/>
      <c r="H809" s="115"/>
      <c r="I809" s="115"/>
      <c r="J809" s="115"/>
      <c r="K809" s="115"/>
      <c r="L809" s="115"/>
      <c r="M809" s="353"/>
      <c r="N809" s="115"/>
      <c r="O809" s="115"/>
      <c r="P809" s="115"/>
      <c r="Q809" s="115"/>
      <c r="R809" s="115"/>
      <c r="S809" s="115"/>
      <c r="T809" s="115"/>
      <c r="U809" s="115"/>
      <c r="V809" s="115"/>
      <c r="W809" s="115"/>
      <c r="X809" s="115"/>
      <c r="Y809" s="115"/>
      <c r="Z809" s="115"/>
      <c r="AA809" s="115"/>
      <c r="AB809" s="115"/>
      <c r="AI809" s="263"/>
      <c r="AJ809" s="263"/>
      <c r="AK809" s="263"/>
      <c r="AN809" s="115"/>
      <c r="AO809" s="115"/>
    </row>
    <row r="810">
      <c r="A810" s="397"/>
      <c r="B810" s="385"/>
      <c r="C810" s="385"/>
      <c r="H810" s="115"/>
      <c r="I810" s="115"/>
      <c r="J810" s="115"/>
      <c r="K810" s="115"/>
      <c r="L810" s="115"/>
      <c r="M810" s="353"/>
      <c r="N810" s="115"/>
      <c r="O810" s="115"/>
      <c r="P810" s="115"/>
      <c r="Q810" s="115"/>
      <c r="R810" s="115"/>
      <c r="S810" s="115"/>
      <c r="T810" s="115"/>
      <c r="U810" s="115"/>
      <c r="V810" s="115"/>
      <c r="W810" s="115"/>
      <c r="X810" s="115"/>
      <c r="Y810" s="115"/>
      <c r="Z810" s="115"/>
      <c r="AA810" s="115"/>
      <c r="AB810" s="115"/>
      <c r="AI810" s="263"/>
      <c r="AJ810" s="263"/>
      <c r="AK810" s="263"/>
      <c r="AN810" s="115"/>
      <c r="AO810" s="115"/>
    </row>
    <row r="811">
      <c r="A811" s="397"/>
      <c r="B811" s="385"/>
      <c r="C811" s="385"/>
      <c r="H811" s="115"/>
      <c r="I811" s="115"/>
      <c r="J811" s="115"/>
      <c r="K811" s="115"/>
      <c r="L811" s="115"/>
      <c r="M811" s="353"/>
      <c r="N811" s="115"/>
      <c r="O811" s="115"/>
      <c r="P811" s="115"/>
      <c r="Q811" s="115"/>
      <c r="R811" s="115"/>
      <c r="S811" s="115"/>
      <c r="T811" s="115"/>
      <c r="U811" s="115"/>
      <c r="V811" s="115"/>
      <c r="W811" s="115"/>
      <c r="X811" s="115"/>
      <c r="Y811" s="115"/>
      <c r="Z811" s="115"/>
      <c r="AA811" s="115"/>
      <c r="AB811" s="115"/>
      <c r="AI811" s="263"/>
      <c r="AJ811" s="263"/>
      <c r="AK811" s="263"/>
      <c r="AN811" s="115"/>
      <c r="AO811" s="115"/>
    </row>
    <row r="812">
      <c r="A812" s="397"/>
      <c r="B812" s="385"/>
      <c r="C812" s="385"/>
      <c r="H812" s="115"/>
      <c r="I812" s="115"/>
      <c r="J812" s="115"/>
      <c r="K812" s="115"/>
      <c r="L812" s="115"/>
      <c r="M812" s="353"/>
      <c r="N812" s="115"/>
      <c r="O812" s="115"/>
      <c r="P812" s="115"/>
      <c r="Q812" s="115"/>
      <c r="R812" s="115"/>
      <c r="S812" s="115"/>
      <c r="T812" s="115"/>
      <c r="U812" s="115"/>
      <c r="V812" s="115"/>
      <c r="W812" s="115"/>
      <c r="X812" s="115"/>
      <c r="Y812" s="115"/>
      <c r="Z812" s="115"/>
      <c r="AA812" s="115"/>
      <c r="AB812" s="115"/>
      <c r="AI812" s="263"/>
      <c r="AJ812" s="263"/>
      <c r="AK812" s="263"/>
      <c r="AN812" s="115"/>
      <c r="AO812" s="115"/>
    </row>
    <row r="813">
      <c r="A813" s="397"/>
      <c r="B813" s="385"/>
      <c r="C813" s="385"/>
      <c r="H813" s="115"/>
      <c r="I813" s="115"/>
      <c r="J813" s="115"/>
      <c r="K813" s="115"/>
      <c r="L813" s="115"/>
      <c r="M813" s="353"/>
      <c r="N813" s="115"/>
      <c r="O813" s="115"/>
      <c r="P813" s="115"/>
      <c r="Q813" s="115"/>
      <c r="R813" s="115"/>
      <c r="S813" s="115"/>
      <c r="T813" s="115"/>
      <c r="U813" s="115"/>
      <c r="V813" s="115"/>
      <c r="W813" s="115"/>
      <c r="X813" s="115"/>
      <c r="Y813" s="115"/>
      <c r="Z813" s="115"/>
      <c r="AA813" s="115"/>
      <c r="AB813" s="115"/>
      <c r="AI813" s="263"/>
      <c r="AJ813" s="263"/>
      <c r="AK813" s="263"/>
      <c r="AN813" s="115"/>
      <c r="AO813" s="115"/>
    </row>
    <row r="814">
      <c r="A814" s="397"/>
      <c r="B814" s="385"/>
      <c r="C814" s="385"/>
      <c r="H814" s="115"/>
      <c r="I814" s="115"/>
      <c r="J814" s="115"/>
      <c r="K814" s="115"/>
      <c r="L814" s="115"/>
      <c r="M814" s="353"/>
      <c r="N814" s="115"/>
      <c r="O814" s="115"/>
      <c r="P814" s="115"/>
      <c r="Q814" s="115"/>
      <c r="R814" s="115"/>
      <c r="S814" s="115"/>
      <c r="T814" s="115"/>
      <c r="U814" s="115"/>
      <c r="V814" s="115"/>
      <c r="W814" s="115"/>
      <c r="X814" s="115"/>
      <c r="Y814" s="115"/>
      <c r="Z814" s="115"/>
      <c r="AA814" s="115"/>
      <c r="AB814" s="115"/>
      <c r="AI814" s="263"/>
      <c r="AJ814" s="263"/>
      <c r="AK814" s="263"/>
      <c r="AN814" s="115"/>
      <c r="AO814" s="115"/>
    </row>
    <row r="815">
      <c r="A815" s="397"/>
      <c r="B815" s="385"/>
      <c r="C815" s="385"/>
      <c r="H815" s="115"/>
      <c r="I815" s="115"/>
      <c r="J815" s="115"/>
      <c r="K815" s="115"/>
      <c r="L815" s="115"/>
      <c r="M815" s="353"/>
      <c r="N815" s="115"/>
      <c r="O815" s="115"/>
      <c r="P815" s="115"/>
      <c r="Q815" s="115"/>
      <c r="R815" s="115"/>
      <c r="S815" s="115"/>
      <c r="T815" s="115"/>
      <c r="U815" s="115"/>
      <c r="V815" s="115"/>
      <c r="W815" s="115"/>
      <c r="X815" s="115"/>
      <c r="Y815" s="115"/>
      <c r="Z815" s="115"/>
      <c r="AA815" s="115"/>
      <c r="AB815" s="115"/>
      <c r="AI815" s="263"/>
      <c r="AJ815" s="263"/>
      <c r="AK815" s="263"/>
      <c r="AN815" s="115"/>
      <c r="AO815" s="115"/>
    </row>
    <row r="816">
      <c r="A816" s="397"/>
      <c r="B816" s="385"/>
      <c r="C816" s="385"/>
      <c r="H816" s="115"/>
      <c r="I816" s="115"/>
      <c r="J816" s="115"/>
      <c r="K816" s="115"/>
      <c r="L816" s="115"/>
      <c r="M816" s="353"/>
      <c r="N816" s="115"/>
      <c r="O816" s="115"/>
      <c r="P816" s="115"/>
      <c r="Q816" s="115"/>
      <c r="R816" s="115"/>
      <c r="S816" s="115"/>
      <c r="T816" s="115"/>
      <c r="U816" s="115"/>
      <c r="V816" s="115"/>
      <c r="W816" s="115"/>
      <c r="X816" s="115"/>
      <c r="Y816" s="115"/>
      <c r="Z816" s="115"/>
      <c r="AA816" s="115"/>
      <c r="AB816" s="115"/>
      <c r="AI816" s="263"/>
      <c r="AJ816" s="263"/>
      <c r="AK816" s="263"/>
      <c r="AN816" s="115"/>
      <c r="AO816" s="115"/>
    </row>
    <row r="817">
      <c r="A817" s="397"/>
      <c r="B817" s="385"/>
      <c r="C817" s="385"/>
      <c r="H817" s="115"/>
      <c r="I817" s="115"/>
      <c r="J817" s="115"/>
      <c r="K817" s="115"/>
      <c r="L817" s="115"/>
      <c r="M817" s="353"/>
      <c r="N817" s="115"/>
      <c r="O817" s="115"/>
      <c r="P817" s="115"/>
      <c r="Q817" s="115"/>
      <c r="R817" s="115"/>
      <c r="S817" s="115"/>
      <c r="T817" s="115"/>
      <c r="U817" s="115"/>
      <c r="V817" s="115"/>
      <c r="W817" s="115"/>
      <c r="X817" s="115"/>
      <c r="Y817" s="115"/>
      <c r="Z817" s="115"/>
      <c r="AA817" s="115"/>
      <c r="AB817" s="115"/>
      <c r="AI817" s="263"/>
      <c r="AJ817" s="263"/>
      <c r="AK817" s="263"/>
      <c r="AN817" s="115"/>
      <c r="AO817" s="115"/>
    </row>
    <row r="818">
      <c r="A818" s="397"/>
      <c r="B818" s="385"/>
      <c r="C818" s="385"/>
      <c r="H818" s="115"/>
      <c r="I818" s="115"/>
      <c r="J818" s="115"/>
      <c r="K818" s="115"/>
      <c r="L818" s="115"/>
      <c r="M818" s="353"/>
      <c r="N818" s="115"/>
      <c r="O818" s="115"/>
      <c r="P818" s="115"/>
      <c r="Q818" s="115"/>
      <c r="R818" s="115"/>
      <c r="S818" s="115"/>
      <c r="T818" s="115"/>
      <c r="U818" s="115"/>
      <c r="V818" s="115"/>
      <c r="W818" s="115"/>
      <c r="X818" s="115"/>
      <c r="Y818" s="115"/>
      <c r="Z818" s="115"/>
      <c r="AA818" s="115"/>
      <c r="AB818" s="115"/>
      <c r="AI818" s="263"/>
      <c r="AJ818" s="263"/>
      <c r="AK818" s="263"/>
      <c r="AN818" s="115"/>
      <c r="AO818" s="115"/>
    </row>
    <row r="819">
      <c r="A819" s="397"/>
      <c r="B819" s="385"/>
      <c r="C819" s="385"/>
      <c r="H819" s="115"/>
      <c r="I819" s="115"/>
      <c r="J819" s="115"/>
      <c r="K819" s="115"/>
      <c r="L819" s="115"/>
      <c r="M819" s="353"/>
      <c r="N819" s="115"/>
      <c r="O819" s="115"/>
      <c r="P819" s="115"/>
      <c r="Q819" s="115"/>
      <c r="R819" s="115"/>
      <c r="S819" s="115"/>
      <c r="T819" s="115"/>
      <c r="U819" s="115"/>
      <c r="V819" s="115"/>
      <c r="W819" s="115"/>
      <c r="X819" s="115"/>
      <c r="Y819" s="115"/>
      <c r="Z819" s="115"/>
      <c r="AA819" s="115"/>
      <c r="AB819" s="115"/>
      <c r="AI819" s="263"/>
      <c r="AJ819" s="263"/>
      <c r="AK819" s="263"/>
      <c r="AN819" s="115"/>
      <c r="AO819" s="115"/>
    </row>
    <row r="820">
      <c r="A820" s="397"/>
      <c r="B820" s="385"/>
      <c r="C820" s="385"/>
      <c r="H820" s="115"/>
      <c r="I820" s="115"/>
      <c r="J820" s="115"/>
      <c r="K820" s="115"/>
      <c r="L820" s="115"/>
      <c r="M820" s="353"/>
      <c r="N820" s="115"/>
      <c r="O820" s="115"/>
      <c r="P820" s="115"/>
      <c r="Q820" s="115"/>
      <c r="R820" s="115"/>
      <c r="S820" s="115"/>
      <c r="T820" s="115"/>
      <c r="U820" s="115"/>
      <c r="V820" s="115"/>
      <c r="W820" s="115"/>
      <c r="X820" s="115"/>
      <c r="Y820" s="115"/>
      <c r="Z820" s="115"/>
      <c r="AA820" s="115"/>
      <c r="AB820" s="115"/>
      <c r="AI820" s="263"/>
      <c r="AJ820" s="263"/>
      <c r="AK820" s="263"/>
      <c r="AN820" s="115"/>
      <c r="AO820" s="115"/>
    </row>
    <row r="821">
      <c r="A821" s="397"/>
      <c r="B821" s="385"/>
      <c r="C821" s="385"/>
      <c r="H821" s="115"/>
      <c r="I821" s="115"/>
      <c r="J821" s="115"/>
      <c r="K821" s="115"/>
      <c r="L821" s="115"/>
      <c r="M821" s="353"/>
      <c r="N821" s="115"/>
      <c r="O821" s="115"/>
      <c r="P821" s="115"/>
      <c r="Q821" s="115"/>
      <c r="R821" s="115"/>
      <c r="S821" s="115"/>
      <c r="T821" s="115"/>
      <c r="U821" s="115"/>
      <c r="V821" s="115"/>
      <c r="W821" s="115"/>
      <c r="X821" s="115"/>
      <c r="Y821" s="115"/>
      <c r="Z821" s="115"/>
      <c r="AA821" s="115"/>
      <c r="AB821" s="115"/>
      <c r="AI821" s="263"/>
      <c r="AJ821" s="263"/>
      <c r="AK821" s="263"/>
      <c r="AN821" s="115"/>
      <c r="AO821" s="115"/>
    </row>
    <row r="822">
      <c r="A822" s="397"/>
      <c r="B822" s="385"/>
      <c r="C822" s="385"/>
      <c r="H822" s="115"/>
      <c r="I822" s="115"/>
      <c r="J822" s="115"/>
      <c r="K822" s="115"/>
      <c r="L822" s="115"/>
      <c r="M822" s="353"/>
      <c r="N822" s="115"/>
      <c r="O822" s="115"/>
      <c r="P822" s="115"/>
      <c r="Q822" s="115"/>
      <c r="R822" s="115"/>
      <c r="S822" s="115"/>
      <c r="T822" s="115"/>
      <c r="U822" s="115"/>
      <c r="V822" s="115"/>
      <c r="W822" s="115"/>
      <c r="X822" s="115"/>
      <c r="Y822" s="115"/>
      <c r="Z822" s="115"/>
      <c r="AA822" s="115"/>
      <c r="AB822" s="115"/>
      <c r="AI822" s="263"/>
      <c r="AJ822" s="263"/>
      <c r="AK822" s="263"/>
      <c r="AN822" s="115"/>
      <c r="AO822" s="115"/>
    </row>
    <row r="823">
      <c r="A823" s="397"/>
      <c r="B823" s="385"/>
      <c r="C823" s="385"/>
      <c r="H823" s="115"/>
      <c r="I823" s="115"/>
      <c r="J823" s="115"/>
      <c r="K823" s="115"/>
      <c r="L823" s="115"/>
      <c r="M823" s="353"/>
      <c r="N823" s="115"/>
      <c r="O823" s="115"/>
      <c r="P823" s="115"/>
      <c r="Q823" s="115"/>
      <c r="R823" s="115"/>
      <c r="S823" s="115"/>
      <c r="T823" s="115"/>
      <c r="U823" s="115"/>
      <c r="V823" s="115"/>
      <c r="W823" s="115"/>
      <c r="X823" s="115"/>
      <c r="Y823" s="115"/>
      <c r="Z823" s="115"/>
      <c r="AA823" s="115"/>
      <c r="AB823" s="115"/>
      <c r="AI823" s="263"/>
      <c r="AJ823" s="263"/>
      <c r="AK823" s="263"/>
      <c r="AN823" s="115"/>
      <c r="AO823" s="115"/>
    </row>
    <row r="824">
      <c r="A824" s="397"/>
      <c r="B824" s="385"/>
      <c r="C824" s="385"/>
      <c r="H824" s="115"/>
      <c r="I824" s="115"/>
      <c r="J824" s="115"/>
      <c r="K824" s="115"/>
      <c r="L824" s="115"/>
      <c r="M824" s="353"/>
      <c r="N824" s="115"/>
      <c r="O824" s="115"/>
      <c r="P824" s="115"/>
      <c r="Q824" s="115"/>
      <c r="R824" s="115"/>
      <c r="S824" s="115"/>
      <c r="T824" s="115"/>
      <c r="U824" s="115"/>
      <c r="V824" s="115"/>
      <c r="W824" s="115"/>
      <c r="X824" s="115"/>
      <c r="Y824" s="115"/>
      <c r="Z824" s="115"/>
      <c r="AA824" s="115"/>
      <c r="AB824" s="115"/>
      <c r="AI824" s="263"/>
      <c r="AJ824" s="263"/>
      <c r="AK824" s="263"/>
      <c r="AN824" s="115"/>
      <c r="AO824" s="115"/>
    </row>
    <row r="825">
      <c r="A825" s="397"/>
      <c r="B825" s="385"/>
      <c r="C825" s="385"/>
      <c r="H825" s="115"/>
      <c r="I825" s="115"/>
      <c r="J825" s="115"/>
      <c r="K825" s="115"/>
      <c r="L825" s="115"/>
      <c r="M825" s="353"/>
      <c r="N825" s="115"/>
      <c r="O825" s="115"/>
      <c r="P825" s="115"/>
      <c r="Q825" s="115"/>
      <c r="R825" s="115"/>
      <c r="S825" s="115"/>
      <c r="T825" s="115"/>
      <c r="U825" s="115"/>
      <c r="V825" s="115"/>
      <c r="W825" s="115"/>
      <c r="X825" s="115"/>
      <c r="Y825" s="115"/>
      <c r="Z825" s="115"/>
      <c r="AA825" s="115"/>
      <c r="AB825" s="115"/>
      <c r="AI825" s="263"/>
      <c r="AJ825" s="263"/>
      <c r="AK825" s="263"/>
      <c r="AN825" s="115"/>
      <c r="AO825" s="115"/>
    </row>
    <row r="826">
      <c r="A826" s="397"/>
      <c r="B826" s="385"/>
      <c r="C826" s="385"/>
      <c r="H826" s="115"/>
      <c r="I826" s="115"/>
      <c r="J826" s="115"/>
      <c r="K826" s="115"/>
      <c r="L826" s="115"/>
      <c r="M826" s="353"/>
      <c r="N826" s="115"/>
      <c r="O826" s="115"/>
      <c r="P826" s="115"/>
      <c r="Q826" s="115"/>
      <c r="R826" s="115"/>
      <c r="S826" s="115"/>
      <c r="T826" s="115"/>
      <c r="U826" s="115"/>
      <c r="V826" s="115"/>
      <c r="W826" s="115"/>
      <c r="X826" s="115"/>
      <c r="Y826" s="115"/>
      <c r="Z826" s="115"/>
      <c r="AA826" s="115"/>
      <c r="AB826" s="115"/>
      <c r="AI826" s="263"/>
      <c r="AJ826" s="263"/>
      <c r="AK826" s="263"/>
      <c r="AN826" s="115"/>
      <c r="AO826" s="115"/>
    </row>
    <row r="827">
      <c r="A827" s="397"/>
      <c r="B827" s="385"/>
      <c r="C827" s="385"/>
      <c r="H827" s="115"/>
      <c r="I827" s="115"/>
      <c r="J827" s="115"/>
      <c r="K827" s="115"/>
      <c r="L827" s="115"/>
      <c r="M827" s="353"/>
      <c r="N827" s="115"/>
      <c r="O827" s="115"/>
      <c r="P827" s="115"/>
      <c r="Q827" s="115"/>
      <c r="R827" s="115"/>
      <c r="S827" s="115"/>
      <c r="T827" s="115"/>
      <c r="U827" s="115"/>
      <c r="V827" s="115"/>
      <c r="W827" s="115"/>
      <c r="X827" s="115"/>
      <c r="Y827" s="115"/>
      <c r="Z827" s="115"/>
      <c r="AA827" s="115"/>
      <c r="AB827" s="115"/>
      <c r="AI827" s="263"/>
      <c r="AJ827" s="263"/>
      <c r="AK827" s="263"/>
      <c r="AN827" s="115"/>
      <c r="AO827" s="115"/>
    </row>
    <row r="828">
      <c r="A828" s="397"/>
      <c r="B828" s="385"/>
      <c r="C828" s="385"/>
      <c r="H828" s="115"/>
      <c r="I828" s="115"/>
      <c r="J828" s="115"/>
      <c r="K828" s="115"/>
      <c r="L828" s="115"/>
      <c r="M828" s="353"/>
      <c r="N828" s="115"/>
      <c r="O828" s="115"/>
      <c r="P828" s="115"/>
      <c r="Q828" s="115"/>
      <c r="R828" s="115"/>
      <c r="S828" s="115"/>
      <c r="T828" s="115"/>
      <c r="U828" s="115"/>
      <c r="V828" s="115"/>
      <c r="W828" s="115"/>
      <c r="X828" s="115"/>
      <c r="Y828" s="115"/>
      <c r="Z828" s="115"/>
      <c r="AA828" s="115"/>
      <c r="AB828" s="115"/>
      <c r="AI828" s="263"/>
      <c r="AJ828" s="263"/>
      <c r="AK828" s="263"/>
      <c r="AN828" s="115"/>
      <c r="AO828" s="115"/>
    </row>
    <row r="829">
      <c r="A829" s="397"/>
      <c r="B829" s="385"/>
      <c r="C829" s="385"/>
      <c r="H829" s="115"/>
      <c r="I829" s="115"/>
      <c r="J829" s="115"/>
      <c r="K829" s="115"/>
      <c r="L829" s="115"/>
      <c r="M829" s="353"/>
      <c r="N829" s="115"/>
      <c r="O829" s="115"/>
      <c r="P829" s="115"/>
      <c r="Q829" s="115"/>
      <c r="R829" s="115"/>
      <c r="S829" s="115"/>
      <c r="T829" s="115"/>
      <c r="U829" s="115"/>
      <c r="V829" s="115"/>
      <c r="W829" s="115"/>
      <c r="X829" s="115"/>
      <c r="Y829" s="115"/>
      <c r="Z829" s="115"/>
      <c r="AA829" s="115"/>
      <c r="AB829" s="115"/>
      <c r="AI829" s="263"/>
      <c r="AJ829" s="263"/>
      <c r="AK829" s="263"/>
      <c r="AN829" s="115"/>
      <c r="AO829" s="115"/>
    </row>
    <row r="830">
      <c r="A830" s="397"/>
      <c r="B830" s="385"/>
      <c r="C830" s="385"/>
      <c r="H830" s="115"/>
      <c r="I830" s="115"/>
      <c r="J830" s="115"/>
      <c r="K830" s="115"/>
      <c r="L830" s="115"/>
      <c r="M830" s="353"/>
      <c r="N830" s="115"/>
      <c r="O830" s="115"/>
      <c r="P830" s="115"/>
      <c r="Q830" s="115"/>
      <c r="R830" s="115"/>
      <c r="S830" s="115"/>
      <c r="T830" s="115"/>
      <c r="U830" s="115"/>
      <c r="V830" s="115"/>
      <c r="W830" s="115"/>
      <c r="X830" s="115"/>
      <c r="Y830" s="115"/>
      <c r="Z830" s="115"/>
      <c r="AA830" s="115"/>
      <c r="AB830" s="115"/>
      <c r="AI830" s="263"/>
      <c r="AJ830" s="263"/>
      <c r="AK830" s="263"/>
      <c r="AN830" s="115"/>
      <c r="AO830" s="115"/>
    </row>
    <row r="831">
      <c r="A831" s="397"/>
      <c r="B831" s="385"/>
      <c r="C831" s="385"/>
      <c r="H831" s="115"/>
      <c r="I831" s="115"/>
      <c r="J831" s="115"/>
      <c r="K831" s="115"/>
      <c r="L831" s="115"/>
      <c r="M831" s="353"/>
      <c r="N831" s="115"/>
      <c r="O831" s="115"/>
      <c r="P831" s="115"/>
      <c r="Q831" s="115"/>
      <c r="R831" s="115"/>
      <c r="S831" s="115"/>
      <c r="T831" s="115"/>
      <c r="U831" s="115"/>
      <c r="V831" s="115"/>
      <c r="W831" s="115"/>
      <c r="X831" s="115"/>
      <c r="Y831" s="115"/>
      <c r="Z831" s="115"/>
      <c r="AA831" s="115"/>
      <c r="AB831" s="115"/>
      <c r="AI831" s="263"/>
      <c r="AJ831" s="263"/>
      <c r="AK831" s="263"/>
      <c r="AN831" s="115"/>
      <c r="AO831" s="115"/>
    </row>
    <row r="832">
      <c r="A832" s="397"/>
      <c r="B832" s="385"/>
      <c r="C832" s="385"/>
      <c r="H832" s="115"/>
      <c r="I832" s="115"/>
      <c r="J832" s="115"/>
      <c r="K832" s="115"/>
      <c r="L832" s="115"/>
      <c r="M832" s="353"/>
      <c r="N832" s="115"/>
      <c r="O832" s="115"/>
      <c r="P832" s="115"/>
      <c r="Q832" s="115"/>
      <c r="R832" s="115"/>
      <c r="S832" s="115"/>
      <c r="T832" s="115"/>
      <c r="U832" s="115"/>
      <c r="V832" s="115"/>
      <c r="W832" s="115"/>
      <c r="X832" s="115"/>
      <c r="Y832" s="115"/>
      <c r="Z832" s="115"/>
      <c r="AA832" s="115"/>
      <c r="AB832" s="115"/>
      <c r="AI832" s="263"/>
      <c r="AJ832" s="263"/>
      <c r="AK832" s="263"/>
      <c r="AN832" s="115"/>
      <c r="AO832" s="115"/>
    </row>
    <row r="833">
      <c r="A833" s="397"/>
      <c r="B833" s="385"/>
      <c r="C833" s="385"/>
      <c r="H833" s="115"/>
      <c r="I833" s="115"/>
      <c r="J833" s="115"/>
      <c r="K833" s="115"/>
      <c r="L833" s="115"/>
      <c r="M833" s="353"/>
      <c r="N833" s="115"/>
      <c r="O833" s="115"/>
      <c r="P833" s="115"/>
      <c r="Q833" s="115"/>
      <c r="R833" s="115"/>
      <c r="S833" s="115"/>
      <c r="T833" s="115"/>
      <c r="U833" s="115"/>
      <c r="V833" s="115"/>
      <c r="W833" s="115"/>
      <c r="X833" s="115"/>
      <c r="Y833" s="115"/>
      <c r="Z833" s="115"/>
      <c r="AA833" s="115"/>
      <c r="AB833" s="115"/>
      <c r="AI833" s="263"/>
      <c r="AJ833" s="263"/>
      <c r="AK833" s="263"/>
      <c r="AN833" s="115"/>
      <c r="AO833" s="115"/>
    </row>
    <row r="834">
      <c r="A834" s="397"/>
      <c r="B834" s="385"/>
      <c r="C834" s="385"/>
      <c r="H834" s="115"/>
      <c r="I834" s="115"/>
      <c r="J834" s="115"/>
      <c r="K834" s="115"/>
      <c r="L834" s="115"/>
      <c r="M834" s="353"/>
      <c r="N834" s="115"/>
      <c r="O834" s="115"/>
      <c r="P834" s="115"/>
      <c r="Q834" s="115"/>
      <c r="R834" s="115"/>
      <c r="S834" s="115"/>
      <c r="T834" s="115"/>
      <c r="U834" s="115"/>
      <c r="V834" s="115"/>
      <c r="W834" s="115"/>
      <c r="X834" s="115"/>
      <c r="Y834" s="115"/>
      <c r="Z834" s="115"/>
      <c r="AA834" s="115"/>
      <c r="AB834" s="115"/>
      <c r="AI834" s="263"/>
      <c r="AJ834" s="263"/>
      <c r="AK834" s="263"/>
      <c r="AN834" s="115"/>
      <c r="AO834" s="115"/>
    </row>
    <row r="835">
      <c r="A835" s="397"/>
      <c r="B835" s="385"/>
      <c r="C835" s="385"/>
      <c r="H835" s="115"/>
      <c r="I835" s="115"/>
      <c r="J835" s="115"/>
      <c r="K835" s="115"/>
      <c r="L835" s="115"/>
      <c r="M835" s="353"/>
      <c r="N835" s="115"/>
      <c r="O835" s="115"/>
      <c r="P835" s="115"/>
      <c r="Q835" s="115"/>
      <c r="R835" s="115"/>
      <c r="S835" s="115"/>
      <c r="T835" s="115"/>
      <c r="U835" s="115"/>
      <c r="V835" s="115"/>
      <c r="W835" s="115"/>
      <c r="X835" s="115"/>
      <c r="Y835" s="115"/>
      <c r="Z835" s="115"/>
      <c r="AA835" s="115"/>
      <c r="AB835" s="115"/>
      <c r="AI835" s="263"/>
      <c r="AJ835" s="263"/>
      <c r="AK835" s="263"/>
      <c r="AN835" s="115"/>
      <c r="AO835" s="115"/>
    </row>
    <row r="836">
      <c r="A836" s="397"/>
      <c r="B836" s="385"/>
      <c r="C836" s="385"/>
      <c r="H836" s="115"/>
      <c r="I836" s="115"/>
      <c r="J836" s="115"/>
      <c r="K836" s="115"/>
      <c r="L836" s="115"/>
      <c r="M836" s="353"/>
      <c r="N836" s="115"/>
      <c r="O836" s="115"/>
      <c r="P836" s="115"/>
      <c r="Q836" s="115"/>
      <c r="R836" s="115"/>
      <c r="S836" s="115"/>
      <c r="T836" s="115"/>
      <c r="U836" s="115"/>
      <c r="V836" s="115"/>
      <c r="W836" s="115"/>
      <c r="X836" s="115"/>
      <c r="Y836" s="115"/>
      <c r="Z836" s="115"/>
      <c r="AA836" s="115"/>
      <c r="AB836" s="115"/>
      <c r="AI836" s="263"/>
      <c r="AJ836" s="263"/>
      <c r="AK836" s="263"/>
      <c r="AN836" s="115"/>
      <c r="AO836" s="115"/>
    </row>
    <row r="837">
      <c r="A837" s="397"/>
      <c r="B837" s="385"/>
      <c r="C837" s="385"/>
      <c r="H837" s="115"/>
      <c r="I837" s="115"/>
      <c r="J837" s="115"/>
      <c r="K837" s="115"/>
      <c r="L837" s="115"/>
      <c r="M837" s="353"/>
      <c r="N837" s="115"/>
      <c r="O837" s="115"/>
      <c r="P837" s="115"/>
      <c r="Q837" s="115"/>
      <c r="R837" s="115"/>
      <c r="S837" s="115"/>
      <c r="T837" s="115"/>
      <c r="U837" s="115"/>
      <c r="V837" s="115"/>
      <c r="W837" s="115"/>
      <c r="X837" s="115"/>
      <c r="Y837" s="115"/>
      <c r="Z837" s="115"/>
      <c r="AA837" s="115"/>
      <c r="AB837" s="115"/>
      <c r="AI837" s="263"/>
      <c r="AJ837" s="263"/>
      <c r="AK837" s="263"/>
      <c r="AN837" s="115"/>
      <c r="AO837" s="115"/>
    </row>
    <row r="838">
      <c r="A838" s="397"/>
      <c r="B838" s="385"/>
      <c r="C838" s="385"/>
      <c r="H838" s="115"/>
      <c r="I838" s="115"/>
      <c r="J838" s="115"/>
      <c r="K838" s="115"/>
      <c r="L838" s="115"/>
      <c r="M838" s="353"/>
      <c r="N838" s="115"/>
      <c r="O838" s="115"/>
      <c r="P838" s="115"/>
      <c r="Q838" s="115"/>
      <c r="R838" s="115"/>
      <c r="S838" s="115"/>
      <c r="T838" s="115"/>
      <c r="U838" s="115"/>
      <c r="V838" s="115"/>
      <c r="W838" s="115"/>
      <c r="X838" s="115"/>
      <c r="Y838" s="115"/>
      <c r="Z838" s="115"/>
      <c r="AA838" s="115"/>
      <c r="AB838" s="115"/>
      <c r="AI838" s="263"/>
      <c r="AJ838" s="263"/>
      <c r="AK838" s="263"/>
      <c r="AN838" s="115"/>
      <c r="AO838" s="115"/>
    </row>
    <row r="839">
      <c r="A839" s="397"/>
      <c r="B839" s="385"/>
      <c r="C839" s="385"/>
      <c r="H839" s="115"/>
      <c r="I839" s="115"/>
      <c r="J839" s="115"/>
      <c r="K839" s="115"/>
      <c r="L839" s="115"/>
      <c r="M839" s="353"/>
      <c r="N839" s="115"/>
      <c r="O839" s="115"/>
      <c r="P839" s="115"/>
      <c r="Q839" s="115"/>
      <c r="R839" s="115"/>
      <c r="S839" s="115"/>
      <c r="T839" s="115"/>
      <c r="U839" s="115"/>
      <c r="V839" s="115"/>
      <c r="W839" s="115"/>
      <c r="X839" s="115"/>
      <c r="Y839" s="115"/>
      <c r="Z839" s="115"/>
      <c r="AA839" s="115"/>
      <c r="AB839" s="115"/>
      <c r="AI839" s="263"/>
      <c r="AJ839" s="263"/>
      <c r="AK839" s="263"/>
      <c r="AN839" s="115"/>
      <c r="AO839" s="115"/>
    </row>
    <row r="840">
      <c r="A840" s="397"/>
      <c r="B840" s="385"/>
      <c r="C840" s="385"/>
      <c r="H840" s="115"/>
      <c r="I840" s="115"/>
      <c r="J840" s="115"/>
      <c r="K840" s="115"/>
      <c r="L840" s="115"/>
      <c r="M840" s="353"/>
      <c r="N840" s="115"/>
      <c r="O840" s="115"/>
      <c r="P840" s="115"/>
      <c r="Q840" s="115"/>
      <c r="R840" s="115"/>
      <c r="S840" s="115"/>
      <c r="T840" s="115"/>
      <c r="U840" s="115"/>
      <c r="V840" s="115"/>
      <c r="W840" s="115"/>
      <c r="X840" s="115"/>
      <c r="Y840" s="115"/>
      <c r="Z840" s="115"/>
      <c r="AA840" s="115"/>
      <c r="AB840" s="115"/>
      <c r="AI840" s="263"/>
      <c r="AJ840" s="263"/>
      <c r="AK840" s="263"/>
      <c r="AN840" s="115"/>
      <c r="AO840" s="115"/>
    </row>
    <row r="841">
      <c r="A841" s="397"/>
      <c r="B841" s="385"/>
      <c r="C841" s="385"/>
      <c r="H841" s="115"/>
      <c r="I841" s="115"/>
      <c r="J841" s="115"/>
      <c r="K841" s="115"/>
      <c r="L841" s="115"/>
      <c r="M841" s="353"/>
      <c r="N841" s="115"/>
      <c r="O841" s="115"/>
      <c r="P841" s="115"/>
      <c r="Q841" s="115"/>
      <c r="R841" s="115"/>
      <c r="S841" s="115"/>
      <c r="T841" s="115"/>
      <c r="U841" s="115"/>
      <c r="V841" s="115"/>
      <c r="W841" s="115"/>
      <c r="X841" s="115"/>
      <c r="Y841" s="115"/>
      <c r="Z841" s="115"/>
      <c r="AA841" s="115"/>
      <c r="AB841" s="115"/>
      <c r="AI841" s="263"/>
      <c r="AJ841" s="263"/>
      <c r="AK841" s="263"/>
      <c r="AN841" s="115"/>
      <c r="AO841" s="115"/>
    </row>
    <row r="842">
      <c r="A842" s="397"/>
      <c r="B842" s="385"/>
      <c r="C842" s="385"/>
      <c r="H842" s="115"/>
      <c r="I842" s="115"/>
      <c r="J842" s="115"/>
      <c r="K842" s="115"/>
      <c r="L842" s="115"/>
      <c r="M842" s="353"/>
      <c r="N842" s="115"/>
      <c r="O842" s="115"/>
      <c r="P842" s="115"/>
      <c r="Q842" s="115"/>
      <c r="R842" s="115"/>
      <c r="S842" s="115"/>
      <c r="T842" s="115"/>
      <c r="U842" s="115"/>
      <c r="V842" s="115"/>
      <c r="W842" s="115"/>
      <c r="X842" s="115"/>
      <c r="Y842" s="115"/>
      <c r="Z842" s="115"/>
      <c r="AA842" s="115"/>
      <c r="AB842" s="115"/>
      <c r="AI842" s="263"/>
      <c r="AJ842" s="263"/>
      <c r="AK842" s="263"/>
      <c r="AN842" s="115"/>
      <c r="AO842" s="115"/>
    </row>
    <row r="843">
      <c r="A843" s="397"/>
      <c r="B843" s="385"/>
      <c r="C843" s="385"/>
      <c r="H843" s="115"/>
      <c r="I843" s="115"/>
      <c r="J843" s="115"/>
      <c r="K843" s="115"/>
      <c r="L843" s="115"/>
      <c r="M843" s="353"/>
      <c r="N843" s="115"/>
      <c r="O843" s="115"/>
      <c r="P843" s="115"/>
      <c r="Q843" s="115"/>
      <c r="R843" s="115"/>
      <c r="S843" s="115"/>
      <c r="T843" s="115"/>
      <c r="U843" s="115"/>
      <c r="V843" s="115"/>
      <c r="W843" s="115"/>
      <c r="X843" s="115"/>
      <c r="Y843" s="115"/>
      <c r="Z843" s="115"/>
      <c r="AA843" s="115"/>
      <c r="AB843" s="115"/>
      <c r="AI843" s="263"/>
      <c r="AJ843" s="263"/>
      <c r="AK843" s="263"/>
      <c r="AN843" s="115"/>
      <c r="AO843" s="115"/>
    </row>
    <row r="844">
      <c r="A844" s="397"/>
      <c r="B844" s="385"/>
      <c r="C844" s="385"/>
      <c r="H844" s="115"/>
      <c r="I844" s="115"/>
      <c r="J844" s="115"/>
      <c r="K844" s="115"/>
      <c r="L844" s="115"/>
      <c r="M844" s="353"/>
      <c r="N844" s="115"/>
      <c r="O844" s="115"/>
      <c r="P844" s="115"/>
      <c r="Q844" s="115"/>
      <c r="R844" s="115"/>
      <c r="S844" s="115"/>
      <c r="T844" s="115"/>
      <c r="U844" s="115"/>
      <c r="V844" s="115"/>
      <c r="W844" s="115"/>
      <c r="X844" s="115"/>
      <c r="Y844" s="115"/>
      <c r="Z844" s="115"/>
      <c r="AA844" s="115"/>
      <c r="AB844" s="115"/>
      <c r="AI844" s="263"/>
      <c r="AJ844" s="263"/>
      <c r="AK844" s="263"/>
      <c r="AN844" s="115"/>
      <c r="AO844" s="115"/>
    </row>
    <row r="845">
      <c r="A845" s="397"/>
      <c r="B845" s="385"/>
      <c r="C845" s="385"/>
      <c r="H845" s="115"/>
      <c r="I845" s="115"/>
      <c r="J845" s="115"/>
      <c r="K845" s="115"/>
      <c r="L845" s="115"/>
      <c r="M845" s="353"/>
      <c r="N845" s="115"/>
      <c r="O845" s="115"/>
      <c r="P845" s="115"/>
      <c r="Q845" s="115"/>
      <c r="R845" s="115"/>
      <c r="S845" s="115"/>
      <c r="T845" s="115"/>
      <c r="U845" s="115"/>
      <c r="V845" s="115"/>
      <c r="W845" s="115"/>
      <c r="X845" s="115"/>
      <c r="Y845" s="115"/>
      <c r="Z845" s="115"/>
      <c r="AA845" s="115"/>
      <c r="AB845" s="115"/>
      <c r="AI845" s="263"/>
      <c r="AJ845" s="263"/>
      <c r="AK845" s="263"/>
      <c r="AN845" s="115"/>
      <c r="AO845" s="115"/>
    </row>
    <row r="846">
      <c r="A846" s="397"/>
      <c r="B846" s="385"/>
      <c r="C846" s="385"/>
      <c r="H846" s="115"/>
      <c r="I846" s="115"/>
      <c r="J846" s="115"/>
      <c r="K846" s="115"/>
      <c r="L846" s="115"/>
      <c r="M846" s="353"/>
      <c r="N846" s="115"/>
      <c r="O846" s="115"/>
      <c r="P846" s="115"/>
      <c r="Q846" s="115"/>
      <c r="R846" s="115"/>
      <c r="S846" s="115"/>
      <c r="T846" s="115"/>
      <c r="U846" s="115"/>
      <c r="V846" s="115"/>
      <c r="W846" s="115"/>
      <c r="X846" s="115"/>
      <c r="Y846" s="115"/>
      <c r="Z846" s="115"/>
      <c r="AA846" s="115"/>
      <c r="AB846" s="115"/>
      <c r="AI846" s="263"/>
      <c r="AJ846" s="263"/>
      <c r="AK846" s="263"/>
      <c r="AN846" s="115"/>
      <c r="AO846" s="115"/>
    </row>
    <row r="847">
      <c r="A847" s="397"/>
      <c r="B847" s="385"/>
      <c r="C847" s="385"/>
      <c r="H847" s="115"/>
      <c r="I847" s="115"/>
      <c r="J847" s="115"/>
      <c r="K847" s="115"/>
      <c r="L847" s="115"/>
      <c r="M847" s="353"/>
      <c r="N847" s="115"/>
      <c r="O847" s="115"/>
      <c r="P847" s="115"/>
      <c r="Q847" s="115"/>
      <c r="R847" s="115"/>
      <c r="S847" s="115"/>
      <c r="T847" s="115"/>
      <c r="U847" s="115"/>
      <c r="V847" s="115"/>
      <c r="W847" s="115"/>
      <c r="X847" s="115"/>
      <c r="Y847" s="115"/>
      <c r="Z847" s="115"/>
      <c r="AA847" s="115"/>
      <c r="AB847" s="115"/>
      <c r="AI847" s="263"/>
      <c r="AJ847" s="263"/>
      <c r="AK847" s="263"/>
      <c r="AN847" s="115"/>
      <c r="AO847" s="115"/>
    </row>
    <row r="848">
      <c r="A848" s="397"/>
      <c r="B848" s="385"/>
      <c r="C848" s="385"/>
      <c r="H848" s="115"/>
      <c r="I848" s="115"/>
      <c r="J848" s="115"/>
      <c r="K848" s="115"/>
      <c r="L848" s="115"/>
      <c r="M848" s="353"/>
      <c r="N848" s="115"/>
      <c r="O848" s="115"/>
      <c r="P848" s="115"/>
      <c r="Q848" s="115"/>
      <c r="R848" s="115"/>
      <c r="S848" s="115"/>
      <c r="T848" s="115"/>
      <c r="U848" s="115"/>
      <c r="V848" s="115"/>
      <c r="W848" s="115"/>
      <c r="X848" s="115"/>
      <c r="Y848" s="115"/>
      <c r="Z848" s="115"/>
      <c r="AA848" s="115"/>
      <c r="AB848" s="115"/>
      <c r="AI848" s="263"/>
      <c r="AJ848" s="263"/>
      <c r="AK848" s="263"/>
      <c r="AN848" s="115"/>
      <c r="AO848" s="115"/>
    </row>
    <row r="849">
      <c r="A849" s="397"/>
      <c r="B849" s="385"/>
      <c r="C849" s="385"/>
      <c r="H849" s="115"/>
      <c r="I849" s="115"/>
      <c r="J849" s="115"/>
      <c r="K849" s="115"/>
      <c r="L849" s="115"/>
      <c r="M849" s="353"/>
      <c r="N849" s="115"/>
      <c r="O849" s="115"/>
      <c r="P849" s="115"/>
      <c r="Q849" s="115"/>
      <c r="R849" s="115"/>
      <c r="S849" s="115"/>
      <c r="T849" s="115"/>
      <c r="U849" s="115"/>
      <c r="V849" s="115"/>
      <c r="W849" s="115"/>
      <c r="X849" s="115"/>
      <c r="Y849" s="115"/>
      <c r="Z849" s="115"/>
      <c r="AA849" s="115"/>
      <c r="AB849" s="115"/>
      <c r="AI849" s="263"/>
      <c r="AJ849" s="263"/>
      <c r="AK849" s="263"/>
      <c r="AN849" s="115"/>
      <c r="AO849" s="115"/>
    </row>
    <row r="850">
      <c r="A850" s="397"/>
      <c r="B850" s="385"/>
      <c r="C850" s="385"/>
      <c r="H850" s="115"/>
      <c r="I850" s="115"/>
      <c r="J850" s="115"/>
      <c r="K850" s="115"/>
      <c r="L850" s="115"/>
      <c r="M850" s="353"/>
      <c r="N850" s="115"/>
      <c r="O850" s="115"/>
      <c r="P850" s="115"/>
      <c r="Q850" s="115"/>
      <c r="R850" s="115"/>
      <c r="S850" s="115"/>
      <c r="T850" s="115"/>
      <c r="U850" s="115"/>
      <c r="V850" s="115"/>
      <c r="W850" s="115"/>
      <c r="X850" s="115"/>
      <c r="Y850" s="115"/>
      <c r="Z850" s="115"/>
      <c r="AA850" s="115"/>
      <c r="AB850" s="115"/>
      <c r="AI850" s="263"/>
      <c r="AJ850" s="263"/>
      <c r="AK850" s="263"/>
      <c r="AN850" s="115"/>
      <c r="AO850" s="115"/>
    </row>
    <row r="851">
      <c r="A851" s="397"/>
      <c r="B851" s="385"/>
      <c r="C851" s="385"/>
      <c r="H851" s="115"/>
      <c r="I851" s="115"/>
      <c r="J851" s="115"/>
      <c r="K851" s="115"/>
      <c r="L851" s="115"/>
      <c r="M851" s="353"/>
      <c r="N851" s="115"/>
      <c r="O851" s="115"/>
      <c r="P851" s="115"/>
      <c r="Q851" s="115"/>
      <c r="R851" s="115"/>
      <c r="S851" s="115"/>
      <c r="T851" s="115"/>
      <c r="U851" s="115"/>
      <c r="V851" s="115"/>
      <c r="W851" s="115"/>
      <c r="X851" s="115"/>
      <c r="Y851" s="115"/>
      <c r="Z851" s="115"/>
      <c r="AA851" s="115"/>
      <c r="AB851" s="115"/>
      <c r="AI851" s="263"/>
      <c r="AJ851" s="263"/>
      <c r="AK851" s="263"/>
      <c r="AN851" s="115"/>
      <c r="AO851" s="115"/>
    </row>
    <row r="852">
      <c r="A852" s="397"/>
      <c r="B852" s="385"/>
      <c r="C852" s="385"/>
      <c r="H852" s="115"/>
      <c r="I852" s="115"/>
      <c r="J852" s="115"/>
      <c r="K852" s="115"/>
      <c r="L852" s="115"/>
      <c r="M852" s="353"/>
      <c r="N852" s="115"/>
      <c r="O852" s="115"/>
      <c r="P852" s="115"/>
      <c r="Q852" s="115"/>
      <c r="R852" s="115"/>
      <c r="S852" s="115"/>
      <c r="T852" s="115"/>
      <c r="U852" s="115"/>
      <c r="V852" s="115"/>
      <c r="W852" s="115"/>
      <c r="X852" s="115"/>
      <c r="Y852" s="115"/>
      <c r="Z852" s="115"/>
      <c r="AA852" s="115"/>
      <c r="AB852" s="115"/>
      <c r="AI852" s="263"/>
      <c r="AJ852" s="263"/>
      <c r="AK852" s="263"/>
      <c r="AN852" s="115"/>
      <c r="AO852" s="115"/>
    </row>
    <row r="853">
      <c r="A853" s="397"/>
      <c r="B853" s="385"/>
      <c r="C853" s="385"/>
      <c r="H853" s="115"/>
      <c r="I853" s="115"/>
      <c r="J853" s="115"/>
      <c r="K853" s="115"/>
      <c r="L853" s="115"/>
      <c r="M853" s="353"/>
      <c r="N853" s="115"/>
      <c r="O853" s="115"/>
      <c r="P853" s="115"/>
      <c r="Q853" s="115"/>
      <c r="R853" s="115"/>
      <c r="S853" s="115"/>
      <c r="T853" s="115"/>
      <c r="U853" s="115"/>
      <c r="V853" s="115"/>
      <c r="W853" s="115"/>
      <c r="X853" s="115"/>
      <c r="Y853" s="115"/>
      <c r="Z853" s="115"/>
      <c r="AA853" s="115"/>
      <c r="AB853" s="115"/>
      <c r="AI853" s="263"/>
      <c r="AJ853" s="263"/>
      <c r="AK853" s="263"/>
      <c r="AN853" s="115"/>
      <c r="AO853" s="115"/>
    </row>
    <row r="854">
      <c r="A854" s="397"/>
      <c r="B854" s="385"/>
      <c r="C854" s="385"/>
      <c r="H854" s="115"/>
      <c r="I854" s="115"/>
      <c r="J854" s="115"/>
      <c r="K854" s="115"/>
      <c r="L854" s="115"/>
      <c r="M854" s="353"/>
      <c r="N854" s="115"/>
      <c r="O854" s="115"/>
      <c r="P854" s="115"/>
      <c r="Q854" s="115"/>
      <c r="R854" s="115"/>
      <c r="S854" s="115"/>
      <c r="T854" s="115"/>
      <c r="U854" s="115"/>
      <c r="V854" s="115"/>
      <c r="W854" s="115"/>
      <c r="X854" s="115"/>
      <c r="Y854" s="115"/>
      <c r="Z854" s="115"/>
      <c r="AA854" s="115"/>
      <c r="AB854" s="115"/>
      <c r="AI854" s="263"/>
      <c r="AJ854" s="263"/>
      <c r="AK854" s="263"/>
      <c r="AN854" s="115"/>
      <c r="AO854" s="115"/>
    </row>
    <row r="855">
      <c r="A855" s="397"/>
      <c r="B855" s="385"/>
      <c r="C855" s="385"/>
      <c r="H855" s="115"/>
      <c r="I855" s="115"/>
      <c r="J855" s="115"/>
      <c r="K855" s="115"/>
      <c r="L855" s="115"/>
      <c r="M855" s="353"/>
      <c r="N855" s="115"/>
      <c r="O855" s="115"/>
      <c r="P855" s="115"/>
      <c r="Q855" s="115"/>
      <c r="R855" s="115"/>
      <c r="S855" s="115"/>
      <c r="T855" s="115"/>
      <c r="U855" s="115"/>
      <c r="V855" s="115"/>
      <c r="W855" s="115"/>
      <c r="X855" s="115"/>
      <c r="Y855" s="115"/>
      <c r="Z855" s="115"/>
      <c r="AA855" s="115"/>
      <c r="AB855" s="115"/>
      <c r="AI855" s="263"/>
      <c r="AJ855" s="263"/>
      <c r="AK855" s="263"/>
      <c r="AN855" s="115"/>
      <c r="AO855" s="115"/>
    </row>
    <row r="856">
      <c r="A856" s="397"/>
      <c r="B856" s="385"/>
      <c r="C856" s="385"/>
      <c r="H856" s="115"/>
      <c r="I856" s="115"/>
      <c r="J856" s="115"/>
      <c r="K856" s="115"/>
      <c r="L856" s="115"/>
      <c r="M856" s="353"/>
      <c r="N856" s="115"/>
      <c r="O856" s="115"/>
      <c r="P856" s="115"/>
      <c r="Q856" s="115"/>
      <c r="R856" s="115"/>
      <c r="S856" s="115"/>
      <c r="T856" s="115"/>
      <c r="U856" s="115"/>
      <c r="V856" s="115"/>
      <c r="W856" s="115"/>
      <c r="X856" s="115"/>
      <c r="Y856" s="115"/>
      <c r="Z856" s="115"/>
      <c r="AA856" s="115"/>
      <c r="AB856" s="115"/>
      <c r="AI856" s="263"/>
      <c r="AJ856" s="263"/>
      <c r="AK856" s="263"/>
      <c r="AN856" s="115"/>
      <c r="AO856" s="115"/>
    </row>
    <row r="857">
      <c r="A857" s="397"/>
      <c r="B857" s="385"/>
      <c r="C857" s="385"/>
      <c r="H857" s="115"/>
      <c r="I857" s="115"/>
      <c r="J857" s="115"/>
      <c r="K857" s="115"/>
      <c r="L857" s="115"/>
      <c r="M857" s="353"/>
      <c r="N857" s="115"/>
      <c r="O857" s="115"/>
      <c r="P857" s="115"/>
      <c r="Q857" s="115"/>
      <c r="R857" s="115"/>
      <c r="S857" s="115"/>
      <c r="T857" s="115"/>
      <c r="U857" s="115"/>
      <c r="V857" s="115"/>
      <c r="W857" s="115"/>
      <c r="X857" s="115"/>
      <c r="Y857" s="115"/>
      <c r="Z857" s="115"/>
      <c r="AA857" s="115"/>
      <c r="AB857" s="115"/>
      <c r="AI857" s="263"/>
      <c r="AJ857" s="263"/>
      <c r="AK857" s="263"/>
      <c r="AN857" s="115"/>
      <c r="AO857" s="115"/>
    </row>
    <row r="858">
      <c r="A858" s="397"/>
      <c r="B858" s="385"/>
      <c r="C858" s="385"/>
      <c r="H858" s="115"/>
      <c r="I858" s="115"/>
      <c r="J858" s="115"/>
      <c r="K858" s="115"/>
      <c r="L858" s="115"/>
      <c r="M858" s="353"/>
      <c r="N858" s="115"/>
      <c r="O858" s="115"/>
      <c r="P858" s="115"/>
      <c r="Q858" s="115"/>
      <c r="R858" s="115"/>
      <c r="S858" s="115"/>
      <c r="T858" s="115"/>
      <c r="U858" s="115"/>
      <c r="V858" s="115"/>
      <c r="W858" s="115"/>
      <c r="X858" s="115"/>
      <c r="Y858" s="115"/>
      <c r="Z858" s="115"/>
      <c r="AA858" s="115"/>
      <c r="AB858" s="115"/>
      <c r="AI858" s="263"/>
      <c r="AJ858" s="263"/>
      <c r="AK858" s="263"/>
      <c r="AN858" s="115"/>
      <c r="AO858" s="115"/>
    </row>
    <row r="859">
      <c r="A859" s="397"/>
      <c r="B859" s="385"/>
      <c r="C859" s="385"/>
      <c r="H859" s="115"/>
      <c r="I859" s="115"/>
      <c r="J859" s="115"/>
      <c r="K859" s="115"/>
      <c r="L859" s="115"/>
      <c r="M859" s="353"/>
      <c r="N859" s="115"/>
      <c r="O859" s="115"/>
      <c r="P859" s="115"/>
      <c r="Q859" s="115"/>
      <c r="R859" s="115"/>
      <c r="S859" s="115"/>
      <c r="T859" s="115"/>
      <c r="U859" s="115"/>
      <c r="V859" s="115"/>
      <c r="W859" s="115"/>
      <c r="X859" s="115"/>
      <c r="Y859" s="115"/>
      <c r="Z859" s="115"/>
      <c r="AA859" s="115"/>
      <c r="AB859" s="115"/>
      <c r="AI859" s="263"/>
      <c r="AJ859" s="263"/>
      <c r="AK859" s="263"/>
      <c r="AN859" s="115"/>
      <c r="AO859" s="115"/>
    </row>
    <row r="860">
      <c r="A860" s="397"/>
      <c r="B860" s="385"/>
      <c r="C860" s="385"/>
      <c r="H860" s="115"/>
      <c r="I860" s="115"/>
      <c r="J860" s="115"/>
      <c r="K860" s="115"/>
      <c r="L860" s="115"/>
      <c r="M860" s="353"/>
      <c r="N860" s="115"/>
      <c r="O860" s="115"/>
      <c r="P860" s="115"/>
      <c r="Q860" s="115"/>
      <c r="R860" s="115"/>
      <c r="S860" s="115"/>
      <c r="T860" s="115"/>
      <c r="U860" s="115"/>
      <c r="V860" s="115"/>
      <c r="W860" s="115"/>
      <c r="X860" s="115"/>
      <c r="Y860" s="115"/>
      <c r="Z860" s="115"/>
      <c r="AA860" s="115"/>
      <c r="AB860" s="115"/>
      <c r="AI860" s="263"/>
      <c r="AJ860" s="263"/>
      <c r="AK860" s="263"/>
      <c r="AN860" s="115"/>
      <c r="AO860" s="115"/>
    </row>
    <row r="861">
      <c r="A861" s="397"/>
      <c r="B861" s="385"/>
      <c r="C861" s="385"/>
      <c r="H861" s="115"/>
      <c r="I861" s="115"/>
      <c r="J861" s="115"/>
      <c r="K861" s="115"/>
      <c r="L861" s="115"/>
      <c r="M861" s="353"/>
      <c r="N861" s="115"/>
      <c r="O861" s="115"/>
      <c r="P861" s="115"/>
      <c r="Q861" s="115"/>
      <c r="R861" s="115"/>
      <c r="S861" s="115"/>
      <c r="T861" s="115"/>
      <c r="U861" s="115"/>
      <c r="V861" s="115"/>
      <c r="W861" s="115"/>
      <c r="X861" s="115"/>
      <c r="Y861" s="115"/>
      <c r="Z861" s="115"/>
      <c r="AA861" s="115"/>
      <c r="AB861" s="115"/>
      <c r="AI861" s="263"/>
      <c r="AJ861" s="263"/>
      <c r="AK861" s="263"/>
      <c r="AN861" s="115"/>
      <c r="AO861" s="115"/>
    </row>
    <row r="862">
      <c r="A862" s="397"/>
      <c r="B862" s="385"/>
      <c r="C862" s="385"/>
      <c r="H862" s="115"/>
      <c r="I862" s="115"/>
      <c r="J862" s="115"/>
      <c r="K862" s="115"/>
      <c r="L862" s="115"/>
      <c r="M862" s="353"/>
      <c r="N862" s="115"/>
      <c r="O862" s="115"/>
      <c r="P862" s="115"/>
      <c r="Q862" s="115"/>
      <c r="R862" s="115"/>
      <c r="S862" s="115"/>
      <c r="T862" s="115"/>
      <c r="U862" s="115"/>
      <c r="V862" s="115"/>
      <c r="W862" s="115"/>
      <c r="X862" s="115"/>
      <c r="Y862" s="115"/>
      <c r="Z862" s="115"/>
      <c r="AA862" s="115"/>
      <c r="AB862" s="115"/>
      <c r="AI862" s="263"/>
      <c r="AJ862" s="263"/>
      <c r="AK862" s="263"/>
      <c r="AN862" s="115"/>
      <c r="AO862" s="115"/>
    </row>
    <row r="863">
      <c r="A863" s="397"/>
      <c r="B863" s="385"/>
      <c r="C863" s="385"/>
      <c r="H863" s="115"/>
      <c r="I863" s="115"/>
      <c r="J863" s="115"/>
      <c r="K863" s="115"/>
      <c r="L863" s="115"/>
      <c r="M863" s="353"/>
      <c r="N863" s="115"/>
      <c r="O863" s="115"/>
      <c r="P863" s="115"/>
      <c r="Q863" s="115"/>
      <c r="R863" s="115"/>
      <c r="S863" s="115"/>
      <c r="T863" s="115"/>
      <c r="U863" s="115"/>
      <c r="V863" s="115"/>
      <c r="W863" s="115"/>
      <c r="X863" s="115"/>
      <c r="Y863" s="115"/>
      <c r="Z863" s="115"/>
      <c r="AA863" s="115"/>
      <c r="AB863" s="115"/>
      <c r="AI863" s="263"/>
      <c r="AJ863" s="263"/>
      <c r="AK863" s="263"/>
      <c r="AN863" s="115"/>
      <c r="AO863" s="115"/>
    </row>
    <row r="864">
      <c r="A864" s="397"/>
      <c r="B864" s="385"/>
      <c r="C864" s="385"/>
      <c r="H864" s="115"/>
      <c r="I864" s="115"/>
      <c r="J864" s="115"/>
      <c r="K864" s="115"/>
      <c r="L864" s="115"/>
      <c r="M864" s="353"/>
      <c r="N864" s="115"/>
      <c r="O864" s="115"/>
      <c r="P864" s="115"/>
      <c r="Q864" s="115"/>
      <c r="R864" s="115"/>
      <c r="S864" s="115"/>
      <c r="T864" s="115"/>
      <c r="U864" s="115"/>
      <c r="V864" s="115"/>
      <c r="W864" s="115"/>
      <c r="X864" s="115"/>
      <c r="Y864" s="115"/>
      <c r="Z864" s="115"/>
      <c r="AA864" s="115"/>
      <c r="AB864" s="115"/>
      <c r="AI864" s="263"/>
      <c r="AJ864" s="263"/>
      <c r="AK864" s="263"/>
      <c r="AN864" s="115"/>
      <c r="AO864" s="115"/>
    </row>
    <row r="865">
      <c r="A865" s="397"/>
      <c r="B865" s="385"/>
      <c r="C865" s="385"/>
      <c r="H865" s="115"/>
      <c r="I865" s="115"/>
      <c r="J865" s="115"/>
      <c r="K865" s="115"/>
      <c r="L865" s="115"/>
      <c r="M865" s="353"/>
      <c r="N865" s="115"/>
      <c r="O865" s="115"/>
      <c r="P865" s="115"/>
      <c r="Q865" s="115"/>
      <c r="R865" s="115"/>
      <c r="S865" s="115"/>
      <c r="T865" s="115"/>
      <c r="U865" s="115"/>
      <c r="V865" s="115"/>
      <c r="W865" s="115"/>
      <c r="X865" s="115"/>
      <c r="Y865" s="115"/>
      <c r="Z865" s="115"/>
      <c r="AA865" s="115"/>
      <c r="AB865" s="115"/>
      <c r="AI865" s="263"/>
      <c r="AJ865" s="263"/>
      <c r="AK865" s="263"/>
      <c r="AN865" s="115"/>
      <c r="AO865" s="115"/>
    </row>
    <row r="866">
      <c r="A866" s="397"/>
      <c r="B866" s="385"/>
      <c r="C866" s="385"/>
      <c r="H866" s="115"/>
      <c r="I866" s="115"/>
      <c r="J866" s="115"/>
      <c r="K866" s="115"/>
      <c r="L866" s="115"/>
      <c r="M866" s="353"/>
      <c r="N866" s="115"/>
      <c r="O866" s="115"/>
      <c r="P866" s="115"/>
      <c r="Q866" s="115"/>
      <c r="R866" s="115"/>
      <c r="S866" s="115"/>
      <c r="T866" s="115"/>
      <c r="U866" s="115"/>
      <c r="V866" s="115"/>
      <c r="W866" s="115"/>
      <c r="X866" s="115"/>
      <c r="Y866" s="115"/>
      <c r="Z866" s="115"/>
      <c r="AA866" s="115"/>
      <c r="AB866" s="115"/>
      <c r="AI866" s="263"/>
      <c r="AJ866" s="263"/>
      <c r="AK866" s="263"/>
      <c r="AN866" s="115"/>
      <c r="AO866" s="115"/>
    </row>
    <row r="867">
      <c r="A867" s="397"/>
      <c r="B867" s="385"/>
      <c r="C867" s="385"/>
      <c r="H867" s="115"/>
      <c r="I867" s="115"/>
      <c r="J867" s="115"/>
      <c r="K867" s="115"/>
      <c r="L867" s="115"/>
      <c r="M867" s="353"/>
      <c r="N867" s="115"/>
      <c r="O867" s="115"/>
      <c r="P867" s="115"/>
      <c r="Q867" s="115"/>
      <c r="R867" s="115"/>
      <c r="S867" s="115"/>
      <c r="T867" s="115"/>
      <c r="U867" s="115"/>
      <c r="V867" s="115"/>
      <c r="W867" s="115"/>
      <c r="X867" s="115"/>
      <c r="Y867" s="115"/>
      <c r="Z867" s="115"/>
      <c r="AA867" s="115"/>
      <c r="AB867" s="115"/>
      <c r="AI867" s="263"/>
      <c r="AJ867" s="263"/>
      <c r="AK867" s="263"/>
      <c r="AN867" s="115"/>
      <c r="AO867" s="115"/>
    </row>
    <row r="868">
      <c r="A868" s="397"/>
      <c r="B868" s="385"/>
      <c r="C868" s="385"/>
      <c r="H868" s="115"/>
      <c r="I868" s="115"/>
      <c r="J868" s="115"/>
      <c r="K868" s="115"/>
      <c r="L868" s="115"/>
      <c r="M868" s="353"/>
      <c r="N868" s="115"/>
      <c r="O868" s="115"/>
      <c r="P868" s="115"/>
      <c r="Q868" s="115"/>
      <c r="R868" s="115"/>
      <c r="S868" s="115"/>
      <c r="T868" s="115"/>
      <c r="U868" s="115"/>
      <c r="V868" s="115"/>
      <c r="W868" s="115"/>
      <c r="X868" s="115"/>
      <c r="Y868" s="115"/>
      <c r="Z868" s="115"/>
      <c r="AA868" s="115"/>
      <c r="AB868" s="115"/>
      <c r="AI868" s="263"/>
      <c r="AJ868" s="263"/>
      <c r="AK868" s="263"/>
      <c r="AN868" s="115"/>
      <c r="AO868" s="115"/>
    </row>
    <row r="869">
      <c r="A869" s="397"/>
      <c r="B869" s="385"/>
      <c r="C869" s="385"/>
      <c r="H869" s="115"/>
      <c r="I869" s="115"/>
      <c r="J869" s="115"/>
      <c r="K869" s="115"/>
      <c r="L869" s="115"/>
      <c r="M869" s="353"/>
      <c r="N869" s="115"/>
      <c r="O869" s="115"/>
      <c r="P869" s="115"/>
      <c r="Q869" s="115"/>
      <c r="R869" s="115"/>
      <c r="S869" s="115"/>
      <c r="T869" s="115"/>
      <c r="U869" s="115"/>
      <c r="V869" s="115"/>
      <c r="W869" s="115"/>
      <c r="X869" s="115"/>
      <c r="Y869" s="115"/>
      <c r="Z869" s="115"/>
      <c r="AA869" s="115"/>
      <c r="AB869" s="115"/>
      <c r="AI869" s="263"/>
      <c r="AJ869" s="263"/>
      <c r="AK869" s="263"/>
      <c r="AN869" s="115"/>
      <c r="AO869" s="115"/>
    </row>
    <row r="870">
      <c r="A870" s="397"/>
      <c r="B870" s="385"/>
      <c r="C870" s="385"/>
      <c r="H870" s="115"/>
      <c r="I870" s="115"/>
      <c r="J870" s="115"/>
      <c r="K870" s="115"/>
      <c r="L870" s="115"/>
      <c r="M870" s="353"/>
      <c r="N870" s="115"/>
      <c r="O870" s="115"/>
      <c r="P870" s="115"/>
      <c r="Q870" s="115"/>
      <c r="R870" s="115"/>
      <c r="S870" s="115"/>
      <c r="T870" s="115"/>
      <c r="U870" s="115"/>
      <c r="V870" s="115"/>
      <c r="W870" s="115"/>
      <c r="X870" s="115"/>
      <c r="Y870" s="115"/>
      <c r="Z870" s="115"/>
      <c r="AA870" s="115"/>
      <c r="AB870" s="115"/>
      <c r="AI870" s="263"/>
      <c r="AJ870" s="263"/>
      <c r="AK870" s="263"/>
      <c r="AN870" s="115"/>
      <c r="AO870" s="115"/>
    </row>
    <row r="871">
      <c r="A871" s="397"/>
      <c r="B871" s="385"/>
      <c r="C871" s="385"/>
      <c r="H871" s="115"/>
      <c r="I871" s="115"/>
      <c r="J871" s="115"/>
      <c r="K871" s="115"/>
      <c r="L871" s="115"/>
      <c r="M871" s="353"/>
      <c r="N871" s="115"/>
      <c r="O871" s="115"/>
      <c r="P871" s="115"/>
      <c r="Q871" s="115"/>
      <c r="R871" s="115"/>
      <c r="S871" s="115"/>
      <c r="T871" s="115"/>
      <c r="U871" s="115"/>
      <c r="V871" s="115"/>
      <c r="W871" s="115"/>
      <c r="X871" s="115"/>
      <c r="Y871" s="115"/>
      <c r="Z871" s="115"/>
      <c r="AA871" s="115"/>
      <c r="AB871" s="115"/>
      <c r="AI871" s="263"/>
      <c r="AJ871" s="263"/>
      <c r="AK871" s="263"/>
      <c r="AN871" s="115"/>
      <c r="AO871" s="115"/>
    </row>
    <row r="872">
      <c r="A872" s="397"/>
      <c r="B872" s="385"/>
      <c r="C872" s="385"/>
      <c r="H872" s="115"/>
      <c r="I872" s="115"/>
      <c r="J872" s="115"/>
      <c r="K872" s="115"/>
      <c r="L872" s="115"/>
      <c r="M872" s="353"/>
      <c r="N872" s="115"/>
      <c r="O872" s="115"/>
      <c r="P872" s="115"/>
      <c r="Q872" s="115"/>
      <c r="R872" s="115"/>
      <c r="S872" s="115"/>
      <c r="T872" s="115"/>
      <c r="U872" s="115"/>
      <c r="V872" s="115"/>
      <c r="W872" s="115"/>
      <c r="X872" s="115"/>
      <c r="Y872" s="115"/>
      <c r="Z872" s="115"/>
      <c r="AA872" s="115"/>
      <c r="AB872" s="115"/>
      <c r="AI872" s="263"/>
      <c r="AJ872" s="263"/>
      <c r="AK872" s="263"/>
      <c r="AN872" s="115"/>
      <c r="AO872" s="115"/>
    </row>
    <row r="873">
      <c r="A873" s="397"/>
      <c r="B873" s="385"/>
      <c r="C873" s="385"/>
      <c r="H873" s="115"/>
      <c r="I873" s="115"/>
      <c r="J873" s="115"/>
      <c r="K873" s="115"/>
      <c r="L873" s="115"/>
      <c r="M873" s="353"/>
      <c r="N873" s="115"/>
      <c r="O873" s="115"/>
      <c r="P873" s="115"/>
      <c r="Q873" s="115"/>
      <c r="R873" s="115"/>
      <c r="S873" s="115"/>
      <c r="T873" s="115"/>
      <c r="U873" s="115"/>
      <c r="V873" s="115"/>
      <c r="W873" s="115"/>
      <c r="X873" s="115"/>
      <c r="Y873" s="115"/>
      <c r="Z873" s="115"/>
      <c r="AA873" s="115"/>
      <c r="AB873" s="115"/>
      <c r="AI873" s="263"/>
      <c r="AJ873" s="263"/>
      <c r="AK873" s="263"/>
      <c r="AN873" s="115"/>
      <c r="AO873" s="115"/>
    </row>
    <row r="874">
      <c r="A874" s="397"/>
      <c r="B874" s="385"/>
      <c r="C874" s="385"/>
      <c r="H874" s="115"/>
      <c r="I874" s="115"/>
      <c r="J874" s="115"/>
      <c r="K874" s="115"/>
      <c r="L874" s="115"/>
      <c r="M874" s="353"/>
      <c r="N874" s="115"/>
      <c r="O874" s="115"/>
      <c r="P874" s="115"/>
      <c r="Q874" s="115"/>
      <c r="R874" s="115"/>
      <c r="S874" s="115"/>
      <c r="T874" s="115"/>
      <c r="U874" s="115"/>
      <c r="V874" s="115"/>
      <c r="W874" s="115"/>
      <c r="X874" s="115"/>
      <c r="Y874" s="115"/>
      <c r="Z874" s="115"/>
      <c r="AA874" s="115"/>
      <c r="AB874" s="115"/>
      <c r="AI874" s="263"/>
      <c r="AJ874" s="263"/>
      <c r="AK874" s="263"/>
      <c r="AN874" s="115"/>
      <c r="AO874" s="115"/>
    </row>
    <row r="875">
      <c r="A875" s="397"/>
      <c r="B875" s="385"/>
      <c r="C875" s="385"/>
      <c r="H875" s="115"/>
      <c r="I875" s="115"/>
      <c r="J875" s="115"/>
      <c r="K875" s="115"/>
      <c r="L875" s="115"/>
      <c r="M875" s="353"/>
      <c r="N875" s="115"/>
      <c r="O875" s="115"/>
      <c r="P875" s="115"/>
      <c r="Q875" s="115"/>
      <c r="R875" s="115"/>
      <c r="S875" s="115"/>
      <c r="T875" s="115"/>
      <c r="U875" s="115"/>
      <c r="V875" s="115"/>
      <c r="W875" s="115"/>
      <c r="X875" s="115"/>
      <c r="Y875" s="115"/>
      <c r="Z875" s="115"/>
      <c r="AA875" s="115"/>
      <c r="AB875" s="115"/>
      <c r="AI875" s="263"/>
      <c r="AJ875" s="263"/>
      <c r="AK875" s="263"/>
      <c r="AN875" s="115"/>
      <c r="AO875" s="115"/>
    </row>
    <row r="876">
      <c r="A876" s="397"/>
      <c r="B876" s="385"/>
      <c r="C876" s="385"/>
      <c r="H876" s="115"/>
      <c r="I876" s="115"/>
      <c r="J876" s="115"/>
      <c r="K876" s="115"/>
      <c r="L876" s="115"/>
      <c r="M876" s="353"/>
      <c r="N876" s="115"/>
      <c r="O876" s="115"/>
      <c r="P876" s="115"/>
      <c r="Q876" s="115"/>
      <c r="R876" s="115"/>
      <c r="S876" s="115"/>
      <c r="T876" s="115"/>
      <c r="U876" s="115"/>
      <c r="V876" s="115"/>
      <c r="W876" s="115"/>
      <c r="X876" s="115"/>
      <c r="Y876" s="115"/>
      <c r="Z876" s="115"/>
      <c r="AA876" s="115"/>
      <c r="AB876" s="115"/>
      <c r="AI876" s="263"/>
      <c r="AJ876" s="263"/>
      <c r="AK876" s="263"/>
      <c r="AN876" s="115"/>
      <c r="AO876" s="115"/>
    </row>
    <row r="877">
      <c r="A877" s="397"/>
      <c r="B877" s="385"/>
      <c r="C877" s="385"/>
      <c r="H877" s="115"/>
      <c r="I877" s="115"/>
      <c r="J877" s="115"/>
      <c r="K877" s="115"/>
      <c r="L877" s="115"/>
      <c r="M877" s="353"/>
      <c r="N877" s="115"/>
      <c r="O877" s="115"/>
      <c r="P877" s="115"/>
      <c r="Q877" s="115"/>
      <c r="R877" s="115"/>
      <c r="S877" s="115"/>
      <c r="T877" s="115"/>
      <c r="U877" s="115"/>
      <c r="V877" s="115"/>
      <c r="W877" s="115"/>
      <c r="X877" s="115"/>
      <c r="Y877" s="115"/>
      <c r="Z877" s="115"/>
      <c r="AA877" s="115"/>
      <c r="AB877" s="115"/>
      <c r="AI877" s="263"/>
      <c r="AJ877" s="263"/>
      <c r="AK877" s="263"/>
      <c r="AN877" s="115"/>
      <c r="AO877" s="115"/>
    </row>
    <row r="878">
      <c r="A878" s="397"/>
      <c r="B878" s="385"/>
      <c r="C878" s="385"/>
      <c r="H878" s="115"/>
      <c r="I878" s="115"/>
      <c r="J878" s="115"/>
      <c r="K878" s="115"/>
      <c r="L878" s="115"/>
      <c r="M878" s="353"/>
      <c r="N878" s="115"/>
      <c r="O878" s="115"/>
      <c r="P878" s="115"/>
      <c r="Q878" s="115"/>
      <c r="R878" s="115"/>
      <c r="S878" s="115"/>
      <c r="T878" s="115"/>
      <c r="U878" s="115"/>
      <c r="V878" s="115"/>
      <c r="W878" s="115"/>
      <c r="X878" s="115"/>
      <c r="Y878" s="115"/>
      <c r="Z878" s="115"/>
      <c r="AA878" s="115"/>
      <c r="AB878" s="115"/>
      <c r="AI878" s="263"/>
      <c r="AJ878" s="263"/>
      <c r="AK878" s="263"/>
      <c r="AN878" s="115"/>
      <c r="AO878" s="115"/>
    </row>
    <row r="879">
      <c r="A879" s="397"/>
      <c r="B879" s="385"/>
      <c r="C879" s="385"/>
      <c r="H879" s="115"/>
      <c r="I879" s="115"/>
      <c r="J879" s="115"/>
      <c r="K879" s="115"/>
      <c r="L879" s="115"/>
      <c r="M879" s="353"/>
      <c r="N879" s="115"/>
      <c r="O879" s="115"/>
      <c r="P879" s="115"/>
      <c r="Q879" s="115"/>
      <c r="R879" s="115"/>
      <c r="S879" s="115"/>
      <c r="T879" s="115"/>
      <c r="U879" s="115"/>
      <c r="V879" s="115"/>
      <c r="W879" s="115"/>
      <c r="X879" s="115"/>
      <c r="Y879" s="115"/>
      <c r="Z879" s="115"/>
      <c r="AA879" s="115"/>
      <c r="AB879" s="115"/>
      <c r="AI879" s="263"/>
      <c r="AJ879" s="263"/>
      <c r="AK879" s="263"/>
      <c r="AN879" s="115"/>
      <c r="AO879" s="115"/>
    </row>
    <row r="880">
      <c r="A880" s="397"/>
      <c r="B880" s="385"/>
      <c r="C880" s="385"/>
      <c r="H880" s="115"/>
      <c r="I880" s="115"/>
      <c r="J880" s="115"/>
      <c r="K880" s="115"/>
      <c r="L880" s="115"/>
      <c r="M880" s="353"/>
      <c r="N880" s="115"/>
      <c r="O880" s="115"/>
      <c r="P880" s="115"/>
      <c r="Q880" s="115"/>
      <c r="R880" s="115"/>
      <c r="S880" s="115"/>
      <c r="T880" s="115"/>
      <c r="U880" s="115"/>
      <c r="V880" s="115"/>
      <c r="W880" s="115"/>
      <c r="X880" s="115"/>
      <c r="Y880" s="115"/>
      <c r="Z880" s="115"/>
      <c r="AA880" s="115"/>
      <c r="AB880" s="115"/>
      <c r="AI880" s="263"/>
      <c r="AJ880" s="263"/>
      <c r="AK880" s="263"/>
      <c r="AN880" s="115"/>
      <c r="AO880" s="115"/>
    </row>
    <row r="881">
      <c r="A881" s="397"/>
      <c r="B881" s="385"/>
      <c r="C881" s="385"/>
      <c r="H881" s="115"/>
      <c r="I881" s="115"/>
      <c r="J881" s="115"/>
      <c r="K881" s="115"/>
      <c r="L881" s="115"/>
      <c r="M881" s="353"/>
      <c r="N881" s="115"/>
      <c r="O881" s="115"/>
      <c r="P881" s="115"/>
      <c r="Q881" s="115"/>
      <c r="R881" s="115"/>
      <c r="S881" s="115"/>
      <c r="T881" s="115"/>
      <c r="U881" s="115"/>
      <c r="V881" s="115"/>
      <c r="W881" s="115"/>
      <c r="X881" s="115"/>
      <c r="Y881" s="115"/>
      <c r="Z881" s="115"/>
      <c r="AA881" s="115"/>
      <c r="AB881" s="115"/>
      <c r="AI881" s="263"/>
      <c r="AJ881" s="263"/>
      <c r="AK881" s="263"/>
      <c r="AN881" s="115"/>
      <c r="AO881" s="115"/>
    </row>
    <row r="882">
      <c r="A882" s="397"/>
      <c r="B882" s="385"/>
      <c r="C882" s="385"/>
      <c r="H882" s="115"/>
      <c r="I882" s="115"/>
      <c r="J882" s="115"/>
      <c r="K882" s="115"/>
      <c r="L882" s="115"/>
      <c r="M882" s="353"/>
      <c r="N882" s="115"/>
      <c r="O882" s="115"/>
      <c r="P882" s="115"/>
      <c r="Q882" s="115"/>
      <c r="R882" s="115"/>
      <c r="S882" s="115"/>
      <c r="T882" s="115"/>
      <c r="U882" s="115"/>
      <c r="V882" s="115"/>
      <c r="W882" s="115"/>
      <c r="X882" s="115"/>
      <c r="Y882" s="115"/>
      <c r="Z882" s="115"/>
      <c r="AA882" s="115"/>
      <c r="AB882" s="115"/>
      <c r="AI882" s="263"/>
      <c r="AJ882" s="263"/>
      <c r="AK882" s="263"/>
      <c r="AN882" s="115"/>
      <c r="AO882" s="115"/>
    </row>
    <row r="883">
      <c r="A883" s="397"/>
      <c r="B883" s="385"/>
      <c r="C883" s="385"/>
      <c r="H883" s="115"/>
      <c r="I883" s="115"/>
      <c r="J883" s="115"/>
      <c r="K883" s="115"/>
      <c r="L883" s="115"/>
      <c r="M883" s="353"/>
      <c r="N883" s="115"/>
      <c r="O883" s="115"/>
      <c r="P883" s="115"/>
      <c r="Q883" s="115"/>
      <c r="R883" s="115"/>
      <c r="S883" s="115"/>
      <c r="T883" s="115"/>
      <c r="U883" s="115"/>
      <c r="V883" s="115"/>
      <c r="W883" s="115"/>
      <c r="X883" s="115"/>
      <c r="Y883" s="115"/>
      <c r="Z883" s="115"/>
      <c r="AA883" s="115"/>
      <c r="AB883" s="115"/>
      <c r="AI883" s="263"/>
      <c r="AJ883" s="263"/>
      <c r="AK883" s="263"/>
      <c r="AN883" s="115"/>
      <c r="AO883" s="115"/>
    </row>
    <row r="884">
      <c r="A884" s="397"/>
      <c r="B884" s="385"/>
      <c r="C884" s="385"/>
      <c r="H884" s="115"/>
      <c r="I884" s="115"/>
      <c r="J884" s="115"/>
      <c r="K884" s="115"/>
      <c r="L884" s="115"/>
      <c r="M884" s="353"/>
      <c r="N884" s="115"/>
      <c r="O884" s="115"/>
      <c r="P884" s="115"/>
      <c r="Q884" s="115"/>
      <c r="R884" s="115"/>
      <c r="S884" s="115"/>
      <c r="T884" s="115"/>
      <c r="U884" s="115"/>
      <c r="V884" s="115"/>
      <c r="W884" s="115"/>
      <c r="X884" s="115"/>
      <c r="Y884" s="115"/>
      <c r="Z884" s="115"/>
      <c r="AA884" s="115"/>
      <c r="AB884" s="115"/>
      <c r="AI884" s="263"/>
      <c r="AJ884" s="263"/>
      <c r="AK884" s="263"/>
      <c r="AN884" s="115"/>
      <c r="AO884" s="115"/>
    </row>
    <row r="885">
      <c r="A885" s="397"/>
      <c r="B885" s="385"/>
      <c r="C885" s="385"/>
      <c r="H885" s="115"/>
      <c r="I885" s="115"/>
      <c r="J885" s="115"/>
      <c r="K885" s="115"/>
      <c r="L885" s="115"/>
      <c r="M885" s="353"/>
      <c r="N885" s="115"/>
      <c r="O885" s="115"/>
      <c r="P885" s="115"/>
      <c r="Q885" s="115"/>
      <c r="R885" s="115"/>
      <c r="S885" s="115"/>
      <c r="T885" s="115"/>
      <c r="U885" s="115"/>
      <c r="V885" s="115"/>
      <c r="W885" s="115"/>
      <c r="X885" s="115"/>
      <c r="Y885" s="115"/>
      <c r="Z885" s="115"/>
      <c r="AA885" s="115"/>
      <c r="AB885" s="115"/>
      <c r="AI885" s="263"/>
      <c r="AJ885" s="263"/>
      <c r="AK885" s="263"/>
      <c r="AN885" s="115"/>
      <c r="AO885" s="115"/>
    </row>
    <row r="886">
      <c r="A886" s="397"/>
      <c r="B886" s="385"/>
      <c r="C886" s="385"/>
      <c r="H886" s="115"/>
      <c r="I886" s="115"/>
      <c r="J886" s="115"/>
      <c r="K886" s="115"/>
      <c r="L886" s="115"/>
      <c r="M886" s="353"/>
      <c r="N886" s="115"/>
      <c r="O886" s="115"/>
      <c r="P886" s="115"/>
      <c r="Q886" s="115"/>
      <c r="R886" s="115"/>
      <c r="S886" s="115"/>
      <c r="T886" s="115"/>
      <c r="U886" s="115"/>
      <c r="V886" s="115"/>
      <c r="W886" s="115"/>
      <c r="X886" s="115"/>
      <c r="Y886" s="115"/>
      <c r="Z886" s="115"/>
      <c r="AA886" s="115"/>
      <c r="AB886" s="115"/>
      <c r="AI886" s="263"/>
      <c r="AJ886" s="263"/>
      <c r="AK886" s="263"/>
      <c r="AN886" s="115"/>
      <c r="AO886" s="115"/>
    </row>
    <row r="887">
      <c r="A887" s="397"/>
      <c r="B887" s="385"/>
      <c r="C887" s="385"/>
      <c r="H887" s="115"/>
      <c r="I887" s="115"/>
      <c r="J887" s="115"/>
      <c r="K887" s="115"/>
      <c r="L887" s="115"/>
      <c r="M887" s="353"/>
      <c r="N887" s="115"/>
      <c r="O887" s="115"/>
      <c r="P887" s="115"/>
      <c r="Q887" s="115"/>
      <c r="R887" s="115"/>
      <c r="S887" s="115"/>
      <c r="T887" s="115"/>
      <c r="U887" s="115"/>
      <c r="V887" s="115"/>
      <c r="W887" s="115"/>
      <c r="X887" s="115"/>
      <c r="Y887" s="115"/>
      <c r="Z887" s="115"/>
      <c r="AA887" s="115"/>
      <c r="AB887" s="115"/>
      <c r="AI887" s="263"/>
      <c r="AJ887" s="263"/>
      <c r="AK887" s="263"/>
      <c r="AN887" s="115"/>
      <c r="AO887" s="115"/>
    </row>
    <row r="888">
      <c r="A888" s="397"/>
      <c r="B888" s="385"/>
      <c r="C888" s="385"/>
      <c r="H888" s="115"/>
      <c r="I888" s="115"/>
      <c r="J888" s="115"/>
      <c r="K888" s="115"/>
      <c r="L888" s="115"/>
      <c r="M888" s="353"/>
      <c r="N888" s="115"/>
      <c r="O888" s="115"/>
      <c r="P888" s="115"/>
      <c r="Q888" s="115"/>
      <c r="R888" s="115"/>
      <c r="S888" s="115"/>
      <c r="T888" s="115"/>
      <c r="U888" s="115"/>
      <c r="V888" s="115"/>
      <c r="W888" s="115"/>
      <c r="X888" s="115"/>
      <c r="Y888" s="115"/>
      <c r="Z888" s="115"/>
      <c r="AA888" s="115"/>
      <c r="AB888" s="115"/>
      <c r="AI888" s="263"/>
      <c r="AJ888" s="263"/>
      <c r="AK888" s="263"/>
      <c r="AN888" s="115"/>
      <c r="AO888" s="115"/>
    </row>
    <row r="889">
      <c r="A889" s="397"/>
      <c r="B889" s="385"/>
      <c r="C889" s="385"/>
      <c r="H889" s="115"/>
      <c r="I889" s="115"/>
      <c r="J889" s="115"/>
      <c r="K889" s="115"/>
      <c r="L889" s="115"/>
      <c r="M889" s="353"/>
      <c r="N889" s="115"/>
      <c r="O889" s="115"/>
      <c r="P889" s="115"/>
      <c r="Q889" s="115"/>
      <c r="R889" s="115"/>
      <c r="S889" s="115"/>
      <c r="T889" s="115"/>
      <c r="U889" s="115"/>
      <c r="V889" s="115"/>
      <c r="W889" s="115"/>
      <c r="X889" s="115"/>
      <c r="Y889" s="115"/>
      <c r="Z889" s="115"/>
      <c r="AA889" s="115"/>
      <c r="AB889" s="115"/>
      <c r="AI889" s="263"/>
      <c r="AJ889" s="263"/>
      <c r="AK889" s="263"/>
      <c r="AN889" s="115"/>
      <c r="AO889" s="115"/>
    </row>
    <row r="890">
      <c r="A890" s="397"/>
      <c r="B890" s="385"/>
      <c r="C890" s="385"/>
      <c r="H890" s="115"/>
      <c r="I890" s="115"/>
      <c r="J890" s="115"/>
      <c r="K890" s="115"/>
      <c r="L890" s="115"/>
      <c r="M890" s="353"/>
      <c r="N890" s="115"/>
      <c r="O890" s="115"/>
      <c r="P890" s="115"/>
      <c r="Q890" s="115"/>
      <c r="R890" s="115"/>
      <c r="S890" s="115"/>
      <c r="T890" s="115"/>
      <c r="U890" s="115"/>
      <c r="V890" s="115"/>
      <c r="W890" s="115"/>
      <c r="X890" s="115"/>
      <c r="Y890" s="115"/>
      <c r="Z890" s="115"/>
      <c r="AA890" s="115"/>
      <c r="AB890" s="115"/>
      <c r="AI890" s="263"/>
      <c r="AJ890" s="263"/>
      <c r="AK890" s="263"/>
      <c r="AN890" s="115"/>
      <c r="AO890" s="115"/>
    </row>
    <row r="891">
      <c r="A891" s="397"/>
      <c r="B891" s="385"/>
      <c r="C891" s="385"/>
      <c r="H891" s="115"/>
      <c r="I891" s="115"/>
      <c r="J891" s="115"/>
      <c r="K891" s="115"/>
      <c r="L891" s="115"/>
      <c r="M891" s="353"/>
      <c r="N891" s="115"/>
      <c r="O891" s="115"/>
      <c r="P891" s="115"/>
      <c r="Q891" s="115"/>
      <c r="R891" s="115"/>
      <c r="S891" s="115"/>
      <c r="T891" s="115"/>
      <c r="U891" s="115"/>
      <c r="V891" s="115"/>
      <c r="W891" s="115"/>
      <c r="X891" s="115"/>
      <c r="Y891" s="115"/>
      <c r="Z891" s="115"/>
      <c r="AA891" s="115"/>
      <c r="AB891" s="115"/>
      <c r="AI891" s="263"/>
      <c r="AJ891" s="263"/>
      <c r="AK891" s="263"/>
      <c r="AN891" s="115"/>
      <c r="AO891" s="115"/>
    </row>
    <row r="892">
      <c r="A892" s="397"/>
      <c r="B892" s="385"/>
      <c r="C892" s="385"/>
      <c r="H892" s="115"/>
      <c r="I892" s="115"/>
      <c r="J892" s="115"/>
      <c r="K892" s="115"/>
      <c r="L892" s="115"/>
      <c r="M892" s="353"/>
      <c r="N892" s="115"/>
      <c r="O892" s="115"/>
      <c r="P892" s="115"/>
      <c r="Q892" s="115"/>
      <c r="R892" s="115"/>
      <c r="S892" s="115"/>
      <c r="T892" s="115"/>
      <c r="U892" s="115"/>
      <c r="V892" s="115"/>
      <c r="W892" s="115"/>
      <c r="X892" s="115"/>
      <c r="Y892" s="115"/>
      <c r="Z892" s="115"/>
      <c r="AA892" s="115"/>
      <c r="AB892" s="115"/>
      <c r="AI892" s="263"/>
      <c r="AJ892" s="263"/>
      <c r="AK892" s="263"/>
      <c r="AN892" s="115"/>
      <c r="AO892" s="115"/>
    </row>
    <row r="893">
      <c r="A893" s="397"/>
      <c r="B893" s="385"/>
      <c r="C893" s="385"/>
      <c r="H893" s="115"/>
      <c r="I893" s="115"/>
      <c r="J893" s="115"/>
      <c r="K893" s="115"/>
      <c r="L893" s="115"/>
      <c r="M893" s="353"/>
      <c r="N893" s="115"/>
      <c r="O893" s="115"/>
      <c r="P893" s="115"/>
      <c r="Q893" s="115"/>
      <c r="R893" s="115"/>
      <c r="S893" s="115"/>
      <c r="T893" s="115"/>
      <c r="U893" s="115"/>
      <c r="V893" s="115"/>
      <c r="W893" s="115"/>
      <c r="X893" s="115"/>
      <c r="Y893" s="115"/>
      <c r="Z893" s="115"/>
      <c r="AA893" s="115"/>
      <c r="AB893" s="115"/>
      <c r="AI893" s="263"/>
      <c r="AJ893" s="263"/>
      <c r="AK893" s="263"/>
      <c r="AN893" s="115"/>
      <c r="AO893" s="115"/>
    </row>
    <row r="894">
      <c r="A894" s="397"/>
      <c r="B894" s="385"/>
      <c r="C894" s="385"/>
      <c r="H894" s="115"/>
      <c r="I894" s="115"/>
      <c r="J894" s="115"/>
      <c r="K894" s="115"/>
      <c r="L894" s="115"/>
      <c r="M894" s="353"/>
      <c r="N894" s="115"/>
      <c r="O894" s="115"/>
      <c r="P894" s="115"/>
      <c r="Q894" s="115"/>
      <c r="R894" s="115"/>
      <c r="S894" s="115"/>
      <c r="T894" s="115"/>
      <c r="U894" s="115"/>
      <c r="V894" s="115"/>
      <c r="W894" s="115"/>
      <c r="X894" s="115"/>
      <c r="Y894" s="115"/>
      <c r="Z894" s="115"/>
      <c r="AA894" s="115"/>
      <c r="AB894" s="115"/>
      <c r="AI894" s="263"/>
      <c r="AJ894" s="263"/>
      <c r="AK894" s="263"/>
      <c r="AN894" s="115"/>
      <c r="AO894" s="115"/>
    </row>
    <row r="895">
      <c r="A895" s="397"/>
      <c r="B895" s="385"/>
      <c r="C895" s="385"/>
      <c r="H895" s="115"/>
      <c r="I895" s="115"/>
      <c r="J895" s="115"/>
      <c r="K895" s="115"/>
      <c r="L895" s="115"/>
      <c r="M895" s="353"/>
      <c r="N895" s="115"/>
      <c r="O895" s="115"/>
      <c r="P895" s="115"/>
      <c r="Q895" s="115"/>
      <c r="R895" s="115"/>
      <c r="S895" s="115"/>
      <c r="T895" s="115"/>
      <c r="U895" s="115"/>
      <c r="V895" s="115"/>
      <c r="W895" s="115"/>
      <c r="X895" s="115"/>
      <c r="Y895" s="115"/>
      <c r="Z895" s="115"/>
      <c r="AA895" s="115"/>
      <c r="AB895" s="115"/>
      <c r="AI895" s="263"/>
      <c r="AJ895" s="263"/>
      <c r="AK895" s="263"/>
      <c r="AN895" s="115"/>
      <c r="AO895" s="115"/>
    </row>
    <row r="896">
      <c r="A896" s="397"/>
      <c r="B896" s="385"/>
      <c r="C896" s="385"/>
      <c r="H896" s="115"/>
      <c r="I896" s="115"/>
      <c r="J896" s="115"/>
      <c r="K896" s="115"/>
      <c r="L896" s="115"/>
      <c r="M896" s="353"/>
      <c r="N896" s="115"/>
      <c r="O896" s="115"/>
      <c r="P896" s="115"/>
      <c r="Q896" s="115"/>
      <c r="R896" s="115"/>
      <c r="S896" s="115"/>
      <c r="T896" s="115"/>
      <c r="U896" s="115"/>
      <c r="V896" s="115"/>
      <c r="W896" s="115"/>
      <c r="X896" s="115"/>
      <c r="Y896" s="115"/>
      <c r="Z896" s="115"/>
      <c r="AA896" s="115"/>
      <c r="AB896" s="115"/>
      <c r="AI896" s="263"/>
      <c r="AJ896" s="263"/>
      <c r="AK896" s="263"/>
      <c r="AN896" s="115"/>
      <c r="AO896" s="115"/>
    </row>
    <row r="897">
      <c r="A897" s="397"/>
      <c r="B897" s="385"/>
      <c r="C897" s="385"/>
      <c r="H897" s="115"/>
      <c r="I897" s="115"/>
      <c r="J897" s="115"/>
      <c r="K897" s="115"/>
      <c r="L897" s="115"/>
      <c r="M897" s="353"/>
      <c r="N897" s="115"/>
      <c r="O897" s="115"/>
      <c r="P897" s="115"/>
      <c r="Q897" s="115"/>
      <c r="R897" s="115"/>
      <c r="S897" s="115"/>
      <c r="T897" s="115"/>
      <c r="U897" s="115"/>
      <c r="V897" s="115"/>
      <c r="W897" s="115"/>
      <c r="X897" s="115"/>
      <c r="Y897" s="115"/>
      <c r="Z897" s="115"/>
      <c r="AA897" s="115"/>
      <c r="AB897" s="115"/>
      <c r="AI897" s="263"/>
      <c r="AJ897" s="263"/>
      <c r="AK897" s="263"/>
      <c r="AN897" s="115"/>
      <c r="AO897" s="115"/>
    </row>
    <row r="898">
      <c r="A898" s="397"/>
      <c r="B898" s="385"/>
      <c r="C898" s="385"/>
      <c r="H898" s="115"/>
      <c r="I898" s="115"/>
      <c r="J898" s="115"/>
      <c r="K898" s="115"/>
      <c r="L898" s="115"/>
      <c r="M898" s="353"/>
      <c r="N898" s="115"/>
      <c r="O898" s="115"/>
      <c r="P898" s="115"/>
      <c r="Q898" s="115"/>
      <c r="R898" s="115"/>
      <c r="S898" s="115"/>
      <c r="T898" s="115"/>
      <c r="U898" s="115"/>
      <c r="V898" s="115"/>
      <c r="W898" s="115"/>
      <c r="X898" s="115"/>
      <c r="Y898" s="115"/>
      <c r="Z898" s="115"/>
      <c r="AA898" s="115"/>
      <c r="AB898" s="115"/>
      <c r="AI898" s="263"/>
      <c r="AJ898" s="263"/>
      <c r="AK898" s="263"/>
      <c r="AN898" s="115"/>
      <c r="AO898" s="115"/>
    </row>
    <row r="899">
      <c r="A899" s="397"/>
      <c r="B899" s="385"/>
      <c r="C899" s="385"/>
      <c r="H899" s="115"/>
      <c r="I899" s="115"/>
      <c r="J899" s="115"/>
      <c r="K899" s="115"/>
      <c r="L899" s="115"/>
      <c r="M899" s="353"/>
      <c r="N899" s="115"/>
      <c r="O899" s="115"/>
      <c r="P899" s="115"/>
      <c r="Q899" s="115"/>
      <c r="R899" s="115"/>
      <c r="S899" s="115"/>
      <c r="T899" s="115"/>
      <c r="U899" s="115"/>
      <c r="V899" s="115"/>
      <c r="W899" s="115"/>
      <c r="X899" s="115"/>
      <c r="Y899" s="115"/>
      <c r="Z899" s="115"/>
      <c r="AA899" s="115"/>
      <c r="AB899" s="115"/>
      <c r="AI899" s="263"/>
      <c r="AJ899" s="263"/>
      <c r="AK899" s="263"/>
      <c r="AN899" s="115"/>
      <c r="AO899" s="115"/>
    </row>
    <row r="900">
      <c r="A900" s="397"/>
      <c r="B900" s="385"/>
      <c r="C900" s="385"/>
      <c r="H900" s="115"/>
      <c r="I900" s="115"/>
      <c r="J900" s="115"/>
      <c r="K900" s="115"/>
      <c r="L900" s="115"/>
      <c r="M900" s="353"/>
      <c r="N900" s="115"/>
      <c r="O900" s="115"/>
      <c r="P900" s="115"/>
      <c r="Q900" s="115"/>
      <c r="R900" s="115"/>
      <c r="S900" s="115"/>
      <c r="T900" s="115"/>
      <c r="U900" s="115"/>
      <c r="V900" s="115"/>
      <c r="W900" s="115"/>
      <c r="X900" s="115"/>
      <c r="Y900" s="115"/>
      <c r="Z900" s="115"/>
      <c r="AA900" s="115"/>
      <c r="AB900" s="115"/>
      <c r="AI900" s="263"/>
      <c r="AJ900" s="263"/>
      <c r="AK900" s="263"/>
      <c r="AN900" s="115"/>
      <c r="AO900" s="115"/>
    </row>
    <row r="901">
      <c r="A901" s="397"/>
      <c r="B901" s="385"/>
      <c r="C901" s="385"/>
      <c r="H901" s="115"/>
      <c r="I901" s="115"/>
      <c r="J901" s="115"/>
      <c r="K901" s="115"/>
      <c r="L901" s="115"/>
      <c r="M901" s="353"/>
      <c r="N901" s="115"/>
      <c r="O901" s="115"/>
      <c r="P901" s="115"/>
      <c r="Q901" s="115"/>
      <c r="R901" s="115"/>
      <c r="S901" s="115"/>
      <c r="T901" s="115"/>
      <c r="U901" s="115"/>
      <c r="V901" s="115"/>
      <c r="W901" s="115"/>
      <c r="X901" s="115"/>
      <c r="Y901" s="115"/>
      <c r="Z901" s="115"/>
      <c r="AA901" s="115"/>
      <c r="AB901" s="115"/>
      <c r="AI901" s="263"/>
      <c r="AJ901" s="263"/>
      <c r="AK901" s="263"/>
      <c r="AN901" s="115"/>
      <c r="AO901" s="115"/>
    </row>
    <row r="902">
      <c r="A902" s="397"/>
      <c r="B902" s="385"/>
      <c r="C902" s="385"/>
      <c r="H902" s="115"/>
      <c r="I902" s="115"/>
      <c r="J902" s="115"/>
      <c r="K902" s="115"/>
      <c r="L902" s="115"/>
      <c r="M902" s="353"/>
      <c r="N902" s="115"/>
      <c r="O902" s="115"/>
      <c r="P902" s="115"/>
      <c r="Q902" s="115"/>
      <c r="R902" s="115"/>
      <c r="S902" s="115"/>
      <c r="T902" s="115"/>
      <c r="U902" s="115"/>
      <c r="V902" s="115"/>
      <c r="W902" s="115"/>
      <c r="X902" s="115"/>
      <c r="Y902" s="115"/>
      <c r="Z902" s="115"/>
      <c r="AA902" s="115"/>
      <c r="AB902" s="115"/>
      <c r="AI902" s="263"/>
      <c r="AJ902" s="263"/>
      <c r="AK902" s="263"/>
      <c r="AN902" s="115"/>
      <c r="AO902" s="115"/>
    </row>
    <row r="903">
      <c r="A903" s="397"/>
      <c r="B903" s="385"/>
      <c r="C903" s="385"/>
      <c r="H903" s="115"/>
      <c r="I903" s="115"/>
      <c r="J903" s="115"/>
      <c r="K903" s="115"/>
      <c r="L903" s="115"/>
      <c r="M903" s="353"/>
      <c r="N903" s="115"/>
      <c r="O903" s="115"/>
      <c r="P903" s="115"/>
      <c r="Q903" s="115"/>
      <c r="R903" s="115"/>
      <c r="S903" s="115"/>
      <c r="T903" s="115"/>
      <c r="U903" s="115"/>
      <c r="V903" s="115"/>
      <c r="W903" s="115"/>
      <c r="X903" s="115"/>
      <c r="Y903" s="115"/>
      <c r="Z903" s="115"/>
      <c r="AA903" s="115"/>
      <c r="AB903" s="115"/>
      <c r="AI903" s="263"/>
      <c r="AJ903" s="263"/>
      <c r="AK903" s="263"/>
      <c r="AN903" s="115"/>
      <c r="AO903" s="115"/>
    </row>
    <row r="904">
      <c r="A904" s="397"/>
      <c r="B904" s="385"/>
      <c r="C904" s="385"/>
      <c r="H904" s="115"/>
      <c r="I904" s="115"/>
      <c r="J904" s="115"/>
      <c r="K904" s="115"/>
      <c r="L904" s="115"/>
      <c r="M904" s="353"/>
      <c r="N904" s="115"/>
      <c r="O904" s="115"/>
      <c r="P904" s="115"/>
      <c r="Q904" s="115"/>
      <c r="R904" s="115"/>
      <c r="S904" s="115"/>
      <c r="T904" s="115"/>
      <c r="U904" s="115"/>
      <c r="V904" s="115"/>
      <c r="W904" s="115"/>
      <c r="X904" s="115"/>
      <c r="Y904" s="115"/>
      <c r="Z904" s="115"/>
      <c r="AA904" s="115"/>
      <c r="AB904" s="115"/>
      <c r="AI904" s="263"/>
      <c r="AJ904" s="263"/>
      <c r="AK904" s="263"/>
      <c r="AN904" s="115"/>
      <c r="AO904" s="115"/>
    </row>
    <row r="905">
      <c r="A905" s="397"/>
      <c r="B905" s="385"/>
      <c r="C905" s="385"/>
      <c r="H905" s="115"/>
      <c r="I905" s="115"/>
      <c r="J905" s="115"/>
      <c r="K905" s="115"/>
      <c r="L905" s="115"/>
      <c r="M905" s="353"/>
      <c r="N905" s="115"/>
      <c r="O905" s="115"/>
      <c r="P905" s="115"/>
      <c r="Q905" s="115"/>
      <c r="R905" s="115"/>
      <c r="S905" s="115"/>
      <c r="T905" s="115"/>
      <c r="U905" s="115"/>
      <c r="V905" s="115"/>
      <c r="W905" s="115"/>
      <c r="X905" s="115"/>
      <c r="Y905" s="115"/>
      <c r="Z905" s="115"/>
      <c r="AA905" s="115"/>
      <c r="AB905" s="115"/>
      <c r="AI905" s="263"/>
      <c r="AJ905" s="263"/>
      <c r="AK905" s="263"/>
      <c r="AN905" s="115"/>
      <c r="AO905" s="115"/>
    </row>
    <row r="906">
      <c r="A906" s="397"/>
      <c r="B906" s="385"/>
      <c r="C906" s="385"/>
      <c r="H906" s="115"/>
      <c r="I906" s="115"/>
      <c r="J906" s="115"/>
      <c r="K906" s="115"/>
      <c r="L906" s="115"/>
      <c r="M906" s="353"/>
      <c r="N906" s="115"/>
      <c r="O906" s="115"/>
      <c r="P906" s="115"/>
      <c r="Q906" s="115"/>
      <c r="R906" s="115"/>
      <c r="S906" s="115"/>
      <c r="T906" s="115"/>
      <c r="U906" s="115"/>
      <c r="V906" s="115"/>
      <c r="W906" s="115"/>
      <c r="X906" s="115"/>
      <c r="Y906" s="115"/>
      <c r="Z906" s="115"/>
      <c r="AA906" s="115"/>
      <c r="AB906" s="115"/>
      <c r="AI906" s="263"/>
      <c r="AJ906" s="263"/>
      <c r="AK906" s="263"/>
      <c r="AN906" s="115"/>
      <c r="AO906" s="115"/>
    </row>
    <row r="907">
      <c r="A907" s="397"/>
      <c r="B907" s="385"/>
      <c r="C907" s="385"/>
      <c r="H907" s="115"/>
      <c r="I907" s="115"/>
      <c r="J907" s="115"/>
      <c r="K907" s="115"/>
      <c r="L907" s="115"/>
      <c r="M907" s="353"/>
      <c r="N907" s="115"/>
      <c r="O907" s="115"/>
      <c r="P907" s="115"/>
      <c r="Q907" s="115"/>
      <c r="R907" s="115"/>
      <c r="S907" s="115"/>
      <c r="T907" s="115"/>
      <c r="U907" s="115"/>
      <c r="V907" s="115"/>
      <c r="W907" s="115"/>
      <c r="X907" s="115"/>
      <c r="Y907" s="115"/>
      <c r="Z907" s="115"/>
      <c r="AA907" s="115"/>
      <c r="AB907" s="115"/>
      <c r="AI907" s="263"/>
      <c r="AJ907" s="263"/>
      <c r="AK907" s="263"/>
      <c r="AN907" s="115"/>
      <c r="AO907" s="115"/>
    </row>
    <row r="908">
      <c r="A908" s="397"/>
      <c r="B908" s="385"/>
      <c r="C908" s="385"/>
      <c r="H908" s="115"/>
      <c r="I908" s="115"/>
      <c r="J908" s="115"/>
      <c r="K908" s="115"/>
      <c r="L908" s="115"/>
      <c r="M908" s="353"/>
      <c r="N908" s="115"/>
      <c r="O908" s="115"/>
      <c r="P908" s="115"/>
      <c r="Q908" s="115"/>
      <c r="R908" s="115"/>
      <c r="S908" s="115"/>
      <c r="T908" s="115"/>
      <c r="U908" s="115"/>
      <c r="V908" s="115"/>
      <c r="W908" s="115"/>
      <c r="X908" s="115"/>
      <c r="Y908" s="115"/>
      <c r="Z908" s="115"/>
      <c r="AA908" s="115"/>
      <c r="AB908" s="115"/>
      <c r="AI908" s="263"/>
      <c r="AJ908" s="263"/>
      <c r="AK908" s="263"/>
      <c r="AN908" s="115"/>
      <c r="AO908" s="115"/>
    </row>
    <row r="909">
      <c r="A909" s="397"/>
      <c r="B909" s="385"/>
      <c r="C909" s="385"/>
      <c r="H909" s="115"/>
      <c r="I909" s="115"/>
      <c r="J909" s="115"/>
      <c r="K909" s="115"/>
      <c r="L909" s="115"/>
      <c r="M909" s="353"/>
      <c r="N909" s="115"/>
      <c r="O909" s="115"/>
      <c r="P909" s="115"/>
      <c r="Q909" s="115"/>
      <c r="R909" s="115"/>
      <c r="S909" s="115"/>
      <c r="T909" s="115"/>
      <c r="U909" s="115"/>
      <c r="V909" s="115"/>
      <c r="W909" s="115"/>
      <c r="X909" s="115"/>
      <c r="Y909" s="115"/>
      <c r="Z909" s="115"/>
      <c r="AA909" s="115"/>
      <c r="AB909" s="115"/>
      <c r="AI909" s="263"/>
      <c r="AJ909" s="263"/>
      <c r="AK909" s="263"/>
      <c r="AN909" s="115"/>
      <c r="AO909" s="115"/>
    </row>
    <row r="910">
      <c r="A910" s="397"/>
      <c r="B910" s="385"/>
      <c r="C910" s="385"/>
      <c r="H910" s="115"/>
      <c r="I910" s="115"/>
      <c r="J910" s="115"/>
      <c r="K910" s="115"/>
      <c r="L910" s="115"/>
      <c r="M910" s="353"/>
      <c r="N910" s="115"/>
      <c r="O910" s="115"/>
      <c r="P910" s="115"/>
      <c r="Q910" s="115"/>
      <c r="R910" s="115"/>
      <c r="S910" s="115"/>
      <c r="T910" s="115"/>
      <c r="U910" s="115"/>
      <c r="V910" s="115"/>
      <c r="W910" s="115"/>
      <c r="X910" s="115"/>
      <c r="Y910" s="115"/>
      <c r="Z910" s="115"/>
      <c r="AA910" s="115"/>
      <c r="AB910" s="115"/>
      <c r="AI910" s="263"/>
      <c r="AJ910" s="263"/>
      <c r="AK910" s="263"/>
      <c r="AN910" s="115"/>
      <c r="AO910" s="115"/>
    </row>
    <row r="911">
      <c r="A911" s="397"/>
      <c r="B911" s="385"/>
      <c r="C911" s="385"/>
      <c r="H911" s="115"/>
      <c r="I911" s="115"/>
      <c r="J911" s="115"/>
      <c r="K911" s="115"/>
      <c r="L911" s="115"/>
      <c r="M911" s="353"/>
      <c r="N911" s="115"/>
      <c r="O911" s="115"/>
      <c r="P911" s="115"/>
      <c r="Q911" s="115"/>
      <c r="R911" s="115"/>
      <c r="S911" s="115"/>
      <c r="T911" s="115"/>
      <c r="U911" s="115"/>
      <c r="V911" s="115"/>
      <c r="W911" s="115"/>
      <c r="X911" s="115"/>
      <c r="Y911" s="115"/>
      <c r="Z911" s="115"/>
      <c r="AA911" s="115"/>
      <c r="AB911" s="115"/>
      <c r="AI911" s="263"/>
      <c r="AJ911" s="263"/>
      <c r="AK911" s="263"/>
      <c r="AN911" s="115"/>
      <c r="AO911" s="115"/>
    </row>
    <row r="912">
      <c r="A912" s="397"/>
      <c r="B912" s="385"/>
      <c r="C912" s="385"/>
      <c r="H912" s="115"/>
      <c r="I912" s="115"/>
      <c r="J912" s="115"/>
      <c r="K912" s="115"/>
      <c r="L912" s="115"/>
      <c r="M912" s="353"/>
      <c r="N912" s="115"/>
      <c r="O912" s="115"/>
      <c r="P912" s="115"/>
      <c r="Q912" s="115"/>
      <c r="R912" s="115"/>
      <c r="S912" s="115"/>
      <c r="T912" s="115"/>
      <c r="U912" s="115"/>
      <c r="V912" s="115"/>
      <c r="W912" s="115"/>
      <c r="X912" s="115"/>
      <c r="Y912" s="115"/>
      <c r="Z912" s="115"/>
      <c r="AA912" s="115"/>
      <c r="AB912" s="115"/>
      <c r="AI912" s="263"/>
      <c r="AJ912" s="263"/>
      <c r="AK912" s="263"/>
      <c r="AN912" s="115"/>
      <c r="AO912" s="115"/>
    </row>
    <row r="913">
      <c r="A913" s="397"/>
      <c r="B913" s="385"/>
      <c r="C913" s="385"/>
      <c r="H913" s="115"/>
      <c r="I913" s="115"/>
      <c r="J913" s="115"/>
      <c r="K913" s="115"/>
      <c r="L913" s="115"/>
      <c r="M913" s="353"/>
      <c r="N913" s="115"/>
      <c r="O913" s="115"/>
      <c r="P913" s="115"/>
      <c r="Q913" s="115"/>
      <c r="R913" s="115"/>
      <c r="S913" s="115"/>
      <c r="T913" s="115"/>
      <c r="U913" s="115"/>
      <c r="V913" s="115"/>
      <c r="W913" s="115"/>
      <c r="X913" s="115"/>
      <c r="Y913" s="115"/>
      <c r="Z913" s="115"/>
      <c r="AA913" s="115"/>
      <c r="AB913" s="115"/>
      <c r="AI913" s="263"/>
      <c r="AJ913" s="263"/>
      <c r="AK913" s="263"/>
      <c r="AN913" s="115"/>
      <c r="AO913" s="115"/>
    </row>
    <row r="914">
      <c r="A914" s="397"/>
      <c r="B914" s="385"/>
      <c r="C914" s="385"/>
      <c r="H914" s="115"/>
      <c r="I914" s="115"/>
      <c r="J914" s="115"/>
      <c r="K914" s="115"/>
      <c r="L914" s="115"/>
      <c r="M914" s="353"/>
      <c r="N914" s="115"/>
      <c r="O914" s="115"/>
      <c r="P914" s="115"/>
      <c r="Q914" s="115"/>
      <c r="R914" s="115"/>
      <c r="S914" s="115"/>
      <c r="T914" s="115"/>
      <c r="U914" s="115"/>
      <c r="V914" s="115"/>
      <c r="W914" s="115"/>
      <c r="X914" s="115"/>
      <c r="Y914" s="115"/>
      <c r="Z914" s="115"/>
      <c r="AA914" s="115"/>
      <c r="AB914" s="115"/>
      <c r="AI914" s="263"/>
      <c r="AJ914" s="263"/>
      <c r="AK914" s="263"/>
      <c r="AN914" s="115"/>
      <c r="AO914" s="115"/>
    </row>
    <row r="915">
      <c r="A915" s="397"/>
      <c r="B915" s="385"/>
      <c r="C915" s="385"/>
      <c r="H915" s="115"/>
      <c r="I915" s="115"/>
      <c r="J915" s="115"/>
      <c r="K915" s="115"/>
      <c r="L915" s="115"/>
      <c r="M915" s="353"/>
      <c r="N915" s="115"/>
      <c r="O915" s="115"/>
      <c r="P915" s="115"/>
      <c r="Q915" s="115"/>
      <c r="R915" s="115"/>
      <c r="S915" s="115"/>
      <c r="T915" s="115"/>
      <c r="U915" s="115"/>
      <c r="V915" s="115"/>
      <c r="W915" s="115"/>
      <c r="X915" s="115"/>
      <c r="Y915" s="115"/>
      <c r="Z915" s="115"/>
      <c r="AA915" s="115"/>
      <c r="AB915" s="115"/>
      <c r="AI915" s="263"/>
      <c r="AJ915" s="263"/>
      <c r="AK915" s="263"/>
      <c r="AN915" s="115"/>
      <c r="AO915" s="115"/>
    </row>
    <row r="916">
      <c r="A916" s="397"/>
      <c r="B916" s="385"/>
      <c r="C916" s="385"/>
      <c r="H916" s="115"/>
      <c r="I916" s="115"/>
      <c r="J916" s="115"/>
      <c r="K916" s="115"/>
      <c r="L916" s="115"/>
      <c r="M916" s="353"/>
      <c r="N916" s="115"/>
      <c r="O916" s="115"/>
      <c r="P916" s="115"/>
      <c r="Q916" s="115"/>
      <c r="R916" s="115"/>
      <c r="S916" s="115"/>
      <c r="T916" s="115"/>
      <c r="U916" s="115"/>
      <c r="V916" s="115"/>
      <c r="W916" s="115"/>
      <c r="X916" s="115"/>
      <c r="Y916" s="115"/>
      <c r="Z916" s="115"/>
      <c r="AA916" s="115"/>
      <c r="AB916" s="115"/>
      <c r="AI916" s="263"/>
      <c r="AJ916" s="263"/>
      <c r="AK916" s="263"/>
      <c r="AN916" s="115"/>
      <c r="AO916" s="115"/>
    </row>
    <row r="917">
      <c r="A917" s="397"/>
      <c r="B917" s="385"/>
      <c r="C917" s="385"/>
      <c r="H917" s="115"/>
      <c r="I917" s="115"/>
      <c r="J917" s="115"/>
      <c r="K917" s="115"/>
      <c r="L917" s="115"/>
      <c r="M917" s="353"/>
      <c r="N917" s="115"/>
      <c r="O917" s="115"/>
      <c r="P917" s="115"/>
      <c r="Q917" s="115"/>
      <c r="R917" s="115"/>
      <c r="S917" s="115"/>
      <c r="T917" s="115"/>
      <c r="U917" s="115"/>
      <c r="V917" s="115"/>
      <c r="W917" s="115"/>
      <c r="X917" s="115"/>
      <c r="Y917" s="115"/>
      <c r="Z917" s="115"/>
      <c r="AA917" s="115"/>
      <c r="AB917" s="115"/>
      <c r="AI917" s="263"/>
      <c r="AJ917" s="263"/>
      <c r="AK917" s="263"/>
      <c r="AN917" s="115"/>
      <c r="AO917" s="115"/>
    </row>
    <row r="918">
      <c r="A918" s="397"/>
      <c r="B918" s="385"/>
      <c r="C918" s="385"/>
      <c r="H918" s="115"/>
      <c r="I918" s="115"/>
      <c r="J918" s="115"/>
      <c r="K918" s="115"/>
      <c r="L918" s="115"/>
      <c r="M918" s="353"/>
      <c r="N918" s="115"/>
      <c r="O918" s="115"/>
      <c r="P918" s="115"/>
      <c r="Q918" s="115"/>
      <c r="R918" s="115"/>
      <c r="S918" s="115"/>
      <c r="T918" s="115"/>
      <c r="U918" s="115"/>
      <c r="V918" s="115"/>
      <c r="W918" s="115"/>
      <c r="X918" s="115"/>
      <c r="Y918" s="115"/>
      <c r="Z918" s="115"/>
      <c r="AA918" s="115"/>
      <c r="AB918" s="115"/>
      <c r="AI918" s="263"/>
      <c r="AJ918" s="263"/>
      <c r="AK918" s="263"/>
      <c r="AN918" s="115"/>
      <c r="AO918" s="115"/>
    </row>
    <row r="919">
      <c r="A919" s="397"/>
      <c r="B919" s="385"/>
      <c r="C919" s="385"/>
      <c r="H919" s="115"/>
      <c r="I919" s="115"/>
      <c r="J919" s="115"/>
      <c r="K919" s="115"/>
      <c r="L919" s="115"/>
      <c r="M919" s="353"/>
      <c r="N919" s="115"/>
      <c r="O919" s="115"/>
      <c r="P919" s="115"/>
      <c r="Q919" s="115"/>
      <c r="R919" s="115"/>
      <c r="S919" s="115"/>
      <c r="T919" s="115"/>
      <c r="U919" s="115"/>
      <c r="V919" s="115"/>
      <c r="W919" s="115"/>
      <c r="X919" s="115"/>
      <c r="Y919" s="115"/>
      <c r="Z919" s="115"/>
      <c r="AA919" s="115"/>
      <c r="AB919" s="115"/>
      <c r="AI919" s="263"/>
      <c r="AJ919" s="263"/>
      <c r="AK919" s="263"/>
      <c r="AN919" s="115"/>
      <c r="AO919" s="115"/>
    </row>
    <row r="920">
      <c r="A920" s="397"/>
      <c r="B920" s="385"/>
      <c r="C920" s="385"/>
      <c r="H920" s="115"/>
      <c r="I920" s="115"/>
      <c r="J920" s="115"/>
      <c r="K920" s="115"/>
      <c r="L920" s="115"/>
      <c r="M920" s="353"/>
      <c r="N920" s="115"/>
      <c r="O920" s="115"/>
      <c r="P920" s="115"/>
      <c r="Q920" s="115"/>
      <c r="R920" s="115"/>
      <c r="S920" s="115"/>
      <c r="T920" s="115"/>
      <c r="U920" s="115"/>
      <c r="V920" s="115"/>
      <c r="W920" s="115"/>
      <c r="X920" s="115"/>
      <c r="Y920" s="115"/>
      <c r="Z920" s="115"/>
      <c r="AA920" s="115"/>
      <c r="AB920" s="115"/>
      <c r="AI920" s="263"/>
      <c r="AJ920" s="263"/>
      <c r="AK920" s="263"/>
      <c r="AN920" s="115"/>
      <c r="AO920" s="115"/>
    </row>
    <row r="921">
      <c r="A921" s="397"/>
      <c r="B921" s="385"/>
      <c r="C921" s="385"/>
      <c r="H921" s="115"/>
      <c r="I921" s="115"/>
      <c r="J921" s="115"/>
      <c r="K921" s="115"/>
      <c r="L921" s="115"/>
      <c r="M921" s="353"/>
      <c r="N921" s="115"/>
      <c r="O921" s="115"/>
      <c r="P921" s="115"/>
      <c r="Q921" s="115"/>
      <c r="R921" s="115"/>
      <c r="S921" s="115"/>
      <c r="T921" s="115"/>
      <c r="U921" s="115"/>
      <c r="V921" s="115"/>
      <c r="W921" s="115"/>
      <c r="X921" s="115"/>
      <c r="Y921" s="115"/>
      <c r="Z921" s="115"/>
      <c r="AA921" s="115"/>
      <c r="AB921" s="115"/>
      <c r="AI921" s="263"/>
      <c r="AJ921" s="263"/>
      <c r="AK921" s="263"/>
      <c r="AN921" s="115"/>
      <c r="AO921" s="115"/>
    </row>
    <row r="922">
      <c r="A922" s="397"/>
      <c r="B922" s="385"/>
      <c r="C922" s="385"/>
      <c r="H922" s="115"/>
      <c r="I922" s="115"/>
      <c r="J922" s="115"/>
      <c r="K922" s="115"/>
      <c r="L922" s="115"/>
      <c r="M922" s="353"/>
      <c r="N922" s="115"/>
      <c r="O922" s="115"/>
      <c r="P922" s="115"/>
      <c r="Q922" s="115"/>
      <c r="R922" s="115"/>
      <c r="S922" s="115"/>
      <c r="T922" s="115"/>
      <c r="U922" s="115"/>
      <c r="V922" s="115"/>
      <c r="W922" s="115"/>
      <c r="X922" s="115"/>
      <c r="Y922" s="115"/>
      <c r="Z922" s="115"/>
      <c r="AA922" s="115"/>
      <c r="AB922" s="115"/>
      <c r="AI922" s="263"/>
      <c r="AJ922" s="263"/>
      <c r="AK922" s="263"/>
      <c r="AN922" s="115"/>
      <c r="AO922" s="115"/>
    </row>
    <row r="923">
      <c r="A923" s="397"/>
      <c r="B923" s="385"/>
      <c r="C923" s="385"/>
      <c r="H923" s="115"/>
      <c r="I923" s="115"/>
      <c r="J923" s="115"/>
      <c r="K923" s="115"/>
      <c r="L923" s="115"/>
      <c r="M923" s="353"/>
      <c r="N923" s="115"/>
      <c r="O923" s="115"/>
      <c r="P923" s="115"/>
      <c r="Q923" s="115"/>
      <c r="R923" s="115"/>
      <c r="S923" s="115"/>
      <c r="T923" s="115"/>
      <c r="U923" s="115"/>
      <c r="V923" s="115"/>
      <c r="W923" s="115"/>
      <c r="X923" s="115"/>
      <c r="Y923" s="115"/>
      <c r="Z923" s="115"/>
      <c r="AA923" s="115"/>
      <c r="AB923" s="115"/>
      <c r="AI923" s="263"/>
      <c r="AJ923" s="263"/>
      <c r="AK923" s="263"/>
      <c r="AN923" s="115"/>
      <c r="AO923" s="115"/>
    </row>
    <row r="924">
      <c r="A924" s="397"/>
      <c r="B924" s="385"/>
      <c r="C924" s="385"/>
      <c r="H924" s="115"/>
      <c r="I924" s="115"/>
      <c r="J924" s="115"/>
      <c r="K924" s="115"/>
      <c r="L924" s="115"/>
      <c r="M924" s="353"/>
      <c r="N924" s="115"/>
      <c r="O924" s="115"/>
      <c r="P924" s="115"/>
      <c r="Q924" s="115"/>
      <c r="R924" s="115"/>
      <c r="S924" s="115"/>
      <c r="T924" s="115"/>
      <c r="U924" s="115"/>
      <c r="V924" s="115"/>
      <c r="W924" s="115"/>
      <c r="X924" s="115"/>
      <c r="Y924" s="115"/>
      <c r="Z924" s="115"/>
      <c r="AA924" s="115"/>
      <c r="AB924" s="115"/>
      <c r="AI924" s="263"/>
      <c r="AJ924" s="263"/>
      <c r="AK924" s="263"/>
      <c r="AN924" s="115"/>
      <c r="AO924" s="115"/>
    </row>
    <row r="925">
      <c r="A925" s="397"/>
      <c r="B925" s="385"/>
      <c r="C925" s="385"/>
      <c r="H925" s="115"/>
      <c r="I925" s="115"/>
      <c r="J925" s="115"/>
      <c r="K925" s="115"/>
      <c r="L925" s="115"/>
      <c r="M925" s="353"/>
      <c r="N925" s="115"/>
      <c r="O925" s="115"/>
      <c r="P925" s="115"/>
      <c r="Q925" s="115"/>
      <c r="R925" s="115"/>
      <c r="S925" s="115"/>
      <c r="T925" s="115"/>
      <c r="U925" s="115"/>
      <c r="V925" s="115"/>
      <c r="W925" s="115"/>
      <c r="X925" s="115"/>
      <c r="Y925" s="115"/>
      <c r="Z925" s="115"/>
      <c r="AA925" s="115"/>
      <c r="AB925" s="115"/>
      <c r="AI925" s="263"/>
      <c r="AJ925" s="263"/>
      <c r="AK925" s="263"/>
      <c r="AN925" s="115"/>
      <c r="AO925" s="115"/>
    </row>
    <row r="926">
      <c r="A926" s="397"/>
      <c r="B926" s="385"/>
      <c r="C926" s="385"/>
      <c r="H926" s="115"/>
      <c r="I926" s="115"/>
      <c r="J926" s="115"/>
      <c r="K926" s="115"/>
      <c r="L926" s="115"/>
      <c r="M926" s="353"/>
      <c r="N926" s="115"/>
      <c r="O926" s="115"/>
      <c r="P926" s="115"/>
      <c r="Q926" s="115"/>
      <c r="R926" s="115"/>
      <c r="S926" s="115"/>
      <c r="T926" s="115"/>
      <c r="U926" s="115"/>
      <c r="V926" s="115"/>
      <c r="W926" s="115"/>
      <c r="X926" s="115"/>
      <c r="Y926" s="115"/>
      <c r="Z926" s="115"/>
      <c r="AA926" s="115"/>
      <c r="AB926" s="115"/>
      <c r="AI926" s="263"/>
      <c r="AJ926" s="263"/>
      <c r="AK926" s="263"/>
      <c r="AN926" s="115"/>
      <c r="AO926" s="115"/>
    </row>
    <row r="927">
      <c r="A927" s="397"/>
      <c r="B927" s="385"/>
      <c r="C927" s="385"/>
      <c r="H927" s="115"/>
      <c r="I927" s="115"/>
      <c r="J927" s="115"/>
      <c r="K927" s="115"/>
      <c r="L927" s="115"/>
      <c r="M927" s="353"/>
      <c r="N927" s="115"/>
      <c r="O927" s="115"/>
      <c r="P927" s="115"/>
      <c r="Q927" s="115"/>
      <c r="R927" s="115"/>
      <c r="S927" s="115"/>
      <c r="T927" s="115"/>
      <c r="U927" s="115"/>
      <c r="V927" s="115"/>
      <c r="W927" s="115"/>
      <c r="X927" s="115"/>
      <c r="Y927" s="115"/>
      <c r="Z927" s="115"/>
      <c r="AA927" s="115"/>
      <c r="AB927" s="115"/>
      <c r="AI927" s="263"/>
      <c r="AJ927" s="263"/>
      <c r="AK927" s="263"/>
      <c r="AN927" s="115"/>
      <c r="AO927" s="115"/>
    </row>
    <row r="928">
      <c r="A928" s="397"/>
      <c r="B928" s="385"/>
      <c r="C928" s="385"/>
      <c r="H928" s="115"/>
      <c r="I928" s="115"/>
      <c r="J928" s="115"/>
      <c r="K928" s="115"/>
      <c r="L928" s="115"/>
      <c r="M928" s="353"/>
      <c r="N928" s="115"/>
      <c r="O928" s="115"/>
      <c r="P928" s="115"/>
      <c r="Q928" s="115"/>
      <c r="R928" s="115"/>
      <c r="S928" s="115"/>
      <c r="T928" s="115"/>
      <c r="U928" s="115"/>
      <c r="V928" s="115"/>
      <c r="W928" s="115"/>
      <c r="X928" s="115"/>
      <c r="Y928" s="115"/>
      <c r="Z928" s="115"/>
      <c r="AA928" s="115"/>
      <c r="AB928" s="115"/>
      <c r="AI928" s="263"/>
      <c r="AJ928" s="263"/>
      <c r="AK928" s="263"/>
      <c r="AN928" s="115"/>
      <c r="AO928" s="115"/>
    </row>
    <row r="929">
      <c r="A929" s="397"/>
      <c r="B929" s="385"/>
      <c r="C929" s="385"/>
      <c r="H929" s="115"/>
      <c r="I929" s="115"/>
      <c r="J929" s="115"/>
      <c r="K929" s="115"/>
      <c r="L929" s="115"/>
      <c r="M929" s="353"/>
      <c r="N929" s="115"/>
      <c r="O929" s="115"/>
      <c r="P929" s="115"/>
      <c r="Q929" s="115"/>
      <c r="R929" s="115"/>
      <c r="S929" s="115"/>
      <c r="T929" s="115"/>
      <c r="U929" s="115"/>
      <c r="V929" s="115"/>
      <c r="W929" s="115"/>
      <c r="X929" s="115"/>
      <c r="Y929" s="115"/>
      <c r="Z929" s="115"/>
      <c r="AA929" s="115"/>
      <c r="AB929" s="115"/>
      <c r="AI929" s="263"/>
      <c r="AJ929" s="263"/>
      <c r="AK929" s="263"/>
      <c r="AN929" s="115"/>
      <c r="AO929" s="115"/>
    </row>
    <row r="930">
      <c r="A930" s="397"/>
      <c r="B930" s="385"/>
      <c r="C930" s="385"/>
      <c r="H930" s="115"/>
      <c r="I930" s="115"/>
      <c r="J930" s="115"/>
      <c r="K930" s="115"/>
      <c r="L930" s="115"/>
      <c r="M930" s="353"/>
      <c r="N930" s="115"/>
      <c r="O930" s="115"/>
      <c r="P930" s="115"/>
      <c r="Q930" s="115"/>
      <c r="R930" s="115"/>
      <c r="S930" s="115"/>
      <c r="T930" s="115"/>
      <c r="U930" s="115"/>
      <c r="V930" s="115"/>
      <c r="W930" s="115"/>
      <c r="X930" s="115"/>
      <c r="Y930" s="115"/>
      <c r="Z930" s="115"/>
      <c r="AA930" s="115"/>
      <c r="AB930" s="115"/>
      <c r="AI930" s="263"/>
      <c r="AJ930" s="263"/>
      <c r="AK930" s="263"/>
      <c r="AN930" s="115"/>
      <c r="AO930" s="115"/>
    </row>
    <row r="931">
      <c r="A931" s="397"/>
      <c r="B931" s="385"/>
      <c r="C931" s="385"/>
      <c r="H931" s="115"/>
      <c r="I931" s="115"/>
      <c r="J931" s="115"/>
      <c r="K931" s="115"/>
      <c r="L931" s="115"/>
      <c r="M931" s="353"/>
      <c r="N931" s="115"/>
      <c r="O931" s="115"/>
      <c r="P931" s="115"/>
      <c r="Q931" s="115"/>
      <c r="R931" s="115"/>
      <c r="S931" s="115"/>
      <c r="T931" s="115"/>
      <c r="U931" s="115"/>
      <c r="V931" s="115"/>
      <c r="W931" s="115"/>
      <c r="X931" s="115"/>
      <c r="Y931" s="115"/>
      <c r="Z931" s="115"/>
      <c r="AA931" s="115"/>
      <c r="AB931" s="115"/>
      <c r="AI931" s="263"/>
      <c r="AJ931" s="263"/>
      <c r="AK931" s="263"/>
      <c r="AN931" s="115"/>
      <c r="AO931" s="115"/>
    </row>
    <row r="932">
      <c r="A932" s="397"/>
      <c r="B932" s="385"/>
      <c r="C932" s="385"/>
      <c r="H932" s="115"/>
      <c r="I932" s="115"/>
      <c r="J932" s="115"/>
      <c r="K932" s="115"/>
      <c r="L932" s="115"/>
      <c r="M932" s="353"/>
      <c r="N932" s="115"/>
      <c r="O932" s="115"/>
      <c r="P932" s="115"/>
      <c r="Q932" s="115"/>
      <c r="R932" s="115"/>
      <c r="S932" s="115"/>
      <c r="T932" s="115"/>
      <c r="U932" s="115"/>
      <c r="V932" s="115"/>
      <c r="W932" s="115"/>
      <c r="X932" s="115"/>
      <c r="Y932" s="115"/>
      <c r="Z932" s="115"/>
      <c r="AA932" s="115"/>
      <c r="AB932" s="115"/>
      <c r="AI932" s="263"/>
      <c r="AJ932" s="263"/>
      <c r="AK932" s="263"/>
      <c r="AN932" s="115"/>
      <c r="AO932" s="115"/>
    </row>
    <row r="933">
      <c r="A933" s="397"/>
      <c r="B933" s="385"/>
      <c r="C933" s="385"/>
      <c r="H933" s="115"/>
      <c r="I933" s="115"/>
      <c r="J933" s="115"/>
      <c r="K933" s="115"/>
      <c r="L933" s="115"/>
      <c r="M933" s="353"/>
      <c r="N933" s="115"/>
      <c r="O933" s="115"/>
      <c r="P933" s="115"/>
      <c r="Q933" s="115"/>
      <c r="R933" s="115"/>
      <c r="S933" s="115"/>
      <c r="T933" s="115"/>
      <c r="U933" s="115"/>
      <c r="V933" s="115"/>
      <c r="W933" s="115"/>
      <c r="X933" s="115"/>
      <c r="Y933" s="115"/>
      <c r="Z933" s="115"/>
      <c r="AA933" s="115"/>
      <c r="AB933" s="115"/>
      <c r="AI933" s="263"/>
      <c r="AJ933" s="263"/>
      <c r="AK933" s="263"/>
      <c r="AN933" s="115"/>
      <c r="AO933" s="115"/>
    </row>
    <row r="934">
      <c r="A934" s="397"/>
      <c r="B934" s="385"/>
      <c r="C934" s="385"/>
      <c r="H934" s="115"/>
      <c r="I934" s="115"/>
      <c r="J934" s="115"/>
      <c r="K934" s="115"/>
      <c r="L934" s="115"/>
      <c r="M934" s="353"/>
      <c r="N934" s="115"/>
      <c r="O934" s="115"/>
      <c r="P934" s="115"/>
      <c r="Q934" s="115"/>
      <c r="R934" s="115"/>
      <c r="S934" s="115"/>
      <c r="T934" s="115"/>
      <c r="U934" s="115"/>
      <c r="V934" s="115"/>
      <c r="W934" s="115"/>
      <c r="X934" s="115"/>
      <c r="Y934" s="115"/>
      <c r="Z934" s="115"/>
      <c r="AA934" s="115"/>
      <c r="AB934" s="115"/>
      <c r="AI934" s="263"/>
      <c r="AJ934" s="263"/>
      <c r="AK934" s="263"/>
      <c r="AN934" s="115"/>
      <c r="AO934" s="115"/>
    </row>
    <row r="935">
      <c r="A935" s="397"/>
      <c r="B935" s="385"/>
      <c r="C935" s="385"/>
      <c r="H935" s="115"/>
      <c r="I935" s="115"/>
      <c r="J935" s="115"/>
      <c r="K935" s="115"/>
      <c r="L935" s="115"/>
      <c r="M935" s="353"/>
      <c r="N935" s="115"/>
      <c r="O935" s="115"/>
      <c r="P935" s="115"/>
      <c r="Q935" s="115"/>
      <c r="R935" s="115"/>
      <c r="S935" s="115"/>
      <c r="T935" s="115"/>
      <c r="U935" s="115"/>
      <c r="V935" s="115"/>
      <c r="W935" s="115"/>
      <c r="X935" s="115"/>
      <c r="Y935" s="115"/>
      <c r="Z935" s="115"/>
      <c r="AA935" s="115"/>
      <c r="AB935" s="115"/>
      <c r="AI935" s="263"/>
      <c r="AJ935" s="263"/>
      <c r="AK935" s="263"/>
      <c r="AN935" s="115"/>
      <c r="AO935" s="115"/>
    </row>
    <row r="936">
      <c r="A936" s="397"/>
      <c r="B936" s="385"/>
      <c r="C936" s="385"/>
      <c r="H936" s="115"/>
      <c r="I936" s="115"/>
      <c r="J936" s="115"/>
      <c r="K936" s="115"/>
      <c r="L936" s="115"/>
      <c r="M936" s="353"/>
      <c r="N936" s="115"/>
      <c r="O936" s="115"/>
      <c r="P936" s="115"/>
      <c r="Q936" s="115"/>
      <c r="R936" s="115"/>
      <c r="S936" s="115"/>
      <c r="T936" s="115"/>
      <c r="U936" s="115"/>
      <c r="V936" s="115"/>
      <c r="W936" s="115"/>
      <c r="X936" s="115"/>
      <c r="Y936" s="115"/>
      <c r="Z936" s="115"/>
      <c r="AA936" s="115"/>
      <c r="AB936" s="115"/>
      <c r="AI936" s="263"/>
      <c r="AJ936" s="263"/>
      <c r="AK936" s="263"/>
      <c r="AN936" s="115"/>
      <c r="AO936" s="115"/>
    </row>
    <row r="937">
      <c r="A937" s="397"/>
      <c r="B937" s="385"/>
      <c r="C937" s="385"/>
      <c r="H937" s="115"/>
      <c r="I937" s="115"/>
      <c r="J937" s="115"/>
      <c r="K937" s="115"/>
      <c r="L937" s="115"/>
      <c r="M937" s="353"/>
      <c r="N937" s="115"/>
      <c r="O937" s="115"/>
      <c r="P937" s="115"/>
      <c r="Q937" s="115"/>
      <c r="R937" s="115"/>
      <c r="S937" s="115"/>
      <c r="T937" s="115"/>
      <c r="U937" s="115"/>
      <c r="V937" s="115"/>
      <c r="W937" s="115"/>
      <c r="X937" s="115"/>
      <c r="Y937" s="115"/>
      <c r="Z937" s="115"/>
      <c r="AA937" s="115"/>
      <c r="AB937" s="115"/>
      <c r="AI937" s="263"/>
      <c r="AJ937" s="263"/>
      <c r="AK937" s="263"/>
      <c r="AN937" s="115"/>
      <c r="AO937" s="115"/>
    </row>
    <row r="938">
      <c r="A938" s="397"/>
      <c r="B938" s="385"/>
      <c r="C938" s="385"/>
      <c r="H938" s="115"/>
      <c r="I938" s="115"/>
      <c r="J938" s="115"/>
      <c r="K938" s="115"/>
      <c r="L938" s="115"/>
      <c r="M938" s="353"/>
      <c r="N938" s="115"/>
      <c r="O938" s="115"/>
      <c r="P938" s="115"/>
      <c r="Q938" s="115"/>
      <c r="R938" s="115"/>
      <c r="S938" s="115"/>
      <c r="T938" s="115"/>
      <c r="U938" s="115"/>
      <c r="V938" s="115"/>
      <c r="W938" s="115"/>
      <c r="X938" s="115"/>
      <c r="Y938" s="115"/>
      <c r="Z938" s="115"/>
      <c r="AA938" s="115"/>
      <c r="AB938" s="115"/>
      <c r="AI938" s="263"/>
      <c r="AJ938" s="263"/>
      <c r="AK938" s="263"/>
      <c r="AN938" s="115"/>
      <c r="AO938" s="115"/>
    </row>
    <row r="939">
      <c r="A939" s="397"/>
      <c r="B939" s="385"/>
      <c r="C939" s="385"/>
      <c r="H939" s="115"/>
      <c r="I939" s="115"/>
      <c r="J939" s="115"/>
      <c r="K939" s="115"/>
      <c r="L939" s="115"/>
      <c r="M939" s="353"/>
      <c r="N939" s="115"/>
      <c r="O939" s="115"/>
      <c r="P939" s="115"/>
      <c r="Q939" s="115"/>
      <c r="R939" s="115"/>
      <c r="S939" s="115"/>
      <c r="T939" s="115"/>
      <c r="U939" s="115"/>
      <c r="V939" s="115"/>
      <c r="W939" s="115"/>
      <c r="X939" s="115"/>
      <c r="Y939" s="115"/>
      <c r="Z939" s="115"/>
      <c r="AA939" s="115"/>
      <c r="AB939" s="115"/>
      <c r="AI939" s="263"/>
      <c r="AJ939" s="263"/>
      <c r="AK939" s="263"/>
      <c r="AN939" s="115"/>
      <c r="AO939" s="115"/>
    </row>
    <row r="940">
      <c r="A940" s="397"/>
      <c r="B940" s="385"/>
      <c r="C940" s="385"/>
      <c r="H940" s="115"/>
      <c r="I940" s="115"/>
      <c r="J940" s="115"/>
      <c r="K940" s="115"/>
      <c r="L940" s="115"/>
      <c r="M940" s="353"/>
      <c r="N940" s="115"/>
      <c r="O940" s="115"/>
      <c r="P940" s="115"/>
      <c r="Q940" s="115"/>
      <c r="R940" s="115"/>
      <c r="S940" s="115"/>
      <c r="T940" s="115"/>
      <c r="U940" s="115"/>
      <c r="V940" s="115"/>
      <c r="W940" s="115"/>
      <c r="X940" s="115"/>
      <c r="Y940" s="115"/>
      <c r="Z940" s="115"/>
      <c r="AA940" s="115"/>
      <c r="AB940" s="115"/>
      <c r="AI940" s="263"/>
      <c r="AJ940" s="263"/>
      <c r="AK940" s="263"/>
      <c r="AN940" s="115"/>
      <c r="AO940" s="115"/>
    </row>
    <row r="941">
      <c r="A941" s="397"/>
      <c r="B941" s="385"/>
      <c r="C941" s="385"/>
      <c r="H941" s="115"/>
      <c r="I941" s="115"/>
      <c r="J941" s="115"/>
      <c r="K941" s="115"/>
      <c r="L941" s="115"/>
      <c r="M941" s="353"/>
      <c r="N941" s="115"/>
      <c r="O941" s="115"/>
      <c r="P941" s="115"/>
      <c r="Q941" s="115"/>
      <c r="R941" s="115"/>
      <c r="S941" s="115"/>
      <c r="T941" s="115"/>
      <c r="U941" s="115"/>
      <c r="V941" s="115"/>
      <c r="W941" s="115"/>
      <c r="X941" s="115"/>
      <c r="Y941" s="115"/>
      <c r="Z941" s="115"/>
      <c r="AA941" s="115"/>
      <c r="AB941" s="115"/>
      <c r="AI941" s="263"/>
      <c r="AJ941" s="263"/>
      <c r="AK941" s="263"/>
      <c r="AN941" s="115"/>
      <c r="AO941" s="115"/>
    </row>
    <row r="942">
      <c r="A942" s="397"/>
      <c r="B942" s="385"/>
      <c r="C942" s="385"/>
      <c r="H942" s="115"/>
      <c r="I942" s="115"/>
      <c r="J942" s="115"/>
      <c r="K942" s="115"/>
      <c r="L942" s="115"/>
      <c r="M942" s="353"/>
      <c r="N942" s="115"/>
      <c r="O942" s="115"/>
      <c r="P942" s="115"/>
      <c r="Q942" s="115"/>
      <c r="R942" s="115"/>
      <c r="S942" s="115"/>
      <c r="T942" s="115"/>
      <c r="U942" s="115"/>
      <c r="V942" s="115"/>
      <c r="W942" s="115"/>
      <c r="X942" s="115"/>
      <c r="Y942" s="115"/>
      <c r="Z942" s="115"/>
      <c r="AA942" s="115"/>
      <c r="AB942" s="115"/>
      <c r="AI942" s="263"/>
      <c r="AJ942" s="263"/>
      <c r="AK942" s="263"/>
      <c r="AN942" s="115"/>
      <c r="AO942" s="115"/>
    </row>
    <row r="943">
      <c r="A943" s="397"/>
      <c r="B943" s="385"/>
      <c r="C943" s="385"/>
      <c r="H943" s="115"/>
      <c r="I943" s="115"/>
      <c r="J943" s="115"/>
      <c r="K943" s="115"/>
      <c r="L943" s="115"/>
      <c r="M943" s="353"/>
      <c r="N943" s="115"/>
      <c r="O943" s="115"/>
      <c r="P943" s="115"/>
      <c r="Q943" s="115"/>
      <c r="R943" s="115"/>
      <c r="S943" s="115"/>
      <c r="T943" s="115"/>
      <c r="U943" s="115"/>
      <c r="V943" s="115"/>
      <c r="W943" s="115"/>
      <c r="X943" s="115"/>
      <c r="Y943" s="115"/>
      <c r="Z943" s="115"/>
      <c r="AA943" s="115"/>
      <c r="AB943" s="115"/>
      <c r="AI943" s="263"/>
      <c r="AJ943" s="263"/>
      <c r="AK943" s="263"/>
      <c r="AN943" s="115"/>
      <c r="AO943" s="115"/>
    </row>
    <row r="944">
      <c r="A944" s="397"/>
      <c r="B944" s="385"/>
      <c r="C944" s="385"/>
      <c r="H944" s="115"/>
      <c r="I944" s="115"/>
      <c r="J944" s="115"/>
      <c r="K944" s="115"/>
      <c r="L944" s="115"/>
      <c r="M944" s="353"/>
      <c r="N944" s="115"/>
      <c r="O944" s="115"/>
      <c r="P944" s="115"/>
      <c r="Q944" s="115"/>
      <c r="R944" s="115"/>
      <c r="S944" s="115"/>
      <c r="T944" s="115"/>
      <c r="U944" s="115"/>
      <c r="V944" s="115"/>
      <c r="W944" s="115"/>
      <c r="X944" s="115"/>
      <c r="Y944" s="115"/>
      <c r="Z944" s="115"/>
      <c r="AA944" s="115"/>
      <c r="AB944" s="115"/>
      <c r="AI944" s="263"/>
      <c r="AJ944" s="263"/>
      <c r="AK944" s="263"/>
      <c r="AN944" s="115"/>
      <c r="AO944" s="115"/>
    </row>
    <row r="945">
      <c r="A945" s="397"/>
      <c r="B945" s="385"/>
      <c r="C945" s="385"/>
      <c r="H945" s="115"/>
      <c r="I945" s="115"/>
      <c r="J945" s="115"/>
      <c r="K945" s="115"/>
      <c r="L945" s="115"/>
      <c r="M945" s="353"/>
      <c r="N945" s="115"/>
      <c r="O945" s="115"/>
      <c r="P945" s="115"/>
      <c r="Q945" s="115"/>
      <c r="R945" s="115"/>
      <c r="S945" s="115"/>
      <c r="T945" s="115"/>
      <c r="U945" s="115"/>
      <c r="V945" s="115"/>
      <c r="W945" s="115"/>
      <c r="X945" s="115"/>
      <c r="Y945" s="115"/>
      <c r="Z945" s="115"/>
      <c r="AA945" s="115"/>
      <c r="AB945" s="115"/>
      <c r="AI945" s="263"/>
      <c r="AJ945" s="263"/>
      <c r="AK945" s="263"/>
      <c r="AN945" s="115"/>
      <c r="AO945" s="115"/>
    </row>
    <row r="946">
      <c r="A946" s="397"/>
      <c r="B946" s="385"/>
      <c r="C946" s="385"/>
      <c r="H946" s="115"/>
      <c r="I946" s="115"/>
      <c r="J946" s="115"/>
      <c r="K946" s="115"/>
      <c r="L946" s="115"/>
      <c r="M946" s="353"/>
      <c r="N946" s="115"/>
      <c r="O946" s="115"/>
      <c r="P946" s="115"/>
      <c r="Q946" s="115"/>
      <c r="R946" s="115"/>
      <c r="S946" s="115"/>
      <c r="T946" s="115"/>
      <c r="U946" s="115"/>
      <c r="V946" s="115"/>
      <c r="W946" s="115"/>
      <c r="X946" s="115"/>
      <c r="Y946" s="115"/>
      <c r="Z946" s="115"/>
      <c r="AA946" s="115"/>
      <c r="AB946" s="115"/>
      <c r="AI946" s="263"/>
      <c r="AJ946" s="263"/>
      <c r="AK946" s="263"/>
      <c r="AN946" s="115"/>
      <c r="AO946" s="115"/>
    </row>
    <row r="947">
      <c r="A947" s="397"/>
      <c r="B947" s="385"/>
      <c r="C947" s="385"/>
      <c r="H947" s="115"/>
      <c r="I947" s="115"/>
      <c r="J947" s="115"/>
      <c r="K947" s="115"/>
      <c r="L947" s="115"/>
      <c r="M947" s="353"/>
      <c r="N947" s="115"/>
      <c r="O947" s="115"/>
      <c r="P947" s="115"/>
      <c r="Q947" s="115"/>
      <c r="R947" s="115"/>
      <c r="S947" s="115"/>
      <c r="T947" s="115"/>
      <c r="U947" s="115"/>
      <c r="V947" s="115"/>
      <c r="W947" s="115"/>
      <c r="X947" s="115"/>
      <c r="Y947" s="115"/>
      <c r="Z947" s="115"/>
      <c r="AA947" s="115"/>
      <c r="AB947" s="115"/>
      <c r="AI947" s="263"/>
      <c r="AJ947" s="263"/>
      <c r="AK947" s="263"/>
      <c r="AN947" s="115"/>
      <c r="AO947" s="115"/>
    </row>
    <row r="948">
      <c r="A948" s="397"/>
      <c r="B948" s="385"/>
      <c r="C948" s="385"/>
      <c r="H948" s="115"/>
      <c r="I948" s="115"/>
      <c r="J948" s="115"/>
      <c r="K948" s="115"/>
      <c r="L948" s="115"/>
      <c r="M948" s="353"/>
      <c r="N948" s="115"/>
      <c r="O948" s="115"/>
      <c r="P948" s="115"/>
      <c r="Q948" s="115"/>
      <c r="R948" s="115"/>
      <c r="S948" s="115"/>
      <c r="T948" s="115"/>
      <c r="U948" s="115"/>
      <c r="V948" s="115"/>
      <c r="W948" s="115"/>
      <c r="X948" s="115"/>
      <c r="Y948" s="115"/>
      <c r="Z948" s="115"/>
      <c r="AA948" s="115"/>
      <c r="AB948" s="115"/>
      <c r="AI948" s="263"/>
      <c r="AJ948" s="263"/>
      <c r="AK948" s="263"/>
      <c r="AN948" s="115"/>
      <c r="AO948" s="115"/>
    </row>
    <row r="949">
      <c r="A949" s="397"/>
      <c r="B949" s="385"/>
      <c r="C949" s="385"/>
      <c r="H949" s="115"/>
      <c r="I949" s="115"/>
      <c r="J949" s="115"/>
      <c r="K949" s="115"/>
      <c r="L949" s="115"/>
      <c r="M949" s="353"/>
      <c r="N949" s="115"/>
      <c r="O949" s="115"/>
      <c r="P949" s="115"/>
      <c r="Q949" s="115"/>
      <c r="R949" s="115"/>
      <c r="S949" s="115"/>
      <c r="T949" s="115"/>
      <c r="U949" s="115"/>
      <c r="V949" s="115"/>
      <c r="W949" s="115"/>
      <c r="X949" s="115"/>
      <c r="Y949" s="115"/>
      <c r="Z949" s="115"/>
      <c r="AA949" s="115"/>
      <c r="AB949" s="115"/>
      <c r="AI949" s="263"/>
      <c r="AJ949" s="263"/>
      <c r="AK949" s="263"/>
      <c r="AN949" s="115"/>
      <c r="AO949" s="115"/>
    </row>
    <row r="950">
      <c r="A950" s="397"/>
      <c r="B950" s="385"/>
      <c r="C950" s="385"/>
      <c r="H950" s="115"/>
      <c r="I950" s="115"/>
      <c r="J950" s="115"/>
      <c r="K950" s="115"/>
      <c r="L950" s="115"/>
      <c r="M950" s="353"/>
      <c r="N950" s="115"/>
      <c r="O950" s="115"/>
      <c r="P950" s="115"/>
      <c r="Q950" s="115"/>
      <c r="R950" s="115"/>
      <c r="S950" s="115"/>
      <c r="T950" s="115"/>
      <c r="U950" s="115"/>
      <c r="V950" s="115"/>
      <c r="W950" s="115"/>
      <c r="X950" s="115"/>
      <c r="Y950" s="115"/>
      <c r="Z950" s="115"/>
      <c r="AA950" s="115"/>
      <c r="AB950" s="115"/>
      <c r="AI950" s="263"/>
      <c r="AJ950" s="263"/>
      <c r="AK950" s="263"/>
      <c r="AN950" s="115"/>
      <c r="AO950" s="115"/>
    </row>
    <row r="951">
      <c r="A951" s="397"/>
      <c r="B951" s="385"/>
      <c r="C951" s="385"/>
      <c r="H951" s="115"/>
      <c r="I951" s="115"/>
      <c r="J951" s="115"/>
      <c r="K951" s="115"/>
      <c r="L951" s="115"/>
      <c r="M951" s="353"/>
      <c r="N951" s="115"/>
      <c r="O951" s="115"/>
      <c r="P951" s="115"/>
      <c r="Q951" s="115"/>
      <c r="R951" s="115"/>
      <c r="S951" s="115"/>
      <c r="T951" s="115"/>
      <c r="U951" s="115"/>
      <c r="V951" s="115"/>
      <c r="W951" s="115"/>
      <c r="X951" s="115"/>
      <c r="Y951" s="115"/>
      <c r="Z951" s="115"/>
      <c r="AA951" s="115"/>
      <c r="AB951" s="115"/>
      <c r="AI951" s="263"/>
      <c r="AJ951" s="263"/>
      <c r="AK951" s="263"/>
      <c r="AN951" s="115"/>
      <c r="AO951" s="115"/>
    </row>
    <row r="952">
      <c r="A952" s="397"/>
      <c r="B952" s="385"/>
      <c r="C952" s="385"/>
      <c r="H952" s="115"/>
      <c r="I952" s="115"/>
      <c r="J952" s="115"/>
      <c r="K952" s="115"/>
      <c r="L952" s="115"/>
      <c r="M952" s="353"/>
      <c r="N952" s="115"/>
      <c r="O952" s="115"/>
      <c r="P952" s="115"/>
      <c r="Q952" s="115"/>
      <c r="R952" s="115"/>
      <c r="S952" s="115"/>
      <c r="T952" s="115"/>
      <c r="U952" s="115"/>
      <c r="V952" s="115"/>
      <c r="W952" s="115"/>
      <c r="X952" s="115"/>
      <c r="Y952" s="115"/>
      <c r="Z952" s="115"/>
      <c r="AA952" s="115"/>
      <c r="AB952" s="115"/>
      <c r="AI952" s="263"/>
      <c r="AJ952" s="263"/>
      <c r="AK952" s="263"/>
      <c r="AN952" s="115"/>
      <c r="AO952" s="115"/>
    </row>
    <row r="953">
      <c r="A953" s="397"/>
      <c r="B953" s="385"/>
      <c r="C953" s="385"/>
      <c r="H953" s="115"/>
      <c r="I953" s="115"/>
      <c r="J953" s="115"/>
      <c r="K953" s="115"/>
      <c r="L953" s="115"/>
      <c r="M953" s="353"/>
      <c r="N953" s="115"/>
      <c r="O953" s="115"/>
      <c r="P953" s="115"/>
      <c r="Q953" s="115"/>
      <c r="R953" s="115"/>
      <c r="S953" s="115"/>
      <c r="T953" s="115"/>
      <c r="U953" s="115"/>
      <c r="V953" s="115"/>
      <c r="W953" s="115"/>
      <c r="X953" s="115"/>
      <c r="Y953" s="115"/>
      <c r="Z953" s="115"/>
      <c r="AA953" s="115"/>
      <c r="AB953" s="115"/>
      <c r="AI953" s="263"/>
      <c r="AJ953" s="263"/>
      <c r="AK953" s="263"/>
      <c r="AN953" s="115"/>
      <c r="AO953" s="115"/>
    </row>
    <row r="954">
      <c r="A954" s="397"/>
      <c r="B954" s="385"/>
      <c r="C954" s="385"/>
      <c r="H954" s="115"/>
      <c r="I954" s="115"/>
      <c r="J954" s="115"/>
      <c r="K954" s="115"/>
      <c r="L954" s="115"/>
      <c r="M954" s="353"/>
      <c r="N954" s="115"/>
      <c r="O954" s="115"/>
      <c r="P954" s="115"/>
      <c r="Q954" s="115"/>
      <c r="R954" s="115"/>
      <c r="S954" s="115"/>
      <c r="T954" s="115"/>
      <c r="U954" s="115"/>
      <c r="V954" s="115"/>
      <c r="W954" s="115"/>
      <c r="X954" s="115"/>
      <c r="Y954" s="115"/>
      <c r="Z954" s="115"/>
      <c r="AA954" s="115"/>
      <c r="AB954" s="115"/>
      <c r="AI954" s="263"/>
      <c r="AJ954" s="263"/>
      <c r="AK954" s="263"/>
      <c r="AN954" s="115"/>
      <c r="AO954" s="115"/>
    </row>
    <row r="955">
      <c r="A955" s="397"/>
      <c r="B955" s="385"/>
      <c r="C955" s="385"/>
      <c r="H955" s="115"/>
      <c r="I955" s="115"/>
      <c r="J955" s="115"/>
      <c r="K955" s="115"/>
      <c r="L955" s="115"/>
      <c r="M955" s="353"/>
      <c r="N955" s="115"/>
      <c r="O955" s="115"/>
      <c r="P955" s="115"/>
      <c r="Q955" s="115"/>
      <c r="R955" s="115"/>
      <c r="S955" s="115"/>
      <c r="T955" s="115"/>
      <c r="U955" s="115"/>
      <c r="V955" s="115"/>
      <c r="W955" s="115"/>
      <c r="X955" s="115"/>
      <c r="Y955" s="115"/>
      <c r="Z955" s="115"/>
      <c r="AA955" s="115"/>
      <c r="AB955" s="115"/>
      <c r="AI955" s="263"/>
      <c r="AJ955" s="263"/>
      <c r="AK955" s="263"/>
      <c r="AN955" s="115"/>
      <c r="AO955" s="115"/>
    </row>
    <row r="956">
      <c r="A956" s="397"/>
      <c r="B956" s="385"/>
      <c r="C956" s="385"/>
      <c r="H956" s="115"/>
      <c r="I956" s="115"/>
      <c r="J956" s="115"/>
      <c r="K956" s="115"/>
      <c r="L956" s="115"/>
      <c r="M956" s="353"/>
      <c r="N956" s="115"/>
      <c r="O956" s="115"/>
      <c r="P956" s="115"/>
      <c r="Q956" s="115"/>
      <c r="R956" s="115"/>
      <c r="S956" s="115"/>
      <c r="T956" s="115"/>
      <c r="U956" s="115"/>
      <c r="V956" s="115"/>
      <c r="W956" s="115"/>
      <c r="X956" s="115"/>
      <c r="Y956" s="115"/>
      <c r="Z956" s="115"/>
      <c r="AA956" s="115"/>
      <c r="AB956" s="115"/>
      <c r="AI956" s="263"/>
      <c r="AJ956" s="263"/>
      <c r="AK956" s="263"/>
      <c r="AN956" s="115"/>
      <c r="AO956" s="115"/>
    </row>
    <row r="957">
      <c r="A957" s="397"/>
      <c r="B957" s="385"/>
      <c r="C957" s="385"/>
      <c r="H957" s="115"/>
      <c r="I957" s="115"/>
      <c r="J957" s="115"/>
      <c r="K957" s="115"/>
      <c r="L957" s="115"/>
      <c r="M957" s="353"/>
      <c r="N957" s="115"/>
      <c r="O957" s="115"/>
      <c r="P957" s="115"/>
      <c r="Q957" s="115"/>
      <c r="R957" s="115"/>
      <c r="S957" s="115"/>
      <c r="T957" s="115"/>
      <c r="U957" s="115"/>
      <c r="V957" s="115"/>
      <c r="W957" s="115"/>
      <c r="X957" s="115"/>
      <c r="Y957" s="115"/>
      <c r="Z957" s="115"/>
      <c r="AA957" s="115"/>
      <c r="AB957" s="115"/>
      <c r="AI957" s="263"/>
      <c r="AJ957" s="263"/>
      <c r="AK957" s="263"/>
      <c r="AN957" s="115"/>
      <c r="AO957" s="115"/>
    </row>
    <row r="958">
      <c r="A958" s="397"/>
      <c r="B958" s="385"/>
      <c r="C958" s="385"/>
      <c r="H958" s="115"/>
      <c r="I958" s="115"/>
      <c r="J958" s="115"/>
      <c r="K958" s="115"/>
      <c r="L958" s="115"/>
      <c r="M958" s="353"/>
      <c r="N958" s="115"/>
      <c r="O958" s="115"/>
      <c r="P958" s="115"/>
      <c r="Q958" s="115"/>
      <c r="R958" s="115"/>
      <c r="S958" s="115"/>
      <c r="T958" s="115"/>
      <c r="U958" s="115"/>
      <c r="V958" s="115"/>
      <c r="W958" s="115"/>
      <c r="X958" s="115"/>
      <c r="Y958" s="115"/>
      <c r="Z958" s="115"/>
      <c r="AA958" s="115"/>
      <c r="AB958" s="115"/>
      <c r="AI958" s="263"/>
      <c r="AJ958" s="263"/>
      <c r="AK958" s="263"/>
      <c r="AN958" s="115"/>
      <c r="AO958" s="115"/>
    </row>
    <row r="959">
      <c r="A959" s="397"/>
      <c r="B959" s="385"/>
      <c r="C959" s="385"/>
      <c r="H959" s="115"/>
      <c r="I959" s="115"/>
      <c r="J959" s="115"/>
      <c r="K959" s="115"/>
      <c r="L959" s="115"/>
      <c r="M959" s="353"/>
      <c r="N959" s="115"/>
      <c r="O959" s="115"/>
      <c r="P959" s="115"/>
      <c r="Q959" s="115"/>
      <c r="R959" s="115"/>
      <c r="S959" s="115"/>
      <c r="T959" s="115"/>
      <c r="U959" s="115"/>
      <c r="V959" s="115"/>
      <c r="W959" s="115"/>
      <c r="X959" s="115"/>
      <c r="Y959" s="115"/>
      <c r="Z959" s="115"/>
      <c r="AA959" s="115"/>
      <c r="AB959" s="115"/>
      <c r="AI959" s="263"/>
      <c r="AJ959" s="263"/>
      <c r="AK959" s="263"/>
      <c r="AN959" s="115"/>
      <c r="AO959" s="115"/>
    </row>
    <row r="960">
      <c r="A960" s="397"/>
      <c r="B960" s="385"/>
      <c r="C960" s="385"/>
      <c r="H960" s="115"/>
      <c r="I960" s="115"/>
      <c r="J960" s="115"/>
      <c r="K960" s="115"/>
      <c r="L960" s="115"/>
      <c r="M960" s="353"/>
      <c r="N960" s="115"/>
      <c r="O960" s="115"/>
      <c r="P960" s="115"/>
      <c r="Q960" s="115"/>
      <c r="R960" s="115"/>
      <c r="S960" s="115"/>
      <c r="T960" s="115"/>
      <c r="U960" s="115"/>
      <c r="V960" s="115"/>
      <c r="W960" s="115"/>
      <c r="X960" s="115"/>
      <c r="Y960" s="115"/>
      <c r="Z960" s="115"/>
      <c r="AA960" s="115"/>
      <c r="AB960" s="115"/>
      <c r="AI960" s="263"/>
      <c r="AJ960" s="263"/>
      <c r="AK960" s="263"/>
      <c r="AN960" s="115"/>
      <c r="AO960" s="115"/>
    </row>
    <row r="961">
      <c r="A961" s="397"/>
      <c r="B961" s="385"/>
      <c r="C961" s="385"/>
      <c r="H961" s="115"/>
      <c r="I961" s="115"/>
      <c r="J961" s="115"/>
      <c r="K961" s="115"/>
      <c r="L961" s="115"/>
      <c r="M961" s="353"/>
      <c r="N961" s="115"/>
      <c r="O961" s="115"/>
      <c r="P961" s="115"/>
      <c r="Q961" s="115"/>
      <c r="R961" s="115"/>
      <c r="S961" s="115"/>
      <c r="T961" s="115"/>
      <c r="U961" s="115"/>
      <c r="V961" s="115"/>
      <c r="W961" s="115"/>
      <c r="X961" s="115"/>
      <c r="Y961" s="115"/>
      <c r="Z961" s="115"/>
      <c r="AA961" s="115"/>
      <c r="AB961" s="115"/>
      <c r="AI961" s="263"/>
      <c r="AJ961" s="263"/>
      <c r="AK961" s="263"/>
      <c r="AN961" s="115"/>
      <c r="AO961" s="115"/>
    </row>
    <row r="962">
      <c r="A962" s="397"/>
      <c r="B962" s="385"/>
      <c r="C962" s="385"/>
      <c r="H962" s="115"/>
      <c r="I962" s="115"/>
      <c r="J962" s="115"/>
      <c r="K962" s="115"/>
      <c r="L962" s="115"/>
      <c r="M962" s="353"/>
      <c r="N962" s="115"/>
      <c r="O962" s="115"/>
      <c r="P962" s="115"/>
      <c r="Q962" s="115"/>
      <c r="R962" s="115"/>
      <c r="S962" s="115"/>
      <c r="T962" s="115"/>
      <c r="U962" s="115"/>
      <c r="V962" s="115"/>
      <c r="W962" s="115"/>
      <c r="X962" s="115"/>
      <c r="Y962" s="115"/>
      <c r="Z962" s="115"/>
      <c r="AA962" s="115"/>
      <c r="AB962" s="115"/>
      <c r="AI962" s="263"/>
      <c r="AJ962" s="263"/>
      <c r="AK962" s="263"/>
      <c r="AN962" s="115"/>
      <c r="AO962" s="115"/>
    </row>
    <row r="963">
      <c r="A963" s="397"/>
      <c r="B963" s="385"/>
      <c r="C963" s="385"/>
      <c r="H963" s="115"/>
      <c r="I963" s="115"/>
      <c r="J963" s="115"/>
      <c r="K963" s="115"/>
      <c r="L963" s="115"/>
      <c r="M963" s="353"/>
      <c r="N963" s="115"/>
      <c r="O963" s="115"/>
      <c r="P963" s="115"/>
      <c r="Q963" s="115"/>
      <c r="R963" s="115"/>
      <c r="S963" s="115"/>
      <c r="T963" s="115"/>
      <c r="U963" s="115"/>
      <c r="V963" s="115"/>
      <c r="W963" s="115"/>
      <c r="X963" s="115"/>
      <c r="Y963" s="115"/>
      <c r="Z963" s="115"/>
      <c r="AA963" s="115"/>
      <c r="AB963" s="115"/>
      <c r="AI963" s="263"/>
      <c r="AJ963" s="263"/>
      <c r="AK963" s="263"/>
      <c r="AN963" s="115"/>
      <c r="AO963" s="115"/>
    </row>
    <row r="964">
      <c r="A964" s="397"/>
      <c r="B964" s="385"/>
      <c r="C964" s="385"/>
      <c r="H964" s="115"/>
      <c r="I964" s="115"/>
      <c r="J964" s="115"/>
      <c r="K964" s="115"/>
      <c r="L964" s="115"/>
      <c r="M964" s="353"/>
      <c r="N964" s="115"/>
      <c r="O964" s="115"/>
      <c r="P964" s="115"/>
      <c r="Q964" s="115"/>
      <c r="R964" s="115"/>
      <c r="S964" s="115"/>
      <c r="T964" s="115"/>
      <c r="U964" s="115"/>
      <c r="V964" s="115"/>
      <c r="W964" s="115"/>
      <c r="X964" s="115"/>
      <c r="Y964" s="115"/>
      <c r="Z964" s="115"/>
      <c r="AA964" s="115"/>
      <c r="AB964" s="115"/>
      <c r="AI964" s="263"/>
      <c r="AJ964" s="263"/>
      <c r="AK964" s="263"/>
      <c r="AN964" s="115"/>
      <c r="AO964" s="115"/>
    </row>
    <row r="965">
      <c r="A965" s="397"/>
      <c r="B965" s="385"/>
      <c r="C965" s="385"/>
      <c r="H965" s="115"/>
      <c r="I965" s="115"/>
      <c r="J965" s="115"/>
      <c r="K965" s="115"/>
      <c r="L965" s="115"/>
      <c r="M965" s="353"/>
      <c r="N965" s="115"/>
      <c r="O965" s="115"/>
      <c r="P965" s="115"/>
      <c r="Q965" s="115"/>
      <c r="R965" s="115"/>
      <c r="S965" s="115"/>
      <c r="T965" s="115"/>
      <c r="U965" s="115"/>
      <c r="V965" s="115"/>
      <c r="W965" s="115"/>
      <c r="X965" s="115"/>
      <c r="Y965" s="115"/>
      <c r="Z965" s="115"/>
      <c r="AA965" s="115"/>
      <c r="AB965" s="115"/>
      <c r="AI965" s="263"/>
      <c r="AJ965" s="263"/>
      <c r="AK965" s="263"/>
      <c r="AN965" s="115"/>
      <c r="AO965" s="115"/>
    </row>
    <row r="966">
      <c r="A966" s="397"/>
      <c r="B966" s="385"/>
      <c r="C966" s="385"/>
      <c r="H966" s="115"/>
      <c r="I966" s="115"/>
      <c r="J966" s="115"/>
      <c r="K966" s="115"/>
      <c r="L966" s="115"/>
      <c r="M966" s="353"/>
      <c r="N966" s="115"/>
      <c r="O966" s="115"/>
      <c r="P966" s="115"/>
      <c r="Q966" s="115"/>
      <c r="R966" s="115"/>
      <c r="S966" s="115"/>
      <c r="T966" s="115"/>
      <c r="U966" s="115"/>
      <c r="V966" s="115"/>
      <c r="W966" s="115"/>
      <c r="X966" s="115"/>
      <c r="Y966" s="115"/>
      <c r="Z966" s="115"/>
      <c r="AA966" s="115"/>
      <c r="AB966" s="115"/>
      <c r="AI966" s="263"/>
      <c r="AJ966" s="263"/>
      <c r="AK966" s="263"/>
      <c r="AN966" s="115"/>
      <c r="AO966" s="115"/>
    </row>
    <row r="967">
      <c r="A967" s="397"/>
      <c r="B967" s="385"/>
      <c r="C967" s="385"/>
      <c r="H967" s="115"/>
      <c r="I967" s="115"/>
      <c r="J967" s="115"/>
      <c r="K967" s="115"/>
      <c r="L967" s="115"/>
      <c r="M967" s="353"/>
      <c r="N967" s="115"/>
      <c r="O967" s="115"/>
      <c r="P967" s="115"/>
      <c r="Q967" s="115"/>
      <c r="R967" s="115"/>
      <c r="S967" s="115"/>
      <c r="T967" s="115"/>
      <c r="U967" s="115"/>
      <c r="V967" s="115"/>
      <c r="W967" s="115"/>
      <c r="X967" s="115"/>
      <c r="Y967" s="115"/>
      <c r="Z967" s="115"/>
      <c r="AA967" s="115"/>
      <c r="AB967" s="115"/>
      <c r="AI967" s="263"/>
      <c r="AJ967" s="263"/>
      <c r="AK967" s="263"/>
      <c r="AN967" s="115"/>
      <c r="AO967" s="115"/>
    </row>
    <row r="968">
      <c r="A968" s="397"/>
      <c r="B968" s="385"/>
      <c r="C968" s="385"/>
      <c r="H968" s="115"/>
      <c r="I968" s="115"/>
      <c r="J968" s="115"/>
      <c r="K968" s="115"/>
      <c r="L968" s="115"/>
      <c r="M968" s="353"/>
      <c r="N968" s="115"/>
      <c r="O968" s="115"/>
      <c r="P968" s="115"/>
      <c r="Q968" s="115"/>
      <c r="R968" s="115"/>
      <c r="S968" s="115"/>
      <c r="T968" s="115"/>
      <c r="U968" s="115"/>
      <c r="V968" s="115"/>
      <c r="W968" s="115"/>
      <c r="X968" s="115"/>
      <c r="Y968" s="115"/>
      <c r="Z968" s="115"/>
      <c r="AA968" s="115"/>
      <c r="AB968" s="115"/>
      <c r="AI968" s="263"/>
      <c r="AJ968" s="263"/>
      <c r="AK968" s="263"/>
      <c r="AN968" s="115"/>
      <c r="AO968" s="115"/>
    </row>
    <row r="969">
      <c r="A969" s="397"/>
      <c r="B969" s="385"/>
      <c r="C969" s="385"/>
      <c r="H969" s="115"/>
      <c r="I969" s="115"/>
      <c r="J969" s="115"/>
      <c r="K969" s="115"/>
      <c r="L969" s="115"/>
      <c r="M969" s="353"/>
      <c r="N969" s="115"/>
      <c r="O969" s="115"/>
      <c r="P969" s="115"/>
      <c r="Q969" s="115"/>
      <c r="R969" s="115"/>
      <c r="S969" s="115"/>
      <c r="T969" s="115"/>
      <c r="U969" s="115"/>
      <c r="V969" s="115"/>
      <c r="W969" s="115"/>
      <c r="X969" s="115"/>
      <c r="Y969" s="115"/>
      <c r="Z969" s="115"/>
      <c r="AA969" s="115"/>
      <c r="AB969" s="115"/>
      <c r="AI969" s="263"/>
      <c r="AJ969" s="263"/>
      <c r="AK969" s="263"/>
      <c r="AN969" s="115"/>
      <c r="AO969" s="115"/>
    </row>
    <row r="970">
      <c r="A970" s="397"/>
      <c r="B970" s="385"/>
      <c r="C970" s="385"/>
      <c r="H970" s="115"/>
      <c r="I970" s="115"/>
      <c r="J970" s="115"/>
      <c r="K970" s="115"/>
      <c r="L970" s="115"/>
      <c r="M970" s="353"/>
      <c r="N970" s="115"/>
      <c r="O970" s="115"/>
      <c r="P970" s="115"/>
      <c r="Q970" s="115"/>
      <c r="R970" s="115"/>
      <c r="S970" s="115"/>
      <c r="T970" s="115"/>
      <c r="U970" s="115"/>
      <c r="V970" s="115"/>
      <c r="W970" s="115"/>
      <c r="X970" s="115"/>
      <c r="Y970" s="115"/>
      <c r="Z970" s="115"/>
      <c r="AA970" s="115"/>
      <c r="AB970" s="115"/>
      <c r="AI970" s="263"/>
      <c r="AJ970" s="263"/>
      <c r="AK970" s="263"/>
      <c r="AN970" s="115"/>
      <c r="AO970" s="115"/>
    </row>
    <row r="971">
      <c r="A971" s="397"/>
      <c r="B971" s="385"/>
      <c r="C971" s="385"/>
      <c r="H971" s="115"/>
      <c r="I971" s="115"/>
      <c r="J971" s="115"/>
      <c r="K971" s="115"/>
      <c r="L971" s="115"/>
      <c r="M971" s="353"/>
      <c r="N971" s="115"/>
      <c r="O971" s="115"/>
      <c r="P971" s="115"/>
      <c r="Q971" s="115"/>
      <c r="R971" s="115"/>
      <c r="S971" s="115"/>
      <c r="T971" s="115"/>
      <c r="U971" s="115"/>
      <c r="V971" s="115"/>
      <c r="W971" s="115"/>
      <c r="X971" s="115"/>
      <c r="Y971" s="115"/>
      <c r="Z971" s="115"/>
      <c r="AA971" s="115"/>
      <c r="AB971" s="115"/>
      <c r="AI971" s="263"/>
      <c r="AJ971" s="263"/>
      <c r="AK971" s="263"/>
      <c r="AN971" s="115"/>
      <c r="AO971" s="115"/>
    </row>
    <row r="972">
      <c r="A972" s="397"/>
      <c r="B972" s="385"/>
      <c r="C972" s="385"/>
      <c r="H972" s="115"/>
      <c r="I972" s="115"/>
      <c r="J972" s="115"/>
      <c r="K972" s="115"/>
      <c r="L972" s="115"/>
      <c r="M972" s="353"/>
      <c r="N972" s="115"/>
      <c r="O972" s="115"/>
      <c r="P972" s="115"/>
      <c r="Q972" s="115"/>
      <c r="R972" s="115"/>
      <c r="S972" s="115"/>
      <c r="T972" s="115"/>
      <c r="U972" s="115"/>
      <c r="V972" s="115"/>
      <c r="W972" s="115"/>
      <c r="X972" s="115"/>
      <c r="Y972" s="115"/>
      <c r="Z972" s="115"/>
      <c r="AA972" s="115"/>
      <c r="AB972" s="115"/>
      <c r="AI972" s="263"/>
      <c r="AJ972" s="263"/>
      <c r="AK972" s="263"/>
      <c r="AN972" s="115"/>
      <c r="AO972" s="115"/>
    </row>
    <row r="973">
      <c r="A973" s="397"/>
      <c r="B973" s="385"/>
      <c r="C973" s="385"/>
      <c r="H973" s="115"/>
      <c r="I973" s="115"/>
      <c r="J973" s="115"/>
      <c r="K973" s="115"/>
      <c r="L973" s="115"/>
      <c r="M973" s="353"/>
      <c r="N973" s="115"/>
      <c r="O973" s="115"/>
      <c r="P973" s="115"/>
      <c r="Q973" s="115"/>
      <c r="R973" s="115"/>
      <c r="S973" s="115"/>
      <c r="T973" s="115"/>
      <c r="U973" s="115"/>
      <c r="V973" s="115"/>
      <c r="W973" s="115"/>
      <c r="X973" s="115"/>
      <c r="Y973" s="115"/>
      <c r="Z973" s="115"/>
      <c r="AA973" s="115"/>
      <c r="AB973" s="115"/>
      <c r="AI973" s="263"/>
      <c r="AJ973" s="263"/>
      <c r="AK973" s="263"/>
      <c r="AN973" s="115"/>
      <c r="AO973" s="115"/>
    </row>
    <row r="974">
      <c r="A974" s="397"/>
      <c r="B974" s="385"/>
      <c r="C974" s="385"/>
      <c r="H974" s="115"/>
      <c r="I974" s="115"/>
      <c r="J974" s="115"/>
      <c r="K974" s="115"/>
      <c r="L974" s="115"/>
      <c r="M974" s="353"/>
      <c r="N974" s="115"/>
      <c r="O974" s="115"/>
      <c r="P974" s="115"/>
      <c r="Q974" s="115"/>
      <c r="R974" s="115"/>
      <c r="S974" s="115"/>
      <c r="T974" s="115"/>
      <c r="U974" s="115"/>
      <c r="V974" s="115"/>
      <c r="W974" s="115"/>
      <c r="X974" s="115"/>
      <c r="Y974" s="115"/>
      <c r="Z974" s="115"/>
      <c r="AA974" s="115"/>
      <c r="AB974" s="115"/>
      <c r="AI974" s="263"/>
      <c r="AJ974" s="263"/>
      <c r="AK974" s="263"/>
      <c r="AN974" s="115"/>
      <c r="AO974" s="115"/>
    </row>
    <row r="975">
      <c r="A975" s="397"/>
      <c r="B975" s="385"/>
      <c r="C975" s="385"/>
      <c r="H975" s="115"/>
      <c r="I975" s="115"/>
      <c r="J975" s="115"/>
      <c r="K975" s="115"/>
      <c r="L975" s="115"/>
      <c r="M975" s="353"/>
      <c r="N975" s="115"/>
      <c r="O975" s="115"/>
      <c r="P975" s="115"/>
      <c r="Q975" s="115"/>
      <c r="R975" s="115"/>
      <c r="S975" s="115"/>
      <c r="T975" s="115"/>
      <c r="U975" s="115"/>
      <c r="V975" s="115"/>
      <c r="W975" s="115"/>
      <c r="X975" s="115"/>
      <c r="Y975" s="115"/>
      <c r="Z975" s="115"/>
      <c r="AA975" s="115"/>
      <c r="AB975" s="115"/>
      <c r="AI975" s="263"/>
      <c r="AJ975" s="263"/>
      <c r="AK975" s="263"/>
      <c r="AN975" s="115"/>
      <c r="AO975" s="115"/>
    </row>
    <row r="976">
      <c r="A976" s="397"/>
      <c r="B976" s="385"/>
      <c r="C976" s="385"/>
      <c r="H976" s="115"/>
      <c r="I976" s="115"/>
      <c r="J976" s="115"/>
      <c r="K976" s="115"/>
      <c r="L976" s="115"/>
      <c r="M976" s="353"/>
      <c r="N976" s="115"/>
      <c r="O976" s="115"/>
      <c r="P976" s="115"/>
      <c r="Q976" s="115"/>
      <c r="R976" s="115"/>
      <c r="S976" s="115"/>
      <c r="T976" s="115"/>
      <c r="U976" s="115"/>
      <c r="V976" s="115"/>
      <c r="W976" s="115"/>
      <c r="X976" s="115"/>
      <c r="Y976" s="115"/>
      <c r="Z976" s="115"/>
      <c r="AA976" s="115"/>
      <c r="AB976" s="115"/>
      <c r="AI976" s="263"/>
      <c r="AJ976" s="263"/>
      <c r="AK976" s="263"/>
      <c r="AN976" s="115"/>
      <c r="AO976" s="115"/>
    </row>
    <row r="977">
      <c r="A977" s="397"/>
      <c r="B977" s="385"/>
      <c r="C977" s="385"/>
      <c r="H977" s="115"/>
      <c r="I977" s="115"/>
      <c r="J977" s="115"/>
      <c r="K977" s="115"/>
      <c r="L977" s="115"/>
      <c r="M977" s="353"/>
      <c r="N977" s="115"/>
      <c r="O977" s="115"/>
      <c r="P977" s="115"/>
      <c r="Q977" s="115"/>
      <c r="R977" s="115"/>
      <c r="S977" s="115"/>
      <c r="T977" s="115"/>
      <c r="U977" s="115"/>
      <c r="V977" s="115"/>
      <c r="W977" s="115"/>
      <c r="X977" s="115"/>
      <c r="Y977" s="115"/>
      <c r="Z977" s="115"/>
      <c r="AA977" s="115"/>
      <c r="AB977" s="115"/>
      <c r="AI977" s="263"/>
      <c r="AJ977" s="263"/>
      <c r="AK977" s="263"/>
      <c r="AN977" s="115"/>
      <c r="AO977" s="115"/>
    </row>
    <row r="978">
      <c r="A978" s="397"/>
      <c r="B978" s="385"/>
      <c r="C978" s="385"/>
      <c r="H978" s="115"/>
      <c r="I978" s="115"/>
      <c r="J978" s="115"/>
      <c r="K978" s="115"/>
      <c r="L978" s="115"/>
      <c r="M978" s="353"/>
      <c r="N978" s="115"/>
      <c r="O978" s="115"/>
      <c r="P978" s="115"/>
      <c r="Q978" s="115"/>
      <c r="R978" s="115"/>
      <c r="S978" s="115"/>
      <c r="T978" s="115"/>
      <c r="U978" s="115"/>
      <c r="V978" s="115"/>
      <c r="W978" s="115"/>
      <c r="X978" s="115"/>
      <c r="Y978" s="115"/>
      <c r="Z978" s="115"/>
      <c r="AA978" s="115"/>
      <c r="AB978" s="115"/>
      <c r="AI978" s="263"/>
      <c r="AJ978" s="263"/>
      <c r="AK978" s="263"/>
      <c r="AN978" s="115"/>
      <c r="AO978" s="115"/>
    </row>
    <row r="979">
      <c r="A979" s="397"/>
      <c r="B979" s="385"/>
      <c r="C979" s="385"/>
      <c r="H979" s="115"/>
      <c r="I979" s="115"/>
      <c r="J979" s="115"/>
      <c r="K979" s="115"/>
      <c r="L979" s="115"/>
      <c r="M979" s="353"/>
      <c r="N979" s="115"/>
      <c r="O979" s="115"/>
      <c r="P979" s="115"/>
      <c r="Q979" s="115"/>
      <c r="R979" s="115"/>
      <c r="S979" s="115"/>
      <c r="T979" s="115"/>
      <c r="U979" s="115"/>
      <c r="V979" s="115"/>
      <c r="W979" s="115"/>
      <c r="X979" s="115"/>
      <c r="Y979" s="115"/>
      <c r="Z979" s="115"/>
      <c r="AA979" s="115"/>
      <c r="AB979" s="115"/>
      <c r="AI979" s="263"/>
      <c r="AJ979" s="263"/>
      <c r="AK979" s="263"/>
      <c r="AN979" s="115"/>
      <c r="AO979" s="115"/>
    </row>
    <row r="980">
      <c r="A980" s="397"/>
      <c r="B980" s="385"/>
      <c r="C980" s="385"/>
      <c r="H980" s="115"/>
      <c r="I980" s="115"/>
      <c r="J980" s="115"/>
      <c r="K980" s="115"/>
      <c r="L980" s="115"/>
      <c r="M980" s="353"/>
      <c r="N980" s="115"/>
      <c r="O980" s="115"/>
      <c r="P980" s="115"/>
      <c r="Q980" s="115"/>
      <c r="R980" s="115"/>
      <c r="S980" s="115"/>
      <c r="T980" s="115"/>
      <c r="U980" s="115"/>
      <c r="V980" s="115"/>
      <c r="W980" s="115"/>
      <c r="X980" s="115"/>
      <c r="Y980" s="115"/>
      <c r="Z980" s="115"/>
      <c r="AA980" s="115"/>
      <c r="AB980" s="115"/>
      <c r="AI980" s="263"/>
      <c r="AJ980" s="263"/>
      <c r="AK980" s="263"/>
      <c r="AN980" s="115"/>
      <c r="AO980" s="115"/>
    </row>
    <row r="981">
      <c r="A981" s="397"/>
      <c r="B981" s="385"/>
      <c r="C981" s="385"/>
      <c r="H981" s="115"/>
      <c r="I981" s="115"/>
      <c r="J981" s="115"/>
      <c r="K981" s="115"/>
      <c r="L981" s="115"/>
      <c r="M981" s="353"/>
      <c r="N981" s="115"/>
      <c r="O981" s="115"/>
      <c r="P981" s="115"/>
      <c r="Q981" s="115"/>
      <c r="R981" s="115"/>
      <c r="S981" s="115"/>
      <c r="T981" s="115"/>
      <c r="U981" s="115"/>
      <c r="V981" s="115"/>
      <c r="W981" s="115"/>
      <c r="X981" s="115"/>
      <c r="Y981" s="115"/>
      <c r="Z981" s="115"/>
      <c r="AA981" s="115"/>
      <c r="AB981" s="115"/>
      <c r="AI981" s="263"/>
      <c r="AJ981" s="263"/>
      <c r="AK981" s="263"/>
      <c r="AN981" s="115"/>
      <c r="AO981" s="115"/>
    </row>
    <row r="982">
      <c r="A982" s="397"/>
      <c r="B982" s="385"/>
      <c r="C982" s="385"/>
      <c r="H982" s="115"/>
      <c r="I982" s="115"/>
      <c r="J982" s="115"/>
      <c r="K982" s="115"/>
      <c r="L982" s="115"/>
      <c r="M982" s="353"/>
      <c r="N982" s="115"/>
      <c r="O982" s="115"/>
      <c r="P982" s="115"/>
      <c r="Q982" s="115"/>
      <c r="R982" s="115"/>
      <c r="S982" s="115"/>
      <c r="T982" s="115"/>
      <c r="U982" s="115"/>
      <c r="V982" s="115"/>
      <c r="W982" s="115"/>
      <c r="X982" s="115"/>
      <c r="Y982" s="115"/>
      <c r="Z982" s="115"/>
      <c r="AA982" s="115"/>
      <c r="AB982" s="115"/>
      <c r="AI982" s="263"/>
      <c r="AJ982" s="263"/>
      <c r="AK982" s="263"/>
      <c r="AN982" s="115"/>
      <c r="AO982" s="115"/>
    </row>
    <row r="983">
      <c r="A983" s="397"/>
      <c r="B983" s="385"/>
      <c r="C983" s="385"/>
      <c r="H983" s="115"/>
      <c r="I983" s="115"/>
      <c r="J983" s="115"/>
      <c r="K983" s="115"/>
      <c r="L983" s="115"/>
      <c r="M983" s="353"/>
      <c r="N983" s="115"/>
      <c r="O983" s="115"/>
      <c r="P983" s="115"/>
      <c r="Q983" s="115"/>
      <c r="R983" s="115"/>
      <c r="S983" s="115"/>
      <c r="T983" s="115"/>
      <c r="U983" s="115"/>
      <c r="V983" s="115"/>
      <c r="W983" s="115"/>
      <c r="X983" s="115"/>
      <c r="Y983" s="115"/>
      <c r="Z983" s="115"/>
      <c r="AA983" s="115"/>
      <c r="AB983" s="115"/>
      <c r="AI983" s="263"/>
      <c r="AJ983" s="263"/>
      <c r="AK983" s="263"/>
      <c r="AN983" s="115"/>
      <c r="AO983" s="115"/>
    </row>
    <row r="984">
      <c r="A984" s="397"/>
      <c r="B984" s="385"/>
      <c r="C984" s="385"/>
      <c r="H984" s="115"/>
      <c r="I984" s="115"/>
      <c r="J984" s="115"/>
      <c r="K984" s="115"/>
      <c r="L984" s="115"/>
      <c r="M984" s="353"/>
      <c r="N984" s="115"/>
      <c r="O984" s="115"/>
      <c r="P984" s="115"/>
      <c r="Q984" s="115"/>
      <c r="R984" s="115"/>
      <c r="S984" s="115"/>
      <c r="T984" s="115"/>
      <c r="U984" s="115"/>
      <c r="V984" s="115"/>
      <c r="W984" s="115"/>
      <c r="X984" s="115"/>
      <c r="Y984" s="115"/>
      <c r="Z984" s="115"/>
      <c r="AA984" s="115"/>
      <c r="AB984" s="115"/>
      <c r="AI984" s="263"/>
      <c r="AJ984" s="263"/>
      <c r="AK984" s="263"/>
      <c r="AN984" s="115"/>
      <c r="AO984" s="115"/>
    </row>
    <row r="985">
      <c r="A985" s="397"/>
      <c r="B985" s="385"/>
      <c r="C985" s="385"/>
      <c r="H985" s="115"/>
      <c r="I985" s="115"/>
      <c r="J985" s="115"/>
      <c r="K985" s="115"/>
      <c r="L985" s="115"/>
      <c r="M985" s="353"/>
      <c r="N985" s="115"/>
      <c r="O985" s="115"/>
      <c r="P985" s="115"/>
      <c r="Q985" s="115"/>
      <c r="R985" s="115"/>
      <c r="S985" s="115"/>
      <c r="T985" s="115"/>
      <c r="U985" s="115"/>
      <c r="V985" s="115"/>
      <c r="W985" s="115"/>
      <c r="X985" s="115"/>
      <c r="Y985" s="115"/>
      <c r="Z985" s="115"/>
      <c r="AA985" s="115"/>
      <c r="AB985" s="115"/>
      <c r="AI985" s="263"/>
      <c r="AJ985" s="263"/>
      <c r="AK985" s="263"/>
      <c r="AN985" s="115"/>
      <c r="AO985" s="115"/>
    </row>
    <row r="986">
      <c r="A986" s="397"/>
      <c r="B986" s="385"/>
      <c r="C986" s="385"/>
      <c r="H986" s="115"/>
      <c r="I986" s="115"/>
      <c r="J986" s="115"/>
      <c r="K986" s="115"/>
      <c r="L986" s="115"/>
      <c r="M986" s="353"/>
      <c r="N986" s="115"/>
      <c r="O986" s="115"/>
      <c r="P986" s="115"/>
      <c r="Q986" s="115"/>
      <c r="R986" s="115"/>
      <c r="S986" s="115"/>
      <c r="T986" s="115"/>
      <c r="U986" s="115"/>
      <c r="V986" s="115"/>
      <c r="W986" s="115"/>
      <c r="X986" s="115"/>
      <c r="Y986" s="115"/>
      <c r="Z986" s="115"/>
      <c r="AA986" s="115"/>
      <c r="AB986" s="115"/>
      <c r="AI986" s="263"/>
      <c r="AJ986" s="263"/>
      <c r="AK986" s="263"/>
      <c r="AN986" s="115"/>
      <c r="AO986" s="115"/>
    </row>
    <row r="987">
      <c r="A987" s="397"/>
      <c r="B987" s="385"/>
      <c r="C987" s="385"/>
      <c r="H987" s="115"/>
      <c r="I987" s="115"/>
      <c r="J987" s="115"/>
      <c r="K987" s="115"/>
      <c r="L987" s="115"/>
      <c r="M987" s="353"/>
      <c r="N987" s="115"/>
      <c r="O987" s="115"/>
      <c r="P987" s="115"/>
      <c r="Q987" s="115"/>
      <c r="R987" s="115"/>
      <c r="S987" s="115"/>
      <c r="T987" s="115"/>
      <c r="U987" s="115"/>
      <c r="V987" s="115"/>
      <c r="W987" s="115"/>
      <c r="X987" s="115"/>
      <c r="Y987" s="115"/>
      <c r="Z987" s="115"/>
      <c r="AA987" s="115"/>
      <c r="AB987" s="115"/>
      <c r="AI987" s="263"/>
      <c r="AJ987" s="263"/>
      <c r="AK987" s="263"/>
      <c r="AN987" s="115"/>
      <c r="AO987" s="115"/>
    </row>
    <row r="988">
      <c r="A988" s="397"/>
      <c r="B988" s="385"/>
      <c r="C988" s="385"/>
      <c r="H988" s="115"/>
      <c r="I988" s="115"/>
      <c r="J988" s="115"/>
      <c r="K988" s="115"/>
      <c r="L988" s="115"/>
      <c r="M988" s="353"/>
      <c r="N988" s="115"/>
      <c r="O988" s="115"/>
      <c r="P988" s="115"/>
      <c r="Q988" s="115"/>
      <c r="R988" s="115"/>
      <c r="S988" s="115"/>
      <c r="T988" s="115"/>
      <c r="U988" s="115"/>
      <c r="V988" s="115"/>
      <c r="W988" s="115"/>
      <c r="X988" s="115"/>
      <c r="Y988" s="115"/>
      <c r="Z988" s="115"/>
      <c r="AA988" s="115"/>
      <c r="AB988" s="115"/>
      <c r="AI988" s="263"/>
      <c r="AJ988" s="263"/>
      <c r="AK988" s="263"/>
      <c r="AN988" s="115"/>
      <c r="AO988" s="115"/>
    </row>
    <row r="989">
      <c r="A989" s="397"/>
      <c r="B989" s="385"/>
      <c r="C989" s="385"/>
      <c r="H989" s="115"/>
      <c r="I989" s="115"/>
      <c r="J989" s="115"/>
      <c r="K989" s="115"/>
      <c r="L989" s="115"/>
      <c r="M989" s="353"/>
      <c r="N989" s="115"/>
      <c r="O989" s="115"/>
      <c r="P989" s="115"/>
      <c r="Q989" s="115"/>
      <c r="R989" s="115"/>
      <c r="S989" s="115"/>
      <c r="T989" s="115"/>
      <c r="U989" s="115"/>
      <c r="V989" s="115"/>
      <c r="W989" s="115"/>
      <c r="X989" s="115"/>
      <c r="Y989" s="115"/>
      <c r="Z989" s="115"/>
      <c r="AA989" s="115"/>
      <c r="AB989" s="115"/>
      <c r="AI989" s="263"/>
      <c r="AJ989" s="263"/>
      <c r="AK989" s="263"/>
      <c r="AN989" s="115"/>
      <c r="AO989" s="115"/>
    </row>
    <row r="990">
      <c r="A990" s="397"/>
      <c r="B990" s="385"/>
      <c r="C990" s="385"/>
      <c r="H990" s="115"/>
      <c r="I990" s="115"/>
      <c r="J990" s="115"/>
      <c r="K990" s="115"/>
      <c r="L990" s="115"/>
      <c r="M990" s="353"/>
      <c r="N990" s="115"/>
      <c r="O990" s="115"/>
      <c r="P990" s="115"/>
      <c r="Q990" s="115"/>
      <c r="R990" s="115"/>
      <c r="S990" s="115"/>
      <c r="T990" s="115"/>
      <c r="U990" s="115"/>
      <c r="V990" s="115"/>
      <c r="W990" s="115"/>
      <c r="X990" s="115"/>
      <c r="Y990" s="115"/>
      <c r="Z990" s="115"/>
      <c r="AA990" s="115"/>
      <c r="AB990" s="115"/>
      <c r="AI990" s="263"/>
      <c r="AJ990" s="263"/>
      <c r="AK990" s="263"/>
      <c r="AN990" s="115"/>
      <c r="AO990" s="115"/>
    </row>
    <row r="991">
      <c r="A991" s="397"/>
      <c r="B991" s="385"/>
      <c r="C991" s="385"/>
      <c r="H991" s="115"/>
      <c r="I991" s="115"/>
      <c r="J991" s="115"/>
      <c r="K991" s="115"/>
      <c r="L991" s="115"/>
      <c r="M991" s="353"/>
      <c r="N991" s="115"/>
      <c r="O991" s="115"/>
      <c r="P991" s="115"/>
      <c r="Q991" s="115"/>
      <c r="R991" s="115"/>
      <c r="S991" s="115"/>
      <c r="T991" s="115"/>
      <c r="U991" s="115"/>
      <c r="V991" s="115"/>
      <c r="W991" s="115"/>
      <c r="X991" s="115"/>
      <c r="Y991" s="115"/>
      <c r="Z991" s="115"/>
      <c r="AA991" s="115"/>
      <c r="AB991" s="115"/>
      <c r="AI991" s="263"/>
      <c r="AJ991" s="263"/>
      <c r="AK991" s="263"/>
      <c r="AN991" s="115"/>
      <c r="AO991" s="115"/>
    </row>
    <row r="992">
      <c r="A992" s="397"/>
      <c r="B992" s="385"/>
      <c r="C992" s="385"/>
      <c r="H992" s="115"/>
      <c r="I992" s="115"/>
      <c r="J992" s="115"/>
      <c r="K992" s="115"/>
      <c r="L992" s="115"/>
      <c r="M992" s="353"/>
      <c r="N992" s="115"/>
      <c r="O992" s="115"/>
      <c r="P992" s="115"/>
      <c r="Q992" s="115"/>
      <c r="R992" s="115"/>
      <c r="S992" s="115"/>
      <c r="T992" s="115"/>
      <c r="U992" s="115"/>
      <c r="V992" s="115"/>
      <c r="W992" s="115"/>
      <c r="X992" s="115"/>
      <c r="Y992" s="115"/>
      <c r="Z992" s="115"/>
      <c r="AA992" s="115"/>
      <c r="AB992" s="115"/>
      <c r="AI992" s="263"/>
      <c r="AJ992" s="263"/>
      <c r="AK992" s="263"/>
      <c r="AN992" s="115"/>
      <c r="AO992" s="115"/>
    </row>
    <row r="993">
      <c r="A993" s="397"/>
      <c r="B993" s="385"/>
      <c r="C993" s="385"/>
      <c r="H993" s="115"/>
      <c r="I993" s="115"/>
      <c r="J993" s="115"/>
      <c r="K993" s="115"/>
      <c r="L993" s="115"/>
      <c r="M993" s="353"/>
      <c r="N993" s="115"/>
      <c r="O993" s="115"/>
      <c r="P993" s="115"/>
      <c r="Q993" s="115"/>
      <c r="R993" s="115"/>
      <c r="S993" s="115"/>
      <c r="T993" s="115"/>
      <c r="U993" s="115"/>
      <c r="V993" s="115"/>
      <c r="W993" s="115"/>
      <c r="X993" s="115"/>
      <c r="Y993" s="115"/>
      <c r="Z993" s="115"/>
      <c r="AA993" s="115"/>
      <c r="AB993" s="115"/>
      <c r="AI993" s="263"/>
      <c r="AJ993" s="263"/>
      <c r="AK993" s="263"/>
      <c r="AN993" s="115"/>
      <c r="AO993" s="115"/>
    </row>
    <row r="994">
      <c r="A994" s="397"/>
      <c r="B994" s="385"/>
      <c r="C994" s="385"/>
      <c r="H994" s="115"/>
      <c r="I994" s="115"/>
      <c r="J994" s="115"/>
      <c r="K994" s="115"/>
      <c r="L994" s="115"/>
      <c r="M994" s="353"/>
      <c r="N994" s="115"/>
      <c r="O994" s="115"/>
      <c r="P994" s="115"/>
      <c r="Q994" s="115"/>
      <c r="R994" s="115"/>
      <c r="S994" s="115"/>
      <c r="T994" s="115"/>
      <c r="U994" s="115"/>
      <c r="V994" s="115"/>
      <c r="W994" s="115"/>
      <c r="X994" s="115"/>
      <c r="Y994" s="115"/>
      <c r="Z994" s="115"/>
      <c r="AA994" s="115"/>
      <c r="AB994" s="115"/>
      <c r="AI994" s="263"/>
      <c r="AJ994" s="263"/>
      <c r="AK994" s="263"/>
      <c r="AN994" s="115"/>
      <c r="AO994" s="115"/>
    </row>
    <row r="995">
      <c r="A995" s="397"/>
      <c r="B995" s="385"/>
      <c r="C995" s="385"/>
      <c r="H995" s="115"/>
      <c r="I995" s="115"/>
      <c r="J995" s="115"/>
      <c r="K995" s="115"/>
      <c r="L995" s="115"/>
      <c r="M995" s="353"/>
      <c r="N995" s="115"/>
      <c r="O995" s="115"/>
      <c r="P995" s="115"/>
      <c r="Q995" s="115"/>
      <c r="R995" s="115"/>
      <c r="S995" s="115"/>
      <c r="T995" s="115"/>
      <c r="U995" s="115"/>
      <c r="V995" s="115"/>
      <c r="W995" s="115"/>
      <c r="X995" s="115"/>
      <c r="Y995" s="115"/>
      <c r="Z995" s="115"/>
      <c r="AA995" s="115"/>
      <c r="AB995" s="115"/>
      <c r="AI995" s="263"/>
      <c r="AJ995" s="263"/>
      <c r="AK995" s="263"/>
      <c r="AN995" s="115"/>
      <c r="AO995" s="115"/>
    </row>
    <row r="996">
      <c r="A996" s="397"/>
      <c r="B996" s="385"/>
      <c r="C996" s="385"/>
      <c r="H996" s="115"/>
      <c r="I996" s="115"/>
      <c r="J996" s="115"/>
      <c r="K996" s="115"/>
      <c r="L996" s="115"/>
      <c r="M996" s="353"/>
      <c r="N996" s="115"/>
      <c r="O996" s="115"/>
      <c r="P996" s="115"/>
      <c r="Q996" s="115"/>
      <c r="R996" s="115"/>
      <c r="S996" s="115"/>
      <c r="T996" s="115"/>
      <c r="U996" s="115"/>
      <c r="V996" s="115"/>
      <c r="W996" s="115"/>
      <c r="X996" s="115"/>
      <c r="Y996" s="115"/>
      <c r="Z996" s="115"/>
      <c r="AA996" s="115"/>
      <c r="AB996" s="115"/>
      <c r="AI996" s="263"/>
      <c r="AJ996" s="263"/>
      <c r="AK996" s="263"/>
      <c r="AN996" s="115"/>
      <c r="AO996" s="115"/>
    </row>
    <row r="997">
      <c r="A997" s="397"/>
      <c r="B997" s="385"/>
      <c r="C997" s="385"/>
      <c r="H997" s="115"/>
      <c r="I997" s="115"/>
      <c r="J997" s="115"/>
      <c r="K997" s="115"/>
      <c r="L997" s="115"/>
      <c r="M997" s="353"/>
      <c r="N997" s="115"/>
      <c r="O997" s="115"/>
      <c r="P997" s="115"/>
      <c r="Q997" s="115"/>
      <c r="R997" s="115"/>
      <c r="S997" s="115"/>
      <c r="T997" s="115"/>
      <c r="U997" s="115"/>
      <c r="V997" s="115"/>
      <c r="W997" s="115"/>
      <c r="X997" s="115"/>
      <c r="Y997" s="115"/>
      <c r="Z997" s="115"/>
      <c r="AA997" s="115"/>
      <c r="AB997" s="115"/>
      <c r="AI997" s="263"/>
      <c r="AJ997" s="263"/>
      <c r="AK997" s="263"/>
      <c r="AN997" s="115"/>
      <c r="AO997" s="115"/>
    </row>
    <row r="998">
      <c r="A998" s="397"/>
      <c r="B998" s="385"/>
      <c r="C998" s="385"/>
      <c r="H998" s="115"/>
      <c r="I998" s="115"/>
      <c r="J998" s="115"/>
      <c r="K998" s="115"/>
      <c r="L998" s="115"/>
      <c r="M998" s="353"/>
      <c r="N998" s="115"/>
      <c r="O998" s="115"/>
      <c r="P998" s="115"/>
      <c r="Q998" s="115"/>
      <c r="R998" s="115"/>
      <c r="S998" s="115"/>
      <c r="T998" s="115"/>
      <c r="U998" s="115"/>
      <c r="V998" s="115"/>
      <c r="W998" s="115"/>
      <c r="X998" s="115"/>
      <c r="Y998" s="115"/>
      <c r="Z998" s="115"/>
      <c r="AA998" s="115"/>
      <c r="AB998" s="115"/>
      <c r="AI998" s="263"/>
      <c r="AJ998" s="263"/>
      <c r="AK998" s="263"/>
      <c r="AN998" s="115"/>
      <c r="AO998" s="115"/>
    </row>
    <row r="999">
      <c r="A999" s="397"/>
      <c r="B999" s="385"/>
      <c r="C999" s="385"/>
      <c r="H999" s="115"/>
      <c r="I999" s="115"/>
      <c r="J999" s="115"/>
      <c r="K999" s="115"/>
      <c r="L999" s="115"/>
      <c r="M999" s="353"/>
      <c r="N999" s="115"/>
      <c r="O999" s="115"/>
      <c r="P999" s="115"/>
      <c r="Q999" s="115"/>
      <c r="R999" s="115"/>
      <c r="S999" s="115"/>
      <c r="T999" s="115"/>
      <c r="U999" s="115"/>
      <c r="V999" s="115"/>
      <c r="W999" s="115"/>
      <c r="X999" s="115"/>
      <c r="Y999" s="115"/>
      <c r="Z999" s="115"/>
      <c r="AA999" s="115"/>
      <c r="AB999" s="115"/>
      <c r="AI999" s="263"/>
      <c r="AJ999" s="263"/>
      <c r="AK999" s="263"/>
      <c r="AN999" s="115"/>
      <c r="AO999" s="115"/>
    </row>
    <row r="1000">
      <c r="A1000" s="397"/>
      <c r="B1000" s="385"/>
      <c r="C1000" s="385"/>
      <c r="H1000" s="115"/>
      <c r="I1000" s="115"/>
      <c r="J1000" s="115"/>
      <c r="K1000" s="115"/>
      <c r="L1000" s="115"/>
      <c r="M1000" s="353"/>
      <c r="N1000" s="115"/>
      <c r="O1000" s="115"/>
      <c r="P1000" s="115"/>
      <c r="Q1000" s="115"/>
      <c r="R1000" s="115"/>
      <c r="S1000" s="115"/>
      <c r="T1000" s="115"/>
      <c r="U1000" s="115"/>
      <c r="V1000" s="115"/>
      <c r="W1000" s="115"/>
      <c r="X1000" s="115"/>
      <c r="Y1000" s="115"/>
      <c r="Z1000" s="115"/>
      <c r="AA1000" s="115"/>
      <c r="AB1000" s="115"/>
      <c r="AI1000" s="263"/>
      <c r="AJ1000" s="263"/>
      <c r="AK1000" s="263"/>
      <c r="AN1000" s="115"/>
      <c r="AO1000" s="115"/>
    </row>
    <row r="1001">
      <c r="A1001" s="397"/>
      <c r="B1001" s="385"/>
      <c r="C1001" s="385"/>
      <c r="H1001" s="115"/>
      <c r="I1001" s="115"/>
      <c r="J1001" s="115"/>
      <c r="K1001" s="115"/>
      <c r="L1001" s="115"/>
      <c r="M1001" s="353"/>
      <c r="N1001" s="115"/>
      <c r="O1001" s="115"/>
      <c r="P1001" s="115"/>
      <c r="Q1001" s="115"/>
      <c r="R1001" s="115"/>
      <c r="S1001" s="115"/>
      <c r="T1001" s="115"/>
      <c r="U1001" s="115"/>
      <c r="V1001" s="115"/>
      <c r="W1001" s="115"/>
      <c r="X1001" s="115"/>
      <c r="Y1001" s="115"/>
      <c r="Z1001" s="115"/>
      <c r="AA1001" s="115"/>
      <c r="AB1001" s="115"/>
      <c r="AI1001" s="263"/>
      <c r="AJ1001" s="263"/>
      <c r="AK1001" s="263"/>
      <c r="AN1001" s="115"/>
      <c r="AO1001" s="115"/>
    </row>
    <row r="1002">
      <c r="A1002" s="397"/>
      <c r="B1002" s="385"/>
      <c r="C1002" s="385"/>
      <c r="H1002" s="115"/>
      <c r="I1002" s="115"/>
      <c r="J1002" s="115"/>
      <c r="K1002" s="115"/>
      <c r="L1002" s="115"/>
      <c r="M1002" s="353"/>
      <c r="N1002" s="115"/>
      <c r="O1002" s="115"/>
      <c r="P1002" s="115"/>
      <c r="Q1002" s="115"/>
      <c r="R1002" s="115"/>
      <c r="S1002" s="115"/>
      <c r="T1002" s="115"/>
      <c r="U1002" s="115"/>
      <c r="V1002" s="115"/>
      <c r="W1002" s="115"/>
      <c r="X1002" s="115"/>
      <c r="Y1002" s="115"/>
      <c r="Z1002" s="115"/>
      <c r="AA1002" s="115"/>
      <c r="AB1002" s="115"/>
      <c r="AI1002" s="263"/>
      <c r="AJ1002" s="263"/>
      <c r="AK1002" s="263"/>
      <c r="AN1002" s="115"/>
      <c r="AO1002" s="115"/>
    </row>
    <row r="1003">
      <c r="A1003" s="397"/>
      <c r="B1003" s="385"/>
      <c r="C1003" s="385"/>
      <c r="H1003" s="115"/>
      <c r="I1003" s="115"/>
      <c r="J1003" s="115"/>
      <c r="K1003" s="115"/>
      <c r="L1003" s="115"/>
      <c r="M1003" s="353"/>
      <c r="N1003" s="115"/>
      <c r="O1003" s="115"/>
      <c r="P1003" s="115"/>
      <c r="Q1003" s="115"/>
      <c r="R1003" s="115"/>
      <c r="S1003" s="115"/>
      <c r="T1003" s="115"/>
      <c r="U1003" s="115"/>
      <c r="V1003" s="115"/>
      <c r="W1003" s="115"/>
      <c r="X1003" s="115"/>
      <c r="Y1003" s="115"/>
      <c r="Z1003" s="115"/>
      <c r="AA1003" s="115"/>
      <c r="AB1003" s="115"/>
      <c r="AI1003" s="263"/>
      <c r="AJ1003" s="263"/>
      <c r="AK1003" s="263"/>
      <c r="AN1003" s="115"/>
      <c r="AO1003" s="115"/>
    </row>
    <row r="1004">
      <c r="A1004" s="397"/>
      <c r="B1004" s="385"/>
      <c r="C1004" s="385"/>
      <c r="H1004" s="115"/>
      <c r="I1004" s="115"/>
      <c r="J1004" s="115"/>
      <c r="K1004" s="115"/>
      <c r="L1004" s="115"/>
      <c r="M1004" s="353"/>
      <c r="N1004" s="115"/>
      <c r="O1004" s="115"/>
      <c r="P1004" s="115"/>
      <c r="Q1004" s="115"/>
      <c r="R1004" s="115"/>
      <c r="S1004" s="115"/>
      <c r="T1004" s="115"/>
      <c r="U1004" s="115"/>
      <c r="V1004" s="115"/>
      <c r="W1004" s="115"/>
      <c r="X1004" s="115"/>
      <c r="Y1004" s="115"/>
      <c r="Z1004" s="115"/>
      <c r="AA1004" s="115"/>
      <c r="AB1004" s="115"/>
      <c r="AI1004" s="263"/>
      <c r="AJ1004" s="263"/>
      <c r="AK1004" s="263"/>
      <c r="AN1004" s="115"/>
      <c r="AO1004" s="115"/>
    </row>
    <row r="1005">
      <c r="A1005" s="397"/>
      <c r="B1005" s="385"/>
      <c r="C1005" s="385"/>
      <c r="H1005" s="115"/>
      <c r="I1005" s="115"/>
      <c r="J1005" s="115"/>
      <c r="K1005" s="115"/>
      <c r="L1005" s="115"/>
      <c r="M1005" s="353"/>
      <c r="N1005" s="115"/>
      <c r="O1005" s="115"/>
      <c r="P1005" s="115"/>
      <c r="Q1005" s="115"/>
      <c r="R1005" s="115"/>
      <c r="S1005" s="115"/>
      <c r="T1005" s="115"/>
      <c r="U1005" s="115"/>
      <c r="V1005" s="115"/>
      <c r="W1005" s="115"/>
      <c r="X1005" s="115"/>
      <c r="Y1005" s="115"/>
      <c r="Z1005" s="115"/>
      <c r="AA1005" s="115"/>
      <c r="AB1005" s="115"/>
      <c r="AI1005" s="263"/>
      <c r="AJ1005" s="263"/>
      <c r="AK1005" s="263"/>
      <c r="AN1005" s="115"/>
      <c r="AO1005" s="115"/>
    </row>
    <row r="1006">
      <c r="A1006" s="397"/>
      <c r="B1006" s="385"/>
      <c r="C1006" s="385"/>
      <c r="H1006" s="115"/>
      <c r="I1006" s="115"/>
      <c r="J1006" s="115"/>
      <c r="K1006" s="115"/>
      <c r="L1006" s="115"/>
      <c r="M1006" s="353"/>
      <c r="N1006" s="115"/>
      <c r="O1006" s="115"/>
      <c r="P1006" s="115"/>
      <c r="Q1006" s="115"/>
      <c r="R1006" s="115"/>
      <c r="S1006" s="115"/>
      <c r="T1006" s="115"/>
      <c r="U1006" s="115"/>
      <c r="V1006" s="115"/>
      <c r="W1006" s="115"/>
      <c r="X1006" s="115"/>
      <c r="Y1006" s="115"/>
      <c r="Z1006" s="115"/>
      <c r="AA1006" s="115"/>
      <c r="AB1006" s="115"/>
      <c r="AI1006" s="263"/>
      <c r="AJ1006" s="263"/>
      <c r="AK1006" s="263"/>
      <c r="AN1006" s="115"/>
      <c r="AO1006" s="115"/>
    </row>
    <row r="1007">
      <c r="A1007" s="397"/>
      <c r="B1007" s="385"/>
      <c r="C1007" s="385"/>
      <c r="H1007" s="115"/>
      <c r="I1007" s="115"/>
      <c r="J1007" s="115"/>
      <c r="K1007" s="115"/>
      <c r="L1007" s="115"/>
      <c r="M1007" s="353"/>
      <c r="N1007" s="115"/>
      <c r="O1007" s="115"/>
      <c r="P1007" s="115"/>
      <c r="Q1007" s="115"/>
      <c r="R1007" s="115"/>
      <c r="S1007" s="115"/>
      <c r="T1007" s="115"/>
      <c r="U1007" s="115"/>
      <c r="V1007" s="115"/>
      <c r="W1007" s="115"/>
      <c r="X1007" s="115"/>
      <c r="Y1007" s="115"/>
      <c r="Z1007" s="115"/>
      <c r="AA1007" s="115"/>
      <c r="AB1007" s="115"/>
      <c r="AI1007" s="263"/>
      <c r="AJ1007" s="263"/>
      <c r="AK1007" s="263"/>
      <c r="AN1007" s="115"/>
      <c r="AO1007" s="115"/>
    </row>
    <row r="1008">
      <c r="A1008" s="397"/>
      <c r="B1008" s="385"/>
      <c r="C1008" s="385"/>
      <c r="H1008" s="115"/>
      <c r="I1008" s="115"/>
      <c r="J1008" s="115"/>
      <c r="K1008" s="115"/>
      <c r="L1008" s="115"/>
      <c r="M1008" s="353"/>
      <c r="N1008" s="115"/>
      <c r="O1008" s="115"/>
      <c r="P1008" s="115"/>
      <c r="Q1008" s="115"/>
      <c r="R1008" s="115"/>
      <c r="S1008" s="115"/>
      <c r="T1008" s="115"/>
      <c r="U1008" s="115"/>
      <c r="V1008" s="115"/>
      <c r="W1008" s="115"/>
      <c r="X1008" s="115"/>
      <c r="Y1008" s="115"/>
      <c r="Z1008" s="115"/>
      <c r="AA1008" s="115"/>
      <c r="AB1008" s="115"/>
      <c r="AI1008" s="263"/>
      <c r="AJ1008" s="263"/>
      <c r="AK1008" s="263"/>
      <c r="AN1008" s="115"/>
      <c r="AO1008" s="115"/>
    </row>
    <row r="1009">
      <c r="A1009" s="397"/>
      <c r="B1009" s="385"/>
      <c r="C1009" s="385"/>
      <c r="H1009" s="115"/>
      <c r="I1009" s="115"/>
      <c r="J1009" s="115"/>
      <c r="K1009" s="115"/>
      <c r="L1009" s="115"/>
      <c r="M1009" s="353"/>
      <c r="N1009" s="115"/>
      <c r="O1009" s="115"/>
      <c r="P1009" s="115"/>
      <c r="Q1009" s="115"/>
      <c r="R1009" s="115"/>
      <c r="S1009" s="115"/>
      <c r="T1009" s="115"/>
      <c r="U1009" s="115"/>
      <c r="V1009" s="115"/>
      <c r="W1009" s="115"/>
      <c r="X1009" s="115"/>
      <c r="Y1009" s="115"/>
      <c r="Z1009" s="115"/>
      <c r="AA1009" s="115"/>
      <c r="AB1009" s="115"/>
      <c r="AI1009" s="263"/>
      <c r="AJ1009" s="263"/>
      <c r="AK1009" s="263"/>
      <c r="AN1009" s="115"/>
      <c r="AO1009" s="115"/>
    </row>
    <row r="1010">
      <c r="A1010" s="397"/>
      <c r="B1010" s="385"/>
      <c r="C1010" s="385"/>
      <c r="H1010" s="115"/>
      <c r="I1010" s="115"/>
      <c r="J1010" s="115"/>
      <c r="K1010" s="115"/>
      <c r="L1010" s="115"/>
      <c r="M1010" s="353"/>
      <c r="N1010" s="115"/>
      <c r="O1010" s="115"/>
      <c r="P1010" s="115"/>
      <c r="Q1010" s="115"/>
      <c r="R1010" s="115"/>
      <c r="S1010" s="115"/>
      <c r="T1010" s="115"/>
      <c r="U1010" s="115"/>
      <c r="V1010" s="115"/>
      <c r="W1010" s="115"/>
      <c r="X1010" s="115"/>
      <c r="Y1010" s="115"/>
      <c r="Z1010" s="115"/>
      <c r="AA1010" s="115"/>
      <c r="AB1010" s="115"/>
      <c r="AI1010" s="263"/>
      <c r="AJ1010" s="263"/>
      <c r="AK1010" s="263"/>
      <c r="AN1010" s="115"/>
      <c r="AO1010" s="115"/>
    </row>
    <row r="1011">
      <c r="A1011" s="397"/>
      <c r="B1011" s="385"/>
      <c r="C1011" s="385"/>
      <c r="H1011" s="115"/>
      <c r="I1011" s="115"/>
      <c r="J1011" s="115"/>
      <c r="K1011" s="115"/>
      <c r="L1011" s="115"/>
      <c r="M1011" s="353"/>
      <c r="N1011" s="115"/>
      <c r="O1011" s="115"/>
      <c r="P1011" s="115"/>
      <c r="Q1011" s="115"/>
      <c r="R1011" s="115"/>
      <c r="S1011" s="115"/>
      <c r="T1011" s="115"/>
      <c r="U1011" s="115"/>
      <c r="V1011" s="115"/>
      <c r="W1011" s="115"/>
      <c r="X1011" s="115"/>
      <c r="Y1011" s="115"/>
      <c r="Z1011" s="115"/>
      <c r="AA1011" s="115"/>
      <c r="AB1011" s="115"/>
      <c r="AI1011" s="263"/>
      <c r="AJ1011" s="263"/>
      <c r="AK1011" s="263"/>
      <c r="AN1011" s="115"/>
      <c r="AO1011" s="115"/>
    </row>
    <row r="1012">
      <c r="A1012" s="397"/>
      <c r="B1012" s="385"/>
      <c r="C1012" s="385"/>
      <c r="H1012" s="115"/>
      <c r="I1012" s="115"/>
      <c r="J1012" s="115"/>
      <c r="K1012" s="115"/>
      <c r="L1012" s="115"/>
      <c r="M1012" s="353"/>
      <c r="N1012" s="115"/>
      <c r="O1012" s="115"/>
      <c r="P1012" s="115"/>
      <c r="Q1012" s="115"/>
      <c r="R1012" s="115"/>
      <c r="S1012" s="115"/>
      <c r="T1012" s="115"/>
      <c r="U1012" s="115"/>
      <c r="V1012" s="115"/>
      <c r="W1012" s="115"/>
      <c r="X1012" s="115"/>
      <c r="Y1012" s="115"/>
      <c r="Z1012" s="115"/>
      <c r="AA1012" s="115"/>
      <c r="AB1012" s="115"/>
      <c r="AI1012" s="263"/>
      <c r="AJ1012" s="263"/>
      <c r="AK1012" s="263"/>
      <c r="AN1012" s="115"/>
      <c r="AO1012" s="115"/>
    </row>
    <row r="1013">
      <c r="A1013" s="397"/>
      <c r="B1013" s="385"/>
      <c r="C1013" s="385"/>
      <c r="H1013" s="115"/>
      <c r="I1013" s="115"/>
      <c r="J1013" s="115"/>
      <c r="K1013" s="115"/>
      <c r="L1013" s="115"/>
      <c r="M1013" s="353"/>
      <c r="N1013" s="115"/>
      <c r="O1013" s="115"/>
      <c r="P1013" s="115"/>
      <c r="Q1013" s="115"/>
      <c r="R1013" s="115"/>
      <c r="S1013" s="115"/>
      <c r="T1013" s="115"/>
      <c r="U1013" s="115"/>
      <c r="V1013" s="115"/>
      <c r="W1013" s="115"/>
      <c r="X1013" s="115"/>
      <c r="Y1013" s="115"/>
      <c r="Z1013" s="115"/>
      <c r="AA1013" s="115"/>
      <c r="AB1013" s="115"/>
      <c r="AI1013" s="263"/>
      <c r="AJ1013" s="263"/>
      <c r="AK1013" s="263"/>
      <c r="AN1013" s="115"/>
      <c r="AO1013" s="115"/>
    </row>
    <row r="1014">
      <c r="A1014" s="397"/>
      <c r="B1014" s="385"/>
      <c r="C1014" s="385"/>
      <c r="H1014" s="115"/>
      <c r="I1014" s="115"/>
      <c r="J1014" s="115"/>
      <c r="K1014" s="115"/>
      <c r="L1014" s="115"/>
      <c r="M1014" s="353"/>
      <c r="N1014" s="115"/>
      <c r="O1014" s="115"/>
      <c r="P1014" s="115"/>
      <c r="Q1014" s="115"/>
      <c r="R1014" s="115"/>
      <c r="S1014" s="115"/>
      <c r="T1014" s="115"/>
      <c r="U1014" s="115"/>
      <c r="V1014" s="115"/>
      <c r="W1014" s="115"/>
      <c r="X1014" s="115"/>
      <c r="Y1014" s="115"/>
      <c r="Z1014" s="115"/>
      <c r="AA1014" s="115"/>
      <c r="AB1014" s="115"/>
      <c r="AI1014" s="263"/>
      <c r="AJ1014" s="263"/>
      <c r="AK1014" s="263"/>
      <c r="AN1014" s="115"/>
      <c r="AO1014" s="115"/>
    </row>
  </sheetData>
  <conditionalFormatting sqref="K1:K1014">
    <cfRule type="cellIs" dxfId="22" priority="1" operator="notEqual">
      <formula>1</formula>
    </cfRule>
  </conditionalFormatting>
  <conditionalFormatting sqref="B1:C1014">
    <cfRule type="containsText" dxfId="23" priority="2" operator="containsText" text="近战">
      <formula>NOT(ISERROR(SEARCH(("Melee"),(B1))))</formula>
    </cfRule>
  </conditionalFormatting>
  <conditionalFormatting sqref="B1:C1014">
    <cfRule type="containsText" dxfId="24" priority="3" operator="containsText" text="远程">
      <formula>NOT(ISERROR(SEARCH(("Ranged"),(B1))))</formula>
    </cfRule>
  </conditionalFormatting>
  <conditionalFormatting sqref="D1:D1014 C236:C252 C257:C260">
    <cfRule type="cellIs" dxfId="19" priority="4" operator="equal">
      <formula>"Swing"</formula>
    </cfRule>
  </conditionalFormatting>
  <conditionalFormatting sqref="D1:D1014 C236:C252 C257:C260">
    <cfRule type="cellIs" dxfId="25" priority="5" operator="equal">
      <formula>"Thrust"</formula>
    </cfRule>
  </conditionalFormatting>
  <conditionalFormatting sqref="D1:D1014 C236:C252 C257:C260">
    <cfRule type="cellIs" dxfId="22" priority="6" operator="equal">
      <formula>"Projectile"</formula>
    </cfRule>
  </conditionalFormatting>
  <conditionalFormatting sqref="D1:D1014 C236:C252 C257:C260">
    <cfRule type="cellIs" dxfId="20" priority="7" operator="equal">
      <formula>"Swing/Thrust"</formula>
    </cfRule>
  </conditionalFormatting>
  <conditionalFormatting sqref="I1:I1014">
    <cfRule type="cellIs" dxfId="21" priority="8" operator="notEqual">
      <formula>"3%"</formula>
    </cfRule>
  </conditionalFormatting>
  <conditionalFormatting sqref="J1:J1014">
    <cfRule type="cellIs" dxfId="22" priority="9" operator="notEqual">
      <formula>2</formula>
    </cfRule>
  </conditionalFormatting>
  <conditionalFormatting sqref="H1:H1014">
    <cfRule type="cellIs" dxfId="26" priority="10" operator="notEqual">
      <formula>0.1</formula>
    </cfRule>
  </conditionalFormatting>
  <conditionalFormatting sqref="L1:L1014">
    <cfRule type="cellIs" dxfId="19" priority="11" operator="notEqual">
      <formula>0</formula>
    </cfRule>
  </conditionalFormatting>
  <conditionalFormatting sqref="M1:M1014">
    <cfRule type="cellIs" dxfId="19" priority="12" operator="notEqual">
      <formula>0.5</formula>
    </cfRule>
  </conditionalFormatting>
  <conditionalFormatting sqref="N1:N1014">
    <cfRule type="cellIs" dxfId="27" priority="13" operator="notEqual">
      <formula>0</formula>
    </cfRule>
  </conditionalFormatting>
  <conditionalFormatting sqref="O1:O1014">
    <cfRule type="cellIs" dxfId="23" priority="14" operator="notEqual">
      <formula>0.5</formula>
    </cfRule>
  </conditionalFormatting>
  <conditionalFormatting sqref="P1:P1014 R141:R144 T141:T144 V141:V144">
    <cfRule type="cellIs" dxfId="25" priority="15" operator="notEqual">
      <formula>0</formula>
    </cfRule>
  </conditionalFormatting>
  <conditionalFormatting sqref="Q1:Q1014 S141:S144 U141:U144 W141:W144">
    <cfRule type="cellIs" dxfId="24" priority="16" operator="notEqual">
      <formula>0</formula>
    </cfRule>
  </conditionalFormatting>
  <conditionalFormatting sqref="R1:R1014">
    <cfRule type="cellIs" dxfId="22" priority="17" operator="notEqual">
      <formula>0</formula>
    </cfRule>
  </conditionalFormatting>
  <conditionalFormatting sqref="S1:S1014">
    <cfRule type="cellIs" dxfId="26" priority="18" operator="notEqual">
      <formula>0</formula>
    </cfRule>
  </conditionalFormatting>
  <conditionalFormatting sqref="T1:T1014">
    <cfRule type="cellIs" dxfId="20" priority="19" operator="notEqual">
      <formula>0</formula>
    </cfRule>
  </conditionalFormatting>
  <conditionalFormatting sqref="U1:U1014">
    <cfRule type="cellIs" dxfId="28" priority="20" operator="notEqual">
      <formula>0</formula>
    </cfRule>
  </conditionalFormatting>
  <conditionalFormatting sqref="V1:V1014">
    <cfRule type="cellIs" dxfId="29" priority="21" operator="notEqual">
      <formula>0</formula>
    </cfRule>
  </conditionalFormatting>
  <conditionalFormatting sqref="W1:W1014">
    <cfRule type="cellIs" dxfId="25" priority="22" operator="notEqual">
      <formula>0</formula>
    </cfRule>
  </conditionalFormatting>
  <conditionalFormatting sqref="X1:X1014">
    <cfRule type="cellIs" dxfId="23" priority="23" operator="notEqual">
      <formula>0.5</formula>
    </cfRule>
  </conditionalFormatting>
  <conditionalFormatting sqref="Y1:Y1014">
    <cfRule type="cellIs" dxfId="22" priority="24" operator="notEqual">
      <formula>0</formula>
    </cfRule>
  </conditionalFormatting>
  <conditionalFormatting sqref="Z1:Z1014">
    <cfRule type="cellIs" dxfId="22" priority="25" operator="notEqual">
      <formula>0.5</formula>
    </cfRule>
  </conditionalFormatting>
  <conditionalFormatting sqref="AN1:AN1014">
    <cfRule type="cellIs" dxfId="24" priority="26" operator="notEqual">
      <formula>1</formula>
    </cfRule>
  </conditionalFormatting>
  <conditionalFormatting sqref="AO1:AO1014">
    <cfRule type="cellIs" dxfId="24" priority="27" operator="notEqual">
      <formula>0</formula>
    </cfRule>
  </conditionalFormatting>
  <conditionalFormatting sqref="AA1:AA1014">
    <cfRule type="cellIs" dxfId="21" priority="28" operator="notEqual">
      <formula>2</formula>
    </cfRule>
  </conditionalFormatting>
  <conditionalFormatting sqref="AB1:AB1014">
    <cfRule type="cellIs" dxfId="21" priority="29" operator="notEqual">
      <formula>"3%"</formula>
    </cfRule>
  </conditionalFormatting>
  <conditionalFormatting sqref="AF1:AF1014">
    <cfRule type="cellIs" dxfId="28" priority="30" operator="equal">
      <formula>0</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7.38"/>
    <col customWidth="1" min="4" max="4" width="17.25"/>
  </cols>
  <sheetData>
    <row r="1" ht="54.0" customHeight="1">
      <c r="A1" s="215" t="s">
        <v>475</v>
      </c>
      <c r="B1" s="215" t="s">
        <v>691</v>
      </c>
      <c r="C1" s="215" t="s">
        <v>1277</v>
      </c>
      <c r="D1" s="215" t="s">
        <v>4</v>
      </c>
      <c r="E1" s="215" t="s">
        <v>1278</v>
      </c>
      <c r="F1" s="215" t="s">
        <v>669</v>
      </c>
      <c r="G1" s="215" t="s">
        <v>1279</v>
      </c>
      <c r="H1" s="215" t="s">
        <v>1280</v>
      </c>
      <c r="I1" s="215" t="s">
        <v>1281</v>
      </c>
      <c r="J1" s="215" t="s">
        <v>123</v>
      </c>
      <c r="K1" s="215" t="s">
        <v>1282</v>
      </c>
      <c r="L1" s="405" t="s">
        <v>601</v>
      </c>
      <c r="M1" s="215" t="s">
        <v>1283</v>
      </c>
      <c r="N1" s="406" t="s">
        <v>1284</v>
      </c>
      <c r="O1" s="407" t="s">
        <v>609</v>
      </c>
      <c r="P1" s="408" t="s">
        <v>616</v>
      </c>
      <c r="Q1" s="215" t="s">
        <v>65</v>
      </c>
      <c r="R1" s="215" t="s">
        <v>1285</v>
      </c>
      <c r="S1" s="409"/>
      <c r="T1" s="409"/>
      <c r="U1" s="409"/>
      <c r="V1" s="409"/>
      <c r="W1" s="409"/>
      <c r="X1" s="409"/>
      <c r="Y1" s="409"/>
      <c r="Z1" s="409"/>
      <c r="AA1" s="409"/>
      <c r="AB1" s="409"/>
      <c r="AC1" s="409"/>
      <c r="AD1" s="409"/>
      <c r="AE1" s="409"/>
    </row>
    <row r="2" ht="18.75" customHeight="1">
      <c r="A2" s="83" t="s">
        <v>476</v>
      </c>
      <c r="B2" s="374"/>
      <c r="C2" s="373" t="s">
        <v>1286</v>
      </c>
      <c r="D2" s="410" t="s">
        <v>1287</v>
      </c>
      <c r="E2" s="410" t="s">
        <v>1288</v>
      </c>
      <c r="F2" s="410">
        <v>10.0</v>
      </c>
      <c r="G2" s="410">
        <v>5.0</v>
      </c>
      <c r="H2" s="410">
        <v>0.0</v>
      </c>
      <c r="I2" s="410">
        <v>1.0</v>
      </c>
      <c r="J2" s="410">
        <v>0.0</v>
      </c>
      <c r="K2" s="410">
        <v>0.0</v>
      </c>
      <c r="L2" s="411">
        <v>1.0</v>
      </c>
      <c r="M2" s="410">
        <v>3.0</v>
      </c>
      <c r="N2" s="411">
        <v>1.0</v>
      </c>
      <c r="O2" s="411">
        <v>0.2</v>
      </c>
      <c r="P2" s="410" t="s">
        <v>1289</v>
      </c>
      <c r="Q2" s="410">
        <v>0.0</v>
      </c>
      <c r="R2" s="410">
        <v>0.0</v>
      </c>
    </row>
    <row r="3">
      <c r="A3" s="83" t="s">
        <v>478</v>
      </c>
      <c r="B3" s="374"/>
      <c r="C3" s="373" t="s">
        <v>475</v>
      </c>
      <c r="D3" s="410" t="s">
        <v>1287</v>
      </c>
      <c r="E3" s="410" t="s">
        <v>1288</v>
      </c>
      <c r="F3" s="410">
        <v>3.0</v>
      </c>
      <c r="G3" s="410">
        <v>2.0</v>
      </c>
      <c r="H3" s="410">
        <v>1.0</v>
      </c>
      <c r="I3" s="410">
        <v>0.6</v>
      </c>
      <c r="J3" s="410">
        <v>250.0</v>
      </c>
      <c r="K3" s="410">
        <v>50.0</v>
      </c>
      <c r="L3" s="411">
        <v>0.0</v>
      </c>
      <c r="M3" s="410">
        <v>1.0</v>
      </c>
      <c r="N3" s="411">
        <v>0.01</v>
      </c>
      <c r="O3" s="411">
        <v>0.01</v>
      </c>
      <c r="P3" s="410" t="s">
        <v>1289</v>
      </c>
      <c r="Q3" s="410">
        <v>0.0</v>
      </c>
      <c r="R3" s="410">
        <v>0.0</v>
      </c>
    </row>
    <row r="4">
      <c r="A4" s="83" t="s">
        <v>479</v>
      </c>
      <c r="B4" s="374"/>
      <c r="C4" s="373" t="s">
        <v>475</v>
      </c>
      <c r="D4" s="410" t="s">
        <v>1287</v>
      </c>
      <c r="E4" s="410" t="s">
        <v>1288</v>
      </c>
      <c r="F4" s="410">
        <v>1.0</v>
      </c>
      <c r="G4" s="410">
        <v>1.0</v>
      </c>
      <c r="H4" s="410">
        <v>1.0</v>
      </c>
      <c r="I4" s="410">
        <v>0.6</v>
      </c>
      <c r="J4" s="410">
        <v>380.0</v>
      </c>
      <c r="K4" s="410">
        <v>0.0</v>
      </c>
      <c r="L4" s="411">
        <v>0.0</v>
      </c>
      <c r="M4" s="410">
        <v>1.0</v>
      </c>
      <c r="N4" s="411">
        <v>0.02</v>
      </c>
      <c r="O4" s="411">
        <v>0.03</v>
      </c>
      <c r="P4" s="410" t="s">
        <v>1289</v>
      </c>
      <c r="Q4" s="410">
        <v>0.0</v>
      </c>
      <c r="R4" s="410">
        <v>0.0</v>
      </c>
    </row>
    <row r="5">
      <c r="A5" s="83" t="s">
        <v>480</v>
      </c>
      <c r="B5" s="374"/>
      <c r="C5" s="373" t="s">
        <v>475</v>
      </c>
      <c r="D5" s="410" t="s">
        <v>1287</v>
      </c>
      <c r="E5" s="410" t="s">
        <v>1288</v>
      </c>
      <c r="F5" s="410">
        <v>8.0</v>
      </c>
      <c r="G5" s="410">
        <v>1.0</v>
      </c>
      <c r="H5" s="410">
        <v>1.0</v>
      </c>
      <c r="I5" s="410">
        <v>0.6</v>
      </c>
      <c r="J5" s="410">
        <v>200.0</v>
      </c>
      <c r="K5" s="410">
        <v>0.0</v>
      </c>
      <c r="L5" s="411">
        <v>0.95</v>
      </c>
      <c r="M5" s="410">
        <v>1.0</v>
      </c>
      <c r="N5" s="411">
        <v>0.03</v>
      </c>
      <c r="O5" s="411">
        <v>0.1</v>
      </c>
      <c r="P5" s="410" t="s">
        <v>1289</v>
      </c>
      <c r="Q5" s="410">
        <v>0.0</v>
      </c>
      <c r="R5" s="410">
        <v>0.0</v>
      </c>
    </row>
    <row r="6">
      <c r="A6" s="83" t="s">
        <v>481</v>
      </c>
      <c r="B6" s="374"/>
      <c r="C6" s="373" t="s">
        <v>475</v>
      </c>
      <c r="D6" s="410" t="s">
        <v>1287</v>
      </c>
      <c r="E6" s="410" t="s">
        <v>1288</v>
      </c>
      <c r="F6" s="410">
        <v>4.0</v>
      </c>
      <c r="G6" s="410">
        <v>2.5</v>
      </c>
      <c r="H6" s="410">
        <v>1.0</v>
      </c>
      <c r="I6" s="410">
        <v>0.85</v>
      </c>
      <c r="J6" s="410">
        <v>400.0</v>
      </c>
      <c r="K6" s="410">
        <v>0.0</v>
      </c>
      <c r="L6" s="411">
        <v>0.8</v>
      </c>
      <c r="M6" s="410">
        <v>1.0</v>
      </c>
      <c r="N6" s="411">
        <v>0.01</v>
      </c>
      <c r="O6" s="411">
        <v>0.01</v>
      </c>
      <c r="P6" s="410" t="s">
        <v>1289</v>
      </c>
      <c r="Q6" s="410">
        <v>0.0</v>
      </c>
      <c r="R6" s="410">
        <v>0.0</v>
      </c>
    </row>
    <row r="7">
      <c r="A7" s="83" t="s">
        <v>482</v>
      </c>
      <c r="B7" s="374"/>
      <c r="C7" s="373" t="s">
        <v>475</v>
      </c>
      <c r="D7" s="410" t="s">
        <v>1287</v>
      </c>
      <c r="E7" s="410" t="s">
        <v>1288</v>
      </c>
      <c r="F7" s="410">
        <v>10.0</v>
      </c>
      <c r="G7" s="410">
        <v>24.0</v>
      </c>
      <c r="H7" s="410">
        <v>1.0</v>
      </c>
      <c r="I7" s="410">
        <v>1.2</v>
      </c>
      <c r="J7" s="410">
        <v>150.0</v>
      </c>
      <c r="K7" s="410">
        <v>0.0</v>
      </c>
      <c r="L7" s="411">
        <v>0.0</v>
      </c>
      <c r="M7" s="410">
        <v>3.0</v>
      </c>
      <c r="N7" s="411">
        <v>0.03</v>
      </c>
      <c r="O7" s="411">
        <v>0.03</v>
      </c>
      <c r="P7" s="410" t="s">
        <v>1289</v>
      </c>
      <c r="Q7" s="410">
        <v>0.0</v>
      </c>
      <c r="R7" s="410">
        <v>0.0</v>
      </c>
    </row>
    <row r="8">
      <c r="A8" s="83" t="s">
        <v>483</v>
      </c>
      <c r="B8" s="374"/>
      <c r="C8" s="373" t="s">
        <v>475</v>
      </c>
      <c r="D8" s="410" t="s">
        <v>1287</v>
      </c>
      <c r="E8" s="410" t="s">
        <v>1288</v>
      </c>
      <c r="F8" s="410">
        <v>20.0</v>
      </c>
      <c r="G8" s="410">
        <v>11.0</v>
      </c>
      <c r="H8" s="410">
        <v>2.0</v>
      </c>
      <c r="I8" s="410">
        <v>0.85</v>
      </c>
      <c r="J8" s="410">
        <v>300.0</v>
      </c>
      <c r="K8" s="410">
        <v>0.0</v>
      </c>
      <c r="L8" s="411">
        <v>0.9</v>
      </c>
      <c r="M8" s="410">
        <v>3.0</v>
      </c>
      <c r="N8" s="411">
        <v>0.03</v>
      </c>
      <c r="O8" s="411">
        <v>0.03</v>
      </c>
      <c r="P8" s="410" t="s">
        <v>1289</v>
      </c>
      <c r="Q8" s="410">
        <v>0.0</v>
      </c>
      <c r="R8" s="410">
        <v>0.0</v>
      </c>
    </row>
    <row r="9">
      <c r="A9" s="83" t="s">
        <v>484</v>
      </c>
      <c r="B9" s="374"/>
      <c r="C9" s="373" t="s">
        <v>475</v>
      </c>
      <c r="D9" s="410" t="s">
        <v>1287</v>
      </c>
      <c r="E9" s="410" t="s">
        <v>1288</v>
      </c>
      <c r="F9" s="410">
        <v>20.0</v>
      </c>
      <c r="G9" s="410">
        <v>3.0</v>
      </c>
      <c r="H9" s="410">
        <v>1.0</v>
      </c>
      <c r="I9" s="410">
        <v>0.6</v>
      </c>
      <c r="J9" s="410">
        <v>150.0</v>
      </c>
      <c r="K9" s="410">
        <v>0.0</v>
      </c>
      <c r="L9" s="411">
        <v>0.95</v>
      </c>
      <c r="M9" s="410">
        <v>2.0</v>
      </c>
      <c r="N9" s="411">
        <v>0.01</v>
      </c>
      <c r="O9" s="411">
        <v>0.01</v>
      </c>
      <c r="P9" s="410" t="s">
        <v>1289</v>
      </c>
      <c r="Q9" s="410">
        <v>0.0</v>
      </c>
      <c r="R9" s="410">
        <v>0.0</v>
      </c>
    </row>
    <row r="10">
      <c r="A10" s="83" t="s">
        <v>485</v>
      </c>
      <c r="B10" s="374"/>
      <c r="C10" s="373" t="s">
        <v>475</v>
      </c>
      <c r="D10" s="410" t="s">
        <v>1287</v>
      </c>
      <c r="E10" s="410" t="s">
        <v>1288</v>
      </c>
      <c r="F10" s="410">
        <v>16.0</v>
      </c>
      <c r="G10" s="410">
        <v>4.0</v>
      </c>
      <c r="H10" s="410">
        <v>1.0</v>
      </c>
      <c r="I10" s="410">
        <v>0.85</v>
      </c>
      <c r="J10" s="410">
        <v>350.0</v>
      </c>
      <c r="K10" s="410">
        <v>25.0</v>
      </c>
      <c r="L10" s="411">
        <v>0.0</v>
      </c>
      <c r="M10" s="410">
        <v>1.0</v>
      </c>
      <c r="N10" s="411">
        <v>0.01</v>
      </c>
      <c r="O10" s="411">
        <v>0.01</v>
      </c>
      <c r="P10" s="410" t="s">
        <v>1289</v>
      </c>
      <c r="Q10" s="410">
        <v>0.0</v>
      </c>
      <c r="R10" s="410">
        <v>0.0</v>
      </c>
    </row>
    <row r="11">
      <c r="A11" s="83" t="s">
        <v>486</v>
      </c>
      <c r="B11" s="374"/>
      <c r="C11" s="373" t="s">
        <v>475</v>
      </c>
      <c r="D11" s="410" t="s">
        <v>1287</v>
      </c>
      <c r="E11" s="410" t="s">
        <v>1288</v>
      </c>
      <c r="F11" s="410">
        <v>10.0</v>
      </c>
      <c r="G11" s="410">
        <v>8.0</v>
      </c>
      <c r="H11" s="410">
        <v>1.0</v>
      </c>
      <c r="I11" s="410">
        <v>0.85</v>
      </c>
      <c r="J11" s="410">
        <v>400.0</v>
      </c>
      <c r="K11" s="410">
        <v>0.0</v>
      </c>
      <c r="L11" s="411">
        <v>0.0</v>
      </c>
      <c r="M11" s="410">
        <v>2.0</v>
      </c>
      <c r="N11" s="411">
        <v>0.03</v>
      </c>
      <c r="O11" s="411">
        <v>0.03</v>
      </c>
      <c r="P11" s="410" t="s">
        <v>1289</v>
      </c>
      <c r="Q11" s="410">
        <v>0.0</v>
      </c>
      <c r="R11" s="410">
        <v>0.0</v>
      </c>
    </row>
    <row r="12">
      <c r="A12" s="83" t="s">
        <v>1290</v>
      </c>
      <c r="B12" s="374"/>
      <c r="C12" s="373" t="s">
        <v>475</v>
      </c>
      <c r="D12" s="410" t="s">
        <v>1287</v>
      </c>
      <c r="E12" s="410" t="s">
        <v>1288</v>
      </c>
      <c r="F12" s="410">
        <v>5.0</v>
      </c>
      <c r="G12" s="410">
        <v>30.0</v>
      </c>
      <c r="H12" s="410">
        <v>1.0</v>
      </c>
      <c r="I12" s="410">
        <v>0.85</v>
      </c>
      <c r="J12" s="410">
        <v>350.0</v>
      </c>
      <c r="K12" s="410">
        <v>50.0</v>
      </c>
      <c r="L12" s="411">
        <v>0.0</v>
      </c>
      <c r="M12" s="410">
        <v>8.0</v>
      </c>
      <c r="N12" s="411">
        <v>0.01</v>
      </c>
      <c r="O12" s="411">
        <v>0.01</v>
      </c>
      <c r="P12" s="410" t="s">
        <v>1291</v>
      </c>
      <c r="Q12" s="410">
        <v>0.0</v>
      </c>
      <c r="R12" s="410">
        <v>0.0</v>
      </c>
    </row>
    <row r="13">
      <c r="A13" s="83" t="s">
        <v>489</v>
      </c>
      <c r="B13" s="374"/>
      <c r="C13" s="373" t="s">
        <v>475</v>
      </c>
      <c r="D13" s="410" t="s">
        <v>1287</v>
      </c>
      <c r="E13" s="410" t="s">
        <v>1288</v>
      </c>
      <c r="F13" s="410">
        <v>8.0</v>
      </c>
      <c r="G13" s="410">
        <v>4.0</v>
      </c>
      <c r="H13" s="410">
        <v>1.0</v>
      </c>
      <c r="I13" s="410">
        <v>1.0</v>
      </c>
      <c r="J13" s="410">
        <v>250.0</v>
      </c>
      <c r="K13" s="410">
        <v>25.0</v>
      </c>
      <c r="L13" s="411">
        <v>0.5</v>
      </c>
      <c r="M13" s="410">
        <v>1.0</v>
      </c>
      <c r="N13" s="411">
        <v>0.01</v>
      </c>
      <c r="O13" s="411">
        <v>0.01</v>
      </c>
      <c r="P13" s="410" t="s">
        <v>1289</v>
      </c>
      <c r="Q13" s="410">
        <v>0.0</v>
      </c>
      <c r="R13" s="410">
        <v>0.0</v>
      </c>
    </row>
    <row r="14">
      <c r="A14" s="83" t="s">
        <v>490</v>
      </c>
      <c r="B14" s="374"/>
      <c r="C14" s="373" t="s">
        <v>475</v>
      </c>
      <c r="D14" s="410" t="s">
        <v>1287</v>
      </c>
      <c r="E14" s="410" t="s">
        <v>1288</v>
      </c>
      <c r="F14" s="410">
        <v>12.0</v>
      </c>
      <c r="G14" s="410">
        <v>2.0</v>
      </c>
      <c r="H14" s="410">
        <v>1.0</v>
      </c>
      <c r="I14" s="410">
        <v>1.0</v>
      </c>
      <c r="J14" s="410">
        <v>400.0</v>
      </c>
      <c r="K14" s="410">
        <v>0.0</v>
      </c>
      <c r="L14" s="411">
        <v>0.0</v>
      </c>
      <c r="M14" s="410">
        <v>1.0</v>
      </c>
      <c r="N14" s="411">
        <v>0.02</v>
      </c>
      <c r="O14" s="411">
        <v>0.03</v>
      </c>
      <c r="P14" s="410" t="s">
        <v>1289</v>
      </c>
      <c r="Q14" s="410">
        <v>0.0</v>
      </c>
      <c r="R14" s="410">
        <v>0.0</v>
      </c>
    </row>
    <row r="15">
      <c r="A15" s="83" t="s">
        <v>491</v>
      </c>
      <c r="B15" s="374"/>
      <c r="C15" s="373" t="s">
        <v>475</v>
      </c>
      <c r="D15" s="410" t="s">
        <v>1287</v>
      </c>
      <c r="E15" s="410" t="s">
        <v>1288</v>
      </c>
      <c r="F15" s="410">
        <v>10.0</v>
      </c>
      <c r="G15" s="410">
        <v>1.0</v>
      </c>
      <c r="H15" s="410">
        <v>1.0</v>
      </c>
      <c r="I15" s="410">
        <v>0.85</v>
      </c>
      <c r="J15" s="410">
        <v>120.0</v>
      </c>
      <c r="K15" s="410">
        <v>0.0</v>
      </c>
      <c r="L15" s="411">
        <v>0.7</v>
      </c>
      <c r="M15" s="410">
        <v>1.0</v>
      </c>
      <c r="N15" s="411">
        <v>0.01</v>
      </c>
      <c r="O15" s="411">
        <v>0.01</v>
      </c>
      <c r="P15" s="410" t="s">
        <v>1289</v>
      </c>
      <c r="Q15" s="410">
        <v>0.0</v>
      </c>
      <c r="R15" s="410">
        <v>0.0</v>
      </c>
    </row>
    <row r="16">
      <c r="A16" s="83" t="s">
        <v>492</v>
      </c>
      <c r="B16" s="374"/>
      <c r="C16" s="373" t="s">
        <v>475</v>
      </c>
      <c r="D16" s="410" t="s">
        <v>1287</v>
      </c>
      <c r="E16" s="410" t="s">
        <v>1288</v>
      </c>
      <c r="F16" s="410">
        <v>5.0</v>
      </c>
      <c r="G16" s="410">
        <v>5.0</v>
      </c>
      <c r="H16" s="410">
        <v>1.0</v>
      </c>
      <c r="I16" s="410">
        <v>1.0</v>
      </c>
      <c r="J16" s="410">
        <v>350.0</v>
      </c>
      <c r="K16" s="410">
        <v>0.0</v>
      </c>
      <c r="L16" s="411">
        <v>0.5</v>
      </c>
      <c r="M16" s="410">
        <v>1.0</v>
      </c>
      <c r="N16" s="411">
        <v>0.01</v>
      </c>
      <c r="O16" s="411">
        <v>0.01</v>
      </c>
      <c r="P16" s="410" t="s">
        <v>1289</v>
      </c>
      <c r="Q16" s="410">
        <v>0.0</v>
      </c>
      <c r="R16" s="410">
        <v>0.0</v>
      </c>
    </row>
    <row r="17">
      <c r="A17" s="83" t="s">
        <v>1292</v>
      </c>
      <c r="B17" s="374"/>
      <c r="C17" s="373" t="s">
        <v>475</v>
      </c>
      <c r="D17" s="410" t="s">
        <v>1287</v>
      </c>
      <c r="E17" s="410" t="s">
        <v>1288</v>
      </c>
      <c r="F17" s="410">
        <v>30.0</v>
      </c>
      <c r="G17" s="410">
        <v>22.0</v>
      </c>
      <c r="H17" s="410">
        <v>1.0</v>
      </c>
      <c r="I17" s="410">
        <v>1.15</v>
      </c>
      <c r="J17" s="410">
        <v>300.0</v>
      </c>
      <c r="K17" s="410">
        <v>0.0</v>
      </c>
      <c r="L17" s="411">
        <v>0.9</v>
      </c>
      <c r="M17" s="410">
        <v>3.0</v>
      </c>
      <c r="N17" s="411">
        <v>0.03</v>
      </c>
      <c r="O17" s="411">
        <v>0.03</v>
      </c>
      <c r="P17" s="410" t="s">
        <v>1289</v>
      </c>
      <c r="Q17" s="410">
        <v>0.0</v>
      </c>
      <c r="R17" s="410">
        <v>0.0</v>
      </c>
    </row>
    <row r="18">
      <c r="A18" s="83" t="s">
        <v>494</v>
      </c>
      <c r="B18" s="374"/>
      <c r="C18" s="373" t="s">
        <v>475</v>
      </c>
      <c r="D18" s="410" t="s">
        <v>1287</v>
      </c>
      <c r="E18" s="410" t="s">
        <v>1288</v>
      </c>
      <c r="F18" s="410">
        <v>12.0</v>
      </c>
      <c r="G18" s="410">
        <v>5.0</v>
      </c>
      <c r="H18" s="410">
        <v>1.0</v>
      </c>
      <c r="I18" s="410">
        <v>1.1</v>
      </c>
      <c r="J18" s="410">
        <v>425.0</v>
      </c>
      <c r="K18" s="410">
        <v>0.0</v>
      </c>
      <c r="L18" s="411">
        <v>0.8</v>
      </c>
      <c r="M18" s="410">
        <v>1.0</v>
      </c>
      <c r="N18" s="411">
        <v>0.01</v>
      </c>
      <c r="O18" s="411">
        <v>0.01</v>
      </c>
      <c r="P18" s="410" t="s">
        <v>1289</v>
      </c>
      <c r="Q18" s="410">
        <v>0.0</v>
      </c>
      <c r="R18" s="410">
        <v>0.0</v>
      </c>
    </row>
    <row r="19">
      <c r="A19" s="83" t="s">
        <v>495</v>
      </c>
      <c r="B19" s="374"/>
      <c r="C19" s="373" t="s">
        <v>475</v>
      </c>
      <c r="D19" s="410" t="s">
        <v>1287</v>
      </c>
      <c r="E19" s="410" t="s">
        <v>1288</v>
      </c>
      <c r="F19" s="410">
        <v>5.0</v>
      </c>
      <c r="G19" s="410">
        <v>3.0</v>
      </c>
      <c r="H19" s="410">
        <v>1.0</v>
      </c>
      <c r="I19" s="410">
        <v>0.25</v>
      </c>
      <c r="J19" s="410">
        <v>0.0</v>
      </c>
      <c r="K19" s="410">
        <v>0.0</v>
      </c>
      <c r="L19" s="411">
        <v>1.0</v>
      </c>
      <c r="M19" s="410">
        <v>1.0</v>
      </c>
      <c r="N19" s="411">
        <v>0.0</v>
      </c>
      <c r="O19" s="411">
        <v>0.0</v>
      </c>
      <c r="P19" s="410" t="s">
        <v>1289</v>
      </c>
      <c r="Q19" s="410">
        <v>0.0</v>
      </c>
      <c r="R19" s="410">
        <v>0.0</v>
      </c>
    </row>
    <row r="20">
      <c r="A20" s="83" t="s">
        <v>496</v>
      </c>
      <c r="B20" s="374"/>
      <c r="C20" s="373" t="s">
        <v>475</v>
      </c>
      <c r="D20" s="410" t="s">
        <v>1287</v>
      </c>
      <c r="E20" s="410" t="s">
        <v>1288</v>
      </c>
      <c r="F20" s="410">
        <v>50.0</v>
      </c>
      <c r="G20" s="410">
        <v>25.0</v>
      </c>
      <c r="H20" s="410">
        <v>1.0</v>
      </c>
      <c r="I20" s="410">
        <v>1.15</v>
      </c>
      <c r="J20" s="410">
        <v>275.0</v>
      </c>
      <c r="K20" s="410">
        <v>25.0</v>
      </c>
      <c r="L20" s="411">
        <v>0.9</v>
      </c>
      <c r="M20" s="410">
        <v>5.0</v>
      </c>
      <c r="N20" s="411">
        <v>0.03</v>
      </c>
      <c r="O20" s="411">
        <v>0.03</v>
      </c>
      <c r="P20" s="410" t="s">
        <v>1289</v>
      </c>
      <c r="Q20" s="410">
        <v>0.0</v>
      </c>
      <c r="R20" s="410">
        <v>0.0</v>
      </c>
    </row>
    <row r="21">
      <c r="A21" s="83" t="s">
        <v>497</v>
      </c>
      <c r="B21" s="374"/>
      <c r="C21" s="373" t="s">
        <v>475</v>
      </c>
      <c r="D21" s="410" t="s">
        <v>1287</v>
      </c>
      <c r="E21" s="410" t="s">
        <v>1288</v>
      </c>
      <c r="F21" s="410">
        <v>100.0</v>
      </c>
      <c r="G21" s="410">
        <v>20.0</v>
      </c>
      <c r="H21" s="410">
        <v>1.0</v>
      </c>
      <c r="I21" s="410">
        <v>1.0</v>
      </c>
      <c r="J21" s="410">
        <v>175.0</v>
      </c>
      <c r="K21" s="410">
        <v>0.0</v>
      </c>
      <c r="L21" s="411">
        <v>0.7</v>
      </c>
      <c r="M21" s="410">
        <v>4.0</v>
      </c>
      <c r="N21" s="411">
        <v>0.02</v>
      </c>
      <c r="O21" s="411">
        <v>0.02</v>
      </c>
      <c r="P21" s="410" t="s">
        <v>1289</v>
      </c>
      <c r="Q21" s="410">
        <v>0.0</v>
      </c>
      <c r="R21" s="410">
        <v>0.0</v>
      </c>
    </row>
    <row r="22">
      <c r="A22" s="83" t="s">
        <v>1293</v>
      </c>
      <c r="B22" s="374"/>
      <c r="C22" s="373" t="s">
        <v>475</v>
      </c>
      <c r="D22" s="410" t="s">
        <v>1287</v>
      </c>
      <c r="E22" s="410" t="s">
        <v>1288</v>
      </c>
      <c r="F22" s="410">
        <v>30.0</v>
      </c>
      <c r="G22" s="410">
        <v>15.0</v>
      </c>
      <c r="H22" s="410">
        <v>1.0</v>
      </c>
      <c r="I22" s="410">
        <v>0.75</v>
      </c>
      <c r="J22" s="410">
        <v>350.0</v>
      </c>
      <c r="K22" s="410">
        <v>0.0</v>
      </c>
      <c r="L22" s="411">
        <v>0.95</v>
      </c>
      <c r="M22" s="410">
        <v>1.0</v>
      </c>
      <c r="N22" s="411">
        <v>0.01</v>
      </c>
      <c r="O22" s="411">
        <v>0.01</v>
      </c>
      <c r="P22" s="410" t="s">
        <v>1289</v>
      </c>
      <c r="Q22" s="410">
        <v>0.0</v>
      </c>
      <c r="R22" s="410">
        <v>0.0</v>
      </c>
    </row>
    <row r="23">
      <c r="A23" s="83" t="s">
        <v>1294</v>
      </c>
      <c r="B23" s="374"/>
      <c r="C23" s="373" t="s">
        <v>1295</v>
      </c>
      <c r="D23" s="410" t="s">
        <v>1287</v>
      </c>
      <c r="E23" s="410" t="s">
        <v>1296</v>
      </c>
      <c r="F23" s="410">
        <v>1.0</v>
      </c>
      <c r="G23" s="410">
        <v>750.0</v>
      </c>
      <c r="H23" s="410">
        <v>1.0</v>
      </c>
      <c r="I23" s="410">
        <v>1.5</v>
      </c>
      <c r="J23" s="410">
        <v>250.0</v>
      </c>
      <c r="K23" s="410">
        <v>0.0</v>
      </c>
      <c r="L23" s="411">
        <v>1.0</v>
      </c>
      <c r="M23" s="410">
        <v>10.0</v>
      </c>
      <c r="N23" s="411">
        <v>1.0</v>
      </c>
      <c r="O23" s="411">
        <v>1.0</v>
      </c>
      <c r="P23" s="410" t="s">
        <v>1291</v>
      </c>
      <c r="Q23" s="410">
        <v>0.0</v>
      </c>
      <c r="R23" s="410">
        <v>0.0</v>
      </c>
    </row>
    <row r="24">
      <c r="A24" s="83" t="s">
        <v>499</v>
      </c>
      <c r="B24" s="374"/>
      <c r="C24" s="373" t="s">
        <v>1295</v>
      </c>
      <c r="D24" s="410" t="s">
        <v>1287</v>
      </c>
      <c r="E24" s="410" t="s">
        <v>1297</v>
      </c>
      <c r="F24" s="410">
        <v>1.0</v>
      </c>
      <c r="G24" s="410">
        <v>750.0</v>
      </c>
      <c r="H24" s="410">
        <v>1.0</v>
      </c>
      <c r="I24" s="410">
        <v>1.5</v>
      </c>
      <c r="J24" s="410">
        <v>200.0</v>
      </c>
      <c r="K24" s="410">
        <v>0.0</v>
      </c>
      <c r="L24" s="411">
        <v>1.0</v>
      </c>
      <c r="M24" s="410">
        <v>10.0</v>
      </c>
      <c r="N24" s="411">
        <v>1.0</v>
      </c>
      <c r="O24" s="411">
        <v>1.0</v>
      </c>
      <c r="P24" s="410" t="s">
        <v>1291</v>
      </c>
      <c r="Q24" s="410">
        <v>0.0</v>
      </c>
      <c r="R24" s="410">
        <v>0.0</v>
      </c>
    </row>
    <row r="25">
      <c r="A25" s="83" t="s">
        <v>500</v>
      </c>
      <c r="B25" s="374"/>
      <c r="C25" s="373" t="s">
        <v>1295</v>
      </c>
      <c r="D25" s="410" t="s">
        <v>1287</v>
      </c>
      <c r="E25" s="410" t="s">
        <v>1298</v>
      </c>
      <c r="F25" s="410">
        <v>1.0</v>
      </c>
      <c r="G25" s="410">
        <v>700.0</v>
      </c>
      <c r="H25" s="410">
        <v>1.0</v>
      </c>
      <c r="I25" s="410">
        <v>1.5</v>
      </c>
      <c r="J25" s="410">
        <v>350.0</v>
      </c>
      <c r="K25" s="410">
        <v>0.0</v>
      </c>
      <c r="L25" s="411">
        <v>1.0</v>
      </c>
      <c r="M25" s="410">
        <v>10.0</v>
      </c>
      <c r="N25" s="411">
        <v>1.0</v>
      </c>
      <c r="O25" s="411">
        <v>1.0</v>
      </c>
      <c r="P25" s="410" t="s">
        <v>1291</v>
      </c>
      <c r="Q25" s="410">
        <v>0.0</v>
      </c>
      <c r="R25" s="410">
        <v>0.0</v>
      </c>
    </row>
    <row r="26">
      <c r="A26" s="83" t="s">
        <v>1299</v>
      </c>
      <c r="B26" s="374"/>
      <c r="C26" s="373" t="s">
        <v>1295</v>
      </c>
      <c r="D26" s="410" t="s">
        <v>1287</v>
      </c>
      <c r="E26" s="410" t="s">
        <v>1300</v>
      </c>
      <c r="F26" s="410">
        <v>1.0</v>
      </c>
      <c r="G26" s="410">
        <v>750.0</v>
      </c>
      <c r="H26" s="410">
        <v>1.0</v>
      </c>
      <c r="I26" s="410">
        <v>1.5</v>
      </c>
      <c r="J26" s="410">
        <v>350.0</v>
      </c>
      <c r="K26" s="410">
        <v>0.0</v>
      </c>
      <c r="L26" s="411">
        <v>1.0</v>
      </c>
      <c r="M26" s="410">
        <v>10.0</v>
      </c>
      <c r="N26" s="411">
        <v>1.0</v>
      </c>
      <c r="O26" s="411">
        <v>1.0</v>
      </c>
      <c r="P26" s="410" t="s">
        <v>1291</v>
      </c>
      <c r="Q26" s="410">
        <v>0.0</v>
      </c>
      <c r="R26" s="410">
        <v>0.0</v>
      </c>
    </row>
    <row r="27">
      <c r="A27" s="83" t="s">
        <v>1301</v>
      </c>
      <c r="B27" s="374"/>
      <c r="C27" s="373" t="s">
        <v>1295</v>
      </c>
      <c r="D27" s="410" t="s">
        <v>1287</v>
      </c>
      <c r="E27" s="410" t="s">
        <v>1302</v>
      </c>
      <c r="F27" s="410">
        <v>1.0</v>
      </c>
      <c r="G27" s="410">
        <v>750.0</v>
      </c>
      <c r="H27" s="410">
        <v>1.0</v>
      </c>
      <c r="I27" s="410">
        <v>1.5</v>
      </c>
      <c r="J27" s="410">
        <v>300.0</v>
      </c>
      <c r="K27" s="410">
        <v>0.0</v>
      </c>
      <c r="L27" s="411">
        <v>1.0</v>
      </c>
      <c r="M27" s="410">
        <v>10.0</v>
      </c>
      <c r="N27" s="411">
        <v>1.0</v>
      </c>
      <c r="O27" s="411">
        <v>1.0</v>
      </c>
      <c r="P27" s="410" t="s">
        <v>1291</v>
      </c>
      <c r="Q27" s="410">
        <v>0.0</v>
      </c>
      <c r="R27" s="410">
        <v>0.0</v>
      </c>
    </row>
    <row r="28">
      <c r="A28" s="83" t="s">
        <v>1303</v>
      </c>
      <c r="B28" s="374"/>
      <c r="C28" s="373" t="s">
        <v>1295</v>
      </c>
      <c r="D28" s="410" t="s">
        <v>1287</v>
      </c>
      <c r="E28" s="410" t="s">
        <v>1304</v>
      </c>
      <c r="F28" s="410">
        <v>1.0</v>
      </c>
      <c r="G28" s="410">
        <v>750.0</v>
      </c>
      <c r="H28" s="410">
        <v>1.0</v>
      </c>
      <c r="I28" s="410">
        <v>1.5</v>
      </c>
      <c r="J28" s="410">
        <v>250.0</v>
      </c>
      <c r="K28" s="410">
        <v>0.0</v>
      </c>
      <c r="L28" s="411">
        <v>1.0</v>
      </c>
      <c r="M28" s="410">
        <v>10.0</v>
      </c>
      <c r="N28" s="411">
        <v>1.0</v>
      </c>
      <c r="O28" s="411">
        <v>1.0</v>
      </c>
      <c r="P28" s="410" t="s">
        <v>1291</v>
      </c>
      <c r="Q28" s="410">
        <v>0.0</v>
      </c>
      <c r="R28" s="410">
        <v>0.0</v>
      </c>
    </row>
    <row r="29">
      <c r="A29" s="83" t="s">
        <v>1305</v>
      </c>
      <c r="B29" s="374"/>
      <c r="C29" s="373" t="s">
        <v>1295</v>
      </c>
      <c r="D29" s="410" t="s">
        <v>1287</v>
      </c>
      <c r="E29" s="410" t="s">
        <v>1306</v>
      </c>
      <c r="F29" s="410">
        <v>1.0</v>
      </c>
      <c r="G29" s="410">
        <v>750.0</v>
      </c>
      <c r="H29" s="410">
        <v>1.0</v>
      </c>
      <c r="I29" s="410">
        <v>1.5</v>
      </c>
      <c r="J29" s="410">
        <v>250.0</v>
      </c>
      <c r="K29" s="410">
        <v>0.0</v>
      </c>
      <c r="L29" s="411">
        <v>1.0</v>
      </c>
      <c r="M29" s="410">
        <v>10.0</v>
      </c>
      <c r="N29" s="411">
        <v>1.0</v>
      </c>
      <c r="O29" s="411">
        <v>1.0</v>
      </c>
      <c r="P29" s="410" t="s">
        <v>1291</v>
      </c>
      <c r="Q29" s="410">
        <v>0.0</v>
      </c>
      <c r="R29" s="410">
        <v>0.0</v>
      </c>
    </row>
    <row r="30">
      <c r="A30" s="83" t="s">
        <v>1307</v>
      </c>
      <c r="B30" s="374"/>
      <c r="C30" s="373" t="s">
        <v>1295</v>
      </c>
      <c r="D30" s="410" t="s">
        <v>1287</v>
      </c>
      <c r="E30" s="410" t="s">
        <v>1308</v>
      </c>
      <c r="F30" s="410">
        <v>1.0</v>
      </c>
      <c r="G30" s="410">
        <v>750.0</v>
      </c>
      <c r="H30" s="410">
        <v>1.0</v>
      </c>
      <c r="I30" s="410">
        <v>1.5</v>
      </c>
      <c r="J30" s="410">
        <v>350.0</v>
      </c>
      <c r="K30" s="410">
        <v>0.0</v>
      </c>
      <c r="L30" s="411">
        <v>1.0</v>
      </c>
      <c r="M30" s="410">
        <v>10.0</v>
      </c>
      <c r="N30" s="411">
        <v>1.0</v>
      </c>
      <c r="O30" s="411">
        <v>1.0</v>
      </c>
      <c r="P30" s="410" t="s">
        <v>1291</v>
      </c>
      <c r="Q30" s="410">
        <v>0.0</v>
      </c>
      <c r="R30" s="410">
        <v>0.0</v>
      </c>
    </row>
    <row r="31">
      <c r="A31" s="83" t="s">
        <v>501</v>
      </c>
      <c r="B31" s="374"/>
      <c r="C31" s="373" t="s">
        <v>1309</v>
      </c>
      <c r="D31" s="410" t="s">
        <v>1287</v>
      </c>
      <c r="E31" s="410" t="s">
        <v>1288</v>
      </c>
      <c r="F31" s="410">
        <v>15000.0</v>
      </c>
      <c r="G31" s="410">
        <v>750.0</v>
      </c>
      <c r="H31" s="410">
        <v>1.0</v>
      </c>
      <c r="I31" s="410">
        <v>1.5</v>
      </c>
      <c r="J31" s="410">
        <v>300.0</v>
      </c>
      <c r="K31" s="410">
        <v>0.0</v>
      </c>
      <c r="L31" s="411">
        <v>1.0</v>
      </c>
      <c r="M31" s="410">
        <v>10.0</v>
      </c>
      <c r="N31" s="411">
        <v>1.0</v>
      </c>
      <c r="O31" s="411">
        <v>1.0</v>
      </c>
      <c r="P31" s="410" t="s">
        <v>1291</v>
      </c>
      <c r="Q31" s="410">
        <v>0.0</v>
      </c>
      <c r="R31" s="410">
        <v>0.0</v>
      </c>
    </row>
    <row r="32">
      <c r="A32" s="83" t="s">
        <v>502</v>
      </c>
      <c r="B32" s="374"/>
      <c r="C32" s="373" t="s">
        <v>1309</v>
      </c>
      <c r="D32" s="410" t="s">
        <v>1287</v>
      </c>
      <c r="E32" s="410" t="s">
        <v>1288</v>
      </c>
      <c r="F32" s="410">
        <v>15000.0</v>
      </c>
      <c r="G32" s="410">
        <v>750.0</v>
      </c>
      <c r="H32" s="410">
        <v>1.0</v>
      </c>
      <c r="I32" s="410">
        <v>1.5</v>
      </c>
      <c r="J32" s="410">
        <v>200.0</v>
      </c>
      <c r="K32" s="410">
        <v>0.0</v>
      </c>
      <c r="L32" s="411">
        <v>1.0</v>
      </c>
      <c r="M32" s="410">
        <v>10.0</v>
      </c>
      <c r="N32" s="411">
        <v>1.0</v>
      </c>
      <c r="O32" s="411">
        <v>1.0</v>
      </c>
      <c r="P32" s="410" t="s">
        <v>1291</v>
      </c>
      <c r="Q32" s="410">
        <v>0.0</v>
      </c>
      <c r="R32" s="410">
        <v>0.0</v>
      </c>
    </row>
    <row r="33">
      <c r="A33" s="83" t="s">
        <v>1310</v>
      </c>
      <c r="B33" s="374"/>
      <c r="C33" s="373" t="s">
        <v>475</v>
      </c>
      <c r="D33" s="410" t="s">
        <v>1287</v>
      </c>
      <c r="E33" s="410" t="s">
        <v>335</v>
      </c>
      <c r="F33" s="410">
        <v>10.0</v>
      </c>
      <c r="G33" s="410">
        <v>1.0</v>
      </c>
      <c r="H33" s="410">
        <v>1.0</v>
      </c>
      <c r="I33" s="410">
        <v>0.85</v>
      </c>
      <c r="J33" s="410">
        <v>120.0</v>
      </c>
      <c r="K33" s="410">
        <v>0.0</v>
      </c>
      <c r="L33" s="411">
        <v>0.7</v>
      </c>
      <c r="M33" s="410">
        <v>1.0</v>
      </c>
      <c r="N33" s="411">
        <v>0.01</v>
      </c>
      <c r="O33" s="411">
        <v>0.01</v>
      </c>
      <c r="P33" s="410" t="s">
        <v>1289</v>
      </c>
      <c r="Q33" s="410">
        <v>0.0</v>
      </c>
      <c r="R33" s="410">
        <v>0.0</v>
      </c>
    </row>
    <row r="34">
      <c r="A34" s="83" t="s">
        <v>1311</v>
      </c>
      <c r="B34" s="374"/>
      <c r="C34" s="373" t="s">
        <v>475</v>
      </c>
      <c r="D34" s="410" t="s">
        <v>1287</v>
      </c>
      <c r="E34" s="410" t="s">
        <v>335</v>
      </c>
      <c r="F34" s="410">
        <v>30.0</v>
      </c>
      <c r="G34" s="410">
        <v>5.0</v>
      </c>
      <c r="H34" s="410">
        <v>1.0</v>
      </c>
      <c r="I34" s="410">
        <v>1.0</v>
      </c>
      <c r="J34" s="410">
        <v>150.0</v>
      </c>
      <c r="K34" s="410">
        <v>0.0</v>
      </c>
      <c r="L34" s="411">
        <v>0.95</v>
      </c>
      <c r="M34" s="410">
        <v>2.0</v>
      </c>
      <c r="N34" s="411">
        <v>0.01</v>
      </c>
      <c r="O34" s="411">
        <v>0.01</v>
      </c>
      <c r="P34" s="410" t="s">
        <v>1289</v>
      </c>
      <c r="Q34" s="410">
        <v>0.0</v>
      </c>
      <c r="R34" s="410">
        <v>0.0</v>
      </c>
    </row>
    <row r="35">
      <c r="A35" s="83" t="s">
        <v>1312</v>
      </c>
      <c r="B35" s="374"/>
      <c r="C35" s="373" t="s">
        <v>475</v>
      </c>
      <c r="D35" s="410" t="s">
        <v>1287</v>
      </c>
      <c r="E35" s="410" t="s">
        <v>335</v>
      </c>
      <c r="F35" s="410">
        <v>15.0</v>
      </c>
      <c r="G35" s="410">
        <v>8.0</v>
      </c>
      <c r="H35" s="410">
        <v>1.0</v>
      </c>
      <c r="I35" s="410">
        <v>1.15</v>
      </c>
      <c r="J35" s="410">
        <v>380.0</v>
      </c>
      <c r="K35" s="410">
        <v>0.0</v>
      </c>
      <c r="L35" s="411">
        <v>0.5</v>
      </c>
      <c r="M35" s="410">
        <v>1.0</v>
      </c>
      <c r="N35" s="411">
        <v>0.01</v>
      </c>
      <c r="O35" s="411">
        <v>0.01</v>
      </c>
      <c r="P35" s="410" t="s">
        <v>1289</v>
      </c>
      <c r="Q35" s="410">
        <v>0.0</v>
      </c>
      <c r="R35" s="410">
        <v>0.0</v>
      </c>
    </row>
    <row r="36">
      <c r="A36" s="83" t="s">
        <v>575</v>
      </c>
      <c r="B36" s="374"/>
      <c r="C36" s="373" t="s">
        <v>475</v>
      </c>
      <c r="D36" s="410" t="s">
        <v>1287</v>
      </c>
      <c r="E36" s="410" t="s">
        <v>1288</v>
      </c>
      <c r="F36" s="410">
        <v>5.0</v>
      </c>
      <c r="G36" s="410">
        <v>30.0</v>
      </c>
      <c r="H36" s="410">
        <v>1.0</v>
      </c>
      <c r="I36" s="410">
        <v>0.85</v>
      </c>
      <c r="J36" s="410">
        <v>350.0</v>
      </c>
      <c r="K36" s="410">
        <v>50.0</v>
      </c>
      <c r="L36" s="411">
        <v>0.5</v>
      </c>
      <c r="M36" s="410">
        <v>8.0</v>
      </c>
      <c r="N36" s="411"/>
      <c r="O36" s="411"/>
      <c r="P36" s="410"/>
      <c r="Q36" s="410"/>
      <c r="R36" s="410"/>
    </row>
    <row r="37">
      <c r="A37" s="83" t="s">
        <v>1313</v>
      </c>
      <c r="B37" s="374"/>
      <c r="C37" s="373" t="s">
        <v>475</v>
      </c>
      <c r="D37" s="410" t="s">
        <v>1287</v>
      </c>
      <c r="E37" s="410" t="s">
        <v>335</v>
      </c>
      <c r="F37" s="410">
        <v>5.0</v>
      </c>
      <c r="G37" s="410">
        <v>3.0</v>
      </c>
      <c r="H37" s="410">
        <v>1.0</v>
      </c>
      <c r="I37" s="410">
        <v>0.25</v>
      </c>
      <c r="J37" s="410">
        <v>0.0</v>
      </c>
      <c r="K37" s="410">
        <v>0.0</v>
      </c>
      <c r="L37" s="411">
        <v>1.0</v>
      </c>
      <c r="M37" s="410">
        <v>1.0</v>
      </c>
      <c r="N37" s="411">
        <v>0.0</v>
      </c>
      <c r="O37" s="411">
        <v>0.0</v>
      </c>
      <c r="P37" s="410" t="s">
        <v>1289</v>
      </c>
      <c r="Q37" s="410">
        <v>0.0</v>
      </c>
      <c r="R37" s="410">
        <v>0.0</v>
      </c>
    </row>
    <row r="38">
      <c r="A38" s="83" t="s">
        <v>1314</v>
      </c>
      <c r="B38" s="373"/>
      <c r="C38" s="373" t="s">
        <v>475</v>
      </c>
      <c r="D38" s="410" t="s">
        <v>1287</v>
      </c>
      <c r="E38" s="410" t="s">
        <v>335</v>
      </c>
      <c r="F38" s="410">
        <v>80.0</v>
      </c>
      <c r="G38" s="410">
        <v>35.0</v>
      </c>
      <c r="H38" s="410">
        <v>1.0</v>
      </c>
      <c r="I38" s="410">
        <v>1.35</v>
      </c>
      <c r="J38" s="410">
        <v>275.0</v>
      </c>
      <c r="K38" s="410">
        <v>25.0</v>
      </c>
      <c r="L38" s="411">
        <v>0.9</v>
      </c>
      <c r="M38" s="410">
        <v>5.0</v>
      </c>
      <c r="N38" s="411">
        <v>0.03</v>
      </c>
      <c r="O38" s="411">
        <v>0.03</v>
      </c>
      <c r="P38" s="410" t="s">
        <v>1289</v>
      </c>
      <c r="Q38" s="410">
        <v>0.0</v>
      </c>
      <c r="R38" s="410">
        <v>0.0</v>
      </c>
    </row>
    <row r="39">
      <c r="A39" s="83" t="s">
        <v>1315</v>
      </c>
      <c r="B39" s="374"/>
      <c r="C39" s="373" t="s">
        <v>475</v>
      </c>
      <c r="D39" s="410" t="s">
        <v>1287</v>
      </c>
      <c r="E39" s="410" t="s">
        <v>335</v>
      </c>
      <c r="F39" s="410">
        <v>20.0</v>
      </c>
      <c r="G39" s="410">
        <v>6.0</v>
      </c>
      <c r="H39" s="410">
        <v>1.0</v>
      </c>
      <c r="I39" s="410">
        <v>1.0</v>
      </c>
      <c r="J39" s="410">
        <v>350.0</v>
      </c>
      <c r="K39" s="410">
        <v>25.0</v>
      </c>
      <c r="L39" s="411">
        <v>0.0</v>
      </c>
      <c r="M39" s="410">
        <v>1.0</v>
      </c>
      <c r="N39" s="411">
        <v>0.01</v>
      </c>
      <c r="O39" s="411">
        <v>0.01</v>
      </c>
      <c r="P39" s="410" t="s">
        <v>1289</v>
      </c>
      <c r="Q39" s="410">
        <v>0.0</v>
      </c>
      <c r="R39" s="410">
        <v>0.0</v>
      </c>
    </row>
    <row r="40">
      <c r="A40" s="83" t="s">
        <v>1316</v>
      </c>
      <c r="B40" s="374"/>
      <c r="C40" s="373" t="s">
        <v>475</v>
      </c>
      <c r="D40" s="410" t="s">
        <v>1287</v>
      </c>
      <c r="E40" s="410" t="s">
        <v>335</v>
      </c>
      <c r="F40" s="410">
        <v>16.0</v>
      </c>
      <c r="G40" s="410">
        <v>12.0</v>
      </c>
      <c r="H40" s="410">
        <v>1.0</v>
      </c>
      <c r="I40" s="410">
        <v>1.0</v>
      </c>
      <c r="J40" s="410">
        <v>200.0</v>
      </c>
      <c r="K40" s="410">
        <v>0.0</v>
      </c>
      <c r="L40" s="411">
        <v>0.95</v>
      </c>
      <c r="M40" s="410">
        <v>1.0</v>
      </c>
      <c r="N40" s="411">
        <v>0.03</v>
      </c>
      <c r="O40" s="411">
        <v>0.1</v>
      </c>
      <c r="P40" s="410" t="s">
        <v>1289</v>
      </c>
      <c r="Q40" s="410">
        <v>0.0</v>
      </c>
      <c r="R40" s="410">
        <v>0.0</v>
      </c>
    </row>
    <row r="41">
      <c r="A41" s="83" t="s">
        <v>1317</v>
      </c>
      <c r="B41" s="374"/>
      <c r="C41" s="374"/>
      <c r="D41" s="412"/>
      <c r="E41" s="412"/>
      <c r="F41" s="412"/>
      <c r="G41" s="412"/>
      <c r="H41" s="412"/>
      <c r="I41" s="412"/>
      <c r="J41" s="412"/>
      <c r="K41" s="412"/>
      <c r="L41" s="413"/>
      <c r="M41" s="412"/>
      <c r="N41" s="413"/>
      <c r="O41" s="413"/>
      <c r="P41" s="412"/>
      <c r="Q41" s="410">
        <v>0.0</v>
      </c>
      <c r="R41" s="410">
        <v>0.0</v>
      </c>
    </row>
    <row r="42">
      <c r="A42" s="83" t="s">
        <v>1318</v>
      </c>
      <c r="B42" s="374"/>
      <c r="C42" s="373" t="s">
        <v>1286</v>
      </c>
      <c r="D42" s="410" t="s">
        <v>1317</v>
      </c>
      <c r="E42" s="410" t="s">
        <v>1288</v>
      </c>
      <c r="F42" s="410">
        <v>10.0</v>
      </c>
      <c r="G42" s="410">
        <v>5.0</v>
      </c>
      <c r="H42" s="410">
        <v>0.0</v>
      </c>
      <c r="I42" s="410">
        <v>1.0</v>
      </c>
      <c r="J42" s="410">
        <v>0.0</v>
      </c>
      <c r="K42" s="410">
        <v>0.0</v>
      </c>
      <c r="L42" s="411">
        <v>1.0</v>
      </c>
      <c r="M42" s="410">
        <v>3.0</v>
      </c>
      <c r="N42" s="411">
        <v>1.0</v>
      </c>
      <c r="O42" s="411">
        <v>0.2</v>
      </c>
      <c r="P42" s="410" t="s">
        <v>1289</v>
      </c>
      <c r="Q42" s="410">
        <v>0.0</v>
      </c>
      <c r="R42" s="410">
        <v>0.0</v>
      </c>
    </row>
    <row r="43">
      <c r="A43" s="83" t="s">
        <v>1319</v>
      </c>
      <c r="B43" s="374"/>
      <c r="C43" s="373" t="s">
        <v>475</v>
      </c>
      <c r="D43" s="410" t="s">
        <v>1317</v>
      </c>
      <c r="E43" s="410" t="s">
        <v>1288</v>
      </c>
      <c r="F43" s="410">
        <v>8.0</v>
      </c>
      <c r="G43" s="410">
        <v>4.0</v>
      </c>
      <c r="H43" s="410">
        <v>1.0</v>
      </c>
      <c r="I43" s="410">
        <v>0.85</v>
      </c>
      <c r="J43" s="410">
        <v>100.0</v>
      </c>
      <c r="K43" s="410">
        <v>25.0</v>
      </c>
      <c r="L43" s="411">
        <v>0.6</v>
      </c>
      <c r="M43" s="410">
        <v>2.0</v>
      </c>
      <c r="N43" s="411">
        <v>0.02</v>
      </c>
      <c r="O43" s="411">
        <v>0.02</v>
      </c>
      <c r="P43" s="410" t="s">
        <v>1289</v>
      </c>
      <c r="Q43" s="410">
        <v>0.0</v>
      </c>
      <c r="R43" s="410">
        <v>0.0</v>
      </c>
    </row>
    <row r="44">
      <c r="A44" s="83" t="s">
        <v>1320</v>
      </c>
      <c r="B44" s="374"/>
      <c r="C44" s="373" t="s">
        <v>475</v>
      </c>
      <c r="D44" s="410" t="s">
        <v>1317</v>
      </c>
      <c r="E44" s="410" t="s">
        <v>1288</v>
      </c>
      <c r="F44" s="410">
        <v>10.0</v>
      </c>
      <c r="G44" s="410">
        <v>10.0</v>
      </c>
      <c r="H44" s="410">
        <v>1.0</v>
      </c>
      <c r="I44" s="410">
        <v>1.1</v>
      </c>
      <c r="J44" s="410">
        <v>200.0</v>
      </c>
      <c r="K44" s="410">
        <v>0.0</v>
      </c>
      <c r="L44" s="411">
        <v>0.2</v>
      </c>
      <c r="M44" s="410">
        <v>3.0</v>
      </c>
      <c r="N44" s="411">
        <v>0.03</v>
      </c>
      <c r="O44" s="411">
        <v>0.03</v>
      </c>
      <c r="P44" s="410" t="s">
        <v>1289</v>
      </c>
      <c r="Q44" s="410">
        <v>0.0</v>
      </c>
      <c r="R44" s="410">
        <v>0.0</v>
      </c>
    </row>
    <row r="45">
      <c r="A45" s="83" t="s">
        <v>1321</v>
      </c>
      <c r="B45" s="374"/>
      <c r="C45" s="373" t="s">
        <v>475</v>
      </c>
      <c r="D45" s="410" t="s">
        <v>1317</v>
      </c>
      <c r="E45" s="410" t="s">
        <v>1288</v>
      </c>
      <c r="F45" s="410">
        <v>10.0</v>
      </c>
      <c r="G45" s="410">
        <v>8.0</v>
      </c>
      <c r="H45" s="410">
        <v>1.0</v>
      </c>
      <c r="I45" s="410">
        <v>0.6</v>
      </c>
      <c r="J45" s="410">
        <v>200.0</v>
      </c>
      <c r="K45" s="410">
        <v>25.0</v>
      </c>
      <c r="L45" s="411">
        <v>0.5</v>
      </c>
      <c r="M45" s="410">
        <v>5.0</v>
      </c>
      <c r="N45" s="411">
        <v>0.05</v>
      </c>
      <c r="O45" s="411">
        <v>0.05</v>
      </c>
      <c r="P45" s="410" t="s">
        <v>1289</v>
      </c>
      <c r="Q45" s="410">
        <v>0.0</v>
      </c>
      <c r="R45" s="410">
        <v>0.0</v>
      </c>
    </row>
    <row r="46">
      <c r="A46" s="83" t="s">
        <v>1322</v>
      </c>
      <c r="B46" s="374"/>
      <c r="C46" s="373" t="s">
        <v>475</v>
      </c>
      <c r="D46" s="410" t="s">
        <v>1317</v>
      </c>
      <c r="E46" s="410" t="s">
        <v>1288</v>
      </c>
      <c r="F46" s="410">
        <v>2.0</v>
      </c>
      <c r="G46" s="410">
        <v>3.0</v>
      </c>
      <c r="H46" s="410">
        <v>1.0</v>
      </c>
      <c r="I46" s="410">
        <v>0.6</v>
      </c>
      <c r="J46" s="410">
        <v>130.0</v>
      </c>
      <c r="K46" s="410">
        <v>0.0</v>
      </c>
      <c r="L46" s="411">
        <v>0.75</v>
      </c>
      <c r="M46" s="410">
        <v>2.0</v>
      </c>
      <c r="N46" s="411">
        <v>0.03</v>
      </c>
      <c r="O46" s="411">
        <v>0.03</v>
      </c>
      <c r="P46" s="410" t="s">
        <v>1289</v>
      </c>
      <c r="Q46" s="410">
        <v>0.0</v>
      </c>
      <c r="R46" s="410">
        <v>0.0</v>
      </c>
    </row>
    <row r="47">
      <c r="A47" s="83" t="s">
        <v>1323</v>
      </c>
      <c r="B47" s="374"/>
      <c r="C47" s="373" t="s">
        <v>475</v>
      </c>
      <c r="D47" s="410" t="s">
        <v>1317</v>
      </c>
      <c r="E47" s="410" t="s">
        <v>1288</v>
      </c>
      <c r="F47" s="410">
        <v>30.0</v>
      </c>
      <c r="G47" s="410">
        <v>20.0</v>
      </c>
      <c r="H47" s="410">
        <v>1.0</v>
      </c>
      <c r="I47" s="410">
        <v>1.0</v>
      </c>
      <c r="J47" s="410">
        <v>200.0</v>
      </c>
      <c r="K47" s="410">
        <v>0.0</v>
      </c>
      <c r="L47" s="411">
        <v>0.75</v>
      </c>
      <c r="M47" s="410">
        <v>3.0</v>
      </c>
      <c r="N47" s="411">
        <v>0.03</v>
      </c>
      <c r="O47" s="411">
        <v>0.03</v>
      </c>
      <c r="P47" s="410" t="s">
        <v>1289</v>
      </c>
      <c r="Q47" s="410">
        <v>0.0</v>
      </c>
      <c r="R47" s="410">
        <v>0.0</v>
      </c>
    </row>
    <row r="48">
      <c r="A48" s="83" t="s">
        <v>1324</v>
      </c>
      <c r="B48" s="374"/>
      <c r="C48" s="373" t="s">
        <v>475</v>
      </c>
      <c r="D48" s="410" t="s">
        <v>1317</v>
      </c>
      <c r="E48" s="410" t="s">
        <v>1288</v>
      </c>
      <c r="F48" s="410">
        <v>4.0</v>
      </c>
      <c r="G48" s="410">
        <v>3.0</v>
      </c>
      <c r="H48" s="410">
        <v>1.0</v>
      </c>
      <c r="I48" s="410">
        <v>0.6</v>
      </c>
      <c r="J48" s="410">
        <v>250.0</v>
      </c>
      <c r="K48" s="410">
        <v>50.0</v>
      </c>
      <c r="L48" s="411">
        <v>0.5</v>
      </c>
      <c r="M48" s="410">
        <v>1.0</v>
      </c>
      <c r="N48" s="411">
        <v>0.02</v>
      </c>
      <c r="O48" s="411">
        <v>0.02</v>
      </c>
      <c r="P48" s="410" t="s">
        <v>1289</v>
      </c>
      <c r="Q48" s="410">
        <v>0.0</v>
      </c>
      <c r="R48" s="410">
        <v>0.0</v>
      </c>
    </row>
    <row r="49">
      <c r="A49" s="83" t="s">
        <v>1325</v>
      </c>
      <c r="B49" s="374"/>
      <c r="C49" s="373" t="s">
        <v>475</v>
      </c>
      <c r="D49" s="410" t="s">
        <v>1317</v>
      </c>
      <c r="E49" s="410" t="s">
        <v>1288</v>
      </c>
      <c r="F49" s="410">
        <v>30.0</v>
      </c>
      <c r="G49" s="410">
        <v>35.0</v>
      </c>
      <c r="H49" s="410">
        <v>1.0</v>
      </c>
      <c r="I49" s="410">
        <v>0.85</v>
      </c>
      <c r="J49" s="410">
        <v>200.0</v>
      </c>
      <c r="K49" s="410">
        <v>0.0</v>
      </c>
      <c r="L49" s="411">
        <v>0.8</v>
      </c>
      <c r="M49" s="410">
        <v>5.0</v>
      </c>
      <c r="N49" s="411">
        <v>0.05</v>
      </c>
      <c r="O49" s="411">
        <v>0.05</v>
      </c>
      <c r="P49" s="410" t="s">
        <v>1289</v>
      </c>
      <c r="Q49" s="410">
        <v>0.0</v>
      </c>
      <c r="R49" s="410">
        <v>0.0</v>
      </c>
    </row>
    <row r="50">
      <c r="A50" s="83" t="s">
        <v>1326</v>
      </c>
      <c r="B50" s="374"/>
      <c r="C50" s="373" t="s">
        <v>475</v>
      </c>
      <c r="D50" s="410" t="s">
        <v>1317</v>
      </c>
      <c r="E50" s="410" t="s">
        <v>1288</v>
      </c>
      <c r="F50" s="410">
        <v>100.0</v>
      </c>
      <c r="G50" s="410">
        <v>50.0</v>
      </c>
      <c r="H50" s="410">
        <v>1.0</v>
      </c>
      <c r="I50" s="410">
        <v>1.15</v>
      </c>
      <c r="J50" s="410">
        <v>300.0</v>
      </c>
      <c r="K50" s="410">
        <v>0.0</v>
      </c>
      <c r="L50" s="411">
        <v>0.9</v>
      </c>
      <c r="M50" s="410">
        <v>8.0</v>
      </c>
      <c r="N50" s="411">
        <v>0.05</v>
      </c>
      <c r="O50" s="411">
        <v>0.05</v>
      </c>
      <c r="P50" s="410" t="s">
        <v>1289</v>
      </c>
      <c r="Q50" s="410">
        <v>0.0</v>
      </c>
      <c r="R50" s="410">
        <v>0.0</v>
      </c>
    </row>
    <row r="51">
      <c r="A51" s="83" t="s">
        <v>1327</v>
      </c>
      <c r="B51" s="374"/>
      <c r="C51" s="373" t="s">
        <v>475</v>
      </c>
      <c r="D51" s="410" t="s">
        <v>1317</v>
      </c>
      <c r="E51" s="410" t="s">
        <v>1288</v>
      </c>
      <c r="F51" s="410">
        <v>12.0</v>
      </c>
      <c r="G51" s="410">
        <v>10.0</v>
      </c>
      <c r="H51" s="410">
        <v>1.0</v>
      </c>
      <c r="I51" s="410">
        <v>1.1</v>
      </c>
      <c r="J51" s="410">
        <v>275.0</v>
      </c>
      <c r="K51" s="410">
        <v>25.0</v>
      </c>
      <c r="L51" s="411">
        <v>0.7</v>
      </c>
      <c r="M51" s="410">
        <v>3.0</v>
      </c>
      <c r="N51" s="411">
        <v>0.01</v>
      </c>
      <c r="O51" s="411">
        <v>0.01</v>
      </c>
      <c r="P51" s="410" t="s">
        <v>1289</v>
      </c>
      <c r="Q51" s="410">
        <v>0.0</v>
      </c>
      <c r="R51" s="410">
        <v>0.0</v>
      </c>
    </row>
    <row r="52">
      <c r="A52" s="83" t="s">
        <v>1328</v>
      </c>
      <c r="B52" s="374"/>
      <c r="C52" s="373" t="s">
        <v>475</v>
      </c>
      <c r="D52" s="410" t="s">
        <v>1317</v>
      </c>
      <c r="E52" s="410" t="s">
        <v>1288</v>
      </c>
      <c r="F52" s="410">
        <v>5.0</v>
      </c>
      <c r="G52" s="410">
        <v>5.0</v>
      </c>
      <c r="H52" s="410">
        <v>1.0</v>
      </c>
      <c r="I52" s="410">
        <v>0.85</v>
      </c>
      <c r="J52" s="410">
        <v>300.0</v>
      </c>
      <c r="K52" s="410">
        <v>0.0</v>
      </c>
      <c r="L52" s="411">
        <v>0.5</v>
      </c>
      <c r="M52" s="410">
        <v>2.0</v>
      </c>
      <c r="N52" s="411">
        <v>0.03</v>
      </c>
      <c r="O52" s="411">
        <v>0.03</v>
      </c>
      <c r="P52" s="410" t="s">
        <v>1289</v>
      </c>
      <c r="Q52" s="410">
        <v>1.0</v>
      </c>
      <c r="R52" s="410">
        <v>0.25</v>
      </c>
    </row>
    <row r="53">
      <c r="A53" s="83" t="s">
        <v>1329</v>
      </c>
      <c r="B53" s="374"/>
      <c r="C53" s="373" t="s">
        <v>475</v>
      </c>
      <c r="D53" s="410" t="s">
        <v>1317</v>
      </c>
      <c r="E53" s="410" t="s">
        <v>1288</v>
      </c>
      <c r="F53" s="410">
        <v>5.0</v>
      </c>
      <c r="G53" s="410">
        <v>4.0</v>
      </c>
      <c r="H53" s="410">
        <v>1.0</v>
      </c>
      <c r="I53" s="410">
        <v>0.25</v>
      </c>
      <c r="J53" s="410">
        <v>0.0</v>
      </c>
      <c r="K53" s="410">
        <v>0.0</v>
      </c>
      <c r="L53" s="411">
        <v>1.0</v>
      </c>
      <c r="M53" s="410">
        <v>1.0</v>
      </c>
      <c r="N53" s="411">
        <v>0.0</v>
      </c>
      <c r="O53" s="411">
        <v>0.0</v>
      </c>
      <c r="P53" s="410" t="s">
        <v>1289</v>
      </c>
      <c r="Q53" s="410">
        <v>3.0</v>
      </c>
      <c r="R53" s="410">
        <v>0.5</v>
      </c>
    </row>
    <row r="54">
      <c r="A54" s="83" t="s">
        <v>1330</v>
      </c>
      <c r="B54" s="374"/>
      <c r="C54" s="373" t="s">
        <v>475</v>
      </c>
      <c r="D54" s="410" t="s">
        <v>1317</v>
      </c>
      <c r="E54" s="410" t="s">
        <v>1288</v>
      </c>
      <c r="F54" s="410">
        <v>1.0</v>
      </c>
      <c r="G54" s="410">
        <v>5.0</v>
      </c>
      <c r="H54" s="410">
        <v>1.0</v>
      </c>
      <c r="I54" s="410">
        <v>0.85</v>
      </c>
      <c r="J54" s="410">
        <v>250.0</v>
      </c>
      <c r="K54" s="410">
        <v>50.0</v>
      </c>
      <c r="L54" s="411">
        <v>0.25</v>
      </c>
      <c r="M54" s="410">
        <v>1.0</v>
      </c>
      <c r="N54" s="411">
        <v>0.01</v>
      </c>
      <c r="O54" s="411">
        <v>0.01</v>
      </c>
      <c r="P54" s="410" t="s">
        <v>1289</v>
      </c>
      <c r="Q54" s="410">
        <v>1.0</v>
      </c>
      <c r="R54" s="410">
        <v>0.5</v>
      </c>
    </row>
    <row r="55">
      <c r="A55" s="83" t="s">
        <v>1331</v>
      </c>
      <c r="B55" s="374"/>
      <c r="C55" s="373" t="s">
        <v>475</v>
      </c>
      <c r="D55" s="410" t="s">
        <v>1317</v>
      </c>
      <c r="E55" s="410" t="s">
        <v>1288</v>
      </c>
      <c r="F55" s="410">
        <v>5.0</v>
      </c>
      <c r="G55" s="410">
        <v>30.0</v>
      </c>
      <c r="H55" s="410">
        <v>1.0</v>
      </c>
      <c r="I55" s="410">
        <v>0.85</v>
      </c>
      <c r="J55" s="410">
        <v>350.0</v>
      </c>
      <c r="K55" s="410">
        <v>50.0</v>
      </c>
      <c r="L55" s="411">
        <v>0.0</v>
      </c>
      <c r="M55" s="410">
        <v>8.0</v>
      </c>
      <c r="N55" s="411">
        <v>1.0</v>
      </c>
      <c r="O55" s="411">
        <v>1.0</v>
      </c>
      <c r="P55" s="410" t="s">
        <v>1291</v>
      </c>
      <c r="Q55" s="410">
        <v>0.0</v>
      </c>
      <c r="R55" s="410">
        <v>0.0</v>
      </c>
    </row>
    <row r="56">
      <c r="A56" s="83" t="s">
        <v>1332</v>
      </c>
      <c r="B56" s="374"/>
      <c r="C56" s="373" t="s">
        <v>475</v>
      </c>
      <c r="D56" s="410" t="s">
        <v>1317</v>
      </c>
      <c r="E56" s="410" t="s">
        <v>1288</v>
      </c>
      <c r="F56" s="410">
        <v>10.0</v>
      </c>
      <c r="G56" s="410">
        <v>8.0</v>
      </c>
      <c r="H56" s="410">
        <v>1.0</v>
      </c>
      <c r="I56" s="410">
        <v>1.15</v>
      </c>
      <c r="J56" s="410">
        <v>250.0</v>
      </c>
      <c r="K56" s="410">
        <v>50.0</v>
      </c>
      <c r="L56" s="411">
        <v>0.9</v>
      </c>
      <c r="M56" s="410">
        <v>2.0</v>
      </c>
      <c r="N56" s="411">
        <v>0.03</v>
      </c>
      <c r="O56" s="411">
        <v>0.03</v>
      </c>
      <c r="P56" s="410" t="s">
        <v>1289</v>
      </c>
      <c r="Q56" s="410">
        <v>0.0</v>
      </c>
      <c r="R56" s="410">
        <v>0.0</v>
      </c>
    </row>
    <row r="57">
      <c r="A57" s="83" t="s">
        <v>1333</v>
      </c>
      <c r="B57" s="374"/>
      <c r="C57" s="373" t="s">
        <v>475</v>
      </c>
      <c r="D57" s="410" t="s">
        <v>1317</v>
      </c>
      <c r="E57" s="410" t="s">
        <v>1288</v>
      </c>
      <c r="F57" s="410">
        <v>1.0</v>
      </c>
      <c r="G57" s="410">
        <v>1.0</v>
      </c>
      <c r="H57" s="410">
        <v>1.0</v>
      </c>
      <c r="I57" s="410">
        <v>0.4</v>
      </c>
      <c r="J57" s="410">
        <v>225.0</v>
      </c>
      <c r="K57" s="410">
        <v>25.0</v>
      </c>
      <c r="L57" s="411">
        <v>0.0</v>
      </c>
      <c r="M57" s="410">
        <v>1.0</v>
      </c>
      <c r="N57" s="411">
        <v>0.01</v>
      </c>
      <c r="O57" s="411">
        <v>0.01</v>
      </c>
      <c r="P57" s="410" t="s">
        <v>1289</v>
      </c>
      <c r="Q57" s="410">
        <v>0.0</v>
      </c>
      <c r="R57" s="410">
        <v>0.0</v>
      </c>
    </row>
    <row r="58">
      <c r="A58" s="83" t="s">
        <v>1334</v>
      </c>
      <c r="B58" s="374"/>
      <c r="C58" s="373" t="s">
        <v>475</v>
      </c>
      <c r="D58" s="410" t="s">
        <v>1317</v>
      </c>
      <c r="E58" s="410" t="s">
        <v>1288</v>
      </c>
      <c r="F58" s="410">
        <v>5.0</v>
      </c>
      <c r="G58" s="410">
        <v>2.0</v>
      </c>
      <c r="H58" s="410">
        <v>1.0</v>
      </c>
      <c r="I58" s="410">
        <v>0.85</v>
      </c>
      <c r="J58" s="410">
        <v>175.0</v>
      </c>
      <c r="K58" s="410">
        <v>0.0</v>
      </c>
      <c r="L58" s="411">
        <v>0.7</v>
      </c>
      <c r="M58" s="410">
        <v>2.0</v>
      </c>
      <c r="N58" s="411">
        <v>0.03</v>
      </c>
      <c r="O58" s="411">
        <v>0.01</v>
      </c>
      <c r="P58" s="410" t="s">
        <v>1289</v>
      </c>
      <c r="Q58" s="410">
        <v>0.0</v>
      </c>
      <c r="R58" s="410">
        <v>0.0</v>
      </c>
    </row>
    <row r="59">
      <c r="A59" s="83" t="s">
        <v>1335</v>
      </c>
      <c r="B59" s="374"/>
      <c r="C59" s="373" t="s">
        <v>475</v>
      </c>
      <c r="D59" s="410" t="s">
        <v>1317</v>
      </c>
      <c r="E59" s="410" t="s">
        <v>1288</v>
      </c>
      <c r="F59" s="410">
        <v>30.0</v>
      </c>
      <c r="G59" s="410">
        <v>15.0</v>
      </c>
      <c r="H59" s="410">
        <v>1.0</v>
      </c>
      <c r="I59" s="410">
        <v>0.85</v>
      </c>
      <c r="J59" s="410">
        <v>150.0</v>
      </c>
      <c r="K59" s="410">
        <v>0.0</v>
      </c>
      <c r="L59" s="411">
        <v>0.6</v>
      </c>
      <c r="M59" s="410">
        <v>5.0</v>
      </c>
      <c r="N59" s="411">
        <v>0.01</v>
      </c>
      <c r="O59" s="411">
        <v>0.01</v>
      </c>
      <c r="P59" s="410" t="s">
        <v>1289</v>
      </c>
      <c r="Q59" s="410">
        <v>0.0</v>
      </c>
      <c r="R59" s="410">
        <v>0.0</v>
      </c>
    </row>
    <row r="60">
      <c r="A60" s="83" t="s">
        <v>1336</v>
      </c>
      <c r="B60" s="374"/>
      <c r="C60" s="373" t="s">
        <v>475</v>
      </c>
      <c r="D60" s="410" t="s">
        <v>1317</v>
      </c>
      <c r="E60" s="410" t="s">
        <v>1288</v>
      </c>
      <c r="F60" s="410">
        <v>2.0</v>
      </c>
      <c r="G60" s="410">
        <v>2.0</v>
      </c>
      <c r="H60" s="410">
        <v>1.0</v>
      </c>
      <c r="I60" s="410">
        <v>0.6</v>
      </c>
      <c r="J60" s="410">
        <v>300.0</v>
      </c>
      <c r="K60" s="410">
        <v>25.0</v>
      </c>
      <c r="L60" s="411">
        <v>0.0</v>
      </c>
      <c r="M60" s="410">
        <v>1.0</v>
      </c>
      <c r="N60" s="411">
        <v>0.01</v>
      </c>
      <c r="O60" s="411">
        <v>0.01</v>
      </c>
      <c r="P60" s="410" t="s">
        <v>1289</v>
      </c>
      <c r="Q60" s="410">
        <v>0.0</v>
      </c>
      <c r="R60" s="410">
        <v>0.0</v>
      </c>
    </row>
    <row r="61">
      <c r="A61" s="83" t="s">
        <v>1337</v>
      </c>
      <c r="B61" s="374"/>
      <c r="C61" s="373" t="s">
        <v>475</v>
      </c>
      <c r="D61" s="410" t="s">
        <v>1317</v>
      </c>
      <c r="E61" s="410" t="s">
        <v>1288</v>
      </c>
      <c r="F61" s="410">
        <v>1.0</v>
      </c>
      <c r="G61" s="410">
        <v>750.0</v>
      </c>
      <c r="H61" s="410">
        <v>1.0</v>
      </c>
      <c r="I61" s="410">
        <v>1.5</v>
      </c>
      <c r="J61" s="410">
        <v>200.0</v>
      </c>
      <c r="K61" s="410">
        <v>0.0</v>
      </c>
      <c r="L61" s="411">
        <v>1.0</v>
      </c>
      <c r="M61" s="410">
        <v>10.0</v>
      </c>
      <c r="N61" s="411">
        <v>1.0</v>
      </c>
      <c r="O61" s="411">
        <v>1.0</v>
      </c>
      <c r="P61" s="410" t="s">
        <v>1291</v>
      </c>
      <c r="Q61" s="410">
        <v>0.0</v>
      </c>
      <c r="R61" s="410">
        <v>0.0</v>
      </c>
    </row>
    <row r="62">
      <c r="A62" s="83" t="s">
        <v>1338</v>
      </c>
      <c r="B62" s="374"/>
      <c r="C62" s="373" t="s">
        <v>475</v>
      </c>
      <c r="D62" s="410" t="s">
        <v>1317</v>
      </c>
      <c r="E62" s="410" t="s">
        <v>1288</v>
      </c>
      <c r="F62" s="410">
        <v>30.0</v>
      </c>
      <c r="G62" s="410">
        <v>15.0</v>
      </c>
      <c r="H62" s="410">
        <v>1.0</v>
      </c>
      <c r="I62" s="410">
        <v>0.85</v>
      </c>
      <c r="J62" s="410">
        <v>100.0</v>
      </c>
      <c r="K62" s="410">
        <v>0.0</v>
      </c>
      <c r="L62" s="411">
        <v>0.5</v>
      </c>
      <c r="M62" s="410">
        <v>3.0</v>
      </c>
      <c r="N62" s="411">
        <v>0.02</v>
      </c>
      <c r="O62" s="411">
        <v>0.02</v>
      </c>
      <c r="P62" s="410" t="s">
        <v>1289</v>
      </c>
      <c r="Q62" s="410">
        <v>0.0</v>
      </c>
      <c r="R62" s="410">
        <v>0.0</v>
      </c>
    </row>
    <row r="63">
      <c r="A63" s="83" t="s">
        <v>1339</v>
      </c>
      <c r="B63" s="374"/>
      <c r="C63" s="373" t="s">
        <v>475</v>
      </c>
      <c r="D63" s="410" t="s">
        <v>1317</v>
      </c>
      <c r="E63" s="410" t="s">
        <v>1288</v>
      </c>
      <c r="F63" s="410">
        <v>20.0</v>
      </c>
      <c r="G63" s="410">
        <v>5.0</v>
      </c>
      <c r="H63" s="410">
        <v>1.0</v>
      </c>
      <c r="I63" s="410">
        <v>0.6</v>
      </c>
      <c r="J63" s="410">
        <v>150.0</v>
      </c>
      <c r="K63" s="410">
        <v>0.0</v>
      </c>
      <c r="L63" s="411">
        <v>0.7</v>
      </c>
      <c r="M63" s="410">
        <v>2.0</v>
      </c>
      <c r="N63" s="411">
        <v>0.03</v>
      </c>
      <c r="O63" s="411">
        <v>0.03</v>
      </c>
      <c r="P63" s="410" t="s">
        <v>1289</v>
      </c>
      <c r="Q63" s="410">
        <v>0.0</v>
      </c>
      <c r="R63" s="410">
        <v>0.0</v>
      </c>
    </row>
    <row r="64">
      <c r="A64" s="83" t="s">
        <v>1340</v>
      </c>
      <c r="B64" s="374"/>
      <c r="C64" s="373" t="s">
        <v>475</v>
      </c>
      <c r="D64" s="410" t="s">
        <v>1317</v>
      </c>
      <c r="E64" s="410" t="s">
        <v>1288</v>
      </c>
      <c r="F64" s="410">
        <v>10.0</v>
      </c>
      <c r="G64" s="410">
        <v>5.0</v>
      </c>
      <c r="H64" s="410">
        <v>1.0</v>
      </c>
      <c r="I64" s="410">
        <v>1.0</v>
      </c>
      <c r="J64" s="410">
        <v>275.0</v>
      </c>
      <c r="K64" s="410">
        <v>25.0</v>
      </c>
      <c r="L64" s="411">
        <v>0.0</v>
      </c>
      <c r="M64" s="410">
        <v>1.0</v>
      </c>
      <c r="N64" s="411">
        <v>0.01</v>
      </c>
      <c r="O64" s="411">
        <v>0.01</v>
      </c>
      <c r="P64" s="410" t="s">
        <v>1289</v>
      </c>
      <c r="Q64" s="410">
        <v>0.0</v>
      </c>
      <c r="R64" s="410">
        <v>0.0</v>
      </c>
    </row>
    <row r="65">
      <c r="A65" s="83" t="s">
        <v>1341</v>
      </c>
      <c r="B65" s="374"/>
      <c r="C65" s="373" t="s">
        <v>475</v>
      </c>
      <c r="D65" s="410" t="s">
        <v>1317</v>
      </c>
      <c r="E65" s="410" t="s">
        <v>1288</v>
      </c>
      <c r="F65" s="410">
        <v>1.0</v>
      </c>
      <c r="G65" s="410">
        <v>3.0</v>
      </c>
      <c r="H65" s="410">
        <v>1.0</v>
      </c>
      <c r="I65" s="410">
        <v>0.65</v>
      </c>
      <c r="J65" s="410">
        <v>80.0</v>
      </c>
      <c r="K65" s="410">
        <v>0.0</v>
      </c>
      <c r="L65" s="411">
        <v>0.0</v>
      </c>
      <c r="M65" s="410">
        <v>1.0</v>
      </c>
      <c r="N65" s="411">
        <v>0.02</v>
      </c>
      <c r="O65" s="411">
        <v>0.02</v>
      </c>
      <c r="P65" s="410" t="s">
        <v>1289</v>
      </c>
      <c r="Q65" s="410">
        <v>0.0</v>
      </c>
      <c r="R65" s="410">
        <v>0.0</v>
      </c>
    </row>
    <row r="66">
      <c r="A66" s="83" t="s">
        <v>1342</v>
      </c>
      <c r="B66" s="374"/>
      <c r="C66" s="373" t="s">
        <v>475</v>
      </c>
      <c r="D66" s="410" t="s">
        <v>1317</v>
      </c>
      <c r="E66" s="410" t="s">
        <v>1288</v>
      </c>
      <c r="F66" s="410">
        <v>40.0</v>
      </c>
      <c r="G66" s="410">
        <v>25.0</v>
      </c>
      <c r="H66" s="410">
        <v>1.0</v>
      </c>
      <c r="I66" s="410">
        <v>1.2</v>
      </c>
      <c r="J66" s="410">
        <v>200.0</v>
      </c>
      <c r="K66" s="410">
        <v>0.0</v>
      </c>
      <c r="L66" s="411">
        <v>0.9</v>
      </c>
      <c r="M66" s="410">
        <v>3.0</v>
      </c>
      <c r="N66" s="411">
        <v>0.03</v>
      </c>
      <c r="O66" s="411">
        <v>0.03</v>
      </c>
      <c r="P66" s="410" t="s">
        <v>1289</v>
      </c>
      <c r="Q66" s="410">
        <v>0.0</v>
      </c>
      <c r="R66" s="410">
        <v>0.0</v>
      </c>
    </row>
    <row r="67">
      <c r="A67" s="83" t="s">
        <v>1343</v>
      </c>
      <c r="B67" s="374"/>
      <c r="C67" s="373" t="s">
        <v>475</v>
      </c>
      <c r="D67" s="410" t="s">
        <v>1317</v>
      </c>
      <c r="E67" s="410" t="s">
        <v>1288</v>
      </c>
      <c r="F67" s="410"/>
      <c r="G67" s="410"/>
      <c r="H67" s="410"/>
      <c r="I67" s="410"/>
      <c r="J67" s="410"/>
      <c r="K67" s="410"/>
      <c r="L67" s="411"/>
      <c r="M67" s="410"/>
      <c r="N67" s="411"/>
      <c r="O67" s="411"/>
      <c r="P67" s="410"/>
      <c r="Q67" s="410"/>
      <c r="R67" s="410"/>
    </row>
    <row r="68">
      <c r="A68" s="83" t="s">
        <v>171</v>
      </c>
      <c r="B68" s="374"/>
      <c r="C68" s="373" t="s">
        <v>1295</v>
      </c>
      <c r="D68" s="410" t="s">
        <v>1317</v>
      </c>
      <c r="E68" s="410" t="s">
        <v>1296</v>
      </c>
      <c r="F68" s="410">
        <v>1.0</v>
      </c>
      <c r="G68" s="410">
        <v>750.0</v>
      </c>
      <c r="H68" s="410">
        <v>1.0</v>
      </c>
      <c r="I68" s="410">
        <v>1.5</v>
      </c>
      <c r="J68" s="410">
        <v>300.0</v>
      </c>
      <c r="K68" s="410">
        <v>0.0</v>
      </c>
      <c r="L68" s="411">
        <v>1.0</v>
      </c>
      <c r="M68" s="410">
        <v>10.0</v>
      </c>
      <c r="N68" s="411">
        <v>1.0</v>
      </c>
      <c r="O68" s="411">
        <v>1.0</v>
      </c>
      <c r="P68" s="410" t="s">
        <v>1291</v>
      </c>
      <c r="Q68" s="410">
        <v>0.0</v>
      </c>
      <c r="R68" s="410">
        <v>0.0</v>
      </c>
    </row>
    <row r="69">
      <c r="A69" s="83" t="s">
        <v>1344</v>
      </c>
      <c r="B69" s="374"/>
      <c r="C69" s="373" t="s">
        <v>1295</v>
      </c>
      <c r="D69" s="410" t="s">
        <v>1317</v>
      </c>
      <c r="E69" s="410" t="s">
        <v>1296</v>
      </c>
      <c r="F69" s="410">
        <v>1.0</v>
      </c>
      <c r="G69" s="410">
        <v>750.0</v>
      </c>
      <c r="H69" s="410">
        <v>1.0</v>
      </c>
      <c r="I69" s="410">
        <v>1.5</v>
      </c>
      <c r="J69" s="410">
        <v>250.0</v>
      </c>
      <c r="K69" s="410">
        <v>0.0</v>
      </c>
      <c r="L69" s="411">
        <v>1.0</v>
      </c>
      <c r="M69" s="410">
        <v>10.0</v>
      </c>
      <c r="N69" s="411">
        <v>1.0</v>
      </c>
      <c r="O69" s="411">
        <v>1.0</v>
      </c>
      <c r="P69" s="410" t="s">
        <v>1291</v>
      </c>
      <c r="Q69" s="410">
        <v>0.0</v>
      </c>
      <c r="R69" s="410">
        <v>0.0</v>
      </c>
    </row>
    <row r="70">
      <c r="A70" s="83" t="s">
        <v>1345</v>
      </c>
      <c r="B70" s="374"/>
      <c r="C70" s="373" t="s">
        <v>1295</v>
      </c>
      <c r="D70" s="410" t="s">
        <v>1317</v>
      </c>
      <c r="E70" s="410" t="s">
        <v>1297</v>
      </c>
      <c r="F70" s="410">
        <v>1.0</v>
      </c>
      <c r="G70" s="410">
        <v>750.0</v>
      </c>
      <c r="H70" s="410">
        <v>1.0</v>
      </c>
      <c r="I70" s="410">
        <v>1.5</v>
      </c>
      <c r="J70" s="410">
        <v>200.0</v>
      </c>
      <c r="K70" s="410">
        <v>0.0</v>
      </c>
      <c r="L70" s="411">
        <v>1.0</v>
      </c>
      <c r="M70" s="410">
        <v>10.0</v>
      </c>
      <c r="N70" s="411">
        <v>1.0</v>
      </c>
      <c r="O70" s="411">
        <v>1.0</v>
      </c>
      <c r="P70" s="410" t="s">
        <v>1291</v>
      </c>
      <c r="Q70" s="410">
        <v>0.0</v>
      </c>
      <c r="R70" s="410">
        <v>0.0</v>
      </c>
    </row>
    <row r="71">
      <c r="A71" s="83" t="s">
        <v>1346</v>
      </c>
      <c r="B71" s="374"/>
      <c r="C71" s="373" t="s">
        <v>1295</v>
      </c>
      <c r="D71" s="410" t="s">
        <v>1317</v>
      </c>
      <c r="E71" s="410" t="s">
        <v>1298</v>
      </c>
      <c r="F71" s="410">
        <v>1.0</v>
      </c>
      <c r="G71" s="410">
        <v>750.0</v>
      </c>
      <c r="H71" s="410">
        <v>1.0</v>
      </c>
      <c r="I71" s="410">
        <v>1.5</v>
      </c>
      <c r="J71" s="410">
        <v>250.0</v>
      </c>
      <c r="K71" s="410">
        <v>0.0</v>
      </c>
      <c r="L71" s="411">
        <v>1.0</v>
      </c>
      <c r="M71" s="410">
        <v>10.0</v>
      </c>
      <c r="N71" s="411">
        <v>1.0</v>
      </c>
      <c r="O71" s="411">
        <v>1.0</v>
      </c>
      <c r="P71" s="410" t="s">
        <v>1291</v>
      </c>
      <c r="Q71" s="410">
        <v>0.0</v>
      </c>
      <c r="R71" s="410">
        <v>0.0</v>
      </c>
    </row>
    <row r="72">
      <c r="A72" s="83" t="s">
        <v>1347</v>
      </c>
      <c r="B72" s="374"/>
      <c r="C72" s="373" t="s">
        <v>1295</v>
      </c>
      <c r="D72" s="410" t="s">
        <v>1317</v>
      </c>
      <c r="E72" s="410" t="s">
        <v>1300</v>
      </c>
      <c r="F72" s="410">
        <v>1.0</v>
      </c>
      <c r="G72" s="410">
        <v>750.0</v>
      </c>
      <c r="H72" s="410">
        <v>1.0</v>
      </c>
      <c r="I72" s="410">
        <v>1.5</v>
      </c>
      <c r="J72" s="410">
        <v>225.0</v>
      </c>
      <c r="K72" s="410">
        <v>0.0</v>
      </c>
      <c r="L72" s="411">
        <v>1.0</v>
      </c>
      <c r="M72" s="410">
        <v>10.0</v>
      </c>
      <c r="N72" s="411">
        <v>1.0</v>
      </c>
      <c r="O72" s="411">
        <v>1.0</v>
      </c>
      <c r="P72" s="410" t="s">
        <v>1291</v>
      </c>
      <c r="Q72" s="410">
        <v>0.0</v>
      </c>
      <c r="R72" s="410">
        <v>0.0</v>
      </c>
    </row>
    <row r="73">
      <c r="A73" s="83" t="s">
        <v>1348</v>
      </c>
      <c r="B73" s="374"/>
      <c r="C73" s="373" t="s">
        <v>1295</v>
      </c>
      <c r="D73" s="410" t="s">
        <v>1317</v>
      </c>
      <c r="E73" s="410" t="s">
        <v>1302</v>
      </c>
      <c r="F73" s="410">
        <v>1.0</v>
      </c>
      <c r="G73" s="410">
        <v>750.0</v>
      </c>
      <c r="H73" s="410">
        <v>1.0</v>
      </c>
      <c r="I73" s="410">
        <v>1.5</v>
      </c>
      <c r="J73" s="410">
        <v>350.0</v>
      </c>
      <c r="K73" s="410">
        <v>0.0</v>
      </c>
      <c r="L73" s="411">
        <v>1.0</v>
      </c>
      <c r="M73" s="410">
        <v>10.0</v>
      </c>
      <c r="N73" s="411">
        <v>1.0</v>
      </c>
      <c r="O73" s="411">
        <v>1.0</v>
      </c>
      <c r="P73" s="410" t="s">
        <v>1291</v>
      </c>
      <c r="Q73" s="410">
        <v>0.0</v>
      </c>
      <c r="R73" s="410">
        <v>0.0</v>
      </c>
    </row>
    <row r="74">
      <c r="A74" s="83" t="s">
        <v>1349</v>
      </c>
      <c r="B74" s="374"/>
      <c r="C74" s="373" t="s">
        <v>1295</v>
      </c>
      <c r="D74" s="410" t="s">
        <v>1317</v>
      </c>
      <c r="E74" s="410" t="s">
        <v>1304</v>
      </c>
      <c r="F74" s="410">
        <v>1.0</v>
      </c>
      <c r="G74" s="410">
        <v>750.0</v>
      </c>
      <c r="H74" s="410">
        <v>1.0</v>
      </c>
      <c r="I74" s="410">
        <v>1.5</v>
      </c>
      <c r="J74" s="410">
        <v>200.0</v>
      </c>
      <c r="K74" s="410">
        <v>0.0</v>
      </c>
      <c r="L74" s="411">
        <v>1.0</v>
      </c>
      <c r="M74" s="410">
        <v>10.0</v>
      </c>
      <c r="N74" s="411">
        <v>1.0</v>
      </c>
      <c r="O74" s="411">
        <v>1.0</v>
      </c>
      <c r="P74" s="410" t="s">
        <v>1291</v>
      </c>
      <c r="Q74" s="410">
        <v>0.0</v>
      </c>
      <c r="R74" s="410">
        <v>0.0</v>
      </c>
    </row>
    <row r="75">
      <c r="A75" s="83" t="s">
        <v>1350</v>
      </c>
      <c r="B75" s="374"/>
      <c r="C75" s="373" t="s">
        <v>1295</v>
      </c>
      <c r="D75" s="410" t="s">
        <v>1317</v>
      </c>
      <c r="E75" s="410" t="s">
        <v>1306</v>
      </c>
      <c r="F75" s="410">
        <v>1.0</v>
      </c>
      <c r="G75" s="410">
        <v>700.0</v>
      </c>
      <c r="H75" s="410">
        <v>1.0</v>
      </c>
      <c r="I75" s="410">
        <v>1.5</v>
      </c>
      <c r="J75" s="410">
        <v>200.0</v>
      </c>
      <c r="K75" s="410">
        <v>0.0</v>
      </c>
      <c r="L75" s="411">
        <v>1.0</v>
      </c>
      <c r="M75" s="410">
        <v>10.0</v>
      </c>
      <c r="N75" s="411">
        <v>1.0</v>
      </c>
      <c r="O75" s="411">
        <v>1.0</v>
      </c>
      <c r="P75" s="410" t="s">
        <v>1291</v>
      </c>
      <c r="Q75" s="410">
        <v>3.0</v>
      </c>
      <c r="R75" s="410">
        <v>0.5</v>
      </c>
    </row>
    <row r="76">
      <c r="A76" s="83" t="s">
        <v>1351</v>
      </c>
      <c r="B76" s="374"/>
      <c r="C76" s="373" t="s">
        <v>1309</v>
      </c>
      <c r="D76" s="410" t="s">
        <v>1317</v>
      </c>
      <c r="E76" s="410" t="s">
        <v>1288</v>
      </c>
      <c r="F76" s="410">
        <v>15000.0</v>
      </c>
      <c r="G76" s="410">
        <v>875.0</v>
      </c>
      <c r="H76" s="410">
        <v>1.0</v>
      </c>
      <c r="I76" s="410">
        <v>1.5</v>
      </c>
      <c r="J76" s="410">
        <v>200.0</v>
      </c>
      <c r="K76" s="410">
        <v>0.0</v>
      </c>
      <c r="L76" s="411">
        <v>1.0</v>
      </c>
      <c r="M76" s="410">
        <v>10.0</v>
      </c>
      <c r="N76" s="411">
        <v>1.0</v>
      </c>
      <c r="O76" s="411">
        <v>1.0</v>
      </c>
      <c r="P76" s="410" t="s">
        <v>1291</v>
      </c>
      <c r="Q76" s="410">
        <v>0.0</v>
      </c>
      <c r="R76" s="410">
        <v>0.0</v>
      </c>
    </row>
    <row r="77">
      <c r="A77" s="83" t="s">
        <v>1352</v>
      </c>
      <c r="B77" s="374"/>
      <c r="C77" s="373" t="s">
        <v>1309</v>
      </c>
      <c r="D77" s="410" t="s">
        <v>1317</v>
      </c>
      <c r="E77" s="410" t="s">
        <v>1288</v>
      </c>
      <c r="F77" s="410">
        <v>15000.0</v>
      </c>
      <c r="G77" s="410">
        <v>875.0</v>
      </c>
      <c r="H77" s="410">
        <v>1.0</v>
      </c>
      <c r="I77" s="410">
        <v>1.5</v>
      </c>
      <c r="J77" s="410">
        <v>200.0</v>
      </c>
      <c r="K77" s="410">
        <v>0.0</v>
      </c>
      <c r="L77" s="411">
        <v>1.0</v>
      </c>
      <c r="M77" s="410">
        <v>10.0</v>
      </c>
      <c r="N77" s="411">
        <v>1.0</v>
      </c>
      <c r="O77" s="411">
        <v>1.0</v>
      </c>
      <c r="P77" s="410" t="s">
        <v>1291</v>
      </c>
      <c r="Q77" s="410">
        <v>0.0</v>
      </c>
      <c r="R77" s="410">
        <v>0.0</v>
      </c>
    </row>
    <row r="78">
      <c r="A78" s="83" t="s">
        <v>1353</v>
      </c>
      <c r="B78" s="374"/>
      <c r="C78" s="373" t="s">
        <v>475</v>
      </c>
      <c r="D78" s="410" t="s">
        <v>1317</v>
      </c>
      <c r="E78" s="410" t="s">
        <v>335</v>
      </c>
      <c r="F78" s="410">
        <v>6.0</v>
      </c>
      <c r="G78" s="410">
        <v>3.0</v>
      </c>
      <c r="H78" s="410">
        <v>1.0</v>
      </c>
      <c r="I78" s="410">
        <v>1.5</v>
      </c>
      <c r="J78" s="410">
        <v>175.0</v>
      </c>
      <c r="K78" s="410">
        <v>0.0</v>
      </c>
      <c r="L78" s="411">
        <v>0.7</v>
      </c>
      <c r="M78" s="410">
        <v>2.0</v>
      </c>
      <c r="N78" s="411">
        <v>0.03</v>
      </c>
      <c r="O78" s="411">
        <v>0.01</v>
      </c>
      <c r="P78" s="410" t="s">
        <v>1289</v>
      </c>
      <c r="Q78" s="410">
        <v>0.0</v>
      </c>
      <c r="R78" s="410">
        <v>0.0</v>
      </c>
    </row>
    <row r="79">
      <c r="A79" s="83" t="s">
        <v>1354</v>
      </c>
      <c r="B79" s="374"/>
      <c r="C79" s="373" t="s">
        <v>475</v>
      </c>
      <c r="D79" s="410" t="s">
        <v>1317</v>
      </c>
      <c r="E79" s="410" t="s">
        <v>335</v>
      </c>
      <c r="F79" s="410">
        <v>20.0</v>
      </c>
      <c r="G79" s="410">
        <v>10.0</v>
      </c>
      <c r="H79" s="410">
        <v>1.0</v>
      </c>
      <c r="I79" s="410">
        <v>1.5</v>
      </c>
      <c r="J79" s="410">
        <v>275.0</v>
      </c>
      <c r="K79" s="410">
        <v>25.0</v>
      </c>
      <c r="L79" s="411">
        <v>0.0</v>
      </c>
      <c r="M79" s="410">
        <v>1.0</v>
      </c>
      <c r="N79" s="411">
        <v>0.01</v>
      </c>
      <c r="O79" s="411">
        <v>0.01</v>
      </c>
      <c r="P79" s="410" t="s">
        <v>1289</v>
      </c>
      <c r="Q79" s="410">
        <v>0.0</v>
      </c>
      <c r="R79" s="410">
        <v>0.0</v>
      </c>
    </row>
    <row r="80">
      <c r="A80" s="83" t="s">
        <v>1355</v>
      </c>
      <c r="B80" s="374"/>
      <c r="C80" s="373" t="s">
        <v>475</v>
      </c>
      <c r="D80" s="410" t="s">
        <v>1317</v>
      </c>
      <c r="E80" s="410" t="s">
        <v>335</v>
      </c>
      <c r="F80" s="410">
        <v>70.0</v>
      </c>
      <c r="G80" s="410">
        <v>40.0</v>
      </c>
      <c r="H80" s="410">
        <v>1.0</v>
      </c>
      <c r="I80" s="410">
        <v>1.5</v>
      </c>
      <c r="J80" s="410">
        <v>200.0</v>
      </c>
      <c r="K80" s="410">
        <v>0.0</v>
      </c>
      <c r="L80" s="411">
        <v>0.9</v>
      </c>
      <c r="M80" s="410">
        <v>3.0</v>
      </c>
      <c r="N80" s="411">
        <v>0.03</v>
      </c>
      <c r="O80" s="411">
        <v>0.03</v>
      </c>
      <c r="P80" s="410" t="s">
        <v>1289</v>
      </c>
      <c r="Q80" s="410">
        <v>0.0</v>
      </c>
      <c r="R80" s="410">
        <v>0.0</v>
      </c>
    </row>
    <row r="81">
      <c r="A81" s="83" t="s">
        <v>1356</v>
      </c>
      <c r="B81" s="374"/>
      <c r="C81" s="373" t="s">
        <v>475</v>
      </c>
      <c r="D81" s="410" t="s">
        <v>1317</v>
      </c>
      <c r="E81" s="410" t="s">
        <v>335</v>
      </c>
      <c r="F81" s="410">
        <v>15.0</v>
      </c>
      <c r="G81" s="410">
        <v>7.0</v>
      </c>
      <c r="H81" s="410">
        <v>1.0</v>
      </c>
      <c r="I81" s="410">
        <v>1.2</v>
      </c>
      <c r="J81" s="410">
        <v>100.0</v>
      </c>
      <c r="K81" s="410">
        <v>25.0</v>
      </c>
      <c r="L81" s="411">
        <v>0.6</v>
      </c>
      <c r="M81" s="410">
        <v>2.0</v>
      </c>
      <c r="N81" s="411">
        <v>0.02</v>
      </c>
      <c r="O81" s="411">
        <v>0.02</v>
      </c>
      <c r="P81" s="410" t="s">
        <v>1289</v>
      </c>
      <c r="Q81" s="410">
        <v>0.0</v>
      </c>
      <c r="R81" s="410">
        <v>0.0</v>
      </c>
    </row>
    <row r="82">
      <c r="A82" s="83" t="s">
        <v>1357</v>
      </c>
      <c r="B82" s="374"/>
      <c r="C82" s="373" t="s">
        <v>475</v>
      </c>
      <c r="D82" s="410" t="s">
        <v>1317</v>
      </c>
      <c r="E82" s="410" t="s">
        <v>335</v>
      </c>
      <c r="F82" s="410">
        <v>10.0</v>
      </c>
      <c r="G82" s="410">
        <v>8.0</v>
      </c>
      <c r="H82" s="410">
        <v>1.0</v>
      </c>
      <c r="I82" s="410">
        <v>0.6</v>
      </c>
      <c r="J82" s="410">
        <v>70.0</v>
      </c>
      <c r="K82" s="410">
        <v>25.0</v>
      </c>
      <c r="L82" s="411">
        <v>0.5</v>
      </c>
      <c r="M82" s="410">
        <v>5.0</v>
      </c>
      <c r="N82" s="411">
        <v>0.05</v>
      </c>
      <c r="O82" s="411">
        <v>0.05</v>
      </c>
      <c r="P82" s="410" t="s">
        <v>1289</v>
      </c>
      <c r="Q82" s="410">
        <v>0.0</v>
      </c>
      <c r="R82" s="410">
        <v>0.0</v>
      </c>
    </row>
    <row r="83">
      <c r="A83" s="83" t="s">
        <v>1358</v>
      </c>
      <c r="B83" s="374"/>
      <c r="C83" s="373" t="s">
        <v>475</v>
      </c>
      <c r="D83" s="410" t="s">
        <v>1317</v>
      </c>
      <c r="E83" s="410" t="s">
        <v>335</v>
      </c>
      <c r="F83" s="410">
        <v>150.0</v>
      </c>
      <c r="G83" s="410">
        <v>75.0</v>
      </c>
      <c r="H83" s="410">
        <v>1.0</v>
      </c>
      <c r="I83" s="410">
        <v>1.5</v>
      </c>
      <c r="J83" s="410">
        <v>300.0</v>
      </c>
      <c r="K83" s="410">
        <v>0.0</v>
      </c>
      <c r="L83" s="411">
        <v>0.9</v>
      </c>
      <c r="M83" s="410">
        <v>8.0</v>
      </c>
      <c r="N83" s="411">
        <v>0.05</v>
      </c>
      <c r="O83" s="411">
        <v>0.05</v>
      </c>
      <c r="P83" s="410" t="s">
        <v>1289</v>
      </c>
      <c r="Q83" s="410">
        <v>0.0</v>
      </c>
      <c r="R83" s="410">
        <v>0.0</v>
      </c>
    </row>
    <row r="84">
      <c r="A84" s="83" t="s">
        <v>1359</v>
      </c>
      <c r="B84" s="374"/>
      <c r="C84" s="373" t="s">
        <v>475</v>
      </c>
      <c r="D84" s="410" t="s">
        <v>1317</v>
      </c>
      <c r="E84" s="410" t="s">
        <v>335</v>
      </c>
      <c r="F84" s="410">
        <v>20.0</v>
      </c>
      <c r="G84" s="410">
        <v>15.0</v>
      </c>
      <c r="H84" s="410">
        <v>1.0</v>
      </c>
      <c r="I84" s="410">
        <v>1.5</v>
      </c>
      <c r="J84" s="410">
        <v>275.0</v>
      </c>
      <c r="K84" s="410">
        <v>25.0</v>
      </c>
      <c r="L84" s="411">
        <v>0.7</v>
      </c>
      <c r="M84" s="410">
        <v>3.0</v>
      </c>
      <c r="N84" s="411">
        <v>0.01</v>
      </c>
      <c r="O84" s="411">
        <v>0.01</v>
      </c>
      <c r="P84" s="410" t="s">
        <v>1289</v>
      </c>
      <c r="Q84" s="410">
        <v>0.0</v>
      </c>
      <c r="R84" s="410">
        <v>0.0</v>
      </c>
    </row>
    <row r="85">
      <c r="A85" s="83" t="s">
        <v>1360</v>
      </c>
      <c r="B85" s="374"/>
      <c r="C85" s="373" t="s">
        <v>475</v>
      </c>
      <c r="D85" s="410" t="s">
        <v>1317</v>
      </c>
      <c r="E85" s="410" t="s">
        <v>335</v>
      </c>
      <c r="F85" s="410">
        <v>60.0</v>
      </c>
      <c r="G85" s="410">
        <v>25.0</v>
      </c>
      <c r="H85" s="410">
        <v>1.0</v>
      </c>
      <c r="I85" s="410">
        <v>1.2</v>
      </c>
      <c r="J85" s="410">
        <v>150.0</v>
      </c>
      <c r="K85" s="410">
        <v>0.0</v>
      </c>
      <c r="L85" s="411">
        <v>0.5</v>
      </c>
      <c r="M85" s="410">
        <v>3.0</v>
      </c>
      <c r="N85" s="411">
        <v>0.02</v>
      </c>
      <c r="O85" s="411">
        <v>0.02</v>
      </c>
      <c r="P85" s="410" t="s">
        <v>1289</v>
      </c>
      <c r="Q85" s="410">
        <v>0.0</v>
      </c>
      <c r="R85" s="410">
        <v>0.0</v>
      </c>
    </row>
    <row r="86">
      <c r="A86" s="83" t="s">
        <v>1361</v>
      </c>
      <c r="B86" s="374"/>
      <c r="C86" s="373" t="s">
        <v>475</v>
      </c>
      <c r="D86" s="410" t="s">
        <v>1317</v>
      </c>
      <c r="E86" s="410" t="s">
        <v>335</v>
      </c>
      <c r="F86" s="410">
        <v>50.0</v>
      </c>
      <c r="G86" s="410">
        <v>55.0</v>
      </c>
      <c r="H86" s="410">
        <v>1.0</v>
      </c>
      <c r="I86" s="410">
        <v>1.2</v>
      </c>
      <c r="J86" s="410">
        <v>200.0</v>
      </c>
      <c r="K86" s="410">
        <v>0.0</v>
      </c>
      <c r="L86" s="411">
        <v>0.8</v>
      </c>
      <c r="M86" s="410">
        <v>5.0</v>
      </c>
      <c r="N86" s="411">
        <v>0.05</v>
      </c>
      <c r="O86" s="411">
        <v>0.05</v>
      </c>
      <c r="P86" s="410" t="s">
        <v>1289</v>
      </c>
      <c r="Q86" s="410">
        <v>0.0</v>
      </c>
      <c r="R86" s="410">
        <v>0.0</v>
      </c>
    </row>
    <row r="87">
      <c r="A87" s="83" t="s">
        <v>1362</v>
      </c>
      <c r="B87" s="374"/>
      <c r="C87" s="373" t="s">
        <v>475</v>
      </c>
      <c r="D87" s="410" t="s">
        <v>1317</v>
      </c>
      <c r="E87" s="410" t="s">
        <v>335</v>
      </c>
      <c r="F87" s="410">
        <v>10.0</v>
      </c>
      <c r="G87" s="410">
        <v>7.0</v>
      </c>
      <c r="H87" s="410">
        <v>1.0</v>
      </c>
      <c r="I87" s="410">
        <v>0.25</v>
      </c>
      <c r="J87" s="410">
        <v>0.0</v>
      </c>
      <c r="K87" s="410">
        <v>0.0</v>
      </c>
      <c r="L87" s="411">
        <v>0.01</v>
      </c>
      <c r="M87" s="410">
        <v>1.0</v>
      </c>
      <c r="N87" s="411">
        <v>0.0</v>
      </c>
      <c r="O87" s="411">
        <v>0.0</v>
      </c>
      <c r="P87" s="410" t="s">
        <v>1289</v>
      </c>
      <c r="Q87" s="410">
        <v>0.0</v>
      </c>
      <c r="R87" s="410">
        <v>0.0</v>
      </c>
    </row>
    <row r="88">
      <c r="A88" s="83"/>
      <c r="B88" s="374"/>
      <c r="C88" s="373"/>
      <c r="D88" s="410"/>
      <c r="E88" s="410"/>
      <c r="F88" s="410"/>
      <c r="G88" s="410"/>
      <c r="H88" s="410"/>
      <c r="I88" s="410"/>
      <c r="J88" s="410"/>
      <c r="K88" s="410"/>
      <c r="L88" s="411"/>
      <c r="M88" s="410"/>
      <c r="N88" s="411"/>
      <c r="O88" s="411"/>
      <c r="P88" s="410"/>
      <c r="Q88" s="410"/>
      <c r="R88" s="410"/>
    </row>
    <row r="89">
      <c r="A89" s="83" t="s">
        <v>1363</v>
      </c>
      <c r="B89" s="374"/>
      <c r="C89" s="414"/>
      <c r="D89" s="412"/>
      <c r="E89" s="412"/>
      <c r="F89" s="412"/>
      <c r="G89" s="412"/>
      <c r="H89" s="412"/>
      <c r="I89" s="412"/>
      <c r="J89" s="412"/>
      <c r="K89" s="412"/>
      <c r="L89" s="413"/>
      <c r="M89" s="412"/>
      <c r="N89" s="413"/>
      <c r="O89" s="413"/>
      <c r="P89" s="412"/>
      <c r="Q89" s="414"/>
      <c r="R89" s="414"/>
    </row>
    <row r="90">
      <c r="A90" s="83" t="s">
        <v>1364</v>
      </c>
      <c r="B90" s="374"/>
      <c r="C90" s="415" t="s">
        <v>1365</v>
      </c>
      <c r="D90" s="410" t="s">
        <v>1363</v>
      </c>
      <c r="E90" s="410" t="s">
        <v>1288</v>
      </c>
      <c r="F90" s="410">
        <v>25000.0</v>
      </c>
      <c r="G90" s="410">
        <v>1000.0</v>
      </c>
      <c r="H90" s="410">
        <v>1.0</v>
      </c>
      <c r="I90" s="410">
        <v>5.0</v>
      </c>
      <c r="J90" s="410">
        <v>250.0</v>
      </c>
      <c r="K90" s="410">
        <v>0.0</v>
      </c>
      <c r="L90" s="411">
        <v>1.0</v>
      </c>
      <c r="M90" s="410">
        <v>25.0</v>
      </c>
      <c r="N90" s="411">
        <v>1.0</v>
      </c>
      <c r="O90" s="411">
        <v>1.0</v>
      </c>
      <c r="P90" s="410" t="s">
        <v>1291</v>
      </c>
      <c r="Q90" s="415">
        <v>0.0</v>
      </c>
      <c r="R90" s="415">
        <v>0.0</v>
      </c>
    </row>
    <row r="91">
      <c r="B91" s="374"/>
      <c r="C91" s="373"/>
      <c r="D91" s="412"/>
      <c r="E91" s="412"/>
      <c r="F91" s="412"/>
      <c r="G91" s="412"/>
      <c r="H91" s="412"/>
      <c r="I91" s="412"/>
      <c r="J91" s="412"/>
      <c r="K91" s="412"/>
      <c r="L91" s="413"/>
      <c r="M91" s="412"/>
      <c r="N91" s="413"/>
      <c r="O91" s="413"/>
      <c r="P91" s="412"/>
      <c r="Q91" s="414"/>
      <c r="R91" s="414"/>
    </row>
    <row r="92">
      <c r="B92" s="374"/>
      <c r="C92" s="374"/>
      <c r="D92" s="412"/>
      <c r="E92" s="412"/>
      <c r="F92" s="412"/>
      <c r="G92" s="412"/>
      <c r="H92" s="412"/>
      <c r="I92" s="412"/>
      <c r="J92" s="412"/>
      <c r="K92" s="412"/>
      <c r="L92" s="413"/>
      <c r="M92" s="412"/>
      <c r="N92" s="413"/>
      <c r="O92" s="413"/>
      <c r="P92" s="412"/>
      <c r="Q92" s="414"/>
      <c r="R92" s="414"/>
    </row>
    <row r="93">
      <c r="B93" s="374"/>
      <c r="C93" s="374"/>
      <c r="D93" s="412"/>
      <c r="E93" s="412"/>
      <c r="F93" s="412"/>
      <c r="G93" s="412"/>
      <c r="H93" s="412"/>
      <c r="I93" s="412"/>
      <c r="J93" s="412"/>
      <c r="K93" s="412"/>
      <c r="L93" s="413"/>
      <c r="M93" s="412"/>
      <c r="N93" s="413"/>
      <c r="O93" s="413"/>
      <c r="P93" s="412"/>
      <c r="Q93" s="414"/>
      <c r="R93" s="414"/>
    </row>
    <row r="94">
      <c r="B94" s="374"/>
      <c r="C94" s="374"/>
      <c r="D94" s="412"/>
      <c r="E94" s="412"/>
      <c r="F94" s="412"/>
      <c r="G94" s="412"/>
      <c r="H94" s="412"/>
      <c r="I94" s="412"/>
      <c r="J94" s="412"/>
      <c r="K94" s="412"/>
      <c r="L94" s="413"/>
      <c r="M94" s="412"/>
      <c r="N94" s="413"/>
      <c r="O94" s="413"/>
      <c r="P94" s="412"/>
      <c r="Q94" s="414"/>
      <c r="R94" s="414"/>
    </row>
    <row r="95">
      <c r="B95" s="374"/>
      <c r="C95" s="374"/>
      <c r="D95" s="412"/>
      <c r="E95" s="412"/>
      <c r="F95" s="412"/>
      <c r="G95" s="412"/>
      <c r="H95" s="412"/>
      <c r="I95" s="412"/>
      <c r="J95" s="412"/>
      <c r="K95" s="412"/>
      <c r="L95" s="413"/>
      <c r="M95" s="412"/>
      <c r="N95" s="413"/>
      <c r="O95" s="413"/>
      <c r="P95" s="412"/>
      <c r="Q95" s="414"/>
      <c r="R95" s="414"/>
    </row>
    <row r="96">
      <c r="B96" s="374"/>
      <c r="C96" s="374"/>
      <c r="D96" s="412"/>
      <c r="E96" s="412"/>
      <c r="F96" s="412"/>
      <c r="G96" s="412"/>
      <c r="H96" s="412"/>
      <c r="I96" s="412"/>
      <c r="J96" s="412"/>
      <c r="K96" s="412"/>
      <c r="L96" s="413"/>
      <c r="M96" s="412"/>
      <c r="N96" s="413"/>
      <c r="O96" s="413"/>
      <c r="P96" s="412"/>
      <c r="Q96" s="414"/>
      <c r="R96" s="414"/>
    </row>
    <row r="97">
      <c r="B97" s="374"/>
      <c r="C97" s="374"/>
      <c r="D97" s="412"/>
      <c r="E97" s="412"/>
      <c r="F97" s="412"/>
      <c r="G97" s="412"/>
      <c r="H97" s="412"/>
      <c r="I97" s="412"/>
      <c r="J97" s="412"/>
      <c r="K97" s="412"/>
      <c r="L97" s="413"/>
      <c r="M97" s="412"/>
      <c r="N97" s="413"/>
      <c r="O97" s="413"/>
      <c r="P97" s="412"/>
      <c r="Q97" s="414"/>
      <c r="R97" s="414"/>
    </row>
    <row r="98">
      <c r="B98" s="374"/>
      <c r="C98" s="374"/>
      <c r="D98" s="412"/>
      <c r="E98" s="412"/>
      <c r="F98" s="412"/>
      <c r="G98" s="412"/>
      <c r="H98" s="412"/>
      <c r="I98" s="412"/>
      <c r="J98" s="412"/>
      <c r="K98" s="412"/>
      <c r="L98" s="413"/>
      <c r="M98" s="412"/>
      <c r="N98" s="413"/>
      <c r="O98" s="413"/>
      <c r="P98" s="412"/>
      <c r="Q98" s="414"/>
      <c r="R98" s="414"/>
    </row>
    <row r="99">
      <c r="B99" s="374"/>
      <c r="C99" s="374"/>
      <c r="D99" s="412"/>
      <c r="E99" s="412"/>
      <c r="F99" s="412"/>
      <c r="G99" s="412"/>
      <c r="H99" s="412"/>
      <c r="I99" s="412"/>
      <c r="J99" s="412"/>
      <c r="K99" s="412"/>
      <c r="L99" s="413"/>
      <c r="M99" s="412"/>
      <c r="N99" s="413"/>
      <c r="O99" s="413"/>
      <c r="P99" s="412"/>
      <c r="Q99" s="414"/>
      <c r="R99" s="414"/>
    </row>
    <row r="100">
      <c r="B100" s="374"/>
      <c r="C100" s="374"/>
      <c r="D100" s="412"/>
      <c r="E100" s="412"/>
      <c r="F100" s="412"/>
      <c r="G100" s="412"/>
      <c r="H100" s="412"/>
      <c r="I100" s="412"/>
      <c r="J100" s="412"/>
      <c r="K100" s="412"/>
      <c r="L100" s="413"/>
      <c r="M100" s="412"/>
      <c r="N100" s="413"/>
      <c r="O100" s="413"/>
      <c r="P100" s="412"/>
      <c r="Q100" s="414"/>
      <c r="R100" s="414"/>
    </row>
    <row r="101">
      <c r="B101" s="374"/>
      <c r="C101" s="374"/>
      <c r="D101" s="412"/>
      <c r="E101" s="412"/>
      <c r="F101" s="412"/>
      <c r="G101" s="412"/>
      <c r="H101" s="412"/>
      <c r="I101" s="412"/>
      <c r="J101" s="412"/>
      <c r="K101" s="412"/>
      <c r="L101" s="413"/>
      <c r="M101" s="412"/>
      <c r="N101" s="413"/>
      <c r="O101" s="413"/>
      <c r="P101" s="412"/>
      <c r="Q101" s="414"/>
      <c r="R101" s="414"/>
    </row>
    <row r="102">
      <c r="B102" s="374"/>
      <c r="C102" s="374"/>
      <c r="D102" s="412"/>
      <c r="E102" s="412"/>
      <c r="F102" s="412"/>
      <c r="G102" s="412"/>
      <c r="H102" s="412"/>
      <c r="I102" s="412"/>
      <c r="J102" s="412"/>
      <c r="K102" s="412"/>
      <c r="L102" s="413"/>
      <c r="M102" s="412"/>
      <c r="N102" s="413"/>
      <c r="O102" s="413"/>
      <c r="P102" s="412"/>
      <c r="Q102" s="414"/>
      <c r="R102" s="414"/>
    </row>
    <row r="103">
      <c r="B103" s="374"/>
      <c r="C103" s="374"/>
      <c r="D103" s="412"/>
      <c r="E103" s="412"/>
      <c r="F103" s="412"/>
      <c r="G103" s="412"/>
      <c r="H103" s="412"/>
      <c r="I103" s="412"/>
      <c r="J103" s="412"/>
      <c r="K103" s="412"/>
      <c r="L103" s="413"/>
      <c r="M103" s="412"/>
      <c r="N103" s="413"/>
      <c r="O103" s="413"/>
      <c r="P103" s="412"/>
      <c r="Q103" s="414"/>
      <c r="R103" s="414"/>
    </row>
    <row r="104">
      <c r="B104" s="374"/>
      <c r="C104" s="374"/>
      <c r="D104" s="412"/>
      <c r="E104" s="412"/>
      <c r="F104" s="412"/>
      <c r="G104" s="412"/>
      <c r="H104" s="412"/>
      <c r="I104" s="412"/>
      <c r="J104" s="412"/>
      <c r="K104" s="412"/>
      <c r="L104" s="413"/>
      <c r="M104" s="412"/>
      <c r="N104" s="413"/>
      <c r="O104" s="413"/>
      <c r="P104" s="412"/>
      <c r="Q104" s="414"/>
      <c r="R104" s="414"/>
    </row>
    <row r="105">
      <c r="B105" s="374"/>
      <c r="C105" s="374"/>
      <c r="D105" s="412"/>
      <c r="E105" s="412"/>
      <c r="F105" s="412"/>
      <c r="G105" s="412"/>
      <c r="H105" s="412"/>
      <c r="I105" s="412"/>
      <c r="J105" s="412"/>
      <c r="K105" s="412"/>
      <c r="L105" s="413"/>
      <c r="M105" s="412"/>
      <c r="N105" s="413"/>
      <c r="O105" s="413"/>
      <c r="P105" s="412"/>
      <c r="Q105" s="414"/>
      <c r="R105" s="414"/>
    </row>
    <row r="106">
      <c r="B106" s="374"/>
      <c r="C106" s="374"/>
      <c r="D106" s="412"/>
      <c r="E106" s="412"/>
      <c r="F106" s="412"/>
      <c r="G106" s="412"/>
      <c r="H106" s="412"/>
      <c r="I106" s="412"/>
      <c r="J106" s="412"/>
      <c r="K106" s="412"/>
      <c r="L106" s="413"/>
      <c r="M106" s="412"/>
      <c r="N106" s="413"/>
      <c r="O106" s="413"/>
      <c r="P106" s="412"/>
      <c r="Q106" s="414"/>
      <c r="R106" s="414"/>
    </row>
    <row r="107">
      <c r="B107" s="374"/>
      <c r="C107" s="374"/>
      <c r="D107" s="412"/>
      <c r="E107" s="412"/>
      <c r="F107" s="412"/>
      <c r="G107" s="412"/>
      <c r="H107" s="412"/>
      <c r="I107" s="412"/>
      <c r="J107" s="412"/>
      <c r="K107" s="412"/>
      <c r="L107" s="413"/>
      <c r="M107" s="412"/>
      <c r="N107" s="413"/>
      <c r="O107" s="413"/>
      <c r="P107" s="412"/>
      <c r="Q107" s="414"/>
      <c r="R107" s="414"/>
    </row>
    <row r="108">
      <c r="B108" s="374"/>
      <c r="C108" s="374"/>
      <c r="D108" s="412"/>
      <c r="E108" s="412"/>
      <c r="F108" s="412"/>
      <c r="G108" s="412"/>
      <c r="H108" s="412"/>
      <c r="I108" s="412"/>
      <c r="J108" s="412"/>
      <c r="K108" s="412"/>
      <c r="L108" s="413"/>
      <c r="M108" s="412"/>
      <c r="N108" s="413"/>
      <c r="O108" s="413"/>
      <c r="P108" s="412"/>
      <c r="Q108" s="414"/>
      <c r="R108" s="414"/>
    </row>
    <row r="109">
      <c r="B109" s="374"/>
      <c r="C109" s="374"/>
      <c r="D109" s="412"/>
      <c r="E109" s="412"/>
      <c r="F109" s="412"/>
      <c r="G109" s="412"/>
      <c r="H109" s="412"/>
      <c r="I109" s="412"/>
      <c r="J109" s="412"/>
      <c r="K109" s="412"/>
      <c r="L109" s="413"/>
      <c r="M109" s="412"/>
      <c r="N109" s="413"/>
      <c r="O109" s="413"/>
      <c r="P109" s="412"/>
      <c r="Q109" s="414"/>
      <c r="R109" s="414"/>
    </row>
    <row r="110">
      <c r="B110" s="374"/>
      <c r="C110" s="374"/>
      <c r="D110" s="412"/>
      <c r="E110" s="412"/>
      <c r="F110" s="412"/>
      <c r="G110" s="412"/>
      <c r="H110" s="412"/>
      <c r="I110" s="412"/>
      <c r="J110" s="412"/>
      <c r="K110" s="412"/>
      <c r="L110" s="413"/>
      <c r="M110" s="412"/>
      <c r="N110" s="413"/>
      <c r="O110" s="413"/>
      <c r="P110" s="412"/>
      <c r="Q110" s="414"/>
      <c r="R110" s="414"/>
    </row>
    <row r="111">
      <c r="B111" s="374"/>
      <c r="C111" s="374"/>
      <c r="D111" s="412"/>
      <c r="E111" s="412"/>
      <c r="F111" s="412"/>
      <c r="G111" s="412"/>
      <c r="H111" s="412"/>
      <c r="I111" s="412"/>
      <c r="J111" s="412"/>
      <c r="K111" s="412"/>
      <c r="L111" s="413"/>
      <c r="M111" s="412"/>
      <c r="N111" s="413"/>
      <c r="O111" s="413"/>
      <c r="P111" s="412"/>
      <c r="Q111" s="414"/>
      <c r="R111" s="414"/>
    </row>
    <row r="112">
      <c r="B112" s="374"/>
      <c r="C112" s="374"/>
      <c r="D112" s="412"/>
      <c r="E112" s="412"/>
      <c r="F112" s="412"/>
      <c r="G112" s="412"/>
      <c r="H112" s="412"/>
      <c r="I112" s="412"/>
      <c r="J112" s="412"/>
      <c r="K112" s="412"/>
      <c r="L112" s="413"/>
      <c r="M112" s="412"/>
      <c r="N112" s="413"/>
      <c r="O112" s="413"/>
      <c r="P112" s="412"/>
      <c r="Q112" s="414"/>
      <c r="R112" s="414"/>
    </row>
    <row r="113">
      <c r="B113" s="374"/>
      <c r="C113" s="374"/>
      <c r="D113" s="412"/>
      <c r="E113" s="412"/>
      <c r="F113" s="412"/>
      <c r="G113" s="412"/>
      <c r="H113" s="412"/>
      <c r="I113" s="412"/>
      <c r="J113" s="412"/>
      <c r="K113" s="412"/>
      <c r="L113" s="413"/>
      <c r="M113" s="412"/>
      <c r="N113" s="413"/>
      <c r="O113" s="413"/>
      <c r="P113" s="412"/>
      <c r="Q113" s="414"/>
      <c r="R113" s="414"/>
    </row>
    <row r="114">
      <c r="B114" s="374"/>
      <c r="C114" s="374"/>
      <c r="D114" s="412"/>
      <c r="E114" s="412"/>
      <c r="F114" s="412"/>
      <c r="G114" s="412"/>
      <c r="H114" s="412"/>
      <c r="I114" s="412"/>
      <c r="J114" s="412"/>
      <c r="K114" s="412"/>
      <c r="L114" s="413"/>
      <c r="M114" s="412"/>
      <c r="N114" s="413"/>
      <c r="O114" s="413"/>
      <c r="P114" s="412"/>
      <c r="Q114" s="414"/>
      <c r="R114" s="414"/>
    </row>
    <row r="115">
      <c r="B115" s="374"/>
      <c r="C115" s="374"/>
      <c r="D115" s="412"/>
      <c r="E115" s="412"/>
      <c r="F115" s="412"/>
      <c r="G115" s="412"/>
      <c r="H115" s="412"/>
      <c r="I115" s="412"/>
      <c r="J115" s="412"/>
      <c r="K115" s="412"/>
      <c r="L115" s="413"/>
      <c r="M115" s="412"/>
      <c r="N115" s="413"/>
      <c r="O115" s="413"/>
      <c r="P115" s="412"/>
      <c r="Q115" s="414"/>
      <c r="R115" s="414"/>
    </row>
    <row r="116">
      <c r="B116" s="374"/>
      <c r="C116" s="374"/>
      <c r="D116" s="412"/>
      <c r="E116" s="412"/>
      <c r="F116" s="412"/>
      <c r="G116" s="412"/>
      <c r="H116" s="412"/>
      <c r="I116" s="412"/>
      <c r="J116" s="412"/>
      <c r="K116" s="412"/>
      <c r="L116" s="413"/>
      <c r="M116" s="412"/>
      <c r="N116" s="413"/>
      <c r="O116" s="413"/>
      <c r="P116" s="412"/>
      <c r="Q116" s="414"/>
      <c r="R116" s="414"/>
    </row>
    <row r="117">
      <c r="B117" s="374"/>
      <c r="C117" s="374"/>
      <c r="D117" s="412"/>
      <c r="E117" s="412"/>
      <c r="F117" s="412"/>
      <c r="G117" s="412"/>
      <c r="H117" s="412"/>
      <c r="I117" s="412"/>
      <c r="J117" s="412"/>
      <c r="K117" s="412"/>
      <c r="L117" s="413"/>
      <c r="M117" s="412"/>
      <c r="N117" s="413"/>
      <c r="O117" s="413"/>
      <c r="P117" s="412"/>
      <c r="Q117" s="414"/>
      <c r="R117" s="414"/>
    </row>
    <row r="118">
      <c r="B118" s="374"/>
      <c r="C118" s="374"/>
      <c r="D118" s="412"/>
      <c r="E118" s="412"/>
      <c r="F118" s="412"/>
      <c r="G118" s="412"/>
      <c r="H118" s="412"/>
      <c r="I118" s="412"/>
      <c r="J118" s="412"/>
      <c r="K118" s="412"/>
      <c r="L118" s="413"/>
      <c r="M118" s="412"/>
      <c r="N118" s="413"/>
      <c r="O118" s="413"/>
      <c r="P118" s="412"/>
      <c r="Q118" s="414"/>
      <c r="R118" s="414"/>
    </row>
    <row r="119">
      <c r="B119" s="374"/>
      <c r="C119" s="374"/>
      <c r="D119" s="412"/>
      <c r="E119" s="412"/>
      <c r="F119" s="412"/>
      <c r="G119" s="412"/>
      <c r="H119" s="412"/>
      <c r="I119" s="412"/>
      <c r="J119" s="412"/>
      <c r="K119" s="412"/>
      <c r="L119" s="413"/>
      <c r="M119" s="412"/>
      <c r="N119" s="413"/>
      <c r="O119" s="413"/>
      <c r="P119" s="412"/>
      <c r="Q119" s="414"/>
      <c r="R119" s="414"/>
    </row>
    <row r="120">
      <c r="B120" s="374"/>
      <c r="C120" s="374"/>
      <c r="D120" s="412"/>
      <c r="E120" s="412"/>
      <c r="F120" s="412"/>
      <c r="G120" s="412"/>
      <c r="H120" s="412"/>
      <c r="I120" s="412"/>
      <c r="J120" s="412"/>
      <c r="K120" s="412"/>
      <c r="L120" s="413"/>
      <c r="M120" s="412"/>
      <c r="N120" s="413"/>
      <c r="O120" s="413"/>
      <c r="P120" s="412"/>
      <c r="Q120" s="414"/>
      <c r="R120" s="414"/>
    </row>
    <row r="121">
      <c r="B121" s="374"/>
      <c r="C121" s="374"/>
      <c r="D121" s="412"/>
      <c r="E121" s="412"/>
      <c r="F121" s="412"/>
      <c r="G121" s="412"/>
      <c r="H121" s="412"/>
      <c r="I121" s="412"/>
      <c r="J121" s="412"/>
      <c r="K121" s="412"/>
      <c r="L121" s="413"/>
      <c r="M121" s="412"/>
      <c r="N121" s="413"/>
      <c r="O121" s="413"/>
      <c r="P121" s="412"/>
      <c r="Q121" s="414"/>
      <c r="R121" s="414"/>
    </row>
    <row r="122">
      <c r="B122" s="374"/>
      <c r="C122" s="374"/>
      <c r="D122" s="412"/>
      <c r="E122" s="412"/>
      <c r="F122" s="412"/>
      <c r="G122" s="412"/>
      <c r="H122" s="412"/>
      <c r="I122" s="412"/>
      <c r="J122" s="412"/>
      <c r="K122" s="412"/>
      <c r="L122" s="413"/>
      <c r="M122" s="412"/>
      <c r="N122" s="413"/>
      <c r="O122" s="413"/>
      <c r="P122" s="412"/>
      <c r="Q122" s="414"/>
      <c r="R122" s="414"/>
    </row>
    <row r="123">
      <c r="B123" s="374"/>
      <c r="C123" s="374"/>
      <c r="D123" s="412"/>
      <c r="E123" s="412"/>
      <c r="F123" s="412"/>
      <c r="G123" s="412"/>
      <c r="H123" s="412"/>
      <c r="I123" s="412"/>
      <c r="J123" s="412"/>
      <c r="K123" s="412"/>
      <c r="L123" s="413"/>
      <c r="M123" s="412"/>
      <c r="N123" s="413"/>
      <c r="O123" s="413"/>
      <c r="P123" s="412"/>
      <c r="Q123" s="414"/>
      <c r="R123" s="414"/>
    </row>
    <row r="124">
      <c r="B124" s="374"/>
      <c r="C124" s="374"/>
      <c r="D124" s="412"/>
      <c r="E124" s="412"/>
      <c r="F124" s="412"/>
      <c r="G124" s="412"/>
      <c r="H124" s="412"/>
      <c r="I124" s="412"/>
      <c r="J124" s="412"/>
      <c r="K124" s="412"/>
      <c r="L124" s="413"/>
      <c r="M124" s="412"/>
      <c r="N124" s="413"/>
      <c r="O124" s="413"/>
      <c r="P124" s="412"/>
      <c r="Q124" s="414"/>
      <c r="R124" s="414"/>
    </row>
    <row r="125">
      <c r="B125" s="374"/>
      <c r="C125" s="374"/>
      <c r="D125" s="412"/>
      <c r="E125" s="412"/>
      <c r="F125" s="412"/>
      <c r="G125" s="412"/>
      <c r="H125" s="412"/>
      <c r="I125" s="412"/>
      <c r="J125" s="412"/>
      <c r="K125" s="412"/>
      <c r="L125" s="413"/>
      <c r="M125" s="412"/>
      <c r="N125" s="413"/>
      <c r="O125" s="413"/>
      <c r="P125" s="412"/>
      <c r="Q125" s="414"/>
      <c r="R125" s="414"/>
    </row>
    <row r="126">
      <c r="B126" s="374"/>
      <c r="C126" s="374"/>
      <c r="D126" s="412"/>
      <c r="E126" s="412"/>
      <c r="F126" s="412"/>
      <c r="G126" s="412"/>
      <c r="H126" s="412"/>
      <c r="I126" s="412"/>
      <c r="J126" s="412"/>
      <c r="K126" s="412"/>
      <c r="L126" s="413"/>
      <c r="M126" s="412"/>
      <c r="N126" s="413"/>
      <c r="O126" s="413"/>
      <c r="P126" s="412"/>
      <c r="Q126" s="414"/>
      <c r="R126" s="414"/>
    </row>
    <row r="127">
      <c r="B127" s="374"/>
      <c r="C127" s="374"/>
      <c r="D127" s="412"/>
      <c r="E127" s="412"/>
      <c r="F127" s="412"/>
      <c r="G127" s="412"/>
      <c r="H127" s="412"/>
      <c r="I127" s="412"/>
      <c r="J127" s="412"/>
      <c r="K127" s="412"/>
      <c r="L127" s="413"/>
      <c r="M127" s="412"/>
      <c r="N127" s="413"/>
      <c r="O127" s="413"/>
      <c r="P127" s="412"/>
      <c r="Q127" s="414"/>
      <c r="R127" s="414"/>
    </row>
    <row r="128">
      <c r="B128" s="374"/>
      <c r="C128" s="374"/>
      <c r="D128" s="412"/>
      <c r="E128" s="412"/>
      <c r="F128" s="412"/>
      <c r="G128" s="412"/>
      <c r="H128" s="412"/>
      <c r="I128" s="412"/>
      <c r="J128" s="412"/>
      <c r="K128" s="412"/>
      <c r="L128" s="413"/>
      <c r="M128" s="412"/>
      <c r="N128" s="413"/>
      <c r="O128" s="413"/>
      <c r="P128" s="412"/>
      <c r="Q128" s="414"/>
      <c r="R128" s="414"/>
    </row>
    <row r="129">
      <c r="B129" s="374"/>
      <c r="C129" s="374"/>
      <c r="D129" s="412"/>
      <c r="E129" s="412"/>
      <c r="F129" s="412"/>
      <c r="G129" s="412"/>
      <c r="H129" s="412"/>
      <c r="I129" s="412"/>
      <c r="J129" s="412"/>
      <c r="K129" s="412"/>
      <c r="L129" s="413"/>
      <c r="M129" s="412"/>
      <c r="N129" s="413"/>
      <c r="O129" s="413"/>
      <c r="P129" s="412"/>
      <c r="Q129" s="414"/>
      <c r="R129" s="414"/>
    </row>
    <row r="130">
      <c r="B130" s="374"/>
      <c r="C130" s="374"/>
      <c r="D130" s="412"/>
      <c r="E130" s="412"/>
      <c r="F130" s="412"/>
      <c r="G130" s="412"/>
      <c r="H130" s="412"/>
      <c r="I130" s="412"/>
      <c r="J130" s="412"/>
      <c r="K130" s="412"/>
      <c r="L130" s="413"/>
      <c r="M130" s="412"/>
      <c r="N130" s="413"/>
      <c r="O130" s="413"/>
      <c r="P130" s="412"/>
      <c r="Q130" s="414"/>
      <c r="R130" s="414"/>
    </row>
    <row r="131">
      <c r="B131" s="374"/>
      <c r="C131" s="374"/>
      <c r="D131" s="412"/>
      <c r="E131" s="412"/>
      <c r="F131" s="412"/>
      <c r="G131" s="412"/>
      <c r="H131" s="412"/>
      <c r="I131" s="412"/>
      <c r="J131" s="412"/>
      <c r="K131" s="412"/>
      <c r="L131" s="413"/>
      <c r="M131" s="412"/>
      <c r="N131" s="413"/>
      <c r="O131" s="413"/>
      <c r="P131" s="412"/>
      <c r="Q131" s="414"/>
      <c r="R131" s="414"/>
    </row>
    <row r="132">
      <c r="B132" s="374"/>
      <c r="C132" s="374"/>
      <c r="D132" s="412"/>
      <c r="E132" s="412"/>
      <c r="F132" s="412"/>
      <c r="G132" s="412"/>
      <c r="H132" s="412"/>
      <c r="I132" s="412"/>
      <c r="J132" s="412"/>
      <c r="K132" s="412"/>
      <c r="L132" s="413"/>
      <c r="M132" s="412"/>
      <c r="N132" s="413"/>
      <c r="O132" s="413"/>
      <c r="P132" s="412"/>
      <c r="Q132" s="414"/>
      <c r="R132" s="414"/>
    </row>
    <row r="133">
      <c r="B133" s="374"/>
      <c r="C133" s="374"/>
      <c r="D133" s="412"/>
      <c r="E133" s="412"/>
      <c r="F133" s="412"/>
      <c r="G133" s="412"/>
      <c r="H133" s="412"/>
      <c r="I133" s="412"/>
      <c r="J133" s="412"/>
      <c r="K133" s="412"/>
      <c r="L133" s="413"/>
      <c r="M133" s="412"/>
      <c r="N133" s="413"/>
      <c r="O133" s="413"/>
      <c r="P133" s="412"/>
      <c r="Q133" s="414"/>
      <c r="R133" s="414"/>
    </row>
    <row r="134">
      <c r="B134" s="374"/>
      <c r="C134" s="374"/>
      <c r="D134" s="412"/>
      <c r="E134" s="412"/>
      <c r="F134" s="412"/>
      <c r="G134" s="412"/>
      <c r="H134" s="412"/>
      <c r="I134" s="412"/>
      <c r="J134" s="412"/>
      <c r="K134" s="412"/>
      <c r="L134" s="413"/>
      <c r="M134" s="412"/>
      <c r="N134" s="413"/>
      <c r="O134" s="413"/>
      <c r="P134" s="412"/>
      <c r="Q134" s="414"/>
      <c r="R134" s="414"/>
    </row>
    <row r="135">
      <c r="B135" s="374"/>
      <c r="C135" s="374"/>
      <c r="D135" s="412"/>
      <c r="E135" s="412"/>
      <c r="F135" s="412"/>
      <c r="G135" s="412"/>
      <c r="H135" s="412"/>
      <c r="I135" s="412"/>
      <c r="J135" s="412"/>
      <c r="K135" s="412"/>
      <c r="L135" s="413"/>
      <c r="M135" s="412"/>
      <c r="N135" s="413"/>
      <c r="O135" s="413"/>
      <c r="P135" s="412"/>
      <c r="Q135" s="414"/>
      <c r="R135" s="414"/>
    </row>
    <row r="136">
      <c r="B136" s="374"/>
      <c r="C136" s="374"/>
      <c r="D136" s="412"/>
      <c r="E136" s="412"/>
      <c r="F136" s="412"/>
      <c r="G136" s="412"/>
      <c r="H136" s="412"/>
      <c r="I136" s="412"/>
      <c r="J136" s="412"/>
      <c r="K136" s="412"/>
      <c r="L136" s="413"/>
      <c r="M136" s="412"/>
      <c r="N136" s="413"/>
      <c r="O136" s="413"/>
      <c r="P136" s="412"/>
      <c r="Q136" s="414"/>
      <c r="R136" s="414"/>
    </row>
    <row r="137">
      <c r="B137" s="374"/>
      <c r="C137" s="374"/>
      <c r="D137" s="412"/>
      <c r="E137" s="412"/>
      <c r="F137" s="412"/>
      <c r="G137" s="412"/>
      <c r="H137" s="412"/>
      <c r="I137" s="412"/>
      <c r="J137" s="412"/>
      <c r="K137" s="412"/>
      <c r="L137" s="413"/>
      <c r="M137" s="412"/>
      <c r="N137" s="413"/>
      <c r="O137" s="413"/>
      <c r="P137" s="412"/>
      <c r="Q137" s="414"/>
      <c r="R137" s="414"/>
    </row>
    <row r="138">
      <c r="B138" s="374"/>
      <c r="C138" s="374"/>
      <c r="D138" s="412"/>
      <c r="E138" s="412"/>
      <c r="F138" s="412"/>
      <c r="G138" s="412"/>
      <c r="H138" s="412"/>
      <c r="I138" s="412"/>
      <c r="J138" s="412"/>
      <c r="K138" s="412"/>
      <c r="L138" s="413"/>
      <c r="M138" s="412"/>
      <c r="N138" s="413"/>
      <c r="O138" s="413"/>
      <c r="P138" s="412"/>
      <c r="Q138" s="414"/>
      <c r="R138" s="414"/>
    </row>
    <row r="139">
      <c r="B139" s="374"/>
      <c r="C139" s="374"/>
      <c r="D139" s="412"/>
      <c r="E139" s="412"/>
      <c r="F139" s="412"/>
      <c r="G139" s="412"/>
      <c r="H139" s="412"/>
      <c r="I139" s="412"/>
      <c r="J139" s="412"/>
      <c r="K139" s="412"/>
      <c r="L139" s="413"/>
      <c r="M139" s="412"/>
      <c r="N139" s="413"/>
      <c r="O139" s="413"/>
      <c r="P139" s="412"/>
      <c r="Q139" s="414"/>
      <c r="R139" s="414"/>
    </row>
    <row r="140">
      <c r="B140" s="374"/>
      <c r="C140" s="374"/>
      <c r="D140" s="412"/>
      <c r="E140" s="412"/>
      <c r="F140" s="412"/>
      <c r="G140" s="412"/>
      <c r="H140" s="412"/>
      <c r="I140" s="412"/>
      <c r="J140" s="412"/>
      <c r="K140" s="412"/>
      <c r="L140" s="413"/>
      <c r="M140" s="412"/>
      <c r="N140" s="413"/>
      <c r="O140" s="413"/>
      <c r="P140" s="412"/>
      <c r="Q140" s="414"/>
      <c r="R140" s="414"/>
    </row>
    <row r="141">
      <c r="B141" s="374"/>
      <c r="C141" s="374"/>
      <c r="D141" s="412"/>
      <c r="E141" s="412"/>
      <c r="F141" s="412"/>
      <c r="G141" s="412"/>
      <c r="H141" s="412"/>
      <c r="I141" s="412"/>
      <c r="J141" s="412"/>
      <c r="K141" s="412"/>
      <c r="L141" s="413"/>
      <c r="M141" s="412"/>
      <c r="N141" s="413"/>
      <c r="O141" s="413"/>
      <c r="P141" s="412"/>
      <c r="Q141" s="414"/>
      <c r="R141" s="414"/>
    </row>
    <row r="142">
      <c r="B142" s="374"/>
      <c r="C142" s="374"/>
      <c r="D142" s="412"/>
      <c r="E142" s="412"/>
      <c r="F142" s="412"/>
      <c r="G142" s="412"/>
      <c r="H142" s="412"/>
      <c r="I142" s="412"/>
      <c r="J142" s="412"/>
      <c r="K142" s="412"/>
      <c r="L142" s="413"/>
      <c r="M142" s="412"/>
      <c r="N142" s="413"/>
      <c r="O142" s="413"/>
      <c r="P142" s="412"/>
      <c r="Q142" s="414"/>
      <c r="R142" s="414"/>
    </row>
    <row r="143">
      <c r="B143" s="374"/>
      <c r="C143" s="374"/>
      <c r="D143" s="412"/>
      <c r="E143" s="412"/>
      <c r="F143" s="412"/>
      <c r="G143" s="412"/>
      <c r="H143" s="412"/>
      <c r="I143" s="412"/>
      <c r="J143" s="412"/>
      <c r="K143" s="412"/>
      <c r="L143" s="413"/>
      <c r="M143" s="412"/>
      <c r="N143" s="413"/>
      <c r="O143" s="413"/>
      <c r="P143" s="412"/>
      <c r="Q143" s="414"/>
      <c r="R143" s="414"/>
    </row>
    <row r="144">
      <c r="B144" s="374"/>
      <c r="C144" s="374"/>
      <c r="D144" s="412"/>
      <c r="E144" s="412"/>
      <c r="F144" s="412"/>
      <c r="G144" s="412"/>
      <c r="H144" s="412"/>
      <c r="I144" s="412"/>
      <c r="J144" s="412"/>
      <c r="K144" s="412"/>
      <c r="L144" s="413"/>
      <c r="M144" s="412"/>
      <c r="N144" s="413"/>
      <c r="O144" s="413"/>
      <c r="P144" s="412"/>
      <c r="Q144" s="414"/>
      <c r="R144" s="414"/>
    </row>
    <row r="145">
      <c r="B145" s="374"/>
      <c r="C145" s="374"/>
      <c r="D145" s="412"/>
      <c r="E145" s="412"/>
      <c r="F145" s="412"/>
      <c r="G145" s="412"/>
      <c r="H145" s="412"/>
      <c r="I145" s="412"/>
      <c r="J145" s="412"/>
      <c r="K145" s="412"/>
      <c r="L145" s="413"/>
      <c r="M145" s="412"/>
      <c r="N145" s="413"/>
      <c r="O145" s="413"/>
      <c r="P145" s="412"/>
      <c r="Q145" s="414"/>
      <c r="R145" s="414"/>
    </row>
    <row r="146">
      <c r="B146" s="374"/>
      <c r="C146" s="374"/>
      <c r="D146" s="412"/>
      <c r="E146" s="412"/>
      <c r="F146" s="412"/>
      <c r="G146" s="412"/>
      <c r="H146" s="412"/>
      <c r="I146" s="412"/>
      <c r="J146" s="412"/>
      <c r="K146" s="412"/>
      <c r="L146" s="413"/>
      <c r="M146" s="412"/>
      <c r="N146" s="413"/>
      <c r="O146" s="413"/>
      <c r="P146" s="412"/>
      <c r="Q146" s="414"/>
      <c r="R146" s="414"/>
    </row>
    <row r="147">
      <c r="B147" s="374"/>
      <c r="C147" s="374"/>
      <c r="D147" s="412"/>
      <c r="E147" s="412"/>
      <c r="F147" s="412"/>
      <c r="G147" s="412"/>
      <c r="H147" s="412"/>
      <c r="I147" s="412"/>
      <c r="J147" s="412"/>
      <c r="K147" s="412"/>
      <c r="L147" s="413"/>
      <c r="M147" s="412"/>
      <c r="N147" s="413"/>
      <c r="O147" s="413"/>
      <c r="P147" s="412"/>
      <c r="Q147" s="414"/>
      <c r="R147" s="414"/>
    </row>
    <row r="148">
      <c r="B148" s="374"/>
      <c r="C148" s="374"/>
      <c r="D148" s="412"/>
      <c r="E148" s="412"/>
      <c r="F148" s="412"/>
      <c r="G148" s="412"/>
      <c r="H148" s="412"/>
      <c r="I148" s="412"/>
      <c r="J148" s="412"/>
      <c r="K148" s="412"/>
      <c r="L148" s="413"/>
      <c r="M148" s="412"/>
      <c r="N148" s="413"/>
      <c r="O148" s="413"/>
      <c r="P148" s="412"/>
      <c r="Q148" s="414"/>
      <c r="R148" s="414"/>
    </row>
    <row r="149">
      <c r="B149" s="374"/>
      <c r="C149" s="374"/>
      <c r="D149" s="412"/>
      <c r="E149" s="412"/>
      <c r="F149" s="412"/>
      <c r="G149" s="412"/>
      <c r="H149" s="412"/>
      <c r="I149" s="412"/>
      <c r="J149" s="412"/>
      <c r="K149" s="412"/>
      <c r="L149" s="413"/>
      <c r="M149" s="412"/>
      <c r="N149" s="413"/>
      <c r="O149" s="413"/>
      <c r="P149" s="412"/>
      <c r="Q149" s="414"/>
      <c r="R149" s="414"/>
    </row>
    <row r="150">
      <c r="B150" s="374"/>
      <c r="C150" s="374"/>
      <c r="D150" s="412"/>
      <c r="E150" s="412"/>
      <c r="F150" s="412"/>
      <c r="G150" s="412"/>
      <c r="H150" s="412"/>
      <c r="I150" s="412"/>
      <c r="J150" s="412"/>
      <c r="K150" s="412"/>
      <c r="L150" s="413"/>
      <c r="M150" s="412"/>
      <c r="N150" s="413"/>
      <c r="O150" s="413"/>
      <c r="P150" s="412"/>
      <c r="Q150" s="414"/>
      <c r="R150" s="414"/>
    </row>
    <row r="151">
      <c r="B151" s="374"/>
      <c r="C151" s="374"/>
      <c r="D151" s="412"/>
      <c r="E151" s="412"/>
      <c r="F151" s="412"/>
      <c r="G151" s="412"/>
      <c r="H151" s="412"/>
      <c r="I151" s="412"/>
      <c r="J151" s="412"/>
      <c r="K151" s="412"/>
      <c r="L151" s="413"/>
      <c r="M151" s="412"/>
      <c r="N151" s="413"/>
      <c r="O151" s="413"/>
      <c r="P151" s="412"/>
      <c r="Q151" s="414"/>
      <c r="R151" s="414"/>
    </row>
    <row r="152">
      <c r="B152" s="374"/>
      <c r="C152" s="374"/>
      <c r="D152" s="412"/>
      <c r="E152" s="412"/>
      <c r="F152" s="412"/>
      <c r="G152" s="412"/>
      <c r="H152" s="412"/>
      <c r="I152" s="412"/>
      <c r="J152" s="412"/>
      <c r="K152" s="412"/>
      <c r="L152" s="413"/>
      <c r="M152" s="412"/>
      <c r="N152" s="413"/>
      <c r="O152" s="413"/>
      <c r="P152" s="412"/>
      <c r="Q152" s="414"/>
      <c r="R152" s="414"/>
    </row>
    <row r="153">
      <c r="B153" s="374"/>
      <c r="C153" s="374"/>
      <c r="D153" s="412"/>
      <c r="E153" s="412"/>
      <c r="F153" s="412"/>
      <c r="G153" s="412"/>
      <c r="H153" s="412"/>
      <c r="I153" s="412"/>
      <c r="J153" s="412"/>
      <c r="K153" s="412"/>
      <c r="L153" s="413"/>
      <c r="M153" s="412"/>
      <c r="N153" s="413"/>
      <c r="O153" s="413"/>
      <c r="P153" s="412"/>
      <c r="Q153" s="414"/>
      <c r="R153" s="414"/>
    </row>
    <row r="154">
      <c r="B154" s="374"/>
      <c r="C154" s="374"/>
      <c r="D154" s="412"/>
      <c r="E154" s="412"/>
      <c r="F154" s="412"/>
      <c r="G154" s="412"/>
      <c r="H154" s="412"/>
      <c r="I154" s="412"/>
      <c r="J154" s="412"/>
      <c r="K154" s="412"/>
      <c r="L154" s="413"/>
      <c r="M154" s="412"/>
      <c r="N154" s="413"/>
      <c r="O154" s="413"/>
      <c r="P154" s="412"/>
      <c r="Q154" s="414"/>
      <c r="R154" s="414"/>
    </row>
    <row r="155">
      <c r="B155" s="374"/>
      <c r="C155" s="374"/>
      <c r="D155" s="412"/>
      <c r="E155" s="412"/>
      <c r="F155" s="412"/>
      <c r="G155" s="412"/>
      <c r="H155" s="412"/>
      <c r="I155" s="412"/>
      <c r="J155" s="412"/>
      <c r="K155" s="412"/>
      <c r="L155" s="413"/>
      <c r="M155" s="412"/>
      <c r="N155" s="413"/>
      <c r="O155" s="413"/>
      <c r="P155" s="412"/>
      <c r="Q155" s="414"/>
      <c r="R155" s="414"/>
    </row>
    <row r="156">
      <c r="B156" s="374"/>
      <c r="C156" s="374"/>
      <c r="D156" s="412"/>
      <c r="E156" s="412"/>
      <c r="F156" s="412"/>
      <c r="G156" s="412"/>
      <c r="H156" s="412"/>
      <c r="I156" s="412"/>
      <c r="J156" s="412"/>
      <c r="K156" s="412"/>
      <c r="L156" s="413"/>
      <c r="M156" s="412"/>
      <c r="N156" s="413"/>
      <c r="O156" s="413"/>
      <c r="P156" s="412"/>
      <c r="Q156" s="414"/>
      <c r="R156" s="414"/>
    </row>
    <row r="157">
      <c r="B157" s="374"/>
      <c r="C157" s="374"/>
      <c r="D157" s="412"/>
      <c r="E157" s="412"/>
      <c r="F157" s="412"/>
      <c r="G157" s="412"/>
      <c r="H157" s="412"/>
      <c r="I157" s="412"/>
      <c r="J157" s="412"/>
      <c r="K157" s="412"/>
      <c r="L157" s="413"/>
      <c r="M157" s="412"/>
      <c r="N157" s="413"/>
      <c r="O157" s="413"/>
      <c r="P157" s="412"/>
      <c r="Q157" s="414"/>
      <c r="R157" s="414"/>
    </row>
    <row r="158">
      <c r="B158" s="374"/>
      <c r="C158" s="374"/>
      <c r="D158" s="412"/>
      <c r="E158" s="412"/>
      <c r="F158" s="412"/>
      <c r="G158" s="412"/>
      <c r="H158" s="412"/>
      <c r="I158" s="412"/>
      <c r="J158" s="412"/>
      <c r="K158" s="412"/>
      <c r="L158" s="413"/>
      <c r="M158" s="412"/>
      <c r="N158" s="413"/>
      <c r="O158" s="413"/>
      <c r="P158" s="412"/>
      <c r="Q158" s="414"/>
      <c r="R158" s="414"/>
    </row>
    <row r="159">
      <c r="B159" s="374"/>
      <c r="C159" s="374"/>
      <c r="D159" s="412"/>
      <c r="E159" s="412"/>
      <c r="F159" s="412"/>
      <c r="G159" s="412"/>
      <c r="H159" s="412"/>
      <c r="I159" s="412"/>
      <c r="J159" s="412"/>
      <c r="K159" s="412"/>
      <c r="L159" s="413"/>
      <c r="M159" s="412"/>
      <c r="N159" s="413"/>
      <c r="O159" s="413"/>
      <c r="P159" s="412"/>
      <c r="Q159" s="414"/>
      <c r="R159" s="414"/>
    </row>
    <row r="160">
      <c r="B160" s="374"/>
      <c r="C160" s="374"/>
      <c r="D160" s="412"/>
      <c r="E160" s="412"/>
      <c r="F160" s="412"/>
      <c r="G160" s="412"/>
      <c r="H160" s="412"/>
      <c r="I160" s="412"/>
      <c r="J160" s="412"/>
      <c r="K160" s="412"/>
      <c r="L160" s="413"/>
      <c r="M160" s="412"/>
      <c r="N160" s="413"/>
      <c r="O160" s="413"/>
      <c r="P160" s="412"/>
      <c r="Q160" s="414"/>
      <c r="R160" s="414"/>
    </row>
    <row r="161">
      <c r="B161" s="374"/>
      <c r="C161" s="374"/>
      <c r="D161" s="412"/>
      <c r="E161" s="412"/>
      <c r="F161" s="412"/>
      <c r="G161" s="412"/>
      <c r="H161" s="412"/>
      <c r="I161" s="412"/>
      <c r="J161" s="412"/>
      <c r="K161" s="412"/>
      <c r="L161" s="413"/>
      <c r="M161" s="412"/>
      <c r="N161" s="413"/>
      <c r="O161" s="413"/>
      <c r="P161" s="412"/>
      <c r="Q161" s="414"/>
      <c r="R161" s="414"/>
    </row>
    <row r="162">
      <c r="B162" s="374"/>
      <c r="C162" s="374"/>
      <c r="D162" s="412"/>
      <c r="E162" s="412"/>
      <c r="F162" s="412"/>
      <c r="G162" s="412"/>
      <c r="H162" s="412"/>
      <c r="I162" s="412"/>
      <c r="J162" s="412"/>
      <c r="K162" s="412"/>
      <c r="L162" s="413"/>
      <c r="M162" s="412"/>
      <c r="N162" s="413"/>
      <c r="O162" s="413"/>
      <c r="P162" s="412"/>
      <c r="Q162" s="414"/>
      <c r="R162" s="414"/>
    </row>
    <row r="163">
      <c r="B163" s="374"/>
      <c r="C163" s="374"/>
      <c r="D163" s="412"/>
      <c r="E163" s="412"/>
      <c r="F163" s="412"/>
      <c r="G163" s="412"/>
      <c r="H163" s="412"/>
      <c r="I163" s="412"/>
      <c r="J163" s="412"/>
      <c r="K163" s="412"/>
      <c r="L163" s="413"/>
      <c r="M163" s="412"/>
      <c r="N163" s="413"/>
      <c r="O163" s="413"/>
      <c r="P163" s="412"/>
      <c r="Q163" s="414"/>
      <c r="R163" s="414"/>
    </row>
    <row r="164">
      <c r="B164" s="374"/>
      <c r="C164" s="374"/>
      <c r="D164" s="412"/>
      <c r="E164" s="412"/>
      <c r="F164" s="412"/>
      <c r="G164" s="412"/>
      <c r="H164" s="412"/>
      <c r="I164" s="412"/>
      <c r="J164" s="412"/>
      <c r="K164" s="412"/>
      <c r="L164" s="413"/>
      <c r="M164" s="412"/>
      <c r="N164" s="413"/>
      <c r="O164" s="413"/>
      <c r="P164" s="412"/>
      <c r="Q164" s="414"/>
      <c r="R164" s="414"/>
    </row>
    <row r="165">
      <c r="B165" s="374"/>
      <c r="C165" s="374"/>
      <c r="D165" s="412"/>
      <c r="E165" s="412"/>
      <c r="F165" s="412"/>
      <c r="G165" s="412"/>
      <c r="H165" s="412"/>
      <c r="I165" s="412"/>
      <c r="J165" s="412"/>
      <c r="K165" s="412"/>
      <c r="L165" s="413"/>
      <c r="M165" s="412"/>
      <c r="N165" s="413"/>
      <c r="O165" s="413"/>
      <c r="P165" s="412"/>
      <c r="Q165" s="414"/>
      <c r="R165" s="414"/>
    </row>
    <row r="166">
      <c r="B166" s="374"/>
      <c r="C166" s="374"/>
      <c r="D166" s="412"/>
      <c r="E166" s="412"/>
      <c r="F166" s="412"/>
      <c r="G166" s="412"/>
      <c r="H166" s="412"/>
      <c r="I166" s="412"/>
      <c r="J166" s="412"/>
      <c r="K166" s="412"/>
      <c r="L166" s="413"/>
      <c r="M166" s="412"/>
      <c r="N166" s="413"/>
      <c r="O166" s="413"/>
      <c r="P166" s="412"/>
      <c r="Q166" s="414"/>
      <c r="R166" s="414"/>
    </row>
    <row r="167">
      <c r="B167" s="374"/>
      <c r="C167" s="374"/>
      <c r="D167" s="412"/>
      <c r="E167" s="412"/>
      <c r="F167" s="412"/>
      <c r="G167" s="412"/>
      <c r="H167" s="412"/>
      <c r="I167" s="412"/>
      <c r="J167" s="412"/>
      <c r="K167" s="412"/>
      <c r="L167" s="413"/>
      <c r="M167" s="412"/>
      <c r="N167" s="413"/>
      <c r="O167" s="413"/>
      <c r="P167" s="412"/>
      <c r="Q167" s="414"/>
      <c r="R167" s="414"/>
    </row>
    <row r="168">
      <c r="B168" s="374"/>
      <c r="C168" s="374"/>
      <c r="D168" s="412"/>
      <c r="E168" s="412"/>
      <c r="F168" s="412"/>
      <c r="G168" s="412"/>
      <c r="H168" s="412"/>
      <c r="I168" s="412"/>
      <c r="J168" s="412"/>
      <c r="K168" s="412"/>
      <c r="L168" s="413"/>
      <c r="M168" s="412"/>
      <c r="N168" s="413"/>
      <c r="O168" s="413"/>
      <c r="P168" s="412"/>
      <c r="Q168" s="414"/>
      <c r="R168" s="414"/>
    </row>
    <row r="169">
      <c r="B169" s="374"/>
      <c r="C169" s="374"/>
      <c r="D169" s="412"/>
      <c r="E169" s="412"/>
      <c r="F169" s="412"/>
      <c r="G169" s="412"/>
      <c r="H169" s="412"/>
      <c r="I169" s="412"/>
      <c r="J169" s="412"/>
      <c r="K169" s="412"/>
      <c r="L169" s="413"/>
      <c r="M169" s="412"/>
      <c r="N169" s="413"/>
      <c r="O169" s="413"/>
      <c r="P169" s="412"/>
      <c r="Q169" s="414"/>
      <c r="R169" s="414"/>
    </row>
    <row r="170">
      <c r="B170" s="374"/>
      <c r="C170" s="374"/>
      <c r="D170" s="412"/>
      <c r="E170" s="412"/>
      <c r="F170" s="412"/>
      <c r="G170" s="412"/>
      <c r="H170" s="412"/>
      <c r="I170" s="412"/>
      <c r="J170" s="412"/>
      <c r="K170" s="412"/>
      <c r="L170" s="413"/>
      <c r="M170" s="412"/>
      <c r="N170" s="413"/>
      <c r="O170" s="413"/>
      <c r="P170" s="412"/>
      <c r="Q170" s="414"/>
      <c r="R170" s="414"/>
    </row>
    <row r="171">
      <c r="B171" s="374"/>
      <c r="C171" s="374"/>
      <c r="D171" s="412"/>
      <c r="E171" s="412"/>
      <c r="F171" s="412"/>
      <c r="G171" s="412"/>
      <c r="H171" s="412"/>
      <c r="I171" s="412"/>
      <c r="J171" s="412"/>
      <c r="K171" s="412"/>
      <c r="L171" s="413"/>
      <c r="M171" s="412"/>
      <c r="N171" s="413"/>
      <c r="O171" s="413"/>
      <c r="P171" s="412"/>
      <c r="Q171" s="414"/>
      <c r="R171" s="414"/>
    </row>
    <row r="172">
      <c r="B172" s="374"/>
      <c r="C172" s="374"/>
      <c r="D172" s="412"/>
      <c r="E172" s="412"/>
      <c r="F172" s="412"/>
      <c r="G172" s="412"/>
      <c r="H172" s="412"/>
      <c r="I172" s="412"/>
      <c r="J172" s="412"/>
      <c r="K172" s="412"/>
      <c r="L172" s="413"/>
      <c r="M172" s="412"/>
      <c r="N172" s="413"/>
      <c r="O172" s="413"/>
      <c r="P172" s="412"/>
      <c r="Q172" s="414"/>
      <c r="R172" s="414"/>
    </row>
    <row r="173">
      <c r="B173" s="374"/>
      <c r="C173" s="374"/>
      <c r="D173" s="412"/>
      <c r="E173" s="412"/>
      <c r="F173" s="412"/>
      <c r="G173" s="412"/>
      <c r="H173" s="412"/>
      <c r="I173" s="412"/>
      <c r="J173" s="412"/>
      <c r="K173" s="412"/>
      <c r="L173" s="413"/>
      <c r="M173" s="412"/>
      <c r="N173" s="413"/>
      <c r="O173" s="413"/>
      <c r="P173" s="412"/>
      <c r="Q173" s="414"/>
      <c r="R173" s="414"/>
    </row>
    <row r="174">
      <c r="B174" s="374"/>
      <c r="C174" s="374"/>
      <c r="D174" s="412"/>
      <c r="E174" s="412"/>
      <c r="F174" s="412"/>
      <c r="G174" s="412"/>
      <c r="H174" s="412"/>
      <c r="I174" s="412"/>
      <c r="J174" s="412"/>
      <c r="K174" s="412"/>
      <c r="L174" s="413"/>
      <c r="M174" s="412"/>
      <c r="N174" s="413"/>
      <c r="O174" s="413"/>
      <c r="P174" s="412"/>
      <c r="Q174" s="414"/>
      <c r="R174" s="414"/>
    </row>
    <row r="175">
      <c r="B175" s="374"/>
      <c r="C175" s="374"/>
      <c r="D175" s="412"/>
      <c r="E175" s="412"/>
      <c r="F175" s="412"/>
      <c r="G175" s="412"/>
      <c r="H175" s="412"/>
      <c r="I175" s="412"/>
      <c r="J175" s="412"/>
      <c r="K175" s="412"/>
      <c r="L175" s="413"/>
      <c r="M175" s="412"/>
      <c r="N175" s="413"/>
      <c r="O175" s="413"/>
      <c r="P175" s="412"/>
      <c r="Q175" s="414"/>
      <c r="R175" s="414"/>
    </row>
    <row r="176">
      <c r="B176" s="374"/>
      <c r="C176" s="374"/>
      <c r="D176" s="412"/>
      <c r="E176" s="412"/>
      <c r="F176" s="412"/>
      <c r="G176" s="412"/>
      <c r="H176" s="412"/>
      <c r="I176" s="412"/>
      <c r="J176" s="412"/>
      <c r="K176" s="412"/>
      <c r="L176" s="413"/>
      <c r="M176" s="412"/>
      <c r="N176" s="413"/>
      <c r="O176" s="413"/>
      <c r="P176" s="412"/>
      <c r="Q176" s="414"/>
      <c r="R176" s="414"/>
    </row>
    <row r="177">
      <c r="B177" s="374"/>
      <c r="C177" s="374"/>
      <c r="D177" s="412"/>
      <c r="E177" s="412"/>
      <c r="F177" s="412"/>
      <c r="G177" s="412"/>
      <c r="H177" s="412"/>
      <c r="I177" s="412"/>
      <c r="J177" s="412"/>
      <c r="K177" s="412"/>
      <c r="L177" s="413"/>
      <c r="M177" s="412"/>
      <c r="N177" s="413"/>
      <c r="O177" s="413"/>
      <c r="P177" s="412"/>
      <c r="Q177" s="414"/>
      <c r="R177" s="414"/>
    </row>
    <row r="178">
      <c r="B178" s="374"/>
      <c r="C178" s="374"/>
      <c r="D178" s="412"/>
      <c r="E178" s="412"/>
      <c r="F178" s="412"/>
      <c r="G178" s="412"/>
      <c r="H178" s="412"/>
      <c r="I178" s="412"/>
      <c r="J178" s="412"/>
      <c r="K178" s="412"/>
      <c r="L178" s="413"/>
      <c r="M178" s="412"/>
      <c r="N178" s="413"/>
      <c r="O178" s="413"/>
      <c r="P178" s="412"/>
      <c r="Q178" s="414"/>
      <c r="R178" s="414"/>
    </row>
    <row r="179">
      <c r="B179" s="374"/>
      <c r="C179" s="374"/>
      <c r="D179" s="412"/>
      <c r="E179" s="412"/>
      <c r="F179" s="412"/>
      <c r="G179" s="412"/>
      <c r="H179" s="412"/>
      <c r="I179" s="412"/>
      <c r="J179" s="412"/>
      <c r="K179" s="412"/>
      <c r="L179" s="413"/>
      <c r="M179" s="412"/>
      <c r="N179" s="413"/>
      <c r="O179" s="413"/>
      <c r="P179" s="412"/>
      <c r="Q179" s="414"/>
      <c r="R179" s="414"/>
    </row>
    <row r="180">
      <c r="B180" s="374"/>
      <c r="C180" s="374"/>
      <c r="D180" s="412"/>
      <c r="E180" s="412"/>
      <c r="F180" s="412"/>
      <c r="G180" s="412"/>
      <c r="H180" s="412"/>
      <c r="I180" s="412"/>
      <c r="J180" s="412"/>
      <c r="K180" s="412"/>
      <c r="L180" s="413"/>
      <c r="M180" s="412"/>
      <c r="N180" s="413"/>
      <c r="O180" s="413"/>
      <c r="P180" s="412"/>
      <c r="Q180" s="414"/>
      <c r="R180" s="414"/>
    </row>
    <row r="181">
      <c r="B181" s="374"/>
      <c r="C181" s="374"/>
      <c r="D181" s="412"/>
      <c r="E181" s="412"/>
      <c r="F181" s="412"/>
      <c r="G181" s="412"/>
      <c r="H181" s="412"/>
      <c r="I181" s="412"/>
      <c r="J181" s="412"/>
      <c r="K181" s="412"/>
      <c r="L181" s="413"/>
      <c r="M181" s="412"/>
      <c r="N181" s="413"/>
      <c r="O181" s="413"/>
      <c r="P181" s="412"/>
      <c r="Q181" s="414"/>
      <c r="R181" s="414"/>
    </row>
    <row r="182">
      <c r="B182" s="374"/>
      <c r="C182" s="374"/>
      <c r="D182" s="412"/>
      <c r="E182" s="412"/>
      <c r="F182" s="412"/>
      <c r="G182" s="412"/>
      <c r="H182" s="412"/>
      <c r="I182" s="412"/>
      <c r="J182" s="412"/>
      <c r="K182" s="412"/>
      <c r="L182" s="413"/>
      <c r="M182" s="412"/>
      <c r="N182" s="413"/>
      <c r="O182" s="413"/>
      <c r="P182" s="412"/>
      <c r="Q182" s="414"/>
      <c r="R182" s="414"/>
    </row>
    <row r="183">
      <c r="B183" s="374"/>
      <c r="C183" s="374"/>
      <c r="D183" s="412"/>
      <c r="E183" s="412"/>
      <c r="F183" s="412"/>
      <c r="G183" s="412"/>
      <c r="H183" s="412"/>
      <c r="I183" s="412"/>
      <c r="J183" s="412"/>
      <c r="K183" s="412"/>
      <c r="L183" s="413"/>
      <c r="M183" s="412"/>
      <c r="N183" s="413"/>
      <c r="O183" s="413"/>
      <c r="P183" s="412"/>
      <c r="Q183" s="414"/>
      <c r="R183" s="414"/>
    </row>
    <row r="184">
      <c r="B184" s="374"/>
      <c r="C184" s="374"/>
      <c r="D184" s="412"/>
      <c r="E184" s="412"/>
      <c r="F184" s="412"/>
      <c r="G184" s="412"/>
      <c r="H184" s="412"/>
      <c r="I184" s="412"/>
      <c r="J184" s="412"/>
      <c r="K184" s="412"/>
      <c r="L184" s="413"/>
      <c r="M184" s="412"/>
      <c r="N184" s="413"/>
      <c r="O184" s="413"/>
      <c r="P184" s="412"/>
      <c r="Q184" s="414"/>
      <c r="R184" s="414"/>
    </row>
    <row r="185">
      <c r="B185" s="374"/>
      <c r="C185" s="374"/>
      <c r="D185" s="412"/>
      <c r="E185" s="412"/>
      <c r="F185" s="412"/>
      <c r="G185" s="412"/>
      <c r="H185" s="412"/>
      <c r="I185" s="412"/>
      <c r="J185" s="412"/>
      <c r="K185" s="412"/>
      <c r="L185" s="413"/>
      <c r="M185" s="412"/>
      <c r="N185" s="413"/>
      <c r="O185" s="413"/>
      <c r="P185" s="412"/>
      <c r="Q185" s="414"/>
      <c r="R185" s="414"/>
    </row>
    <row r="186">
      <c r="B186" s="374"/>
      <c r="C186" s="374"/>
      <c r="D186" s="412"/>
      <c r="E186" s="412"/>
      <c r="F186" s="412"/>
      <c r="G186" s="412"/>
      <c r="H186" s="412"/>
      <c r="I186" s="412"/>
      <c r="J186" s="412"/>
      <c r="K186" s="412"/>
      <c r="L186" s="413"/>
      <c r="M186" s="412"/>
      <c r="N186" s="413"/>
      <c r="O186" s="413"/>
      <c r="P186" s="412"/>
      <c r="Q186" s="414"/>
      <c r="R186" s="414"/>
    </row>
    <row r="187">
      <c r="B187" s="374"/>
      <c r="C187" s="374"/>
      <c r="D187" s="412"/>
      <c r="E187" s="412"/>
      <c r="F187" s="412"/>
      <c r="G187" s="412"/>
      <c r="H187" s="412"/>
      <c r="I187" s="412"/>
      <c r="J187" s="412"/>
      <c r="K187" s="412"/>
      <c r="L187" s="413"/>
      <c r="M187" s="412"/>
      <c r="N187" s="413"/>
      <c r="O187" s="413"/>
      <c r="P187" s="412"/>
      <c r="Q187" s="414"/>
      <c r="R187" s="414"/>
    </row>
    <row r="188">
      <c r="B188" s="374"/>
      <c r="C188" s="374"/>
      <c r="D188" s="412"/>
      <c r="E188" s="412"/>
      <c r="F188" s="412"/>
      <c r="G188" s="412"/>
      <c r="H188" s="412"/>
      <c r="I188" s="412"/>
      <c r="J188" s="412"/>
      <c r="K188" s="412"/>
      <c r="L188" s="413"/>
      <c r="M188" s="412"/>
      <c r="N188" s="413"/>
      <c r="O188" s="413"/>
      <c r="P188" s="412"/>
      <c r="Q188" s="414"/>
      <c r="R188" s="414"/>
    </row>
    <row r="189">
      <c r="B189" s="374"/>
      <c r="C189" s="374"/>
      <c r="D189" s="412"/>
      <c r="E189" s="412"/>
      <c r="F189" s="412"/>
      <c r="G189" s="412"/>
      <c r="H189" s="412"/>
      <c r="I189" s="412"/>
      <c r="J189" s="412"/>
      <c r="K189" s="412"/>
      <c r="L189" s="413"/>
      <c r="M189" s="412"/>
      <c r="N189" s="413"/>
      <c r="O189" s="413"/>
      <c r="P189" s="412"/>
      <c r="Q189" s="414"/>
      <c r="R189" s="414"/>
    </row>
    <row r="190">
      <c r="B190" s="374"/>
      <c r="C190" s="374"/>
      <c r="D190" s="412"/>
      <c r="E190" s="412"/>
      <c r="F190" s="412"/>
      <c r="G190" s="412"/>
      <c r="H190" s="412"/>
      <c r="I190" s="412"/>
      <c r="J190" s="412"/>
      <c r="K190" s="412"/>
      <c r="L190" s="413"/>
      <c r="M190" s="412"/>
      <c r="N190" s="413"/>
      <c r="O190" s="413"/>
      <c r="P190" s="412"/>
      <c r="Q190" s="414"/>
      <c r="R190" s="414"/>
    </row>
    <row r="191">
      <c r="B191" s="374"/>
      <c r="C191" s="374"/>
      <c r="D191" s="412"/>
      <c r="E191" s="412"/>
      <c r="F191" s="412"/>
      <c r="G191" s="412"/>
      <c r="H191" s="412"/>
      <c r="I191" s="412"/>
      <c r="J191" s="412"/>
      <c r="K191" s="412"/>
      <c r="L191" s="413"/>
      <c r="M191" s="412"/>
      <c r="N191" s="413"/>
      <c r="O191" s="413"/>
      <c r="P191" s="412"/>
      <c r="Q191" s="414"/>
      <c r="R191" s="414"/>
    </row>
    <row r="192">
      <c r="B192" s="374"/>
      <c r="C192" s="374"/>
      <c r="D192" s="412"/>
      <c r="E192" s="412"/>
      <c r="F192" s="412"/>
      <c r="G192" s="412"/>
      <c r="H192" s="412"/>
      <c r="I192" s="412"/>
      <c r="J192" s="412"/>
      <c r="K192" s="412"/>
      <c r="L192" s="413"/>
      <c r="M192" s="412"/>
      <c r="N192" s="413"/>
      <c r="O192" s="413"/>
      <c r="P192" s="412"/>
      <c r="Q192" s="414"/>
      <c r="R192" s="414"/>
    </row>
    <row r="193">
      <c r="B193" s="374"/>
      <c r="C193" s="374"/>
      <c r="D193" s="412"/>
      <c r="E193" s="412"/>
      <c r="F193" s="412"/>
      <c r="G193" s="412"/>
      <c r="H193" s="412"/>
      <c r="I193" s="412"/>
      <c r="J193" s="412"/>
      <c r="K193" s="412"/>
      <c r="L193" s="413"/>
      <c r="M193" s="412"/>
      <c r="N193" s="413"/>
      <c r="O193" s="413"/>
      <c r="P193" s="412"/>
      <c r="Q193" s="414"/>
      <c r="R193" s="414"/>
    </row>
    <row r="194">
      <c r="B194" s="374"/>
      <c r="C194" s="374"/>
      <c r="D194" s="412"/>
      <c r="E194" s="412"/>
      <c r="F194" s="412"/>
      <c r="G194" s="412"/>
      <c r="H194" s="412"/>
      <c r="I194" s="412"/>
      <c r="J194" s="412"/>
      <c r="K194" s="412"/>
      <c r="L194" s="413"/>
      <c r="M194" s="412"/>
      <c r="N194" s="413"/>
      <c r="O194" s="413"/>
      <c r="P194" s="412"/>
      <c r="Q194" s="414"/>
      <c r="R194" s="414"/>
    </row>
    <row r="195">
      <c r="B195" s="374"/>
      <c r="C195" s="374"/>
      <c r="D195" s="412"/>
      <c r="E195" s="412"/>
      <c r="F195" s="412"/>
      <c r="G195" s="412"/>
      <c r="H195" s="412"/>
      <c r="I195" s="412"/>
      <c r="J195" s="412"/>
      <c r="K195" s="412"/>
      <c r="L195" s="413"/>
      <c r="M195" s="412"/>
      <c r="N195" s="413"/>
      <c r="O195" s="413"/>
      <c r="P195" s="412"/>
      <c r="Q195" s="414"/>
      <c r="R195" s="414"/>
    </row>
    <row r="196">
      <c r="B196" s="374"/>
      <c r="C196" s="374"/>
      <c r="D196" s="412"/>
      <c r="E196" s="412"/>
      <c r="F196" s="412"/>
      <c r="G196" s="412"/>
      <c r="H196" s="412"/>
      <c r="I196" s="412"/>
      <c r="J196" s="412"/>
      <c r="K196" s="412"/>
      <c r="L196" s="413"/>
      <c r="M196" s="412"/>
      <c r="N196" s="413"/>
      <c r="O196" s="413"/>
      <c r="P196" s="412"/>
      <c r="Q196" s="414"/>
      <c r="R196" s="414"/>
    </row>
    <row r="197">
      <c r="B197" s="374"/>
      <c r="C197" s="374"/>
      <c r="D197" s="412"/>
      <c r="E197" s="412"/>
      <c r="F197" s="412"/>
      <c r="G197" s="412"/>
      <c r="H197" s="412"/>
      <c r="I197" s="412"/>
      <c r="J197" s="412"/>
      <c r="K197" s="412"/>
      <c r="L197" s="413"/>
      <c r="M197" s="412"/>
      <c r="N197" s="413"/>
      <c r="O197" s="413"/>
      <c r="P197" s="412"/>
      <c r="Q197" s="414"/>
      <c r="R197" s="414"/>
    </row>
    <row r="198">
      <c r="B198" s="374"/>
      <c r="C198" s="374"/>
      <c r="D198" s="412"/>
      <c r="E198" s="412"/>
      <c r="F198" s="412"/>
      <c r="G198" s="412"/>
      <c r="H198" s="412"/>
      <c r="I198" s="412"/>
      <c r="J198" s="412"/>
      <c r="K198" s="412"/>
      <c r="L198" s="413"/>
      <c r="M198" s="412"/>
      <c r="N198" s="413"/>
      <c r="O198" s="413"/>
      <c r="P198" s="412"/>
      <c r="Q198" s="414"/>
      <c r="R198" s="414"/>
    </row>
    <row r="199">
      <c r="B199" s="374"/>
      <c r="C199" s="374"/>
      <c r="D199" s="412"/>
      <c r="E199" s="412"/>
      <c r="F199" s="412"/>
      <c r="G199" s="412"/>
      <c r="H199" s="412"/>
      <c r="I199" s="412"/>
      <c r="J199" s="412"/>
      <c r="K199" s="412"/>
      <c r="L199" s="413"/>
      <c r="M199" s="412"/>
      <c r="N199" s="413"/>
      <c r="O199" s="413"/>
      <c r="P199" s="412"/>
      <c r="Q199" s="414"/>
      <c r="R199" s="414"/>
    </row>
    <row r="200">
      <c r="B200" s="374"/>
      <c r="C200" s="374"/>
      <c r="D200" s="412"/>
      <c r="E200" s="412"/>
      <c r="F200" s="412"/>
      <c r="G200" s="412"/>
      <c r="H200" s="412"/>
      <c r="I200" s="412"/>
      <c r="J200" s="412"/>
      <c r="K200" s="412"/>
      <c r="L200" s="413"/>
      <c r="M200" s="412"/>
      <c r="N200" s="413"/>
      <c r="O200" s="413"/>
      <c r="P200" s="412"/>
      <c r="Q200" s="414"/>
      <c r="R200" s="414"/>
    </row>
    <row r="201">
      <c r="B201" s="374"/>
      <c r="C201" s="374"/>
      <c r="D201" s="412"/>
      <c r="E201" s="412"/>
      <c r="F201" s="412"/>
      <c r="G201" s="412"/>
      <c r="H201" s="412"/>
      <c r="I201" s="412"/>
      <c r="J201" s="412"/>
      <c r="K201" s="412"/>
      <c r="L201" s="413"/>
      <c r="M201" s="412"/>
      <c r="N201" s="413"/>
      <c r="O201" s="413"/>
      <c r="P201" s="412"/>
      <c r="Q201" s="414"/>
      <c r="R201" s="414"/>
    </row>
    <row r="202">
      <c r="B202" s="374"/>
      <c r="C202" s="374"/>
      <c r="D202" s="412"/>
      <c r="E202" s="412"/>
      <c r="F202" s="412"/>
      <c r="G202" s="412"/>
      <c r="H202" s="412"/>
      <c r="I202" s="412"/>
      <c r="J202" s="412"/>
      <c r="K202" s="412"/>
      <c r="L202" s="413"/>
      <c r="M202" s="412"/>
      <c r="N202" s="413"/>
      <c r="O202" s="413"/>
      <c r="P202" s="412"/>
      <c r="Q202" s="414"/>
      <c r="R202" s="414"/>
    </row>
    <row r="203">
      <c r="B203" s="374"/>
      <c r="C203" s="374"/>
      <c r="D203" s="412"/>
      <c r="E203" s="412"/>
      <c r="F203" s="412"/>
      <c r="G203" s="412"/>
      <c r="H203" s="412"/>
      <c r="I203" s="412"/>
      <c r="J203" s="412"/>
      <c r="K203" s="412"/>
      <c r="L203" s="413"/>
      <c r="M203" s="412"/>
      <c r="N203" s="413"/>
      <c r="O203" s="413"/>
      <c r="P203" s="412"/>
      <c r="Q203" s="414"/>
      <c r="R203" s="414"/>
    </row>
    <row r="204">
      <c r="B204" s="374"/>
      <c r="C204" s="374"/>
      <c r="D204" s="412"/>
      <c r="E204" s="412"/>
      <c r="F204" s="412"/>
      <c r="G204" s="412"/>
      <c r="H204" s="412"/>
      <c r="I204" s="412"/>
      <c r="J204" s="412"/>
      <c r="K204" s="412"/>
      <c r="L204" s="413"/>
      <c r="M204" s="412"/>
      <c r="N204" s="413"/>
      <c r="O204" s="413"/>
      <c r="P204" s="412"/>
      <c r="Q204" s="414"/>
      <c r="R204" s="414"/>
    </row>
    <row r="205">
      <c r="B205" s="374"/>
      <c r="C205" s="374"/>
      <c r="D205" s="412"/>
      <c r="E205" s="412"/>
      <c r="F205" s="412"/>
      <c r="G205" s="412"/>
      <c r="H205" s="412"/>
      <c r="I205" s="412"/>
      <c r="J205" s="412"/>
      <c r="K205" s="412"/>
      <c r="L205" s="413"/>
      <c r="M205" s="412"/>
      <c r="N205" s="413"/>
      <c r="O205" s="413"/>
      <c r="P205" s="412"/>
      <c r="Q205" s="414"/>
      <c r="R205" s="414"/>
    </row>
    <row r="206">
      <c r="B206" s="374"/>
      <c r="C206" s="374"/>
      <c r="D206" s="412"/>
      <c r="E206" s="412"/>
      <c r="F206" s="412"/>
      <c r="G206" s="412"/>
      <c r="H206" s="412"/>
      <c r="I206" s="412"/>
      <c r="J206" s="412"/>
      <c r="K206" s="412"/>
      <c r="L206" s="413"/>
      <c r="M206" s="412"/>
      <c r="N206" s="413"/>
      <c r="O206" s="413"/>
      <c r="P206" s="412"/>
      <c r="Q206" s="414"/>
      <c r="R206" s="414"/>
    </row>
    <row r="207">
      <c r="B207" s="374"/>
      <c r="C207" s="374"/>
      <c r="D207" s="412"/>
      <c r="E207" s="412"/>
      <c r="F207" s="412"/>
      <c r="G207" s="412"/>
      <c r="H207" s="412"/>
      <c r="I207" s="412"/>
      <c r="J207" s="412"/>
      <c r="K207" s="412"/>
      <c r="L207" s="413"/>
      <c r="M207" s="412"/>
      <c r="N207" s="413"/>
      <c r="O207" s="413"/>
      <c r="P207" s="412"/>
      <c r="Q207" s="414"/>
      <c r="R207" s="414"/>
    </row>
    <row r="208">
      <c r="B208" s="374"/>
      <c r="C208" s="374"/>
      <c r="D208" s="412"/>
      <c r="E208" s="412"/>
      <c r="F208" s="412"/>
      <c r="G208" s="412"/>
      <c r="H208" s="412"/>
      <c r="I208" s="412"/>
      <c r="J208" s="412"/>
      <c r="K208" s="412"/>
      <c r="L208" s="413"/>
      <c r="M208" s="412"/>
      <c r="N208" s="413"/>
      <c r="O208" s="413"/>
      <c r="P208" s="412"/>
      <c r="Q208" s="414"/>
      <c r="R208" s="414"/>
    </row>
    <row r="209">
      <c r="B209" s="374"/>
      <c r="C209" s="374"/>
      <c r="D209" s="412"/>
      <c r="E209" s="412"/>
      <c r="F209" s="412"/>
      <c r="G209" s="412"/>
      <c r="H209" s="412"/>
      <c r="I209" s="412"/>
      <c r="J209" s="412"/>
      <c r="K209" s="412"/>
      <c r="L209" s="413"/>
      <c r="M209" s="412"/>
      <c r="N209" s="413"/>
      <c r="O209" s="413"/>
      <c r="P209" s="412"/>
      <c r="Q209" s="414"/>
      <c r="R209" s="414"/>
    </row>
    <row r="210">
      <c r="B210" s="374"/>
      <c r="C210" s="374"/>
      <c r="D210" s="412"/>
      <c r="E210" s="412"/>
      <c r="F210" s="412"/>
      <c r="G210" s="412"/>
      <c r="H210" s="412"/>
      <c r="I210" s="412"/>
      <c r="J210" s="412"/>
      <c r="K210" s="412"/>
      <c r="L210" s="413"/>
      <c r="M210" s="412"/>
      <c r="N210" s="413"/>
      <c r="O210" s="413"/>
      <c r="P210" s="412"/>
      <c r="Q210" s="414"/>
      <c r="R210" s="414"/>
    </row>
    <row r="211">
      <c r="B211" s="374"/>
      <c r="C211" s="374"/>
      <c r="D211" s="412"/>
      <c r="E211" s="412"/>
      <c r="F211" s="412"/>
      <c r="G211" s="412"/>
      <c r="H211" s="412"/>
      <c r="I211" s="412"/>
      <c r="J211" s="412"/>
      <c r="K211" s="412"/>
      <c r="L211" s="413"/>
      <c r="M211" s="412"/>
      <c r="N211" s="413"/>
      <c r="O211" s="413"/>
      <c r="P211" s="412"/>
      <c r="Q211" s="414"/>
      <c r="R211" s="414"/>
    </row>
    <row r="212">
      <c r="B212" s="374"/>
      <c r="C212" s="374"/>
      <c r="D212" s="412"/>
      <c r="E212" s="412"/>
      <c r="F212" s="412"/>
      <c r="G212" s="412"/>
      <c r="H212" s="412"/>
      <c r="I212" s="412"/>
      <c r="J212" s="412"/>
      <c r="K212" s="412"/>
      <c r="L212" s="413"/>
      <c r="M212" s="412"/>
      <c r="N212" s="413"/>
      <c r="O212" s="413"/>
      <c r="P212" s="412"/>
      <c r="Q212" s="414"/>
      <c r="R212" s="414"/>
    </row>
    <row r="213">
      <c r="B213" s="374"/>
      <c r="C213" s="374"/>
      <c r="D213" s="412"/>
      <c r="E213" s="412"/>
      <c r="F213" s="412"/>
      <c r="G213" s="412"/>
      <c r="H213" s="412"/>
      <c r="I213" s="412"/>
      <c r="J213" s="412"/>
      <c r="K213" s="412"/>
      <c r="L213" s="413"/>
      <c r="M213" s="412"/>
      <c r="N213" s="413"/>
      <c r="O213" s="413"/>
      <c r="P213" s="412"/>
      <c r="Q213" s="414"/>
      <c r="R213" s="414"/>
    </row>
    <row r="214">
      <c r="B214" s="374"/>
      <c r="C214" s="374"/>
      <c r="D214" s="412"/>
      <c r="E214" s="412"/>
      <c r="F214" s="412"/>
      <c r="G214" s="412"/>
      <c r="H214" s="412"/>
      <c r="I214" s="412"/>
      <c r="J214" s="412"/>
      <c r="K214" s="412"/>
      <c r="L214" s="413"/>
      <c r="M214" s="412"/>
      <c r="N214" s="413"/>
      <c r="O214" s="413"/>
      <c r="P214" s="412"/>
      <c r="Q214" s="414"/>
      <c r="R214" s="414"/>
    </row>
    <row r="215">
      <c r="B215" s="374"/>
      <c r="C215" s="374"/>
      <c r="D215" s="412"/>
      <c r="E215" s="412"/>
      <c r="F215" s="412"/>
      <c r="G215" s="412"/>
      <c r="H215" s="412"/>
      <c r="I215" s="412"/>
      <c r="J215" s="412"/>
      <c r="K215" s="412"/>
      <c r="L215" s="413"/>
      <c r="M215" s="412"/>
      <c r="N215" s="413"/>
      <c r="O215" s="413"/>
      <c r="P215" s="412"/>
      <c r="Q215" s="414"/>
      <c r="R215" s="414"/>
    </row>
    <row r="216">
      <c r="B216" s="374"/>
      <c r="C216" s="374"/>
      <c r="D216" s="412"/>
      <c r="E216" s="412"/>
      <c r="F216" s="412"/>
      <c r="G216" s="412"/>
      <c r="H216" s="412"/>
      <c r="I216" s="412"/>
      <c r="J216" s="412"/>
      <c r="K216" s="412"/>
      <c r="L216" s="413"/>
      <c r="M216" s="412"/>
      <c r="N216" s="413"/>
      <c r="O216" s="413"/>
      <c r="P216" s="412"/>
      <c r="Q216" s="414"/>
      <c r="R216" s="414"/>
    </row>
    <row r="217">
      <c r="B217" s="374"/>
      <c r="C217" s="374"/>
      <c r="D217" s="412"/>
      <c r="E217" s="412"/>
      <c r="F217" s="412"/>
      <c r="G217" s="412"/>
      <c r="H217" s="412"/>
      <c r="I217" s="412"/>
      <c r="J217" s="412"/>
      <c r="K217" s="412"/>
      <c r="L217" s="413"/>
      <c r="M217" s="412"/>
      <c r="N217" s="413"/>
      <c r="O217" s="413"/>
      <c r="P217" s="412"/>
      <c r="Q217" s="414"/>
      <c r="R217" s="414"/>
    </row>
    <row r="218">
      <c r="B218" s="374"/>
      <c r="C218" s="374"/>
      <c r="D218" s="412"/>
      <c r="E218" s="412"/>
      <c r="F218" s="412"/>
      <c r="G218" s="412"/>
      <c r="H218" s="412"/>
      <c r="I218" s="412"/>
      <c r="J218" s="412"/>
      <c r="K218" s="412"/>
      <c r="L218" s="413"/>
      <c r="M218" s="412"/>
      <c r="N218" s="413"/>
      <c r="O218" s="413"/>
      <c r="P218" s="412"/>
      <c r="Q218" s="414"/>
      <c r="R218" s="414"/>
    </row>
    <row r="219">
      <c r="B219" s="374"/>
      <c r="C219" s="374"/>
      <c r="D219" s="412"/>
      <c r="E219" s="412"/>
      <c r="F219" s="412"/>
      <c r="G219" s="412"/>
      <c r="H219" s="412"/>
      <c r="I219" s="412"/>
      <c r="J219" s="412"/>
      <c r="K219" s="412"/>
      <c r="L219" s="413"/>
      <c r="M219" s="412"/>
      <c r="N219" s="413"/>
      <c r="O219" s="413"/>
      <c r="P219" s="412"/>
      <c r="Q219" s="414"/>
      <c r="R219" s="414"/>
    </row>
    <row r="220">
      <c r="B220" s="374"/>
      <c r="C220" s="374"/>
      <c r="D220" s="412"/>
      <c r="E220" s="412"/>
      <c r="F220" s="412"/>
      <c r="G220" s="412"/>
      <c r="H220" s="412"/>
      <c r="I220" s="412"/>
      <c r="J220" s="412"/>
      <c r="K220" s="412"/>
      <c r="L220" s="413"/>
      <c r="M220" s="412"/>
      <c r="N220" s="413"/>
      <c r="O220" s="413"/>
      <c r="P220" s="412"/>
      <c r="Q220" s="414"/>
      <c r="R220" s="414"/>
    </row>
    <row r="221">
      <c r="B221" s="374"/>
      <c r="C221" s="374"/>
      <c r="D221" s="412"/>
      <c r="E221" s="412"/>
      <c r="F221" s="412"/>
      <c r="G221" s="412"/>
      <c r="H221" s="412"/>
      <c r="I221" s="412"/>
      <c r="J221" s="412"/>
      <c r="K221" s="412"/>
      <c r="L221" s="413"/>
      <c r="M221" s="412"/>
      <c r="N221" s="413"/>
      <c r="O221" s="413"/>
      <c r="P221" s="412"/>
      <c r="Q221" s="414"/>
      <c r="R221" s="414"/>
    </row>
    <row r="222">
      <c r="B222" s="374"/>
      <c r="C222" s="374"/>
      <c r="D222" s="412"/>
      <c r="E222" s="412"/>
      <c r="F222" s="412"/>
      <c r="G222" s="412"/>
      <c r="H222" s="412"/>
      <c r="I222" s="412"/>
      <c r="J222" s="412"/>
      <c r="K222" s="412"/>
      <c r="L222" s="413"/>
      <c r="M222" s="412"/>
      <c r="N222" s="413"/>
      <c r="O222" s="413"/>
      <c r="P222" s="412"/>
      <c r="Q222" s="414"/>
      <c r="R222" s="414"/>
    </row>
    <row r="223">
      <c r="B223" s="374"/>
      <c r="C223" s="374"/>
      <c r="D223" s="412"/>
      <c r="E223" s="412"/>
      <c r="F223" s="412"/>
      <c r="G223" s="412"/>
      <c r="H223" s="412"/>
      <c r="I223" s="412"/>
      <c r="J223" s="412"/>
      <c r="K223" s="412"/>
      <c r="L223" s="413"/>
      <c r="M223" s="412"/>
      <c r="N223" s="413"/>
      <c r="O223" s="413"/>
      <c r="P223" s="412"/>
      <c r="Q223" s="414"/>
      <c r="R223" s="414"/>
    </row>
    <row r="224">
      <c r="B224" s="374"/>
      <c r="C224" s="374"/>
      <c r="D224" s="412"/>
      <c r="E224" s="412"/>
      <c r="F224" s="412"/>
      <c r="G224" s="412"/>
      <c r="H224" s="412"/>
      <c r="I224" s="412"/>
      <c r="J224" s="412"/>
      <c r="K224" s="412"/>
      <c r="L224" s="413"/>
      <c r="M224" s="412"/>
      <c r="N224" s="413"/>
      <c r="O224" s="413"/>
      <c r="P224" s="412"/>
      <c r="Q224" s="414"/>
      <c r="R224" s="414"/>
    </row>
    <row r="225">
      <c r="B225" s="374"/>
      <c r="C225" s="374"/>
      <c r="D225" s="412"/>
      <c r="E225" s="412"/>
      <c r="F225" s="412"/>
      <c r="G225" s="412"/>
      <c r="H225" s="412"/>
      <c r="I225" s="412"/>
      <c r="J225" s="412"/>
      <c r="K225" s="412"/>
      <c r="L225" s="413"/>
      <c r="M225" s="412"/>
      <c r="N225" s="413"/>
      <c r="O225" s="413"/>
      <c r="P225" s="412"/>
      <c r="Q225" s="414"/>
      <c r="R225" s="414"/>
    </row>
    <row r="226">
      <c r="B226" s="374"/>
      <c r="C226" s="374"/>
      <c r="D226" s="412"/>
      <c r="E226" s="412"/>
      <c r="F226" s="412"/>
      <c r="G226" s="412"/>
      <c r="H226" s="412"/>
      <c r="I226" s="412"/>
      <c r="J226" s="412"/>
      <c r="K226" s="412"/>
      <c r="L226" s="413"/>
      <c r="M226" s="412"/>
      <c r="N226" s="413"/>
      <c r="O226" s="413"/>
      <c r="P226" s="412"/>
      <c r="Q226" s="414"/>
      <c r="R226" s="414"/>
    </row>
    <row r="227">
      <c r="B227" s="374"/>
      <c r="C227" s="374"/>
      <c r="D227" s="412"/>
      <c r="E227" s="412"/>
      <c r="F227" s="412"/>
      <c r="G227" s="412"/>
      <c r="H227" s="412"/>
      <c r="I227" s="412"/>
      <c r="J227" s="412"/>
      <c r="K227" s="412"/>
      <c r="L227" s="413"/>
      <c r="M227" s="412"/>
      <c r="N227" s="413"/>
      <c r="O227" s="413"/>
      <c r="P227" s="412"/>
      <c r="Q227" s="414"/>
      <c r="R227" s="414"/>
    </row>
    <row r="228">
      <c r="B228" s="374"/>
      <c r="C228" s="374"/>
      <c r="D228" s="412"/>
      <c r="E228" s="412"/>
      <c r="F228" s="412"/>
      <c r="G228" s="412"/>
      <c r="H228" s="412"/>
      <c r="I228" s="412"/>
      <c r="J228" s="412"/>
      <c r="K228" s="412"/>
      <c r="L228" s="413"/>
      <c r="M228" s="412"/>
      <c r="N228" s="413"/>
      <c r="O228" s="413"/>
      <c r="P228" s="412"/>
      <c r="Q228" s="414"/>
      <c r="R228" s="414"/>
    </row>
    <row r="229">
      <c r="B229" s="374"/>
      <c r="C229" s="374"/>
      <c r="D229" s="412"/>
      <c r="E229" s="412"/>
      <c r="F229" s="412"/>
      <c r="G229" s="412"/>
      <c r="H229" s="412"/>
      <c r="I229" s="412"/>
      <c r="J229" s="412"/>
      <c r="K229" s="412"/>
      <c r="L229" s="413"/>
      <c r="M229" s="412"/>
      <c r="N229" s="413"/>
      <c r="O229" s="413"/>
      <c r="P229" s="412"/>
      <c r="Q229" s="414"/>
      <c r="R229" s="414"/>
    </row>
    <row r="230">
      <c r="B230" s="374"/>
      <c r="C230" s="374"/>
      <c r="D230" s="412"/>
      <c r="E230" s="412"/>
      <c r="F230" s="412"/>
      <c r="G230" s="412"/>
      <c r="H230" s="412"/>
      <c r="I230" s="412"/>
      <c r="J230" s="412"/>
      <c r="K230" s="412"/>
      <c r="L230" s="413"/>
      <c r="M230" s="412"/>
      <c r="N230" s="413"/>
      <c r="O230" s="413"/>
      <c r="P230" s="412"/>
      <c r="Q230" s="414"/>
      <c r="R230" s="414"/>
    </row>
    <row r="231">
      <c r="B231" s="374"/>
      <c r="C231" s="374"/>
      <c r="D231" s="412"/>
      <c r="E231" s="412"/>
      <c r="F231" s="412"/>
      <c r="G231" s="412"/>
      <c r="H231" s="412"/>
      <c r="I231" s="412"/>
      <c r="J231" s="412"/>
      <c r="K231" s="412"/>
      <c r="L231" s="413"/>
      <c r="M231" s="412"/>
      <c r="N231" s="413"/>
      <c r="O231" s="413"/>
      <c r="P231" s="412"/>
      <c r="Q231" s="414"/>
      <c r="R231" s="414"/>
    </row>
    <row r="232">
      <c r="B232" s="374"/>
      <c r="C232" s="374"/>
      <c r="D232" s="412"/>
      <c r="E232" s="412"/>
      <c r="F232" s="412"/>
      <c r="G232" s="412"/>
      <c r="H232" s="412"/>
      <c r="I232" s="412"/>
      <c r="J232" s="412"/>
      <c r="K232" s="412"/>
      <c r="L232" s="413"/>
      <c r="M232" s="412"/>
      <c r="N232" s="413"/>
      <c r="O232" s="413"/>
      <c r="P232" s="412"/>
      <c r="Q232" s="414"/>
      <c r="R232" s="414"/>
    </row>
    <row r="233">
      <c r="B233" s="374"/>
      <c r="C233" s="374"/>
      <c r="D233" s="412"/>
      <c r="E233" s="412"/>
      <c r="F233" s="412"/>
      <c r="G233" s="412"/>
      <c r="H233" s="412"/>
      <c r="I233" s="412"/>
      <c r="J233" s="412"/>
      <c r="K233" s="412"/>
      <c r="L233" s="413"/>
      <c r="M233" s="412"/>
      <c r="N233" s="413"/>
      <c r="O233" s="413"/>
      <c r="P233" s="412"/>
      <c r="Q233" s="414"/>
      <c r="R233" s="414"/>
    </row>
    <row r="234">
      <c r="B234" s="374"/>
      <c r="C234" s="374"/>
      <c r="D234" s="412"/>
      <c r="E234" s="412"/>
      <c r="F234" s="412"/>
      <c r="G234" s="412"/>
      <c r="H234" s="412"/>
      <c r="I234" s="412"/>
      <c r="J234" s="412"/>
      <c r="K234" s="412"/>
      <c r="L234" s="413"/>
      <c r="M234" s="412"/>
      <c r="N234" s="413"/>
      <c r="O234" s="413"/>
      <c r="P234" s="412"/>
      <c r="Q234" s="414"/>
      <c r="R234" s="414"/>
    </row>
    <row r="235">
      <c r="B235" s="374"/>
      <c r="C235" s="374"/>
      <c r="D235" s="412"/>
      <c r="E235" s="412"/>
      <c r="F235" s="412"/>
      <c r="G235" s="412"/>
      <c r="H235" s="412"/>
      <c r="I235" s="412"/>
      <c r="J235" s="412"/>
      <c r="K235" s="412"/>
      <c r="L235" s="413"/>
      <c r="M235" s="412"/>
      <c r="N235" s="413"/>
      <c r="O235" s="413"/>
      <c r="P235" s="412"/>
      <c r="Q235" s="414"/>
      <c r="R235" s="414"/>
    </row>
    <row r="236">
      <c r="B236" s="374"/>
      <c r="C236" s="374"/>
      <c r="D236" s="412"/>
      <c r="E236" s="412"/>
      <c r="F236" s="412"/>
      <c r="G236" s="412"/>
      <c r="H236" s="412"/>
      <c r="I236" s="412"/>
      <c r="J236" s="412"/>
      <c r="K236" s="412"/>
      <c r="L236" s="413"/>
      <c r="M236" s="412"/>
      <c r="N236" s="413"/>
      <c r="O236" s="413"/>
      <c r="P236" s="412"/>
      <c r="Q236" s="414"/>
      <c r="R236" s="414"/>
    </row>
    <row r="237">
      <c r="B237" s="374"/>
      <c r="C237" s="374"/>
      <c r="D237" s="412"/>
      <c r="E237" s="412"/>
      <c r="F237" s="412"/>
      <c r="G237" s="412"/>
      <c r="H237" s="412"/>
      <c r="I237" s="412"/>
      <c r="J237" s="412"/>
      <c r="K237" s="412"/>
      <c r="L237" s="413"/>
      <c r="M237" s="412"/>
      <c r="N237" s="413"/>
      <c r="O237" s="413"/>
      <c r="P237" s="412"/>
      <c r="Q237" s="414"/>
      <c r="R237" s="414"/>
    </row>
    <row r="238">
      <c r="B238" s="374"/>
      <c r="C238" s="374"/>
      <c r="D238" s="412"/>
      <c r="E238" s="412"/>
      <c r="F238" s="412"/>
      <c r="G238" s="412"/>
      <c r="H238" s="412"/>
      <c r="I238" s="412"/>
      <c r="J238" s="412"/>
      <c r="K238" s="412"/>
      <c r="L238" s="413"/>
      <c r="M238" s="412"/>
      <c r="N238" s="413"/>
      <c r="O238" s="413"/>
      <c r="P238" s="412"/>
      <c r="Q238" s="414"/>
      <c r="R238" s="414"/>
    </row>
    <row r="239">
      <c r="B239" s="374"/>
      <c r="C239" s="374"/>
      <c r="D239" s="412"/>
      <c r="E239" s="412"/>
      <c r="F239" s="412"/>
      <c r="G239" s="412"/>
      <c r="H239" s="412"/>
      <c r="I239" s="412"/>
      <c r="J239" s="412"/>
      <c r="K239" s="412"/>
      <c r="L239" s="413"/>
      <c r="M239" s="412"/>
      <c r="N239" s="413"/>
      <c r="O239" s="413"/>
      <c r="P239" s="412"/>
      <c r="Q239" s="414"/>
      <c r="R239" s="414"/>
    </row>
    <row r="240">
      <c r="B240" s="374"/>
      <c r="C240" s="374"/>
      <c r="D240" s="412"/>
      <c r="E240" s="412"/>
      <c r="F240" s="412"/>
      <c r="G240" s="412"/>
      <c r="H240" s="412"/>
      <c r="I240" s="412"/>
      <c r="J240" s="412"/>
      <c r="K240" s="412"/>
      <c r="L240" s="413"/>
      <c r="M240" s="412"/>
      <c r="N240" s="413"/>
      <c r="O240" s="413"/>
      <c r="P240" s="412"/>
      <c r="Q240" s="414"/>
      <c r="R240" s="414"/>
    </row>
    <row r="241">
      <c r="B241" s="374"/>
      <c r="C241" s="374"/>
      <c r="D241" s="412"/>
      <c r="E241" s="412"/>
      <c r="F241" s="412"/>
      <c r="G241" s="412"/>
      <c r="H241" s="412"/>
      <c r="I241" s="412"/>
      <c r="J241" s="412"/>
      <c r="K241" s="412"/>
      <c r="L241" s="413"/>
      <c r="M241" s="412"/>
      <c r="N241" s="413"/>
      <c r="O241" s="413"/>
      <c r="P241" s="412"/>
      <c r="Q241" s="414"/>
      <c r="R241" s="414"/>
    </row>
    <row r="242">
      <c r="B242" s="374"/>
      <c r="C242" s="374"/>
      <c r="D242" s="412"/>
      <c r="E242" s="412"/>
      <c r="F242" s="412"/>
      <c r="G242" s="412"/>
      <c r="H242" s="412"/>
      <c r="I242" s="412"/>
      <c r="J242" s="412"/>
      <c r="K242" s="412"/>
      <c r="L242" s="413"/>
      <c r="M242" s="412"/>
      <c r="N242" s="413"/>
      <c r="O242" s="413"/>
      <c r="P242" s="412"/>
      <c r="Q242" s="414"/>
      <c r="R242" s="414"/>
    </row>
    <row r="243">
      <c r="B243" s="374"/>
      <c r="C243" s="374"/>
      <c r="D243" s="412"/>
      <c r="E243" s="412"/>
      <c r="F243" s="412"/>
      <c r="G243" s="412"/>
      <c r="H243" s="412"/>
      <c r="I243" s="412"/>
      <c r="J243" s="412"/>
      <c r="K243" s="412"/>
      <c r="L243" s="413"/>
      <c r="M243" s="412"/>
      <c r="N243" s="413"/>
      <c r="O243" s="413"/>
      <c r="P243" s="412"/>
      <c r="Q243" s="414"/>
      <c r="R243" s="414"/>
    </row>
    <row r="244">
      <c r="B244" s="374"/>
      <c r="C244" s="374"/>
      <c r="D244" s="412"/>
      <c r="E244" s="412"/>
      <c r="F244" s="412"/>
      <c r="G244" s="412"/>
      <c r="H244" s="412"/>
      <c r="I244" s="412"/>
      <c r="J244" s="412"/>
      <c r="K244" s="412"/>
      <c r="L244" s="413"/>
      <c r="M244" s="412"/>
      <c r="N244" s="413"/>
      <c r="O244" s="413"/>
      <c r="P244" s="412"/>
      <c r="Q244" s="414"/>
      <c r="R244" s="414"/>
    </row>
    <row r="245">
      <c r="B245" s="374"/>
      <c r="C245" s="374"/>
      <c r="D245" s="412"/>
      <c r="E245" s="412"/>
      <c r="F245" s="412"/>
      <c r="G245" s="412"/>
      <c r="H245" s="412"/>
      <c r="I245" s="412"/>
      <c r="J245" s="412"/>
      <c r="K245" s="412"/>
      <c r="L245" s="413"/>
      <c r="M245" s="412"/>
      <c r="N245" s="413"/>
      <c r="O245" s="413"/>
      <c r="P245" s="412"/>
      <c r="Q245" s="414"/>
      <c r="R245" s="414"/>
    </row>
    <row r="246">
      <c r="B246" s="374"/>
      <c r="C246" s="374"/>
      <c r="D246" s="412"/>
      <c r="E246" s="412"/>
      <c r="F246" s="412"/>
      <c r="G246" s="412"/>
      <c r="H246" s="412"/>
      <c r="I246" s="412"/>
      <c r="J246" s="412"/>
      <c r="K246" s="412"/>
      <c r="L246" s="413"/>
      <c r="M246" s="412"/>
      <c r="N246" s="413"/>
      <c r="O246" s="413"/>
      <c r="P246" s="412"/>
      <c r="Q246" s="414"/>
      <c r="R246" s="414"/>
    </row>
    <row r="247">
      <c r="B247" s="374"/>
      <c r="C247" s="374"/>
      <c r="D247" s="412"/>
      <c r="E247" s="412"/>
      <c r="F247" s="412"/>
      <c r="G247" s="412"/>
      <c r="H247" s="412"/>
      <c r="I247" s="412"/>
      <c r="J247" s="412"/>
      <c r="K247" s="412"/>
      <c r="L247" s="413"/>
      <c r="M247" s="412"/>
      <c r="N247" s="413"/>
      <c r="O247" s="413"/>
      <c r="P247" s="412"/>
      <c r="Q247" s="414"/>
      <c r="R247" s="414"/>
    </row>
    <row r="248">
      <c r="B248" s="374"/>
      <c r="C248" s="374"/>
      <c r="D248" s="412"/>
      <c r="E248" s="412"/>
      <c r="F248" s="412"/>
      <c r="G248" s="412"/>
      <c r="H248" s="412"/>
      <c r="I248" s="412"/>
      <c r="J248" s="412"/>
      <c r="K248" s="412"/>
      <c r="L248" s="413"/>
      <c r="M248" s="412"/>
      <c r="N248" s="413"/>
      <c r="O248" s="413"/>
      <c r="P248" s="412"/>
      <c r="Q248" s="414"/>
      <c r="R248" s="414"/>
    </row>
    <row r="249">
      <c r="B249" s="374"/>
      <c r="C249" s="374"/>
      <c r="D249" s="412"/>
      <c r="E249" s="412"/>
      <c r="F249" s="412"/>
      <c r="G249" s="412"/>
      <c r="H249" s="412"/>
      <c r="I249" s="412"/>
      <c r="J249" s="412"/>
      <c r="K249" s="412"/>
      <c r="L249" s="413"/>
      <c r="M249" s="412"/>
      <c r="N249" s="413"/>
      <c r="O249" s="413"/>
      <c r="P249" s="412"/>
      <c r="Q249" s="414"/>
      <c r="R249" s="414"/>
    </row>
    <row r="250">
      <c r="B250" s="374"/>
      <c r="C250" s="374"/>
      <c r="D250" s="412"/>
      <c r="E250" s="412"/>
      <c r="F250" s="412"/>
      <c r="G250" s="412"/>
      <c r="H250" s="412"/>
      <c r="I250" s="412"/>
      <c r="J250" s="412"/>
      <c r="K250" s="412"/>
      <c r="L250" s="413"/>
      <c r="M250" s="412"/>
      <c r="N250" s="413"/>
      <c r="O250" s="413"/>
      <c r="P250" s="412"/>
      <c r="Q250" s="414"/>
      <c r="R250" s="414"/>
    </row>
    <row r="251">
      <c r="B251" s="374"/>
      <c r="C251" s="374"/>
      <c r="D251" s="412"/>
      <c r="E251" s="412"/>
      <c r="F251" s="412"/>
      <c r="G251" s="412"/>
      <c r="H251" s="412"/>
      <c r="I251" s="412"/>
      <c r="J251" s="412"/>
      <c r="K251" s="412"/>
      <c r="L251" s="413"/>
      <c r="M251" s="412"/>
      <c r="N251" s="413"/>
      <c r="O251" s="413"/>
      <c r="P251" s="412"/>
      <c r="Q251" s="414"/>
      <c r="R251" s="414"/>
    </row>
    <row r="252">
      <c r="B252" s="374"/>
      <c r="C252" s="374"/>
      <c r="D252" s="412"/>
      <c r="E252" s="412"/>
      <c r="F252" s="412"/>
      <c r="G252" s="412"/>
      <c r="H252" s="412"/>
      <c r="I252" s="412"/>
      <c r="J252" s="412"/>
      <c r="K252" s="412"/>
      <c r="L252" s="413"/>
      <c r="M252" s="412"/>
      <c r="N252" s="413"/>
      <c r="O252" s="413"/>
      <c r="P252" s="412"/>
      <c r="Q252" s="414"/>
      <c r="R252" s="414"/>
    </row>
    <row r="253">
      <c r="B253" s="374"/>
      <c r="C253" s="374"/>
      <c r="D253" s="412"/>
      <c r="E253" s="412"/>
      <c r="F253" s="412"/>
      <c r="G253" s="412"/>
      <c r="H253" s="412"/>
      <c r="I253" s="412"/>
      <c r="J253" s="412"/>
      <c r="K253" s="412"/>
      <c r="L253" s="413"/>
      <c r="M253" s="412"/>
      <c r="N253" s="413"/>
      <c r="O253" s="413"/>
      <c r="P253" s="412"/>
      <c r="Q253" s="414"/>
      <c r="R253" s="414"/>
    </row>
    <row r="254">
      <c r="B254" s="374"/>
      <c r="C254" s="374"/>
      <c r="D254" s="412"/>
      <c r="E254" s="412"/>
      <c r="F254" s="412"/>
      <c r="G254" s="412"/>
      <c r="H254" s="412"/>
      <c r="I254" s="412"/>
      <c r="J254" s="412"/>
      <c r="K254" s="412"/>
      <c r="L254" s="413"/>
      <c r="M254" s="412"/>
      <c r="N254" s="413"/>
      <c r="O254" s="413"/>
      <c r="P254" s="412"/>
      <c r="Q254" s="414"/>
      <c r="R254" s="414"/>
    </row>
    <row r="255">
      <c r="B255" s="374"/>
      <c r="C255" s="374"/>
      <c r="D255" s="412"/>
      <c r="E255" s="412"/>
      <c r="F255" s="412"/>
      <c r="G255" s="412"/>
      <c r="H255" s="412"/>
      <c r="I255" s="412"/>
      <c r="J255" s="412"/>
      <c r="K255" s="412"/>
      <c r="L255" s="413"/>
      <c r="M255" s="412"/>
      <c r="N255" s="413"/>
      <c r="O255" s="413"/>
      <c r="P255" s="412"/>
      <c r="Q255" s="414"/>
      <c r="R255" s="414"/>
    </row>
    <row r="256">
      <c r="B256" s="374"/>
      <c r="C256" s="374"/>
      <c r="D256" s="412"/>
      <c r="E256" s="412"/>
      <c r="F256" s="412"/>
      <c r="G256" s="412"/>
      <c r="H256" s="412"/>
      <c r="I256" s="412"/>
      <c r="J256" s="412"/>
      <c r="K256" s="412"/>
      <c r="L256" s="413"/>
      <c r="M256" s="412"/>
      <c r="N256" s="413"/>
      <c r="O256" s="413"/>
      <c r="P256" s="412"/>
      <c r="Q256" s="414"/>
      <c r="R256" s="414"/>
    </row>
    <row r="257">
      <c r="B257" s="374"/>
      <c r="C257" s="374"/>
      <c r="D257" s="412"/>
      <c r="E257" s="412"/>
      <c r="F257" s="412"/>
      <c r="G257" s="412"/>
      <c r="H257" s="412"/>
      <c r="I257" s="412"/>
      <c r="J257" s="412"/>
      <c r="K257" s="412"/>
      <c r="L257" s="413"/>
      <c r="M257" s="412"/>
      <c r="N257" s="413"/>
      <c r="O257" s="413"/>
      <c r="P257" s="412"/>
      <c r="Q257" s="414"/>
      <c r="R257" s="414"/>
    </row>
    <row r="258">
      <c r="B258" s="374"/>
      <c r="C258" s="374"/>
      <c r="D258" s="412"/>
      <c r="E258" s="412"/>
      <c r="F258" s="412"/>
      <c r="G258" s="412"/>
      <c r="H258" s="412"/>
      <c r="I258" s="412"/>
      <c r="J258" s="412"/>
      <c r="K258" s="412"/>
      <c r="L258" s="413"/>
      <c r="M258" s="412"/>
      <c r="N258" s="413"/>
      <c r="O258" s="413"/>
      <c r="P258" s="412"/>
      <c r="Q258" s="414"/>
      <c r="R258" s="414"/>
    </row>
    <row r="259">
      <c r="B259" s="374"/>
      <c r="C259" s="374"/>
      <c r="D259" s="412"/>
      <c r="E259" s="412"/>
      <c r="F259" s="412"/>
      <c r="G259" s="412"/>
      <c r="H259" s="412"/>
      <c r="I259" s="412"/>
      <c r="J259" s="412"/>
      <c r="K259" s="412"/>
      <c r="L259" s="413"/>
      <c r="M259" s="412"/>
      <c r="N259" s="413"/>
      <c r="O259" s="413"/>
      <c r="P259" s="412"/>
      <c r="Q259" s="414"/>
      <c r="R259" s="414"/>
    </row>
    <row r="260">
      <c r="B260" s="374"/>
      <c r="C260" s="374"/>
      <c r="D260" s="412"/>
      <c r="E260" s="412"/>
      <c r="F260" s="412"/>
      <c r="G260" s="412"/>
      <c r="H260" s="412"/>
      <c r="I260" s="412"/>
      <c r="J260" s="412"/>
      <c r="K260" s="412"/>
      <c r="L260" s="413"/>
      <c r="M260" s="412"/>
      <c r="N260" s="413"/>
      <c r="O260" s="413"/>
      <c r="P260" s="412"/>
      <c r="Q260" s="414"/>
      <c r="R260" s="414"/>
    </row>
    <row r="261">
      <c r="B261" s="374"/>
      <c r="C261" s="374"/>
      <c r="D261" s="412"/>
      <c r="E261" s="412"/>
      <c r="F261" s="412"/>
      <c r="G261" s="412"/>
      <c r="H261" s="412"/>
      <c r="I261" s="412"/>
      <c r="J261" s="412"/>
      <c r="K261" s="412"/>
      <c r="L261" s="413"/>
      <c r="M261" s="412"/>
      <c r="N261" s="413"/>
      <c r="O261" s="413"/>
      <c r="P261" s="412"/>
      <c r="Q261" s="414"/>
      <c r="R261" s="414"/>
    </row>
    <row r="262">
      <c r="B262" s="374"/>
      <c r="C262" s="374"/>
      <c r="D262" s="412"/>
      <c r="E262" s="412"/>
      <c r="F262" s="412"/>
      <c r="G262" s="412"/>
      <c r="H262" s="412"/>
      <c r="I262" s="412"/>
      <c r="J262" s="412"/>
      <c r="K262" s="412"/>
      <c r="L262" s="413"/>
      <c r="M262" s="412"/>
      <c r="N262" s="413"/>
      <c r="O262" s="413"/>
      <c r="P262" s="412"/>
      <c r="Q262" s="414"/>
      <c r="R262" s="414"/>
    </row>
    <row r="263">
      <c r="B263" s="374"/>
      <c r="C263" s="374"/>
      <c r="D263" s="412"/>
      <c r="E263" s="412"/>
      <c r="F263" s="412"/>
      <c r="G263" s="412"/>
      <c r="H263" s="412"/>
      <c r="I263" s="412"/>
      <c r="J263" s="412"/>
      <c r="K263" s="412"/>
      <c r="L263" s="413"/>
      <c r="M263" s="412"/>
      <c r="N263" s="413"/>
      <c r="O263" s="413"/>
      <c r="P263" s="412"/>
      <c r="Q263" s="414"/>
      <c r="R263" s="414"/>
    </row>
    <row r="264">
      <c r="B264" s="374"/>
      <c r="C264" s="374"/>
      <c r="D264" s="412"/>
      <c r="E264" s="412"/>
      <c r="F264" s="412"/>
      <c r="G264" s="412"/>
      <c r="H264" s="412"/>
      <c r="I264" s="412"/>
      <c r="J264" s="412"/>
      <c r="K264" s="412"/>
      <c r="L264" s="413"/>
      <c r="M264" s="412"/>
      <c r="N264" s="413"/>
      <c r="O264" s="413"/>
      <c r="P264" s="412"/>
      <c r="Q264" s="414"/>
      <c r="R264" s="414"/>
    </row>
    <row r="265">
      <c r="B265" s="374"/>
      <c r="C265" s="374"/>
      <c r="D265" s="412"/>
      <c r="E265" s="412"/>
      <c r="F265" s="412"/>
      <c r="G265" s="412"/>
      <c r="H265" s="412"/>
      <c r="I265" s="412"/>
      <c r="J265" s="412"/>
      <c r="K265" s="412"/>
      <c r="L265" s="413"/>
      <c r="M265" s="412"/>
      <c r="N265" s="413"/>
      <c r="O265" s="413"/>
      <c r="P265" s="412"/>
      <c r="Q265" s="414"/>
      <c r="R265" s="414"/>
    </row>
    <row r="266">
      <c r="B266" s="374"/>
      <c r="C266" s="374"/>
      <c r="D266" s="412"/>
      <c r="E266" s="412"/>
      <c r="F266" s="412"/>
      <c r="G266" s="412"/>
      <c r="H266" s="412"/>
      <c r="I266" s="412"/>
      <c r="J266" s="412"/>
      <c r="K266" s="412"/>
      <c r="L266" s="413"/>
      <c r="M266" s="412"/>
      <c r="N266" s="413"/>
      <c r="O266" s="413"/>
      <c r="P266" s="412"/>
      <c r="Q266" s="414"/>
      <c r="R266" s="414"/>
    </row>
    <row r="267">
      <c r="B267" s="374"/>
      <c r="C267" s="374"/>
      <c r="D267" s="412"/>
      <c r="E267" s="412"/>
      <c r="F267" s="412"/>
      <c r="G267" s="412"/>
      <c r="H267" s="412"/>
      <c r="I267" s="412"/>
      <c r="J267" s="412"/>
      <c r="K267" s="412"/>
      <c r="L267" s="413"/>
      <c r="M267" s="412"/>
      <c r="N267" s="413"/>
      <c r="O267" s="413"/>
      <c r="P267" s="412"/>
      <c r="Q267" s="414"/>
      <c r="R267" s="414"/>
    </row>
    <row r="268">
      <c r="B268" s="374"/>
      <c r="C268" s="374"/>
      <c r="D268" s="412"/>
      <c r="E268" s="412"/>
      <c r="F268" s="412"/>
      <c r="G268" s="412"/>
      <c r="H268" s="412"/>
      <c r="I268" s="412"/>
      <c r="J268" s="412"/>
      <c r="K268" s="412"/>
      <c r="L268" s="413"/>
      <c r="M268" s="412"/>
      <c r="N268" s="413"/>
      <c r="O268" s="413"/>
      <c r="P268" s="412"/>
      <c r="Q268" s="414"/>
      <c r="R268" s="414"/>
    </row>
    <row r="269">
      <c r="B269" s="374"/>
      <c r="C269" s="374"/>
      <c r="D269" s="412"/>
      <c r="E269" s="412"/>
      <c r="F269" s="412"/>
      <c r="G269" s="412"/>
      <c r="H269" s="412"/>
      <c r="I269" s="412"/>
      <c r="J269" s="412"/>
      <c r="K269" s="412"/>
      <c r="L269" s="413"/>
      <c r="M269" s="412"/>
      <c r="N269" s="413"/>
      <c r="O269" s="413"/>
      <c r="P269" s="412"/>
      <c r="Q269" s="414"/>
      <c r="R269" s="414"/>
    </row>
    <row r="270">
      <c r="B270" s="374"/>
      <c r="C270" s="374"/>
      <c r="D270" s="412"/>
      <c r="E270" s="412"/>
      <c r="F270" s="412"/>
      <c r="G270" s="412"/>
      <c r="H270" s="412"/>
      <c r="I270" s="412"/>
      <c r="J270" s="412"/>
      <c r="K270" s="412"/>
      <c r="L270" s="413"/>
      <c r="M270" s="412"/>
      <c r="N270" s="413"/>
      <c r="O270" s="413"/>
      <c r="P270" s="412"/>
      <c r="Q270" s="414"/>
      <c r="R270" s="414"/>
    </row>
    <row r="271">
      <c r="B271" s="374"/>
      <c r="C271" s="374"/>
      <c r="D271" s="412"/>
      <c r="E271" s="412"/>
      <c r="F271" s="412"/>
      <c r="G271" s="412"/>
      <c r="H271" s="412"/>
      <c r="I271" s="412"/>
      <c r="J271" s="412"/>
      <c r="K271" s="412"/>
      <c r="L271" s="413"/>
      <c r="M271" s="412"/>
      <c r="N271" s="413"/>
      <c r="O271" s="413"/>
      <c r="P271" s="412"/>
      <c r="Q271" s="414"/>
      <c r="R271" s="414"/>
    </row>
    <row r="272">
      <c r="B272" s="374"/>
      <c r="C272" s="374"/>
      <c r="D272" s="412"/>
      <c r="E272" s="412"/>
      <c r="F272" s="412"/>
      <c r="G272" s="412"/>
      <c r="H272" s="412"/>
      <c r="I272" s="412"/>
      <c r="J272" s="412"/>
      <c r="K272" s="412"/>
      <c r="L272" s="413"/>
      <c r="M272" s="412"/>
      <c r="N272" s="413"/>
      <c r="O272" s="413"/>
      <c r="P272" s="412"/>
      <c r="Q272" s="414"/>
      <c r="R272" s="414"/>
    </row>
    <row r="273">
      <c r="B273" s="374"/>
      <c r="C273" s="374"/>
      <c r="D273" s="412"/>
      <c r="E273" s="412"/>
      <c r="F273" s="412"/>
      <c r="G273" s="412"/>
      <c r="H273" s="412"/>
      <c r="I273" s="412"/>
      <c r="J273" s="412"/>
      <c r="K273" s="412"/>
      <c r="L273" s="413"/>
      <c r="M273" s="412"/>
      <c r="N273" s="413"/>
      <c r="O273" s="413"/>
      <c r="P273" s="412"/>
      <c r="Q273" s="414"/>
      <c r="R273" s="414"/>
    </row>
    <row r="274">
      <c r="B274" s="374"/>
      <c r="C274" s="374"/>
      <c r="D274" s="412"/>
      <c r="E274" s="412"/>
      <c r="F274" s="412"/>
      <c r="G274" s="412"/>
      <c r="H274" s="412"/>
      <c r="I274" s="412"/>
      <c r="J274" s="412"/>
      <c r="K274" s="412"/>
      <c r="L274" s="413"/>
      <c r="M274" s="412"/>
      <c r="N274" s="413"/>
      <c r="O274" s="413"/>
      <c r="P274" s="412"/>
      <c r="Q274" s="414"/>
      <c r="R274" s="414"/>
    </row>
    <row r="275">
      <c r="B275" s="374"/>
      <c r="C275" s="374"/>
      <c r="D275" s="412"/>
      <c r="E275" s="412"/>
      <c r="F275" s="412"/>
      <c r="G275" s="412"/>
      <c r="H275" s="412"/>
      <c r="I275" s="412"/>
      <c r="J275" s="412"/>
      <c r="K275" s="412"/>
      <c r="L275" s="413"/>
      <c r="M275" s="412"/>
      <c r="N275" s="413"/>
      <c r="O275" s="413"/>
      <c r="P275" s="412"/>
      <c r="Q275" s="414"/>
      <c r="R275" s="414"/>
    </row>
    <row r="276">
      <c r="B276" s="374"/>
      <c r="C276" s="374"/>
      <c r="D276" s="412"/>
      <c r="E276" s="412"/>
      <c r="F276" s="412"/>
      <c r="G276" s="412"/>
      <c r="H276" s="412"/>
      <c r="I276" s="412"/>
      <c r="J276" s="412"/>
      <c r="K276" s="412"/>
      <c r="L276" s="413"/>
      <c r="M276" s="412"/>
      <c r="N276" s="413"/>
      <c r="O276" s="413"/>
      <c r="P276" s="412"/>
      <c r="Q276" s="414"/>
      <c r="R276" s="414"/>
    </row>
    <row r="277">
      <c r="B277" s="374"/>
      <c r="C277" s="374"/>
      <c r="D277" s="412"/>
      <c r="E277" s="412"/>
      <c r="F277" s="412"/>
      <c r="G277" s="412"/>
      <c r="H277" s="412"/>
      <c r="I277" s="412"/>
      <c r="J277" s="412"/>
      <c r="K277" s="412"/>
      <c r="L277" s="413"/>
      <c r="M277" s="412"/>
      <c r="N277" s="413"/>
      <c r="O277" s="413"/>
      <c r="P277" s="412"/>
      <c r="Q277" s="414"/>
      <c r="R277" s="414"/>
    </row>
    <row r="278">
      <c r="B278" s="374"/>
      <c r="C278" s="374"/>
      <c r="D278" s="412"/>
      <c r="E278" s="412"/>
      <c r="F278" s="412"/>
      <c r="G278" s="412"/>
      <c r="H278" s="412"/>
      <c r="I278" s="412"/>
      <c r="J278" s="412"/>
      <c r="K278" s="412"/>
      <c r="L278" s="413"/>
      <c r="M278" s="412"/>
      <c r="N278" s="413"/>
      <c r="O278" s="413"/>
      <c r="P278" s="412"/>
      <c r="Q278" s="414"/>
      <c r="R278" s="414"/>
    </row>
    <row r="279">
      <c r="B279" s="374"/>
      <c r="C279" s="374"/>
      <c r="D279" s="412"/>
      <c r="E279" s="412"/>
      <c r="F279" s="412"/>
      <c r="G279" s="412"/>
      <c r="H279" s="412"/>
      <c r="I279" s="412"/>
      <c r="J279" s="412"/>
      <c r="K279" s="412"/>
      <c r="L279" s="413"/>
      <c r="M279" s="412"/>
      <c r="N279" s="413"/>
      <c r="O279" s="413"/>
      <c r="P279" s="412"/>
      <c r="Q279" s="414"/>
      <c r="R279" s="414"/>
    </row>
    <row r="280">
      <c r="B280" s="374"/>
      <c r="C280" s="374"/>
      <c r="D280" s="412"/>
      <c r="E280" s="412"/>
      <c r="F280" s="412"/>
      <c r="G280" s="412"/>
      <c r="H280" s="412"/>
      <c r="I280" s="412"/>
      <c r="J280" s="412"/>
      <c r="K280" s="412"/>
      <c r="L280" s="413"/>
      <c r="M280" s="412"/>
      <c r="N280" s="413"/>
      <c r="O280" s="413"/>
      <c r="P280" s="412"/>
      <c r="Q280" s="414"/>
      <c r="R280" s="414"/>
    </row>
    <row r="281">
      <c r="B281" s="374"/>
      <c r="C281" s="374"/>
      <c r="D281" s="412"/>
      <c r="E281" s="412"/>
      <c r="F281" s="412"/>
      <c r="G281" s="412"/>
      <c r="H281" s="412"/>
      <c r="I281" s="412"/>
      <c r="J281" s="412"/>
      <c r="K281" s="412"/>
      <c r="L281" s="413"/>
      <c r="M281" s="412"/>
      <c r="N281" s="413"/>
      <c r="O281" s="413"/>
      <c r="P281" s="412"/>
      <c r="Q281" s="414"/>
      <c r="R281" s="414"/>
    </row>
    <row r="282">
      <c r="B282" s="374"/>
      <c r="C282" s="374"/>
      <c r="D282" s="412"/>
      <c r="E282" s="412"/>
      <c r="F282" s="412"/>
      <c r="G282" s="412"/>
      <c r="H282" s="412"/>
      <c r="I282" s="412"/>
      <c r="J282" s="412"/>
      <c r="K282" s="412"/>
      <c r="L282" s="413"/>
      <c r="M282" s="412"/>
      <c r="N282" s="413"/>
      <c r="O282" s="413"/>
      <c r="P282" s="412"/>
      <c r="Q282" s="414"/>
      <c r="R282" s="414"/>
    </row>
    <row r="283">
      <c r="B283" s="374"/>
      <c r="C283" s="374"/>
      <c r="D283" s="412"/>
      <c r="E283" s="412"/>
      <c r="F283" s="412"/>
      <c r="G283" s="412"/>
      <c r="H283" s="412"/>
      <c r="I283" s="412"/>
      <c r="J283" s="412"/>
      <c r="K283" s="412"/>
      <c r="L283" s="413"/>
      <c r="M283" s="412"/>
      <c r="N283" s="413"/>
      <c r="O283" s="413"/>
      <c r="P283" s="412"/>
      <c r="Q283" s="414"/>
      <c r="R283" s="414"/>
    </row>
    <row r="284">
      <c r="B284" s="374"/>
      <c r="C284" s="374"/>
      <c r="D284" s="412"/>
      <c r="E284" s="412"/>
      <c r="F284" s="412"/>
      <c r="G284" s="412"/>
      <c r="H284" s="412"/>
      <c r="I284" s="412"/>
      <c r="J284" s="412"/>
      <c r="K284" s="412"/>
      <c r="L284" s="413"/>
      <c r="M284" s="412"/>
      <c r="N284" s="413"/>
      <c r="O284" s="413"/>
      <c r="P284" s="412"/>
      <c r="Q284" s="414"/>
      <c r="R284" s="414"/>
    </row>
    <row r="285">
      <c r="B285" s="374"/>
      <c r="C285" s="374"/>
      <c r="D285" s="412"/>
      <c r="E285" s="412"/>
      <c r="F285" s="412"/>
      <c r="G285" s="412"/>
      <c r="H285" s="412"/>
      <c r="I285" s="412"/>
      <c r="J285" s="412"/>
      <c r="K285" s="412"/>
      <c r="L285" s="413"/>
      <c r="M285" s="412"/>
      <c r="N285" s="413"/>
      <c r="O285" s="413"/>
      <c r="P285" s="412"/>
      <c r="Q285" s="414"/>
      <c r="R285" s="414"/>
    </row>
    <row r="286">
      <c r="B286" s="374"/>
      <c r="C286" s="374"/>
      <c r="D286" s="412"/>
      <c r="E286" s="412"/>
      <c r="F286" s="412"/>
      <c r="G286" s="412"/>
      <c r="H286" s="412"/>
      <c r="I286" s="412"/>
      <c r="J286" s="412"/>
      <c r="K286" s="412"/>
      <c r="L286" s="413"/>
      <c r="M286" s="412"/>
      <c r="N286" s="413"/>
      <c r="O286" s="413"/>
      <c r="P286" s="412"/>
      <c r="Q286" s="414"/>
      <c r="R286" s="414"/>
    </row>
    <row r="287">
      <c r="B287" s="374"/>
      <c r="C287" s="374"/>
      <c r="D287" s="412"/>
      <c r="E287" s="412"/>
      <c r="F287" s="412"/>
      <c r="G287" s="412"/>
      <c r="H287" s="412"/>
      <c r="I287" s="412"/>
      <c r="J287" s="412"/>
      <c r="K287" s="412"/>
      <c r="L287" s="413"/>
      <c r="M287" s="412"/>
      <c r="N287" s="413"/>
      <c r="O287" s="413"/>
      <c r="P287" s="412"/>
      <c r="Q287" s="414"/>
      <c r="R287" s="414"/>
    </row>
    <row r="288">
      <c r="B288" s="374"/>
      <c r="C288" s="374"/>
      <c r="D288" s="412"/>
      <c r="E288" s="412"/>
      <c r="F288" s="412"/>
      <c r="G288" s="412"/>
      <c r="H288" s="412"/>
      <c r="I288" s="412"/>
      <c r="J288" s="412"/>
      <c r="K288" s="412"/>
      <c r="L288" s="413"/>
      <c r="M288" s="412"/>
      <c r="N288" s="413"/>
      <c r="O288" s="413"/>
      <c r="P288" s="412"/>
      <c r="Q288" s="414"/>
      <c r="R288" s="414"/>
    </row>
    <row r="289">
      <c r="B289" s="374"/>
      <c r="C289" s="374"/>
      <c r="D289" s="412"/>
      <c r="E289" s="412"/>
      <c r="F289" s="412"/>
      <c r="G289" s="412"/>
      <c r="H289" s="412"/>
      <c r="I289" s="412"/>
      <c r="J289" s="412"/>
      <c r="K289" s="412"/>
      <c r="L289" s="413"/>
      <c r="M289" s="412"/>
      <c r="N289" s="413"/>
      <c r="O289" s="413"/>
      <c r="P289" s="412"/>
      <c r="Q289" s="414"/>
      <c r="R289" s="414"/>
    </row>
    <row r="290">
      <c r="B290" s="374"/>
      <c r="C290" s="374"/>
      <c r="D290" s="412"/>
      <c r="E290" s="412"/>
      <c r="F290" s="412"/>
      <c r="G290" s="412"/>
      <c r="H290" s="412"/>
      <c r="I290" s="412"/>
      <c r="J290" s="412"/>
      <c r="K290" s="412"/>
      <c r="L290" s="413"/>
      <c r="M290" s="412"/>
      <c r="N290" s="413"/>
      <c r="O290" s="413"/>
      <c r="P290" s="412"/>
      <c r="Q290" s="414"/>
      <c r="R290" s="414"/>
    </row>
    <row r="291">
      <c r="B291" s="374"/>
      <c r="C291" s="374"/>
      <c r="D291" s="412"/>
      <c r="E291" s="412"/>
      <c r="F291" s="412"/>
      <c r="G291" s="412"/>
      <c r="H291" s="412"/>
      <c r="I291" s="412"/>
      <c r="J291" s="412"/>
      <c r="K291" s="412"/>
      <c r="L291" s="413"/>
      <c r="M291" s="412"/>
      <c r="N291" s="413"/>
      <c r="O291" s="413"/>
      <c r="P291" s="412"/>
      <c r="Q291" s="414"/>
      <c r="R291" s="414"/>
    </row>
    <row r="292">
      <c r="B292" s="374"/>
      <c r="C292" s="374"/>
      <c r="D292" s="412"/>
      <c r="E292" s="412"/>
      <c r="F292" s="412"/>
      <c r="G292" s="412"/>
      <c r="H292" s="412"/>
      <c r="I292" s="412"/>
      <c r="J292" s="412"/>
      <c r="K292" s="412"/>
      <c r="L292" s="413"/>
      <c r="M292" s="412"/>
      <c r="N292" s="413"/>
      <c r="O292" s="413"/>
      <c r="P292" s="412"/>
      <c r="Q292" s="414"/>
      <c r="R292" s="414"/>
    </row>
    <row r="293">
      <c r="B293" s="374"/>
      <c r="C293" s="374"/>
      <c r="D293" s="412"/>
      <c r="E293" s="412"/>
      <c r="F293" s="412"/>
      <c r="G293" s="412"/>
      <c r="H293" s="412"/>
      <c r="I293" s="412"/>
      <c r="J293" s="412"/>
      <c r="K293" s="412"/>
      <c r="L293" s="413"/>
      <c r="M293" s="412"/>
      <c r="N293" s="413"/>
      <c r="O293" s="413"/>
      <c r="P293" s="412"/>
      <c r="Q293" s="414"/>
      <c r="R293" s="414"/>
    </row>
    <row r="294">
      <c r="B294" s="374"/>
      <c r="C294" s="374"/>
      <c r="D294" s="412"/>
      <c r="E294" s="412"/>
      <c r="F294" s="412"/>
      <c r="G294" s="412"/>
      <c r="H294" s="412"/>
      <c r="I294" s="412"/>
      <c r="J294" s="412"/>
      <c r="K294" s="412"/>
      <c r="L294" s="413"/>
      <c r="M294" s="412"/>
      <c r="N294" s="413"/>
      <c r="O294" s="413"/>
      <c r="P294" s="412"/>
      <c r="Q294" s="414"/>
      <c r="R294" s="414"/>
    </row>
    <row r="295">
      <c r="B295" s="374"/>
      <c r="C295" s="374"/>
      <c r="D295" s="412"/>
      <c r="E295" s="412"/>
      <c r="F295" s="412"/>
      <c r="G295" s="412"/>
      <c r="H295" s="412"/>
      <c r="I295" s="412"/>
      <c r="J295" s="412"/>
      <c r="K295" s="412"/>
      <c r="L295" s="413"/>
      <c r="M295" s="412"/>
      <c r="N295" s="413"/>
      <c r="O295" s="413"/>
      <c r="P295" s="412"/>
      <c r="Q295" s="414"/>
      <c r="R295" s="414"/>
    </row>
    <row r="296">
      <c r="B296" s="374"/>
      <c r="C296" s="374"/>
      <c r="D296" s="412"/>
      <c r="E296" s="412"/>
      <c r="F296" s="412"/>
      <c r="G296" s="412"/>
      <c r="H296" s="412"/>
      <c r="I296" s="412"/>
      <c r="J296" s="412"/>
      <c r="K296" s="412"/>
      <c r="L296" s="413"/>
      <c r="M296" s="412"/>
      <c r="N296" s="413"/>
      <c r="O296" s="413"/>
      <c r="P296" s="412"/>
      <c r="Q296" s="414"/>
      <c r="R296" s="414"/>
    </row>
    <row r="297">
      <c r="B297" s="374"/>
      <c r="C297" s="374"/>
      <c r="D297" s="412"/>
      <c r="E297" s="412"/>
      <c r="F297" s="412"/>
      <c r="G297" s="412"/>
      <c r="H297" s="412"/>
      <c r="I297" s="412"/>
      <c r="J297" s="412"/>
      <c r="K297" s="412"/>
      <c r="L297" s="413"/>
      <c r="M297" s="412"/>
      <c r="N297" s="413"/>
      <c r="O297" s="413"/>
      <c r="P297" s="412"/>
      <c r="Q297" s="414"/>
      <c r="R297" s="414"/>
    </row>
    <row r="298">
      <c r="B298" s="374"/>
      <c r="C298" s="374"/>
      <c r="D298" s="412"/>
      <c r="E298" s="412"/>
      <c r="F298" s="412"/>
      <c r="G298" s="412"/>
      <c r="H298" s="412"/>
      <c r="I298" s="412"/>
      <c r="J298" s="412"/>
      <c r="K298" s="412"/>
      <c r="L298" s="413"/>
      <c r="M298" s="412"/>
      <c r="N298" s="413"/>
      <c r="O298" s="413"/>
      <c r="P298" s="412"/>
      <c r="Q298" s="414"/>
      <c r="R298" s="414"/>
    </row>
    <row r="299">
      <c r="B299" s="374"/>
      <c r="C299" s="374"/>
      <c r="D299" s="412"/>
      <c r="E299" s="412"/>
      <c r="F299" s="412"/>
      <c r="G299" s="412"/>
      <c r="H299" s="412"/>
      <c r="I299" s="412"/>
      <c r="J299" s="412"/>
      <c r="K299" s="412"/>
      <c r="L299" s="413"/>
      <c r="M299" s="412"/>
      <c r="N299" s="413"/>
      <c r="O299" s="413"/>
      <c r="P299" s="412"/>
      <c r="Q299" s="414"/>
      <c r="R299" s="414"/>
    </row>
    <row r="300">
      <c r="B300" s="374"/>
      <c r="C300" s="374"/>
      <c r="D300" s="412"/>
      <c r="E300" s="412"/>
      <c r="F300" s="412"/>
      <c r="G300" s="412"/>
      <c r="H300" s="412"/>
      <c r="I300" s="412"/>
      <c r="J300" s="412"/>
      <c r="K300" s="412"/>
      <c r="L300" s="413"/>
      <c r="M300" s="412"/>
      <c r="N300" s="413"/>
      <c r="O300" s="413"/>
      <c r="P300" s="412"/>
      <c r="Q300" s="414"/>
      <c r="R300" s="414"/>
    </row>
    <row r="301">
      <c r="B301" s="374"/>
      <c r="C301" s="374"/>
      <c r="D301" s="412"/>
      <c r="E301" s="412"/>
      <c r="F301" s="412"/>
      <c r="G301" s="412"/>
      <c r="H301" s="412"/>
      <c r="I301" s="412"/>
      <c r="J301" s="412"/>
      <c r="K301" s="412"/>
      <c r="L301" s="413"/>
      <c r="M301" s="412"/>
      <c r="N301" s="413"/>
      <c r="O301" s="413"/>
      <c r="P301" s="412"/>
      <c r="Q301" s="414"/>
      <c r="R301" s="414"/>
    </row>
    <row r="302">
      <c r="B302" s="374"/>
      <c r="C302" s="374"/>
      <c r="D302" s="412"/>
      <c r="E302" s="412"/>
      <c r="F302" s="412"/>
      <c r="G302" s="412"/>
      <c r="H302" s="412"/>
      <c r="I302" s="412"/>
      <c r="J302" s="412"/>
      <c r="K302" s="412"/>
      <c r="L302" s="413"/>
      <c r="M302" s="412"/>
      <c r="N302" s="413"/>
      <c r="O302" s="413"/>
      <c r="P302" s="412"/>
      <c r="Q302" s="414"/>
      <c r="R302" s="414"/>
    </row>
    <row r="303">
      <c r="B303" s="374"/>
      <c r="C303" s="374"/>
      <c r="D303" s="412"/>
      <c r="E303" s="412"/>
      <c r="F303" s="412"/>
      <c r="G303" s="412"/>
      <c r="H303" s="412"/>
      <c r="I303" s="412"/>
      <c r="J303" s="412"/>
      <c r="K303" s="412"/>
      <c r="L303" s="413"/>
      <c r="M303" s="412"/>
      <c r="N303" s="413"/>
      <c r="O303" s="413"/>
      <c r="P303" s="412"/>
      <c r="Q303" s="414"/>
      <c r="R303" s="414"/>
    </row>
    <row r="304">
      <c r="B304" s="374"/>
      <c r="C304" s="374"/>
      <c r="D304" s="412"/>
      <c r="E304" s="412"/>
      <c r="F304" s="412"/>
      <c r="G304" s="412"/>
      <c r="H304" s="412"/>
      <c r="I304" s="412"/>
      <c r="J304" s="412"/>
      <c r="K304" s="412"/>
      <c r="L304" s="413"/>
      <c r="M304" s="412"/>
      <c r="N304" s="413"/>
      <c r="O304" s="413"/>
      <c r="P304" s="412"/>
      <c r="Q304" s="414"/>
      <c r="R304" s="414"/>
    </row>
    <row r="305">
      <c r="B305" s="374"/>
      <c r="C305" s="374"/>
      <c r="D305" s="412"/>
      <c r="E305" s="412"/>
      <c r="F305" s="412"/>
      <c r="G305" s="412"/>
      <c r="H305" s="412"/>
      <c r="I305" s="412"/>
      <c r="J305" s="412"/>
      <c r="K305" s="412"/>
      <c r="L305" s="413"/>
      <c r="M305" s="412"/>
      <c r="N305" s="413"/>
      <c r="O305" s="413"/>
      <c r="P305" s="412"/>
      <c r="Q305" s="414"/>
      <c r="R305" s="414"/>
    </row>
    <row r="306">
      <c r="B306" s="374"/>
      <c r="C306" s="374"/>
      <c r="D306" s="412"/>
      <c r="E306" s="412"/>
      <c r="F306" s="412"/>
      <c r="G306" s="412"/>
      <c r="H306" s="412"/>
      <c r="I306" s="412"/>
      <c r="J306" s="412"/>
      <c r="K306" s="412"/>
      <c r="L306" s="413"/>
      <c r="M306" s="412"/>
      <c r="N306" s="413"/>
      <c r="O306" s="413"/>
      <c r="P306" s="412"/>
      <c r="Q306" s="414"/>
      <c r="R306" s="414"/>
    </row>
    <row r="307">
      <c r="B307" s="374"/>
      <c r="C307" s="374"/>
      <c r="D307" s="412"/>
      <c r="E307" s="412"/>
      <c r="F307" s="412"/>
      <c r="G307" s="412"/>
      <c r="H307" s="412"/>
      <c r="I307" s="412"/>
      <c r="J307" s="412"/>
      <c r="K307" s="412"/>
      <c r="L307" s="413"/>
      <c r="M307" s="412"/>
      <c r="N307" s="413"/>
      <c r="O307" s="413"/>
      <c r="P307" s="412"/>
      <c r="Q307" s="414"/>
      <c r="R307" s="414"/>
    </row>
    <row r="308">
      <c r="B308" s="374"/>
      <c r="C308" s="374"/>
      <c r="D308" s="412"/>
      <c r="E308" s="412"/>
      <c r="F308" s="412"/>
      <c r="G308" s="412"/>
      <c r="H308" s="412"/>
      <c r="I308" s="412"/>
      <c r="J308" s="412"/>
      <c r="K308" s="412"/>
      <c r="L308" s="413"/>
      <c r="M308" s="412"/>
      <c r="N308" s="413"/>
      <c r="O308" s="413"/>
      <c r="P308" s="412"/>
      <c r="Q308" s="414"/>
      <c r="R308" s="414"/>
    </row>
    <row r="309">
      <c r="B309" s="374"/>
      <c r="C309" s="374"/>
      <c r="D309" s="412"/>
      <c r="E309" s="412"/>
      <c r="F309" s="412"/>
      <c r="G309" s="412"/>
      <c r="H309" s="412"/>
      <c r="I309" s="412"/>
      <c r="J309" s="412"/>
      <c r="K309" s="412"/>
      <c r="L309" s="413"/>
      <c r="M309" s="412"/>
      <c r="N309" s="413"/>
      <c r="O309" s="413"/>
      <c r="P309" s="412"/>
      <c r="Q309" s="414"/>
      <c r="R309" s="414"/>
    </row>
    <row r="310">
      <c r="B310" s="374"/>
      <c r="C310" s="374"/>
      <c r="D310" s="412"/>
      <c r="E310" s="412"/>
      <c r="F310" s="412"/>
      <c r="G310" s="412"/>
      <c r="H310" s="412"/>
      <c r="I310" s="412"/>
      <c r="J310" s="412"/>
      <c r="K310" s="412"/>
      <c r="L310" s="413"/>
      <c r="M310" s="412"/>
      <c r="N310" s="413"/>
      <c r="O310" s="413"/>
      <c r="P310" s="412"/>
      <c r="Q310" s="414"/>
      <c r="R310" s="414"/>
    </row>
    <row r="311">
      <c r="B311" s="374"/>
      <c r="C311" s="374"/>
      <c r="D311" s="412"/>
      <c r="E311" s="412"/>
      <c r="F311" s="412"/>
      <c r="G311" s="412"/>
      <c r="H311" s="412"/>
      <c r="I311" s="412"/>
      <c r="J311" s="412"/>
      <c r="K311" s="412"/>
      <c r="L311" s="413"/>
      <c r="M311" s="412"/>
      <c r="N311" s="413"/>
      <c r="O311" s="413"/>
      <c r="P311" s="412"/>
      <c r="Q311" s="414"/>
      <c r="R311" s="414"/>
    </row>
    <row r="312">
      <c r="B312" s="374"/>
      <c r="C312" s="374"/>
      <c r="D312" s="412"/>
      <c r="E312" s="412"/>
      <c r="F312" s="412"/>
      <c r="G312" s="412"/>
      <c r="H312" s="412"/>
      <c r="I312" s="412"/>
      <c r="J312" s="412"/>
      <c r="K312" s="412"/>
      <c r="L312" s="413"/>
      <c r="M312" s="412"/>
      <c r="N312" s="413"/>
      <c r="O312" s="413"/>
      <c r="P312" s="412"/>
      <c r="Q312" s="414"/>
      <c r="R312" s="414"/>
    </row>
    <row r="313">
      <c r="B313" s="374"/>
      <c r="C313" s="374"/>
      <c r="D313" s="412"/>
      <c r="E313" s="412"/>
      <c r="F313" s="412"/>
      <c r="G313" s="412"/>
      <c r="H313" s="412"/>
      <c r="I313" s="412"/>
      <c r="J313" s="412"/>
      <c r="K313" s="412"/>
      <c r="L313" s="413"/>
      <c r="M313" s="412"/>
      <c r="N313" s="413"/>
      <c r="O313" s="413"/>
      <c r="P313" s="412"/>
      <c r="Q313" s="414"/>
      <c r="R313" s="414"/>
    </row>
    <row r="314">
      <c r="B314" s="374"/>
      <c r="C314" s="374"/>
      <c r="D314" s="412"/>
      <c r="E314" s="412"/>
      <c r="F314" s="412"/>
      <c r="G314" s="412"/>
      <c r="H314" s="412"/>
      <c r="I314" s="412"/>
      <c r="J314" s="412"/>
      <c r="K314" s="412"/>
      <c r="L314" s="413"/>
      <c r="M314" s="412"/>
      <c r="N314" s="413"/>
      <c r="O314" s="413"/>
      <c r="P314" s="412"/>
      <c r="Q314" s="414"/>
      <c r="R314" s="414"/>
    </row>
    <row r="315">
      <c r="B315" s="374"/>
      <c r="C315" s="374"/>
      <c r="D315" s="412"/>
      <c r="E315" s="412"/>
      <c r="F315" s="412"/>
      <c r="G315" s="412"/>
      <c r="H315" s="412"/>
      <c r="I315" s="412"/>
      <c r="J315" s="412"/>
      <c r="K315" s="412"/>
      <c r="L315" s="413"/>
      <c r="M315" s="412"/>
      <c r="N315" s="413"/>
      <c r="O315" s="413"/>
      <c r="P315" s="412"/>
      <c r="Q315" s="414"/>
      <c r="R315" s="414"/>
    </row>
    <row r="316">
      <c r="B316" s="374"/>
      <c r="C316" s="374"/>
      <c r="D316" s="412"/>
      <c r="E316" s="412"/>
      <c r="F316" s="412"/>
      <c r="G316" s="412"/>
      <c r="H316" s="412"/>
      <c r="I316" s="412"/>
      <c r="J316" s="412"/>
      <c r="K316" s="412"/>
      <c r="L316" s="413"/>
      <c r="M316" s="412"/>
      <c r="N316" s="413"/>
      <c r="O316" s="413"/>
      <c r="P316" s="412"/>
      <c r="Q316" s="414"/>
      <c r="R316" s="414"/>
    </row>
    <row r="317">
      <c r="B317" s="374"/>
      <c r="C317" s="374"/>
      <c r="D317" s="412"/>
      <c r="E317" s="412"/>
      <c r="F317" s="412"/>
      <c r="G317" s="412"/>
      <c r="H317" s="412"/>
      <c r="I317" s="412"/>
      <c r="J317" s="412"/>
      <c r="K317" s="412"/>
      <c r="L317" s="413"/>
      <c r="M317" s="412"/>
      <c r="N317" s="413"/>
      <c r="O317" s="413"/>
      <c r="P317" s="412"/>
      <c r="Q317" s="414"/>
      <c r="R317" s="414"/>
    </row>
    <row r="318">
      <c r="B318" s="374"/>
      <c r="C318" s="374"/>
      <c r="D318" s="412"/>
      <c r="E318" s="412"/>
      <c r="F318" s="412"/>
      <c r="G318" s="412"/>
      <c r="H318" s="412"/>
      <c r="I318" s="412"/>
      <c r="J318" s="412"/>
      <c r="K318" s="412"/>
      <c r="L318" s="413"/>
      <c r="M318" s="412"/>
      <c r="N318" s="413"/>
      <c r="O318" s="413"/>
      <c r="P318" s="412"/>
      <c r="Q318" s="414"/>
      <c r="R318" s="414"/>
    </row>
    <row r="319">
      <c r="B319" s="374"/>
      <c r="C319" s="374"/>
      <c r="D319" s="412"/>
      <c r="E319" s="412"/>
      <c r="F319" s="412"/>
      <c r="G319" s="412"/>
      <c r="H319" s="412"/>
      <c r="I319" s="412"/>
      <c r="J319" s="412"/>
      <c r="K319" s="412"/>
      <c r="L319" s="413"/>
      <c r="M319" s="412"/>
      <c r="N319" s="413"/>
      <c r="O319" s="413"/>
      <c r="P319" s="412"/>
      <c r="Q319" s="414"/>
      <c r="R319" s="414"/>
    </row>
    <row r="320">
      <c r="B320" s="374"/>
      <c r="C320" s="374"/>
      <c r="D320" s="412"/>
      <c r="E320" s="412"/>
      <c r="F320" s="412"/>
      <c r="G320" s="412"/>
      <c r="H320" s="412"/>
      <c r="I320" s="412"/>
      <c r="J320" s="412"/>
      <c r="K320" s="412"/>
      <c r="L320" s="413"/>
      <c r="M320" s="412"/>
      <c r="N320" s="413"/>
      <c r="O320" s="413"/>
      <c r="P320" s="412"/>
      <c r="Q320" s="414"/>
      <c r="R320" s="414"/>
    </row>
    <row r="321">
      <c r="B321" s="374"/>
      <c r="C321" s="374"/>
      <c r="D321" s="412"/>
      <c r="E321" s="412"/>
      <c r="F321" s="412"/>
      <c r="G321" s="412"/>
      <c r="H321" s="412"/>
      <c r="I321" s="412"/>
      <c r="J321" s="412"/>
      <c r="K321" s="412"/>
      <c r="L321" s="413"/>
      <c r="M321" s="412"/>
      <c r="N321" s="413"/>
      <c r="O321" s="413"/>
      <c r="P321" s="412"/>
      <c r="Q321" s="414"/>
      <c r="R321" s="414"/>
    </row>
    <row r="322">
      <c r="B322" s="374"/>
      <c r="C322" s="374"/>
      <c r="D322" s="412"/>
      <c r="E322" s="412"/>
      <c r="F322" s="412"/>
      <c r="G322" s="412"/>
      <c r="H322" s="412"/>
      <c r="I322" s="412"/>
      <c r="J322" s="412"/>
      <c r="K322" s="412"/>
      <c r="L322" s="413"/>
      <c r="M322" s="412"/>
      <c r="N322" s="413"/>
      <c r="O322" s="413"/>
      <c r="P322" s="412"/>
      <c r="Q322" s="414"/>
      <c r="R322" s="414"/>
    </row>
    <row r="323">
      <c r="B323" s="374"/>
      <c r="C323" s="374"/>
      <c r="D323" s="412"/>
      <c r="E323" s="412"/>
      <c r="F323" s="412"/>
      <c r="G323" s="412"/>
      <c r="H323" s="412"/>
      <c r="I323" s="412"/>
      <c r="J323" s="412"/>
      <c r="K323" s="412"/>
      <c r="L323" s="413"/>
      <c r="M323" s="412"/>
      <c r="N323" s="413"/>
      <c r="O323" s="413"/>
      <c r="P323" s="412"/>
      <c r="Q323" s="414"/>
      <c r="R323" s="414"/>
    </row>
    <row r="324">
      <c r="B324" s="374"/>
      <c r="C324" s="374"/>
      <c r="D324" s="412"/>
      <c r="E324" s="412"/>
      <c r="F324" s="412"/>
      <c r="G324" s="412"/>
      <c r="H324" s="412"/>
      <c r="I324" s="412"/>
      <c r="J324" s="412"/>
      <c r="K324" s="412"/>
      <c r="L324" s="413"/>
      <c r="M324" s="412"/>
      <c r="N324" s="413"/>
      <c r="O324" s="413"/>
      <c r="P324" s="412"/>
      <c r="Q324" s="414"/>
      <c r="R324" s="414"/>
    </row>
    <row r="325">
      <c r="B325" s="374"/>
      <c r="C325" s="374"/>
      <c r="D325" s="412"/>
      <c r="E325" s="412"/>
      <c r="F325" s="412"/>
      <c r="G325" s="412"/>
      <c r="H325" s="412"/>
      <c r="I325" s="412"/>
      <c r="J325" s="412"/>
      <c r="K325" s="412"/>
      <c r="L325" s="413"/>
      <c r="M325" s="412"/>
      <c r="N325" s="413"/>
      <c r="O325" s="413"/>
      <c r="P325" s="412"/>
      <c r="Q325" s="414"/>
      <c r="R325" s="414"/>
    </row>
    <row r="326">
      <c r="B326" s="374"/>
      <c r="C326" s="374"/>
      <c r="D326" s="412"/>
      <c r="E326" s="412"/>
      <c r="F326" s="412"/>
      <c r="G326" s="412"/>
      <c r="H326" s="412"/>
      <c r="I326" s="412"/>
      <c r="J326" s="412"/>
      <c r="K326" s="412"/>
      <c r="L326" s="413"/>
      <c r="M326" s="412"/>
      <c r="N326" s="413"/>
      <c r="O326" s="413"/>
      <c r="P326" s="412"/>
      <c r="Q326" s="414"/>
      <c r="R326" s="414"/>
    </row>
    <row r="327">
      <c r="B327" s="374"/>
      <c r="C327" s="374"/>
      <c r="D327" s="412"/>
      <c r="E327" s="412"/>
      <c r="F327" s="412"/>
      <c r="G327" s="412"/>
      <c r="H327" s="412"/>
      <c r="I327" s="412"/>
      <c r="J327" s="412"/>
      <c r="K327" s="412"/>
      <c r="L327" s="413"/>
      <c r="M327" s="412"/>
      <c r="N327" s="413"/>
      <c r="O327" s="413"/>
      <c r="P327" s="412"/>
      <c r="Q327" s="414"/>
      <c r="R327" s="414"/>
    </row>
    <row r="328">
      <c r="B328" s="374"/>
      <c r="C328" s="374"/>
      <c r="D328" s="412"/>
      <c r="E328" s="412"/>
      <c r="F328" s="412"/>
      <c r="G328" s="412"/>
      <c r="H328" s="412"/>
      <c r="I328" s="412"/>
      <c r="J328" s="412"/>
      <c r="K328" s="412"/>
      <c r="L328" s="413"/>
      <c r="M328" s="412"/>
      <c r="N328" s="413"/>
      <c r="O328" s="413"/>
      <c r="P328" s="412"/>
      <c r="Q328" s="414"/>
      <c r="R328" s="414"/>
    </row>
    <row r="329">
      <c r="B329" s="374"/>
      <c r="C329" s="374"/>
      <c r="D329" s="412"/>
      <c r="E329" s="412"/>
      <c r="F329" s="412"/>
      <c r="G329" s="412"/>
      <c r="H329" s="412"/>
      <c r="I329" s="412"/>
      <c r="J329" s="412"/>
      <c r="K329" s="412"/>
      <c r="L329" s="413"/>
      <c r="M329" s="412"/>
      <c r="N329" s="413"/>
      <c r="O329" s="413"/>
      <c r="P329" s="412"/>
      <c r="Q329" s="414"/>
      <c r="R329" s="414"/>
    </row>
    <row r="330">
      <c r="B330" s="374"/>
      <c r="C330" s="374"/>
      <c r="D330" s="412"/>
      <c r="E330" s="412"/>
      <c r="F330" s="412"/>
      <c r="G330" s="412"/>
      <c r="H330" s="412"/>
      <c r="I330" s="412"/>
      <c r="J330" s="412"/>
      <c r="K330" s="412"/>
      <c r="L330" s="413"/>
      <c r="M330" s="412"/>
      <c r="N330" s="413"/>
      <c r="O330" s="413"/>
      <c r="P330" s="412"/>
      <c r="Q330" s="414"/>
      <c r="R330" s="414"/>
    </row>
    <row r="331">
      <c r="B331" s="374"/>
      <c r="C331" s="374"/>
      <c r="D331" s="412"/>
      <c r="E331" s="412"/>
      <c r="F331" s="412"/>
      <c r="G331" s="412"/>
      <c r="H331" s="412"/>
      <c r="I331" s="412"/>
      <c r="J331" s="412"/>
      <c r="K331" s="412"/>
      <c r="L331" s="413"/>
      <c r="M331" s="412"/>
      <c r="N331" s="413"/>
      <c r="O331" s="413"/>
      <c r="P331" s="412"/>
      <c r="Q331" s="414"/>
      <c r="R331" s="414"/>
    </row>
    <row r="332">
      <c r="B332" s="374"/>
      <c r="C332" s="374"/>
      <c r="D332" s="412"/>
      <c r="E332" s="412"/>
      <c r="F332" s="412"/>
      <c r="G332" s="412"/>
      <c r="H332" s="412"/>
      <c r="I332" s="412"/>
      <c r="J332" s="412"/>
      <c r="K332" s="412"/>
      <c r="L332" s="413"/>
      <c r="M332" s="412"/>
      <c r="N332" s="413"/>
      <c r="O332" s="413"/>
      <c r="P332" s="412"/>
      <c r="Q332" s="414"/>
      <c r="R332" s="414"/>
    </row>
    <row r="333">
      <c r="B333" s="374"/>
      <c r="C333" s="374"/>
      <c r="D333" s="412"/>
      <c r="E333" s="412"/>
      <c r="F333" s="412"/>
      <c r="G333" s="412"/>
      <c r="H333" s="412"/>
      <c r="I333" s="412"/>
      <c r="J333" s="412"/>
      <c r="K333" s="412"/>
      <c r="L333" s="413"/>
      <c r="M333" s="412"/>
      <c r="N333" s="413"/>
      <c r="O333" s="413"/>
      <c r="P333" s="412"/>
      <c r="Q333" s="414"/>
      <c r="R333" s="414"/>
    </row>
    <row r="334">
      <c r="B334" s="374"/>
      <c r="C334" s="374"/>
      <c r="D334" s="412"/>
      <c r="E334" s="412"/>
      <c r="F334" s="412"/>
      <c r="G334" s="412"/>
      <c r="H334" s="412"/>
      <c r="I334" s="412"/>
      <c r="J334" s="412"/>
      <c r="K334" s="412"/>
      <c r="L334" s="413"/>
      <c r="M334" s="412"/>
      <c r="N334" s="413"/>
      <c r="O334" s="413"/>
      <c r="P334" s="412"/>
      <c r="Q334" s="414"/>
      <c r="R334" s="414"/>
    </row>
    <row r="335">
      <c r="B335" s="374"/>
      <c r="C335" s="374"/>
      <c r="D335" s="412"/>
      <c r="E335" s="412"/>
      <c r="F335" s="412"/>
      <c r="G335" s="412"/>
      <c r="H335" s="412"/>
      <c r="I335" s="412"/>
      <c r="J335" s="412"/>
      <c r="K335" s="412"/>
      <c r="L335" s="413"/>
      <c r="M335" s="412"/>
      <c r="N335" s="413"/>
      <c r="O335" s="413"/>
      <c r="P335" s="412"/>
      <c r="Q335" s="414"/>
      <c r="R335" s="414"/>
    </row>
    <row r="336">
      <c r="B336" s="374"/>
      <c r="C336" s="374"/>
      <c r="D336" s="412"/>
      <c r="E336" s="412"/>
      <c r="F336" s="412"/>
      <c r="G336" s="412"/>
      <c r="H336" s="412"/>
      <c r="I336" s="412"/>
      <c r="J336" s="412"/>
      <c r="K336" s="412"/>
      <c r="L336" s="413"/>
      <c r="M336" s="412"/>
      <c r="N336" s="413"/>
      <c r="O336" s="413"/>
      <c r="P336" s="412"/>
      <c r="Q336" s="414"/>
      <c r="R336" s="414"/>
    </row>
    <row r="337">
      <c r="B337" s="374"/>
      <c r="C337" s="374"/>
      <c r="D337" s="412"/>
      <c r="E337" s="412"/>
      <c r="F337" s="412"/>
      <c r="G337" s="412"/>
      <c r="H337" s="412"/>
      <c r="I337" s="412"/>
      <c r="J337" s="412"/>
      <c r="K337" s="412"/>
      <c r="L337" s="413"/>
      <c r="M337" s="412"/>
      <c r="N337" s="413"/>
      <c r="O337" s="413"/>
      <c r="P337" s="412"/>
      <c r="Q337" s="414"/>
      <c r="R337" s="414"/>
    </row>
    <row r="338">
      <c r="B338" s="374"/>
      <c r="C338" s="374"/>
      <c r="D338" s="412"/>
      <c r="E338" s="412"/>
      <c r="F338" s="412"/>
      <c r="G338" s="412"/>
      <c r="H338" s="412"/>
      <c r="I338" s="412"/>
      <c r="J338" s="412"/>
      <c r="K338" s="412"/>
      <c r="L338" s="413"/>
      <c r="M338" s="412"/>
      <c r="N338" s="413"/>
      <c r="O338" s="413"/>
      <c r="P338" s="412"/>
      <c r="Q338" s="414"/>
      <c r="R338" s="414"/>
    </row>
    <row r="339">
      <c r="B339" s="374"/>
      <c r="C339" s="374"/>
      <c r="D339" s="412"/>
      <c r="E339" s="412"/>
      <c r="F339" s="412"/>
      <c r="G339" s="412"/>
      <c r="H339" s="412"/>
      <c r="I339" s="412"/>
      <c r="J339" s="412"/>
      <c r="K339" s="412"/>
      <c r="L339" s="413"/>
      <c r="M339" s="412"/>
      <c r="N339" s="413"/>
      <c r="O339" s="413"/>
      <c r="P339" s="412"/>
      <c r="Q339" s="414"/>
      <c r="R339" s="414"/>
    </row>
    <row r="340">
      <c r="B340" s="374"/>
      <c r="C340" s="374"/>
      <c r="D340" s="412"/>
      <c r="E340" s="412"/>
      <c r="F340" s="412"/>
      <c r="G340" s="412"/>
      <c r="H340" s="412"/>
      <c r="I340" s="412"/>
      <c r="J340" s="412"/>
      <c r="K340" s="412"/>
      <c r="L340" s="413"/>
      <c r="M340" s="412"/>
      <c r="N340" s="413"/>
      <c r="O340" s="413"/>
      <c r="P340" s="412"/>
      <c r="Q340" s="414"/>
      <c r="R340" s="414"/>
    </row>
    <row r="341">
      <c r="B341" s="374"/>
      <c r="C341" s="374"/>
      <c r="D341" s="412"/>
      <c r="E341" s="412"/>
      <c r="F341" s="412"/>
      <c r="G341" s="412"/>
      <c r="H341" s="412"/>
      <c r="I341" s="412"/>
      <c r="J341" s="412"/>
      <c r="K341" s="412"/>
      <c r="L341" s="413"/>
      <c r="M341" s="412"/>
      <c r="N341" s="413"/>
      <c r="O341" s="413"/>
      <c r="P341" s="412"/>
      <c r="Q341" s="414"/>
      <c r="R341" s="414"/>
    </row>
    <row r="342">
      <c r="B342" s="374"/>
      <c r="C342" s="374"/>
      <c r="D342" s="412"/>
      <c r="E342" s="412"/>
      <c r="F342" s="412"/>
      <c r="G342" s="412"/>
      <c r="H342" s="412"/>
      <c r="I342" s="412"/>
      <c r="J342" s="412"/>
      <c r="K342" s="412"/>
      <c r="L342" s="413"/>
      <c r="M342" s="412"/>
      <c r="N342" s="413"/>
      <c r="O342" s="413"/>
      <c r="P342" s="412"/>
      <c r="Q342" s="414"/>
      <c r="R342" s="414"/>
    </row>
    <row r="343">
      <c r="B343" s="374"/>
      <c r="C343" s="374"/>
      <c r="D343" s="412"/>
      <c r="E343" s="412"/>
      <c r="F343" s="412"/>
      <c r="G343" s="412"/>
      <c r="H343" s="412"/>
      <c r="I343" s="412"/>
      <c r="J343" s="412"/>
      <c r="K343" s="412"/>
      <c r="L343" s="413"/>
      <c r="M343" s="412"/>
      <c r="N343" s="413"/>
      <c r="O343" s="413"/>
      <c r="P343" s="412"/>
      <c r="Q343" s="414"/>
      <c r="R343" s="414"/>
    </row>
    <row r="344">
      <c r="B344" s="374"/>
      <c r="C344" s="374"/>
      <c r="D344" s="412"/>
      <c r="E344" s="412"/>
      <c r="F344" s="412"/>
      <c r="G344" s="412"/>
      <c r="H344" s="412"/>
      <c r="I344" s="412"/>
      <c r="J344" s="412"/>
      <c r="K344" s="412"/>
      <c r="L344" s="413"/>
      <c r="M344" s="412"/>
      <c r="N344" s="413"/>
      <c r="O344" s="413"/>
      <c r="P344" s="412"/>
      <c r="Q344" s="414"/>
      <c r="R344" s="414"/>
    </row>
    <row r="345">
      <c r="B345" s="374"/>
      <c r="C345" s="374"/>
      <c r="D345" s="412"/>
      <c r="E345" s="412"/>
      <c r="F345" s="412"/>
      <c r="G345" s="412"/>
      <c r="H345" s="412"/>
      <c r="I345" s="412"/>
      <c r="J345" s="412"/>
      <c r="K345" s="412"/>
      <c r="L345" s="413"/>
      <c r="M345" s="412"/>
      <c r="N345" s="413"/>
      <c r="O345" s="413"/>
      <c r="P345" s="412"/>
      <c r="Q345" s="414"/>
      <c r="R345" s="414"/>
    </row>
    <row r="346">
      <c r="B346" s="374"/>
      <c r="C346" s="374"/>
      <c r="D346" s="412"/>
      <c r="E346" s="412"/>
      <c r="F346" s="412"/>
      <c r="G346" s="412"/>
      <c r="H346" s="412"/>
      <c r="I346" s="412"/>
      <c r="J346" s="412"/>
      <c r="K346" s="412"/>
      <c r="L346" s="413"/>
      <c r="M346" s="412"/>
      <c r="N346" s="413"/>
      <c r="O346" s="413"/>
      <c r="P346" s="412"/>
      <c r="Q346" s="414"/>
      <c r="R346" s="414"/>
    </row>
    <row r="347">
      <c r="B347" s="374"/>
      <c r="C347" s="374"/>
      <c r="D347" s="412"/>
      <c r="E347" s="412"/>
      <c r="F347" s="412"/>
      <c r="G347" s="412"/>
      <c r="H347" s="412"/>
      <c r="I347" s="412"/>
      <c r="J347" s="412"/>
      <c r="K347" s="412"/>
      <c r="L347" s="413"/>
      <c r="M347" s="412"/>
      <c r="N347" s="413"/>
      <c r="O347" s="413"/>
      <c r="P347" s="412"/>
      <c r="Q347" s="414"/>
      <c r="R347" s="414"/>
    </row>
    <row r="348">
      <c r="B348" s="374"/>
      <c r="C348" s="374"/>
      <c r="D348" s="412"/>
      <c r="E348" s="412"/>
      <c r="F348" s="412"/>
      <c r="G348" s="412"/>
      <c r="H348" s="412"/>
      <c r="I348" s="412"/>
      <c r="J348" s="412"/>
      <c r="K348" s="412"/>
      <c r="L348" s="413"/>
      <c r="M348" s="412"/>
      <c r="N348" s="413"/>
      <c r="O348" s="413"/>
      <c r="P348" s="412"/>
      <c r="Q348" s="414"/>
      <c r="R348" s="414"/>
    </row>
    <row r="349">
      <c r="B349" s="374"/>
      <c r="C349" s="374"/>
      <c r="D349" s="412"/>
      <c r="E349" s="412"/>
      <c r="F349" s="412"/>
      <c r="G349" s="412"/>
      <c r="H349" s="412"/>
      <c r="I349" s="412"/>
      <c r="J349" s="412"/>
      <c r="K349" s="412"/>
      <c r="L349" s="413"/>
      <c r="M349" s="412"/>
      <c r="N349" s="413"/>
      <c r="O349" s="413"/>
      <c r="P349" s="412"/>
      <c r="Q349" s="414"/>
      <c r="R349" s="414"/>
    </row>
    <row r="350">
      <c r="B350" s="374"/>
      <c r="C350" s="374"/>
      <c r="D350" s="412"/>
      <c r="E350" s="412"/>
      <c r="F350" s="412"/>
      <c r="G350" s="412"/>
      <c r="H350" s="412"/>
      <c r="I350" s="412"/>
      <c r="J350" s="412"/>
      <c r="K350" s="412"/>
      <c r="L350" s="413"/>
      <c r="M350" s="412"/>
      <c r="N350" s="413"/>
      <c r="O350" s="413"/>
      <c r="P350" s="412"/>
      <c r="Q350" s="414"/>
      <c r="R350" s="414"/>
    </row>
    <row r="351">
      <c r="B351" s="374"/>
      <c r="C351" s="374"/>
      <c r="D351" s="412"/>
      <c r="E351" s="412"/>
      <c r="F351" s="412"/>
      <c r="G351" s="412"/>
      <c r="H351" s="412"/>
      <c r="I351" s="412"/>
      <c r="J351" s="412"/>
      <c r="K351" s="412"/>
      <c r="L351" s="413"/>
      <c r="M351" s="412"/>
      <c r="N351" s="413"/>
      <c r="O351" s="413"/>
      <c r="P351" s="412"/>
      <c r="Q351" s="414"/>
      <c r="R351" s="414"/>
    </row>
    <row r="352">
      <c r="B352" s="374"/>
      <c r="C352" s="374"/>
      <c r="D352" s="412"/>
      <c r="E352" s="412"/>
      <c r="F352" s="412"/>
      <c r="G352" s="412"/>
      <c r="H352" s="412"/>
      <c r="I352" s="412"/>
      <c r="J352" s="412"/>
      <c r="K352" s="412"/>
      <c r="L352" s="413"/>
      <c r="M352" s="412"/>
      <c r="N352" s="413"/>
      <c r="O352" s="413"/>
      <c r="P352" s="412"/>
      <c r="Q352" s="414"/>
      <c r="R352" s="414"/>
    </row>
    <row r="353">
      <c r="B353" s="374"/>
      <c r="C353" s="374"/>
      <c r="D353" s="412"/>
      <c r="E353" s="412"/>
      <c r="F353" s="412"/>
      <c r="G353" s="412"/>
      <c r="H353" s="412"/>
      <c r="I353" s="412"/>
      <c r="J353" s="412"/>
      <c r="K353" s="412"/>
      <c r="L353" s="413"/>
      <c r="M353" s="412"/>
      <c r="N353" s="413"/>
      <c r="O353" s="413"/>
      <c r="P353" s="412"/>
      <c r="Q353" s="414"/>
      <c r="R353" s="414"/>
    </row>
    <row r="354">
      <c r="B354" s="374"/>
      <c r="C354" s="374"/>
      <c r="D354" s="412"/>
      <c r="E354" s="412"/>
      <c r="F354" s="412"/>
      <c r="G354" s="412"/>
      <c r="H354" s="412"/>
      <c r="I354" s="412"/>
      <c r="J354" s="412"/>
      <c r="K354" s="412"/>
      <c r="L354" s="413"/>
      <c r="M354" s="412"/>
      <c r="N354" s="413"/>
      <c r="O354" s="413"/>
      <c r="P354" s="412"/>
      <c r="Q354" s="414"/>
      <c r="R354" s="414"/>
    </row>
    <row r="355">
      <c r="B355" s="374"/>
      <c r="C355" s="374"/>
      <c r="D355" s="412"/>
      <c r="E355" s="412"/>
      <c r="F355" s="412"/>
      <c r="G355" s="412"/>
      <c r="H355" s="412"/>
      <c r="I355" s="412"/>
      <c r="J355" s="412"/>
      <c r="K355" s="412"/>
      <c r="L355" s="413"/>
      <c r="M355" s="412"/>
      <c r="N355" s="413"/>
      <c r="O355" s="413"/>
      <c r="P355" s="412"/>
      <c r="Q355" s="414"/>
      <c r="R355" s="414"/>
    </row>
    <row r="356">
      <c r="B356" s="374"/>
      <c r="C356" s="374"/>
      <c r="D356" s="412"/>
      <c r="E356" s="412"/>
      <c r="F356" s="412"/>
      <c r="G356" s="412"/>
      <c r="H356" s="412"/>
      <c r="I356" s="412"/>
      <c r="J356" s="412"/>
      <c r="K356" s="412"/>
      <c r="L356" s="413"/>
      <c r="M356" s="412"/>
      <c r="N356" s="413"/>
      <c r="O356" s="413"/>
      <c r="P356" s="412"/>
      <c r="Q356" s="414"/>
      <c r="R356" s="414"/>
    </row>
    <row r="357">
      <c r="B357" s="374"/>
      <c r="C357" s="374"/>
      <c r="D357" s="412"/>
      <c r="E357" s="412"/>
      <c r="F357" s="412"/>
      <c r="G357" s="412"/>
      <c r="H357" s="412"/>
      <c r="I357" s="412"/>
      <c r="J357" s="412"/>
      <c r="K357" s="412"/>
      <c r="L357" s="413"/>
      <c r="M357" s="412"/>
      <c r="N357" s="413"/>
      <c r="O357" s="413"/>
      <c r="P357" s="412"/>
      <c r="Q357" s="414"/>
      <c r="R357" s="414"/>
    </row>
    <row r="358">
      <c r="B358" s="374"/>
      <c r="C358" s="374"/>
      <c r="D358" s="412"/>
      <c r="E358" s="412"/>
      <c r="F358" s="412"/>
      <c r="G358" s="412"/>
      <c r="H358" s="412"/>
      <c r="I358" s="412"/>
      <c r="J358" s="412"/>
      <c r="K358" s="412"/>
      <c r="L358" s="413"/>
      <c r="M358" s="412"/>
      <c r="N358" s="413"/>
      <c r="O358" s="413"/>
      <c r="P358" s="412"/>
      <c r="Q358" s="414"/>
      <c r="R358" s="414"/>
    </row>
    <row r="359">
      <c r="B359" s="374"/>
      <c r="C359" s="374"/>
      <c r="D359" s="412"/>
      <c r="E359" s="412"/>
      <c r="F359" s="412"/>
      <c r="G359" s="412"/>
      <c r="H359" s="412"/>
      <c r="I359" s="412"/>
      <c r="J359" s="412"/>
      <c r="K359" s="412"/>
      <c r="L359" s="413"/>
      <c r="M359" s="412"/>
      <c r="N359" s="413"/>
      <c r="O359" s="413"/>
      <c r="P359" s="412"/>
      <c r="Q359" s="414"/>
      <c r="R359" s="414"/>
    </row>
    <row r="360">
      <c r="B360" s="374"/>
      <c r="C360" s="374"/>
      <c r="D360" s="412"/>
      <c r="E360" s="412"/>
      <c r="F360" s="412"/>
      <c r="G360" s="412"/>
      <c r="H360" s="412"/>
      <c r="I360" s="412"/>
      <c r="J360" s="412"/>
      <c r="K360" s="412"/>
      <c r="L360" s="413"/>
      <c r="M360" s="412"/>
      <c r="N360" s="413"/>
      <c r="O360" s="413"/>
      <c r="P360" s="412"/>
      <c r="Q360" s="414"/>
      <c r="R360" s="414"/>
    </row>
    <row r="361">
      <c r="B361" s="374"/>
      <c r="C361" s="374"/>
      <c r="D361" s="412"/>
      <c r="E361" s="412"/>
      <c r="F361" s="412"/>
      <c r="G361" s="412"/>
      <c r="H361" s="412"/>
      <c r="I361" s="412"/>
      <c r="J361" s="412"/>
      <c r="K361" s="412"/>
      <c r="L361" s="413"/>
      <c r="M361" s="412"/>
      <c r="N361" s="413"/>
      <c r="O361" s="413"/>
      <c r="P361" s="412"/>
      <c r="Q361" s="414"/>
      <c r="R361" s="414"/>
    </row>
    <row r="362">
      <c r="B362" s="374"/>
      <c r="C362" s="374"/>
      <c r="D362" s="412"/>
      <c r="E362" s="412"/>
      <c r="F362" s="412"/>
      <c r="G362" s="412"/>
      <c r="H362" s="412"/>
      <c r="I362" s="412"/>
      <c r="J362" s="412"/>
      <c r="K362" s="412"/>
      <c r="L362" s="413"/>
      <c r="M362" s="412"/>
      <c r="N362" s="413"/>
      <c r="O362" s="413"/>
      <c r="P362" s="412"/>
      <c r="Q362" s="414"/>
      <c r="R362" s="414"/>
    </row>
    <row r="363">
      <c r="B363" s="374"/>
      <c r="C363" s="374"/>
      <c r="D363" s="412"/>
      <c r="E363" s="412"/>
      <c r="F363" s="412"/>
      <c r="G363" s="412"/>
      <c r="H363" s="412"/>
      <c r="I363" s="412"/>
      <c r="J363" s="412"/>
      <c r="K363" s="412"/>
      <c r="L363" s="413"/>
      <c r="M363" s="412"/>
      <c r="N363" s="413"/>
      <c r="O363" s="413"/>
      <c r="P363" s="412"/>
      <c r="Q363" s="414"/>
      <c r="R363" s="414"/>
    </row>
    <row r="364">
      <c r="B364" s="374"/>
      <c r="C364" s="374"/>
      <c r="D364" s="412"/>
      <c r="E364" s="412"/>
      <c r="F364" s="412"/>
      <c r="G364" s="412"/>
      <c r="H364" s="412"/>
      <c r="I364" s="412"/>
      <c r="J364" s="412"/>
      <c r="K364" s="412"/>
      <c r="L364" s="413"/>
      <c r="M364" s="412"/>
      <c r="N364" s="413"/>
      <c r="O364" s="413"/>
      <c r="P364" s="412"/>
      <c r="Q364" s="414"/>
      <c r="R364" s="414"/>
    </row>
    <row r="365">
      <c r="B365" s="374"/>
      <c r="C365" s="374"/>
      <c r="D365" s="412"/>
      <c r="E365" s="412"/>
      <c r="F365" s="412"/>
      <c r="G365" s="412"/>
      <c r="H365" s="412"/>
      <c r="I365" s="412"/>
      <c r="J365" s="412"/>
      <c r="K365" s="412"/>
      <c r="L365" s="413"/>
      <c r="M365" s="412"/>
      <c r="N365" s="413"/>
      <c r="O365" s="413"/>
      <c r="P365" s="412"/>
      <c r="Q365" s="414"/>
      <c r="R365" s="414"/>
    </row>
    <row r="366">
      <c r="B366" s="374"/>
      <c r="C366" s="374"/>
      <c r="D366" s="412"/>
      <c r="E366" s="412"/>
      <c r="F366" s="412"/>
      <c r="G366" s="412"/>
      <c r="H366" s="412"/>
      <c r="I366" s="412"/>
      <c r="J366" s="412"/>
      <c r="K366" s="412"/>
      <c r="L366" s="413"/>
      <c r="M366" s="412"/>
      <c r="N366" s="413"/>
      <c r="O366" s="413"/>
      <c r="P366" s="412"/>
      <c r="Q366" s="414"/>
      <c r="R366" s="414"/>
    </row>
    <row r="367">
      <c r="B367" s="374"/>
      <c r="C367" s="374"/>
      <c r="D367" s="412"/>
      <c r="E367" s="412"/>
      <c r="F367" s="412"/>
      <c r="G367" s="412"/>
      <c r="H367" s="412"/>
      <c r="I367" s="412"/>
      <c r="J367" s="412"/>
      <c r="K367" s="412"/>
      <c r="L367" s="413"/>
      <c r="M367" s="412"/>
      <c r="N367" s="413"/>
      <c r="O367" s="413"/>
      <c r="P367" s="412"/>
      <c r="Q367" s="414"/>
      <c r="R367" s="414"/>
    </row>
    <row r="368">
      <c r="B368" s="374"/>
      <c r="C368" s="374"/>
      <c r="D368" s="412"/>
      <c r="E368" s="412"/>
      <c r="F368" s="412"/>
      <c r="G368" s="412"/>
      <c r="H368" s="412"/>
      <c r="I368" s="412"/>
      <c r="J368" s="412"/>
      <c r="K368" s="412"/>
      <c r="L368" s="413"/>
      <c r="M368" s="412"/>
      <c r="N368" s="413"/>
      <c r="O368" s="413"/>
      <c r="P368" s="412"/>
      <c r="Q368" s="414"/>
      <c r="R368" s="414"/>
    </row>
    <row r="369">
      <c r="B369" s="374"/>
      <c r="C369" s="374"/>
      <c r="D369" s="412"/>
      <c r="E369" s="412"/>
      <c r="F369" s="412"/>
      <c r="G369" s="412"/>
      <c r="H369" s="412"/>
      <c r="I369" s="412"/>
      <c r="J369" s="412"/>
      <c r="K369" s="412"/>
      <c r="L369" s="413"/>
      <c r="M369" s="412"/>
      <c r="N369" s="413"/>
      <c r="O369" s="413"/>
      <c r="P369" s="412"/>
      <c r="Q369" s="414"/>
      <c r="R369" s="414"/>
    </row>
    <row r="370">
      <c r="B370" s="374"/>
      <c r="C370" s="374"/>
      <c r="D370" s="412"/>
      <c r="E370" s="412"/>
      <c r="F370" s="412"/>
      <c r="G370" s="412"/>
      <c r="H370" s="412"/>
      <c r="I370" s="412"/>
      <c r="J370" s="412"/>
      <c r="K370" s="412"/>
      <c r="L370" s="413"/>
      <c r="M370" s="412"/>
      <c r="N370" s="413"/>
      <c r="O370" s="413"/>
      <c r="P370" s="412"/>
      <c r="Q370" s="414"/>
      <c r="R370" s="414"/>
    </row>
    <row r="371">
      <c r="B371" s="374"/>
      <c r="C371" s="374"/>
      <c r="D371" s="412"/>
      <c r="E371" s="412"/>
      <c r="F371" s="412"/>
      <c r="G371" s="412"/>
      <c r="H371" s="412"/>
      <c r="I371" s="412"/>
      <c r="J371" s="412"/>
      <c r="K371" s="412"/>
      <c r="L371" s="413"/>
      <c r="M371" s="412"/>
      <c r="N371" s="413"/>
      <c r="O371" s="413"/>
      <c r="P371" s="412"/>
      <c r="Q371" s="414"/>
      <c r="R371" s="414"/>
    </row>
    <row r="372">
      <c r="B372" s="374"/>
      <c r="C372" s="374"/>
      <c r="D372" s="412"/>
      <c r="E372" s="412"/>
      <c r="F372" s="412"/>
      <c r="G372" s="412"/>
      <c r="H372" s="412"/>
      <c r="I372" s="412"/>
      <c r="J372" s="412"/>
      <c r="K372" s="412"/>
      <c r="L372" s="413"/>
      <c r="M372" s="412"/>
      <c r="N372" s="413"/>
      <c r="O372" s="413"/>
      <c r="P372" s="412"/>
      <c r="Q372" s="414"/>
      <c r="R372" s="414"/>
    </row>
    <row r="373">
      <c r="B373" s="374"/>
      <c r="C373" s="374"/>
      <c r="D373" s="412"/>
      <c r="E373" s="412"/>
      <c r="F373" s="412"/>
      <c r="G373" s="412"/>
      <c r="H373" s="412"/>
      <c r="I373" s="412"/>
      <c r="J373" s="412"/>
      <c r="K373" s="412"/>
      <c r="L373" s="413"/>
      <c r="M373" s="412"/>
      <c r="N373" s="413"/>
      <c r="O373" s="413"/>
      <c r="P373" s="412"/>
      <c r="Q373" s="414"/>
      <c r="R373" s="414"/>
    </row>
    <row r="374">
      <c r="B374" s="374"/>
      <c r="C374" s="374"/>
      <c r="D374" s="412"/>
      <c r="E374" s="412"/>
      <c r="F374" s="412"/>
      <c r="G374" s="412"/>
      <c r="H374" s="412"/>
      <c r="I374" s="412"/>
      <c r="J374" s="412"/>
      <c r="K374" s="412"/>
      <c r="L374" s="413"/>
      <c r="M374" s="412"/>
      <c r="N374" s="413"/>
      <c r="O374" s="413"/>
      <c r="P374" s="412"/>
      <c r="Q374" s="414"/>
      <c r="R374" s="414"/>
    </row>
    <row r="375">
      <c r="B375" s="374"/>
      <c r="C375" s="374"/>
      <c r="D375" s="412"/>
      <c r="E375" s="412"/>
      <c r="F375" s="412"/>
      <c r="G375" s="412"/>
      <c r="H375" s="412"/>
      <c r="I375" s="412"/>
      <c r="J375" s="412"/>
      <c r="K375" s="412"/>
      <c r="L375" s="413"/>
      <c r="M375" s="412"/>
      <c r="N375" s="413"/>
      <c r="O375" s="413"/>
      <c r="P375" s="412"/>
      <c r="Q375" s="414"/>
      <c r="R375" s="414"/>
    </row>
    <row r="376">
      <c r="B376" s="374"/>
      <c r="C376" s="374"/>
      <c r="D376" s="412"/>
      <c r="E376" s="412"/>
      <c r="F376" s="412"/>
      <c r="G376" s="412"/>
      <c r="H376" s="412"/>
      <c r="I376" s="412"/>
      <c r="J376" s="412"/>
      <c r="K376" s="412"/>
      <c r="L376" s="413"/>
      <c r="M376" s="412"/>
      <c r="N376" s="413"/>
      <c r="O376" s="413"/>
      <c r="P376" s="412"/>
      <c r="Q376" s="414"/>
      <c r="R376" s="414"/>
    </row>
    <row r="377">
      <c r="B377" s="374"/>
      <c r="C377" s="374"/>
      <c r="D377" s="412"/>
      <c r="E377" s="412"/>
      <c r="F377" s="412"/>
      <c r="G377" s="412"/>
      <c r="H377" s="412"/>
      <c r="I377" s="412"/>
      <c r="J377" s="412"/>
      <c r="K377" s="412"/>
      <c r="L377" s="413"/>
      <c r="M377" s="412"/>
      <c r="N377" s="413"/>
      <c r="O377" s="413"/>
      <c r="P377" s="412"/>
      <c r="Q377" s="414"/>
      <c r="R377" s="414"/>
    </row>
    <row r="378">
      <c r="B378" s="374"/>
      <c r="C378" s="374"/>
      <c r="D378" s="412"/>
      <c r="E378" s="412"/>
      <c r="F378" s="412"/>
      <c r="G378" s="412"/>
      <c r="H378" s="412"/>
      <c r="I378" s="412"/>
      <c r="J378" s="412"/>
      <c r="K378" s="412"/>
      <c r="L378" s="413"/>
      <c r="M378" s="412"/>
      <c r="N378" s="413"/>
      <c r="O378" s="413"/>
      <c r="P378" s="412"/>
      <c r="Q378" s="414"/>
      <c r="R378" s="414"/>
    </row>
    <row r="379">
      <c r="B379" s="374"/>
      <c r="C379" s="374"/>
      <c r="D379" s="412"/>
      <c r="E379" s="412"/>
      <c r="F379" s="412"/>
      <c r="G379" s="412"/>
      <c r="H379" s="412"/>
      <c r="I379" s="412"/>
      <c r="J379" s="412"/>
      <c r="K379" s="412"/>
      <c r="L379" s="413"/>
      <c r="M379" s="412"/>
      <c r="N379" s="413"/>
      <c r="O379" s="413"/>
      <c r="P379" s="412"/>
      <c r="Q379" s="414"/>
      <c r="R379" s="414"/>
    </row>
    <row r="380">
      <c r="B380" s="374"/>
      <c r="C380" s="374"/>
      <c r="D380" s="412"/>
      <c r="E380" s="412"/>
      <c r="F380" s="412"/>
      <c r="G380" s="412"/>
      <c r="H380" s="412"/>
      <c r="I380" s="412"/>
      <c r="J380" s="412"/>
      <c r="K380" s="412"/>
      <c r="L380" s="413"/>
      <c r="M380" s="412"/>
      <c r="N380" s="413"/>
      <c r="O380" s="413"/>
      <c r="P380" s="412"/>
      <c r="Q380" s="414"/>
      <c r="R380" s="414"/>
    </row>
    <row r="381">
      <c r="B381" s="374"/>
      <c r="C381" s="374"/>
      <c r="D381" s="412"/>
      <c r="E381" s="412"/>
      <c r="F381" s="412"/>
      <c r="G381" s="412"/>
      <c r="H381" s="412"/>
      <c r="I381" s="412"/>
      <c r="J381" s="412"/>
      <c r="K381" s="412"/>
      <c r="L381" s="413"/>
      <c r="M381" s="412"/>
      <c r="N381" s="413"/>
      <c r="O381" s="413"/>
      <c r="P381" s="412"/>
      <c r="Q381" s="414"/>
      <c r="R381" s="414"/>
    </row>
    <row r="382">
      <c r="B382" s="374"/>
      <c r="C382" s="374"/>
      <c r="D382" s="412"/>
      <c r="E382" s="412"/>
      <c r="F382" s="412"/>
      <c r="G382" s="412"/>
      <c r="H382" s="412"/>
      <c r="I382" s="412"/>
      <c r="J382" s="412"/>
      <c r="K382" s="412"/>
      <c r="L382" s="413"/>
      <c r="M382" s="412"/>
      <c r="N382" s="413"/>
      <c r="O382" s="413"/>
      <c r="P382" s="412"/>
      <c r="Q382" s="414"/>
      <c r="R382" s="414"/>
    </row>
    <row r="383">
      <c r="B383" s="374"/>
      <c r="C383" s="374"/>
      <c r="D383" s="412"/>
      <c r="E383" s="412"/>
      <c r="F383" s="412"/>
      <c r="G383" s="412"/>
      <c r="H383" s="412"/>
      <c r="I383" s="412"/>
      <c r="J383" s="412"/>
      <c r="K383" s="412"/>
      <c r="L383" s="413"/>
      <c r="M383" s="412"/>
      <c r="N383" s="413"/>
      <c r="O383" s="413"/>
      <c r="P383" s="412"/>
      <c r="Q383" s="414"/>
      <c r="R383" s="414"/>
    </row>
    <row r="384">
      <c r="B384" s="374"/>
      <c r="C384" s="374"/>
      <c r="D384" s="412"/>
      <c r="E384" s="412"/>
      <c r="F384" s="412"/>
      <c r="G384" s="412"/>
      <c r="H384" s="412"/>
      <c r="I384" s="412"/>
      <c r="J384" s="412"/>
      <c r="K384" s="412"/>
      <c r="L384" s="413"/>
      <c r="M384" s="412"/>
      <c r="N384" s="413"/>
      <c r="O384" s="413"/>
      <c r="P384" s="412"/>
      <c r="Q384" s="414"/>
      <c r="R384" s="414"/>
    </row>
    <row r="385">
      <c r="B385" s="374"/>
      <c r="C385" s="374"/>
      <c r="D385" s="412"/>
      <c r="E385" s="412"/>
      <c r="F385" s="412"/>
      <c r="G385" s="412"/>
      <c r="H385" s="412"/>
      <c r="I385" s="412"/>
      <c r="J385" s="412"/>
      <c r="K385" s="412"/>
      <c r="L385" s="413"/>
      <c r="M385" s="412"/>
      <c r="N385" s="413"/>
      <c r="O385" s="413"/>
      <c r="P385" s="412"/>
      <c r="Q385" s="414"/>
      <c r="R385" s="414"/>
    </row>
    <row r="386">
      <c r="B386" s="374"/>
      <c r="C386" s="374"/>
      <c r="D386" s="412"/>
      <c r="E386" s="412"/>
      <c r="F386" s="412"/>
      <c r="G386" s="412"/>
      <c r="H386" s="412"/>
      <c r="I386" s="412"/>
      <c r="J386" s="412"/>
      <c r="K386" s="412"/>
      <c r="L386" s="413"/>
      <c r="M386" s="412"/>
      <c r="N386" s="413"/>
      <c r="O386" s="413"/>
      <c r="P386" s="412"/>
      <c r="Q386" s="414"/>
      <c r="R386" s="414"/>
    </row>
    <row r="387">
      <c r="B387" s="374"/>
      <c r="C387" s="374"/>
      <c r="D387" s="412"/>
      <c r="E387" s="412"/>
      <c r="F387" s="412"/>
      <c r="G387" s="412"/>
      <c r="H387" s="412"/>
      <c r="I387" s="412"/>
      <c r="J387" s="412"/>
      <c r="K387" s="412"/>
      <c r="L387" s="413"/>
      <c r="M387" s="412"/>
      <c r="N387" s="413"/>
      <c r="O387" s="413"/>
      <c r="P387" s="412"/>
      <c r="Q387" s="414"/>
      <c r="R387" s="414"/>
    </row>
    <row r="388">
      <c r="B388" s="374"/>
      <c r="C388" s="374"/>
      <c r="D388" s="412"/>
      <c r="E388" s="412"/>
      <c r="F388" s="412"/>
      <c r="G388" s="412"/>
      <c r="H388" s="412"/>
      <c r="I388" s="412"/>
      <c r="J388" s="412"/>
      <c r="K388" s="412"/>
      <c r="L388" s="413"/>
      <c r="M388" s="412"/>
      <c r="N388" s="413"/>
      <c r="O388" s="413"/>
      <c r="P388" s="412"/>
      <c r="Q388" s="414"/>
      <c r="R388" s="414"/>
    </row>
    <row r="389">
      <c r="B389" s="374"/>
      <c r="C389" s="374"/>
      <c r="D389" s="412"/>
      <c r="E389" s="412"/>
      <c r="F389" s="412"/>
      <c r="G389" s="412"/>
      <c r="H389" s="412"/>
      <c r="I389" s="412"/>
      <c r="J389" s="412"/>
      <c r="K389" s="412"/>
      <c r="L389" s="413"/>
      <c r="M389" s="412"/>
      <c r="N389" s="413"/>
      <c r="O389" s="413"/>
      <c r="P389" s="412"/>
      <c r="Q389" s="414"/>
      <c r="R389" s="414"/>
    </row>
    <row r="390">
      <c r="B390" s="374"/>
      <c r="C390" s="374"/>
      <c r="D390" s="412"/>
      <c r="E390" s="412"/>
      <c r="F390" s="412"/>
      <c r="G390" s="412"/>
      <c r="H390" s="412"/>
      <c r="I390" s="412"/>
      <c r="J390" s="412"/>
      <c r="K390" s="412"/>
      <c r="L390" s="413"/>
      <c r="M390" s="412"/>
      <c r="N390" s="413"/>
      <c r="O390" s="413"/>
      <c r="P390" s="412"/>
      <c r="Q390" s="414"/>
      <c r="R390" s="414"/>
    </row>
    <row r="391">
      <c r="B391" s="374"/>
      <c r="C391" s="374"/>
      <c r="D391" s="412"/>
      <c r="E391" s="412"/>
      <c r="F391" s="412"/>
      <c r="G391" s="412"/>
      <c r="H391" s="412"/>
      <c r="I391" s="412"/>
      <c r="J391" s="412"/>
      <c r="K391" s="412"/>
      <c r="L391" s="413"/>
      <c r="M391" s="412"/>
      <c r="N391" s="413"/>
      <c r="O391" s="413"/>
      <c r="P391" s="412"/>
      <c r="Q391" s="414"/>
      <c r="R391" s="414"/>
    </row>
    <row r="392">
      <c r="B392" s="374"/>
      <c r="C392" s="374"/>
      <c r="D392" s="412"/>
      <c r="E392" s="412"/>
      <c r="F392" s="412"/>
      <c r="G392" s="412"/>
      <c r="H392" s="412"/>
      <c r="I392" s="412"/>
      <c r="J392" s="412"/>
      <c r="K392" s="412"/>
      <c r="L392" s="413"/>
      <c r="M392" s="412"/>
      <c r="N392" s="413"/>
      <c r="O392" s="413"/>
      <c r="P392" s="412"/>
      <c r="Q392" s="414"/>
      <c r="R392" s="414"/>
    </row>
    <row r="393">
      <c r="B393" s="374"/>
      <c r="C393" s="374"/>
      <c r="D393" s="412"/>
      <c r="E393" s="412"/>
      <c r="F393" s="412"/>
      <c r="G393" s="412"/>
      <c r="H393" s="412"/>
      <c r="I393" s="412"/>
      <c r="J393" s="412"/>
      <c r="K393" s="412"/>
      <c r="L393" s="413"/>
      <c r="M393" s="412"/>
      <c r="N393" s="413"/>
      <c r="O393" s="413"/>
      <c r="P393" s="412"/>
      <c r="Q393" s="414"/>
      <c r="R393" s="414"/>
    </row>
    <row r="394">
      <c r="B394" s="374"/>
      <c r="C394" s="374"/>
      <c r="D394" s="412"/>
      <c r="E394" s="412"/>
      <c r="F394" s="412"/>
      <c r="G394" s="412"/>
      <c r="H394" s="412"/>
      <c r="I394" s="412"/>
      <c r="J394" s="412"/>
      <c r="K394" s="412"/>
      <c r="L394" s="413"/>
      <c r="M394" s="412"/>
      <c r="N394" s="413"/>
      <c r="O394" s="413"/>
      <c r="P394" s="412"/>
      <c r="Q394" s="414"/>
      <c r="R394" s="414"/>
    </row>
    <row r="395">
      <c r="B395" s="374"/>
      <c r="C395" s="374"/>
      <c r="D395" s="412"/>
      <c r="E395" s="412"/>
      <c r="F395" s="412"/>
      <c r="G395" s="412"/>
      <c r="H395" s="412"/>
      <c r="I395" s="412"/>
      <c r="J395" s="412"/>
      <c r="K395" s="412"/>
      <c r="L395" s="413"/>
      <c r="M395" s="412"/>
      <c r="N395" s="413"/>
      <c r="O395" s="413"/>
      <c r="P395" s="412"/>
      <c r="Q395" s="414"/>
      <c r="R395" s="414"/>
    </row>
    <row r="396">
      <c r="B396" s="374"/>
      <c r="C396" s="374"/>
      <c r="D396" s="412"/>
      <c r="E396" s="412"/>
      <c r="F396" s="412"/>
      <c r="G396" s="412"/>
      <c r="H396" s="412"/>
      <c r="I396" s="412"/>
      <c r="J396" s="412"/>
      <c r="K396" s="412"/>
      <c r="L396" s="413"/>
      <c r="M396" s="412"/>
      <c r="N396" s="413"/>
      <c r="O396" s="413"/>
      <c r="P396" s="412"/>
      <c r="Q396" s="414"/>
      <c r="R396" s="414"/>
    </row>
    <row r="397">
      <c r="B397" s="374"/>
      <c r="C397" s="374"/>
      <c r="D397" s="412"/>
      <c r="E397" s="412"/>
      <c r="F397" s="412"/>
      <c r="G397" s="412"/>
      <c r="H397" s="412"/>
      <c r="I397" s="412"/>
      <c r="J397" s="412"/>
      <c r="K397" s="412"/>
      <c r="L397" s="413"/>
      <c r="M397" s="412"/>
      <c r="N397" s="413"/>
      <c r="O397" s="413"/>
      <c r="P397" s="412"/>
      <c r="Q397" s="414"/>
      <c r="R397" s="414"/>
    </row>
    <row r="398">
      <c r="B398" s="374"/>
      <c r="C398" s="374"/>
      <c r="D398" s="412"/>
      <c r="E398" s="412"/>
      <c r="F398" s="412"/>
      <c r="G398" s="412"/>
      <c r="H398" s="412"/>
      <c r="I398" s="412"/>
      <c r="J398" s="412"/>
      <c r="K398" s="412"/>
      <c r="L398" s="413"/>
      <c r="M398" s="412"/>
      <c r="N398" s="413"/>
      <c r="O398" s="413"/>
      <c r="P398" s="412"/>
      <c r="Q398" s="414"/>
      <c r="R398" s="414"/>
    </row>
    <row r="399">
      <c r="B399" s="374"/>
      <c r="C399" s="374"/>
      <c r="D399" s="412"/>
      <c r="E399" s="412"/>
      <c r="F399" s="412"/>
      <c r="G399" s="412"/>
      <c r="H399" s="412"/>
      <c r="I399" s="412"/>
      <c r="J399" s="412"/>
      <c r="K399" s="412"/>
      <c r="L399" s="413"/>
      <c r="M399" s="412"/>
      <c r="N399" s="413"/>
      <c r="O399" s="413"/>
      <c r="P399" s="412"/>
      <c r="Q399" s="414"/>
      <c r="R399" s="414"/>
    </row>
    <row r="400">
      <c r="B400" s="374"/>
      <c r="C400" s="374"/>
      <c r="D400" s="412"/>
      <c r="E400" s="412"/>
      <c r="F400" s="412"/>
      <c r="G400" s="412"/>
      <c r="H400" s="412"/>
      <c r="I400" s="412"/>
      <c r="J400" s="412"/>
      <c r="K400" s="412"/>
      <c r="L400" s="413"/>
      <c r="M400" s="412"/>
      <c r="N400" s="413"/>
      <c r="O400" s="413"/>
      <c r="P400" s="412"/>
      <c r="Q400" s="414"/>
      <c r="R400" s="414"/>
    </row>
    <row r="401">
      <c r="B401" s="374"/>
      <c r="C401" s="374"/>
      <c r="D401" s="412"/>
      <c r="E401" s="412"/>
      <c r="F401" s="412"/>
      <c r="G401" s="412"/>
      <c r="H401" s="412"/>
      <c r="I401" s="412"/>
      <c r="J401" s="412"/>
      <c r="K401" s="412"/>
      <c r="L401" s="413"/>
      <c r="M401" s="412"/>
      <c r="N401" s="413"/>
      <c r="O401" s="413"/>
      <c r="P401" s="412"/>
      <c r="Q401" s="414"/>
      <c r="R401" s="414"/>
    </row>
    <row r="402">
      <c r="B402" s="374"/>
      <c r="C402" s="374"/>
      <c r="D402" s="412"/>
      <c r="E402" s="412"/>
      <c r="F402" s="412"/>
      <c r="G402" s="412"/>
      <c r="H402" s="412"/>
      <c r="I402" s="412"/>
      <c r="J402" s="412"/>
      <c r="K402" s="412"/>
      <c r="L402" s="413"/>
      <c r="M402" s="412"/>
      <c r="N402" s="413"/>
      <c r="O402" s="413"/>
      <c r="P402" s="412"/>
      <c r="Q402" s="414"/>
      <c r="R402" s="414"/>
    </row>
    <row r="403">
      <c r="B403" s="374"/>
      <c r="C403" s="374"/>
      <c r="D403" s="412"/>
      <c r="E403" s="412"/>
      <c r="F403" s="412"/>
      <c r="G403" s="412"/>
      <c r="H403" s="412"/>
      <c r="I403" s="412"/>
      <c r="J403" s="412"/>
      <c r="K403" s="412"/>
      <c r="L403" s="413"/>
      <c r="M403" s="412"/>
      <c r="N403" s="413"/>
      <c r="O403" s="413"/>
      <c r="P403" s="412"/>
      <c r="Q403" s="414"/>
      <c r="R403" s="414"/>
    </row>
    <row r="404">
      <c r="B404" s="374"/>
      <c r="C404" s="374"/>
      <c r="D404" s="412"/>
      <c r="E404" s="412"/>
      <c r="F404" s="412"/>
      <c r="G404" s="412"/>
      <c r="H404" s="412"/>
      <c r="I404" s="412"/>
      <c r="J404" s="412"/>
      <c r="K404" s="412"/>
      <c r="L404" s="413"/>
      <c r="M404" s="412"/>
      <c r="N404" s="413"/>
      <c r="O404" s="413"/>
      <c r="P404" s="412"/>
      <c r="Q404" s="414"/>
      <c r="R404" s="414"/>
    </row>
    <row r="405">
      <c r="B405" s="374"/>
      <c r="C405" s="374"/>
      <c r="D405" s="412"/>
      <c r="E405" s="412"/>
      <c r="F405" s="412"/>
      <c r="G405" s="412"/>
      <c r="H405" s="412"/>
      <c r="I405" s="412"/>
      <c r="J405" s="412"/>
      <c r="K405" s="412"/>
      <c r="L405" s="413"/>
      <c r="M405" s="412"/>
      <c r="N405" s="413"/>
      <c r="O405" s="413"/>
      <c r="P405" s="412"/>
      <c r="Q405" s="414"/>
      <c r="R405" s="414"/>
    </row>
    <row r="406">
      <c r="B406" s="374"/>
      <c r="C406" s="374"/>
      <c r="D406" s="412"/>
      <c r="E406" s="412"/>
      <c r="F406" s="412"/>
      <c r="G406" s="412"/>
      <c r="H406" s="412"/>
      <c r="I406" s="412"/>
      <c r="J406" s="412"/>
      <c r="K406" s="412"/>
      <c r="L406" s="413"/>
      <c r="M406" s="412"/>
      <c r="N406" s="413"/>
      <c r="O406" s="413"/>
      <c r="P406" s="412"/>
      <c r="Q406" s="414"/>
      <c r="R406" s="414"/>
    </row>
    <row r="407">
      <c r="B407" s="374"/>
      <c r="C407" s="374"/>
      <c r="D407" s="412"/>
      <c r="E407" s="412"/>
      <c r="F407" s="412"/>
      <c r="G407" s="412"/>
      <c r="H407" s="412"/>
      <c r="I407" s="412"/>
      <c r="J407" s="412"/>
      <c r="K407" s="412"/>
      <c r="L407" s="413"/>
      <c r="M407" s="412"/>
      <c r="N407" s="413"/>
      <c r="O407" s="413"/>
      <c r="P407" s="412"/>
      <c r="Q407" s="414"/>
      <c r="R407" s="414"/>
    </row>
    <row r="408">
      <c r="B408" s="374"/>
      <c r="C408" s="374"/>
      <c r="D408" s="412"/>
      <c r="E408" s="412"/>
      <c r="F408" s="412"/>
      <c r="G408" s="412"/>
      <c r="H408" s="412"/>
      <c r="I408" s="412"/>
      <c r="J408" s="412"/>
      <c r="K408" s="412"/>
      <c r="L408" s="413"/>
      <c r="M408" s="412"/>
      <c r="N408" s="413"/>
      <c r="O408" s="413"/>
      <c r="P408" s="412"/>
      <c r="Q408" s="414"/>
      <c r="R408" s="414"/>
    </row>
    <row r="409">
      <c r="B409" s="374"/>
      <c r="C409" s="374"/>
      <c r="D409" s="412"/>
      <c r="E409" s="412"/>
      <c r="F409" s="412"/>
      <c r="G409" s="412"/>
      <c r="H409" s="412"/>
      <c r="I409" s="412"/>
      <c r="J409" s="412"/>
      <c r="K409" s="412"/>
      <c r="L409" s="413"/>
      <c r="M409" s="412"/>
      <c r="N409" s="413"/>
      <c r="O409" s="413"/>
      <c r="P409" s="412"/>
      <c r="Q409" s="414"/>
      <c r="R409" s="414"/>
    </row>
    <row r="410">
      <c r="B410" s="374"/>
      <c r="C410" s="374"/>
      <c r="D410" s="412"/>
      <c r="E410" s="412"/>
      <c r="F410" s="412"/>
      <c r="G410" s="412"/>
      <c r="H410" s="412"/>
      <c r="I410" s="412"/>
      <c r="J410" s="412"/>
      <c r="K410" s="412"/>
      <c r="L410" s="413"/>
      <c r="M410" s="412"/>
      <c r="N410" s="413"/>
      <c r="O410" s="413"/>
      <c r="P410" s="412"/>
      <c r="Q410" s="414"/>
      <c r="R410" s="414"/>
    </row>
    <row r="411">
      <c r="B411" s="374"/>
      <c r="C411" s="374"/>
      <c r="D411" s="412"/>
      <c r="E411" s="412"/>
      <c r="F411" s="412"/>
      <c r="G411" s="412"/>
      <c r="H411" s="412"/>
      <c r="I411" s="412"/>
      <c r="J411" s="412"/>
      <c r="K411" s="412"/>
      <c r="L411" s="413"/>
      <c r="M411" s="412"/>
      <c r="N411" s="413"/>
      <c r="O411" s="413"/>
      <c r="P411" s="412"/>
      <c r="Q411" s="414"/>
      <c r="R411" s="414"/>
    </row>
    <row r="412">
      <c r="B412" s="374"/>
      <c r="C412" s="374"/>
      <c r="D412" s="412"/>
      <c r="E412" s="412"/>
      <c r="F412" s="412"/>
      <c r="G412" s="412"/>
      <c r="H412" s="412"/>
      <c r="I412" s="412"/>
      <c r="J412" s="412"/>
      <c r="K412" s="412"/>
      <c r="L412" s="413"/>
      <c r="M412" s="412"/>
      <c r="N412" s="413"/>
      <c r="O412" s="413"/>
      <c r="P412" s="412"/>
      <c r="Q412" s="414"/>
      <c r="R412" s="414"/>
    </row>
    <row r="413">
      <c r="B413" s="374"/>
      <c r="C413" s="374"/>
      <c r="D413" s="412"/>
      <c r="E413" s="412"/>
      <c r="F413" s="412"/>
      <c r="G413" s="412"/>
      <c r="H413" s="412"/>
      <c r="I413" s="412"/>
      <c r="J413" s="412"/>
      <c r="K413" s="412"/>
      <c r="L413" s="413"/>
      <c r="M413" s="412"/>
      <c r="N413" s="413"/>
      <c r="O413" s="413"/>
      <c r="P413" s="412"/>
      <c r="Q413" s="414"/>
      <c r="R413" s="414"/>
    </row>
    <row r="414">
      <c r="B414" s="374"/>
      <c r="C414" s="374"/>
      <c r="D414" s="412"/>
      <c r="E414" s="412"/>
      <c r="F414" s="412"/>
      <c r="G414" s="412"/>
      <c r="H414" s="412"/>
      <c r="I414" s="412"/>
      <c r="J414" s="412"/>
      <c r="K414" s="412"/>
      <c r="L414" s="413"/>
      <c r="M414" s="412"/>
      <c r="N414" s="413"/>
      <c r="O414" s="413"/>
      <c r="P414" s="412"/>
      <c r="Q414" s="414"/>
      <c r="R414" s="414"/>
    </row>
    <row r="415">
      <c r="B415" s="374"/>
      <c r="C415" s="374"/>
      <c r="D415" s="412"/>
      <c r="E415" s="412"/>
      <c r="F415" s="412"/>
      <c r="G415" s="412"/>
      <c r="H415" s="412"/>
      <c r="I415" s="412"/>
      <c r="J415" s="412"/>
      <c r="K415" s="412"/>
      <c r="L415" s="413"/>
      <c r="M415" s="412"/>
      <c r="N415" s="413"/>
      <c r="O415" s="413"/>
      <c r="P415" s="412"/>
      <c r="Q415" s="414"/>
      <c r="R415" s="414"/>
    </row>
    <row r="416">
      <c r="B416" s="374"/>
      <c r="C416" s="374"/>
      <c r="D416" s="412"/>
      <c r="E416" s="412"/>
      <c r="F416" s="412"/>
      <c r="G416" s="412"/>
      <c r="H416" s="412"/>
      <c r="I416" s="412"/>
      <c r="J416" s="412"/>
      <c r="K416" s="412"/>
      <c r="L416" s="413"/>
      <c r="M416" s="412"/>
      <c r="N416" s="413"/>
      <c r="O416" s="413"/>
      <c r="P416" s="412"/>
      <c r="Q416" s="414"/>
      <c r="R416" s="414"/>
    </row>
    <row r="417">
      <c r="B417" s="374"/>
      <c r="C417" s="374"/>
      <c r="D417" s="412"/>
      <c r="E417" s="412"/>
      <c r="F417" s="412"/>
      <c r="G417" s="412"/>
      <c r="H417" s="412"/>
      <c r="I417" s="412"/>
      <c r="J417" s="412"/>
      <c r="K417" s="412"/>
      <c r="L417" s="413"/>
      <c r="M417" s="412"/>
      <c r="N417" s="413"/>
      <c r="O417" s="413"/>
      <c r="P417" s="412"/>
      <c r="Q417" s="414"/>
      <c r="R417" s="414"/>
    </row>
    <row r="418">
      <c r="B418" s="374"/>
      <c r="C418" s="374"/>
      <c r="D418" s="412"/>
      <c r="E418" s="412"/>
      <c r="F418" s="412"/>
      <c r="G418" s="412"/>
      <c r="H418" s="412"/>
      <c r="I418" s="412"/>
      <c r="J418" s="412"/>
      <c r="K418" s="412"/>
      <c r="L418" s="413"/>
      <c r="M418" s="412"/>
      <c r="N418" s="413"/>
      <c r="O418" s="413"/>
      <c r="P418" s="412"/>
      <c r="Q418" s="414"/>
      <c r="R418" s="414"/>
    </row>
    <row r="419">
      <c r="B419" s="374"/>
      <c r="C419" s="374"/>
      <c r="D419" s="412"/>
      <c r="E419" s="412"/>
      <c r="F419" s="412"/>
      <c r="G419" s="412"/>
      <c r="H419" s="412"/>
      <c r="I419" s="412"/>
      <c r="J419" s="412"/>
      <c r="K419" s="412"/>
      <c r="L419" s="413"/>
      <c r="M419" s="412"/>
      <c r="N419" s="413"/>
      <c r="O419" s="413"/>
      <c r="P419" s="412"/>
      <c r="Q419" s="414"/>
      <c r="R419" s="414"/>
    </row>
    <row r="420">
      <c r="B420" s="374"/>
      <c r="C420" s="374"/>
      <c r="D420" s="412"/>
      <c r="E420" s="412"/>
      <c r="F420" s="412"/>
      <c r="G420" s="412"/>
      <c r="H420" s="412"/>
      <c r="I420" s="412"/>
      <c r="J420" s="412"/>
      <c r="K420" s="412"/>
      <c r="L420" s="413"/>
      <c r="M420" s="412"/>
      <c r="N420" s="413"/>
      <c r="O420" s="413"/>
      <c r="P420" s="412"/>
      <c r="Q420" s="414"/>
      <c r="R420" s="414"/>
    </row>
    <row r="421">
      <c r="B421" s="374"/>
      <c r="C421" s="374"/>
      <c r="D421" s="412"/>
      <c r="E421" s="412"/>
      <c r="F421" s="412"/>
      <c r="G421" s="412"/>
      <c r="H421" s="412"/>
      <c r="I421" s="412"/>
      <c r="J421" s="412"/>
      <c r="K421" s="412"/>
      <c r="L421" s="413"/>
      <c r="M421" s="412"/>
      <c r="N421" s="413"/>
      <c r="O421" s="413"/>
      <c r="P421" s="412"/>
      <c r="Q421" s="414"/>
      <c r="R421" s="414"/>
    </row>
    <row r="422">
      <c r="B422" s="374"/>
      <c r="C422" s="374"/>
      <c r="D422" s="412"/>
      <c r="E422" s="412"/>
      <c r="F422" s="412"/>
      <c r="G422" s="412"/>
      <c r="H422" s="412"/>
      <c r="I422" s="412"/>
      <c r="J422" s="412"/>
      <c r="K422" s="412"/>
      <c r="L422" s="413"/>
      <c r="M422" s="412"/>
      <c r="N422" s="413"/>
      <c r="O422" s="413"/>
      <c r="P422" s="412"/>
      <c r="Q422" s="414"/>
      <c r="R422" s="414"/>
    </row>
    <row r="423">
      <c r="B423" s="374"/>
      <c r="C423" s="374"/>
      <c r="D423" s="412"/>
      <c r="E423" s="412"/>
      <c r="F423" s="412"/>
      <c r="G423" s="412"/>
      <c r="H423" s="412"/>
      <c r="I423" s="412"/>
      <c r="J423" s="412"/>
      <c r="K423" s="412"/>
      <c r="L423" s="413"/>
      <c r="M423" s="412"/>
      <c r="N423" s="413"/>
      <c r="O423" s="413"/>
      <c r="P423" s="412"/>
      <c r="Q423" s="414"/>
      <c r="R423" s="414"/>
    </row>
    <row r="424">
      <c r="B424" s="374"/>
      <c r="C424" s="374"/>
      <c r="D424" s="412"/>
      <c r="E424" s="412"/>
      <c r="F424" s="412"/>
      <c r="G424" s="412"/>
      <c r="H424" s="412"/>
      <c r="I424" s="412"/>
      <c r="J424" s="412"/>
      <c r="K424" s="412"/>
      <c r="L424" s="413"/>
      <c r="M424" s="412"/>
      <c r="N424" s="413"/>
      <c r="O424" s="413"/>
      <c r="P424" s="412"/>
      <c r="Q424" s="414"/>
      <c r="R424" s="414"/>
    </row>
    <row r="425">
      <c r="B425" s="374"/>
      <c r="C425" s="374"/>
      <c r="D425" s="412"/>
      <c r="E425" s="412"/>
      <c r="F425" s="412"/>
      <c r="G425" s="412"/>
      <c r="H425" s="412"/>
      <c r="I425" s="412"/>
      <c r="J425" s="412"/>
      <c r="K425" s="412"/>
      <c r="L425" s="413"/>
      <c r="M425" s="412"/>
      <c r="N425" s="413"/>
      <c r="O425" s="413"/>
      <c r="P425" s="412"/>
      <c r="Q425" s="414"/>
      <c r="R425" s="414"/>
    </row>
    <row r="426">
      <c r="B426" s="374"/>
      <c r="C426" s="374"/>
      <c r="D426" s="412"/>
      <c r="E426" s="412"/>
      <c r="F426" s="412"/>
      <c r="G426" s="412"/>
      <c r="H426" s="412"/>
      <c r="I426" s="412"/>
      <c r="J426" s="412"/>
      <c r="K426" s="412"/>
      <c r="L426" s="413"/>
      <c r="M426" s="412"/>
      <c r="N426" s="413"/>
      <c r="O426" s="413"/>
      <c r="P426" s="412"/>
      <c r="Q426" s="414"/>
      <c r="R426" s="414"/>
    </row>
    <row r="427">
      <c r="B427" s="374"/>
      <c r="C427" s="374"/>
      <c r="D427" s="412"/>
      <c r="E427" s="412"/>
      <c r="F427" s="412"/>
      <c r="G427" s="412"/>
      <c r="H427" s="412"/>
      <c r="I427" s="412"/>
      <c r="J427" s="412"/>
      <c r="K427" s="412"/>
      <c r="L427" s="413"/>
      <c r="M427" s="412"/>
      <c r="N427" s="413"/>
      <c r="O427" s="413"/>
      <c r="P427" s="412"/>
      <c r="Q427" s="414"/>
      <c r="R427" s="414"/>
    </row>
    <row r="428">
      <c r="B428" s="374"/>
      <c r="C428" s="374"/>
      <c r="D428" s="412"/>
      <c r="E428" s="412"/>
      <c r="F428" s="412"/>
      <c r="G428" s="412"/>
      <c r="H428" s="412"/>
      <c r="I428" s="412"/>
      <c r="J428" s="412"/>
      <c r="K428" s="412"/>
      <c r="L428" s="413"/>
      <c r="M428" s="412"/>
      <c r="N428" s="413"/>
      <c r="O428" s="413"/>
      <c r="P428" s="412"/>
      <c r="Q428" s="414"/>
      <c r="R428" s="414"/>
    </row>
    <row r="429">
      <c r="B429" s="374"/>
      <c r="C429" s="374"/>
      <c r="D429" s="412"/>
      <c r="E429" s="412"/>
      <c r="F429" s="412"/>
      <c r="G429" s="412"/>
      <c r="H429" s="412"/>
      <c r="I429" s="412"/>
      <c r="J429" s="412"/>
      <c r="K429" s="412"/>
      <c r="L429" s="413"/>
      <c r="M429" s="412"/>
      <c r="N429" s="413"/>
      <c r="O429" s="413"/>
      <c r="P429" s="412"/>
      <c r="Q429" s="414"/>
      <c r="R429" s="414"/>
    </row>
    <row r="430">
      <c r="B430" s="374"/>
      <c r="C430" s="374"/>
      <c r="D430" s="412"/>
      <c r="E430" s="412"/>
      <c r="F430" s="412"/>
      <c r="G430" s="412"/>
      <c r="H430" s="412"/>
      <c r="I430" s="412"/>
      <c r="J430" s="412"/>
      <c r="K430" s="412"/>
      <c r="L430" s="413"/>
      <c r="M430" s="412"/>
      <c r="N430" s="413"/>
      <c r="O430" s="413"/>
      <c r="P430" s="412"/>
      <c r="Q430" s="414"/>
      <c r="R430" s="414"/>
    </row>
    <row r="431">
      <c r="B431" s="374"/>
      <c r="C431" s="374"/>
      <c r="D431" s="412"/>
      <c r="E431" s="412"/>
      <c r="F431" s="412"/>
      <c r="G431" s="412"/>
      <c r="H431" s="412"/>
      <c r="I431" s="412"/>
      <c r="J431" s="412"/>
      <c r="K431" s="412"/>
      <c r="L431" s="413"/>
      <c r="M431" s="412"/>
      <c r="N431" s="413"/>
      <c r="O431" s="413"/>
      <c r="P431" s="412"/>
      <c r="Q431" s="414"/>
      <c r="R431" s="414"/>
    </row>
    <row r="432">
      <c r="B432" s="374"/>
      <c r="C432" s="374"/>
      <c r="D432" s="412"/>
      <c r="E432" s="412"/>
      <c r="F432" s="412"/>
      <c r="G432" s="412"/>
      <c r="H432" s="412"/>
      <c r="I432" s="412"/>
      <c r="J432" s="412"/>
      <c r="K432" s="412"/>
      <c r="L432" s="413"/>
      <c r="M432" s="412"/>
      <c r="N432" s="413"/>
      <c r="O432" s="413"/>
      <c r="P432" s="412"/>
      <c r="Q432" s="414"/>
      <c r="R432" s="414"/>
    </row>
    <row r="433">
      <c r="B433" s="374"/>
      <c r="C433" s="374"/>
      <c r="D433" s="412"/>
      <c r="E433" s="412"/>
      <c r="F433" s="412"/>
      <c r="G433" s="412"/>
      <c r="H433" s="412"/>
      <c r="I433" s="412"/>
      <c r="J433" s="412"/>
      <c r="K433" s="412"/>
      <c r="L433" s="413"/>
      <c r="M433" s="412"/>
      <c r="N433" s="413"/>
      <c r="O433" s="413"/>
      <c r="P433" s="412"/>
      <c r="Q433" s="414"/>
      <c r="R433" s="414"/>
    </row>
    <row r="434">
      <c r="B434" s="374"/>
      <c r="C434" s="374"/>
      <c r="D434" s="412"/>
      <c r="E434" s="412"/>
      <c r="F434" s="412"/>
      <c r="G434" s="412"/>
      <c r="H434" s="412"/>
      <c r="I434" s="412"/>
      <c r="J434" s="412"/>
      <c r="K434" s="412"/>
      <c r="L434" s="413"/>
      <c r="M434" s="412"/>
      <c r="N434" s="413"/>
      <c r="O434" s="413"/>
      <c r="P434" s="412"/>
      <c r="Q434" s="414"/>
      <c r="R434" s="414"/>
    </row>
    <row r="435">
      <c r="B435" s="374"/>
      <c r="C435" s="374"/>
      <c r="D435" s="412"/>
      <c r="E435" s="412"/>
      <c r="F435" s="412"/>
      <c r="G435" s="412"/>
      <c r="H435" s="412"/>
      <c r="I435" s="412"/>
      <c r="J435" s="412"/>
      <c r="K435" s="412"/>
      <c r="L435" s="413"/>
      <c r="M435" s="412"/>
      <c r="N435" s="413"/>
      <c r="O435" s="413"/>
      <c r="P435" s="412"/>
      <c r="Q435" s="414"/>
      <c r="R435" s="414"/>
    </row>
    <row r="436">
      <c r="B436" s="374"/>
      <c r="C436" s="374"/>
      <c r="D436" s="412"/>
      <c r="E436" s="412"/>
      <c r="F436" s="412"/>
      <c r="G436" s="412"/>
      <c r="H436" s="412"/>
      <c r="I436" s="412"/>
      <c r="J436" s="412"/>
      <c r="K436" s="412"/>
      <c r="L436" s="413"/>
      <c r="M436" s="412"/>
      <c r="N436" s="413"/>
      <c r="O436" s="413"/>
      <c r="P436" s="412"/>
      <c r="Q436" s="414"/>
      <c r="R436" s="414"/>
    </row>
    <row r="437">
      <c r="B437" s="374"/>
      <c r="C437" s="374"/>
      <c r="D437" s="412"/>
      <c r="E437" s="412"/>
      <c r="F437" s="412"/>
      <c r="G437" s="412"/>
      <c r="H437" s="412"/>
      <c r="I437" s="412"/>
      <c r="J437" s="412"/>
      <c r="K437" s="412"/>
      <c r="L437" s="413"/>
      <c r="M437" s="412"/>
      <c r="N437" s="413"/>
      <c r="O437" s="413"/>
      <c r="P437" s="412"/>
      <c r="Q437" s="414"/>
      <c r="R437" s="414"/>
    </row>
    <row r="438">
      <c r="B438" s="374"/>
      <c r="C438" s="374"/>
      <c r="D438" s="412"/>
      <c r="E438" s="412"/>
      <c r="F438" s="412"/>
      <c r="G438" s="412"/>
      <c r="H438" s="412"/>
      <c r="I438" s="412"/>
      <c r="J438" s="412"/>
      <c r="K438" s="412"/>
      <c r="L438" s="413"/>
      <c r="M438" s="412"/>
      <c r="N438" s="413"/>
      <c r="O438" s="413"/>
      <c r="P438" s="412"/>
      <c r="Q438" s="414"/>
      <c r="R438" s="414"/>
    </row>
    <row r="439">
      <c r="B439" s="374"/>
      <c r="C439" s="374"/>
      <c r="D439" s="412"/>
      <c r="E439" s="412"/>
      <c r="F439" s="412"/>
      <c r="G439" s="412"/>
      <c r="H439" s="412"/>
      <c r="I439" s="412"/>
      <c r="J439" s="412"/>
      <c r="K439" s="412"/>
      <c r="L439" s="413"/>
      <c r="M439" s="412"/>
      <c r="N439" s="413"/>
      <c r="O439" s="413"/>
      <c r="P439" s="412"/>
      <c r="Q439" s="414"/>
      <c r="R439" s="414"/>
    </row>
    <row r="440">
      <c r="B440" s="374"/>
      <c r="C440" s="374"/>
      <c r="D440" s="412"/>
      <c r="E440" s="412"/>
      <c r="F440" s="412"/>
      <c r="G440" s="412"/>
      <c r="H440" s="412"/>
      <c r="I440" s="412"/>
      <c r="J440" s="412"/>
      <c r="K440" s="412"/>
      <c r="L440" s="413"/>
      <c r="M440" s="412"/>
      <c r="N440" s="413"/>
      <c r="O440" s="413"/>
      <c r="P440" s="412"/>
      <c r="Q440" s="414"/>
      <c r="R440" s="414"/>
    </row>
    <row r="441">
      <c r="B441" s="374"/>
      <c r="C441" s="374"/>
      <c r="D441" s="412"/>
      <c r="E441" s="412"/>
      <c r="F441" s="412"/>
      <c r="G441" s="412"/>
      <c r="H441" s="412"/>
      <c r="I441" s="412"/>
      <c r="J441" s="412"/>
      <c r="K441" s="412"/>
      <c r="L441" s="413"/>
      <c r="M441" s="412"/>
      <c r="N441" s="413"/>
      <c r="O441" s="413"/>
      <c r="P441" s="412"/>
      <c r="Q441" s="414"/>
      <c r="R441" s="414"/>
    </row>
    <row r="442">
      <c r="B442" s="374"/>
      <c r="C442" s="374"/>
      <c r="D442" s="412"/>
      <c r="E442" s="412"/>
      <c r="F442" s="412"/>
      <c r="G442" s="412"/>
      <c r="H442" s="412"/>
      <c r="I442" s="412"/>
      <c r="J442" s="412"/>
      <c r="K442" s="412"/>
      <c r="L442" s="413"/>
      <c r="M442" s="412"/>
      <c r="N442" s="413"/>
      <c r="O442" s="413"/>
      <c r="P442" s="412"/>
      <c r="Q442" s="414"/>
      <c r="R442" s="414"/>
    </row>
    <row r="443">
      <c r="B443" s="374"/>
      <c r="C443" s="374"/>
      <c r="D443" s="412"/>
      <c r="E443" s="412"/>
      <c r="F443" s="412"/>
      <c r="G443" s="412"/>
      <c r="H443" s="412"/>
      <c r="I443" s="412"/>
      <c r="J443" s="412"/>
      <c r="K443" s="412"/>
      <c r="L443" s="413"/>
      <c r="M443" s="412"/>
      <c r="N443" s="413"/>
      <c r="O443" s="413"/>
      <c r="P443" s="412"/>
      <c r="Q443" s="414"/>
      <c r="R443" s="414"/>
    </row>
    <row r="444">
      <c r="B444" s="374"/>
      <c r="C444" s="374"/>
      <c r="D444" s="412"/>
      <c r="E444" s="412"/>
      <c r="F444" s="412"/>
      <c r="G444" s="412"/>
      <c r="H444" s="412"/>
      <c r="I444" s="412"/>
      <c r="J444" s="412"/>
      <c r="K444" s="412"/>
      <c r="L444" s="413"/>
      <c r="M444" s="412"/>
      <c r="N444" s="413"/>
      <c r="O444" s="413"/>
      <c r="P444" s="412"/>
      <c r="Q444" s="414"/>
      <c r="R444" s="414"/>
    </row>
    <row r="445">
      <c r="B445" s="374"/>
      <c r="C445" s="374"/>
      <c r="D445" s="412"/>
      <c r="E445" s="412"/>
      <c r="F445" s="412"/>
      <c r="G445" s="412"/>
      <c r="H445" s="412"/>
      <c r="I445" s="412"/>
      <c r="J445" s="412"/>
      <c r="K445" s="412"/>
      <c r="L445" s="413"/>
      <c r="M445" s="412"/>
      <c r="N445" s="413"/>
      <c r="O445" s="413"/>
      <c r="P445" s="412"/>
      <c r="Q445" s="414"/>
      <c r="R445" s="414"/>
    </row>
    <row r="446">
      <c r="B446" s="374"/>
      <c r="C446" s="374"/>
      <c r="D446" s="412"/>
      <c r="E446" s="412"/>
      <c r="F446" s="412"/>
      <c r="G446" s="412"/>
      <c r="H446" s="412"/>
      <c r="I446" s="412"/>
      <c r="J446" s="412"/>
      <c r="K446" s="412"/>
      <c r="L446" s="413"/>
      <c r="M446" s="412"/>
      <c r="N446" s="413"/>
      <c r="O446" s="413"/>
      <c r="P446" s="412"/>
      <c r="Q446" s="414"/>
      <c r="R446" s="414"/>
    </row>
    <row r="447">
      <c r="B447" s="374"/>
      <c r="C447" s="374"/>
      <c r="D447" s="412"/>
      <c r="E447" s="412"/>
      <c r="F447" s="412"/>
      <c r="G447" s="412"/>
      <c r="H447" s="412"/>
      <c r="I447" s="412"/>
      <c r="J447" s="412"/>
      <c r="K447" s="412"/>
      <c r="L447" s="413"/>
      <c r="M447" s="412"/>
      <c r="N447" s="413"/>
      <c r="O447" s="413"/>
      <c r="P447" s="412"/>
      <c r="Q447" s="414"/>
      <c r="R447" s="414"/>
    </row>
    <row r="448">
      <c r="B448" s="374"/>
      <c r="C448" s="374"/>
      <c r="D448" s="412"/>
      <c r="E448" s="412"/>
      <c r="F448" s="412"/>
      <c r="G448" s="412"/>
      <c r="H448" s="412"/>
      <c r="I448" s="412"/>
      <c r="J448" s="412"/>
      <c r="K448" s="412"/>
      <c r="L448" s="413"/>
      <c r="M448" s="412"/>
      <c r="N448" s="413"/>
      <c r="O448" s="413"/>
      <c r="P448" s="412"/>
      <c r="Q448" s="414"/>
      <c r="R448" s="414"/>
    </row>
    <row r="449">
      <c r="B449" s="374"/>
      <c r="C449" s="374"/>
      <c r="D449" s="412"/>
      <c r="E449" s="412"/>
      <c r="F449" s="412"/>
      <c r="G449" s="412"/>
      <c r="H449" s="412"/>
      <c r="I449" s="412"/>
      <c r="J449" s="412"/>
      <c r="K449" s="412"/>
      <c r="L449" s="413"/>
      <c r="M449" s="412"/>
      <c r="N449" s="413"/>
      <c r="O449" s="413"/>
      <c r="P449" s="412"/>
      <c r="Q449" s="414"/>
      <c r="R449" s="414"/>
    </row>
    <row r="450">
      <c r="B450" s="374"/>
      <c r="C450" s="374"/>
      <c r="D450" s="412"/>
      <c r="E450" s="412"/>
      <c r="F450" s="412"/>
      <c r="G450" s="412"/>
      <c r="H450" s="412"/>
      <c r="I450" s="412"/>
      <c r="J450" s="412"/>
      <c r="K450" s="412"/>
      <c r="L450" s="413"/>
      <c r="M450" s="412"/>
      <c r="N450" s="413"/>
      <c r="O450" s="413"/>
      <c r="P450" s="412"/>
      <c r="Q450" s="414"/>
      <c r="R450" s="414"/>
    </row>
    <row r="451">
      <c r="B451" s="374"/>
      <c r="C451" s="374"/>
      <c r="D451" s="412"/>
      <c r="E451" s="412"/>
      <c r="F451" s="412"/>
      <c r="G451" s="412"/>
      <c r="H451" s="412"/>
      <c r="I451" s="412"/>
      <c r="J451" s="412"/>
      <c r="K451" s="412"/>
      <c r="L451" s="413"/>
      <c r="M451" s="412"/>
      <c r="N451" s="413"/>
      <c r="O451" s="413"/>
      <c r="P451" s="412"/>
      <c r="Q451" s="414"/>
      <c r="R451" s="414"/>
    </row>
    <row r="452">
      <c r="B452" s="374"/>
      <c r="C452" s="374"/>
      <c r="D452" s="412"/>
      <c r="E452" s="412"/>
      <c r="F452" s="412"/>
      <c r="G452" s="412"/>
      <c r="H452" s="412"/>
      <c r="I452" s="412"/>
      <c r="J452" s="412"/>
      <c r="K452" s="412"/>
      <c r="L452" s="413"/>
      <c r="M452" s="412"/>
      <c r="N452" s="413"/>
      <c r="O452" s="413"/>
      <c r="P452" s="412"/>
      <c r="Q452" s="414"/>
      <c r="R452" s="414"/>
    </row>
    <row r="453">
      <c r="B453" s="374"/>
      <c r="C453" s="374"/>
      <c r="D453" s="412"/>
      <c r="E453" s="412"/>
      <c r="F453" s="412"/>
      <c r="G453" s="412"/>
      <c r="H453" s="412"/>
      <c r="I453" s="412"/>
      <c r="J453" s="412"/>
      <c r="K453" s="412"/>
      <c r="L453" s="413"/>
      <c r="M453" s="412"/>
      <c r="N453" s="413"/>
      <c r="O453" s="413"/>
      <c r="P453" s="412"/>
      <c r="Q453" s="414"/>
      <c r="R453" s="414"/>
    </row>
    <row r="454">
      <c r="B454" s="374"/>
      <c r="C454" s="374"/>
      <c r="D454" s="412"/>
      <c r="E454" s="412"/>
      <c r="F454" s="412"/>
      <c r="G454" s="412"/>
      <c r="H454" s="412"/>
      <c r="I454" s="412"/>
      <c r="J454" s="412"/>
      <c r="K454" s="412"/>
      <c r="L454" s="413"/>
      <c r="M454" s="412"/>
      <c r="N454" s="413"/>
      <c r="O454" s="413"/>
      <c r="P454" s="412"/>
      <c r="Q454" s="414"/>
      <c r="R454" s="414"/>
    </row>
    <row r="455">
      <c r="B455" s="374"/>
      <c r="C455" s="374"/>
      <c r="D455" s="412"/>
      <c r="E455" s="412"/>
      <c r="F455" s="412"/>
      <c r="G455" s="412"/>
      <c r="H455" s="412"/>
      <c r="I455" s="412"/>
      <c r="J455" s="412"/>
      <c r="K455" s="412"/>
      <c r="L455" s="413"/>
      <c r="M455" s="412"/>
      <c r="N455" s="413"/>
      <c r="O455" s="413"/>
      <c r="P455" s="412"/>
      <c r="Q455" s="414"/>
      <c r="R455" s="414"/>
    </row>
    <row r="456">
      <c r="B456" s="374"/>
      <c r="C456" s="374"/>
      <c r="D456" s="412"/>
      <c r="E456" s="412"/>
      <c r="F456" s="412"/>
      <c r="G456" s="412"/>
      <c r="H456" s="412"/>
      <c r="I456" s="412"/>
      <c r="J456" s="412"/>
      <c r="K456" s="412"/>
      <c r="L456" s="413"/>
      <c r="M456" s="412"/>
      <c r="N456" s="413"/>
      <c r="O456" s="413"/>
      <c r="P456" s="412"/>
      <c r="Q456" s="414"/>
      <c r="R456" s="414"/>
    </row>
    <row r="457">
      <c r="B457" s="374"/>
      <c r="C457" s="374"/>
      <c r="D457" s="412"/>
      <c r="E457" s="412"/>
      <c r="F457" s="412"/>
      <c r="G457" s="412"/>
      <c r="H457" s="412"/>
      <c r="I457" s="412"/>
      <c r="J457" s="412"/>
      <c r="K457" s="412"/>
      <c r="L457" s="413"/>
      <c r="M457" s="412"/>
      <c r="N457" s="413"/>
      <c r="O457" s="413"/>
      <c r="P457" s="412"/>
      <c r="Q457" s="414"/>
      <c r="R457" s="414"/>
    </row>
    <row r="458">
      <c r="B458" s="374"/>
      <c r="C458" s="374"/>
      <c r="D458" s="412"/>
      <c r="E458" s="412"/>
      <c r="F458" s="412"/>
      <c r="G458" s="412"/>
      <c r="H458" s="412"/>
      <c r="I458" s="412"/>
      <c r="J458" s="412"/>
      <c r="K458" s="412"/>
      <c r="L458" s="413"/>
      <c r="M458" s="412"/>
      <c r="N458" s="413"/>
      <c r="O458" s="413"/>
      <c r="P458" s="412"/>
      <c r="Q458" s="414"/>
      <c r="R458" s="414"/>
    </row>
    <row r="459">
      <c r="B459" s="374"/>
      <c r="C459" s="374"/>
      <c r="D459" s="412"/>
      <c r="E459" s="412"/>
      <c r="F459" s="412"/>
      <c r="G459" s="412"/>
      <c r="H459" s="412"/>
      <c r="I459" s="412"/>
      <c r="J459" s="412"/>
      <c r="K459" s="412"/>
      <c r="L459" s="413"/>
      <c r="M459" s="412"/>
      <c r="N459" s="413"/>
      <c r="O459" s="413"/>
      <c r="P459" s="412"/>
      <c r="Q459" s="414"/>
      <c r="R459" s="414"/>
    </row>
    <row r="460">
      <c r="B460" s="374"/>
      <c r="C460" s="374"/>
      <c r="D460" s="412"/>
      <c r="E460" s="412"/>
      <c r="F460" s="412"/>
      <c r="G460" s="412"/>
      <c r="H460" s="412"/>
      <c r="I460" s="412"/>
      <c r="J460" s="412"/>
      <c r="K460" s="412"/>
      <c r="L460" s="413"/>
      <c r="M460" s="412"/>
      <c r="N460" s="413"/>
      <c r="O460" s="413"/>
      <c r="P460" s="412"/>
      <c r="Q460" s="414"/>
      <c r="R460" s="414"/>
    </row>
    <row r="461">
      <c r="B461" s="374"/>
      <c r="C461" s="374"/>
      <c r="D461" s="412"/>
      <c r="E461" s="412"/>
      <c r="F461" s="412"/>
      <c r="G461" s="412"/>
      <c r="H461" s="412"/>
      <c r="I461" s="412"/>
      <c r="J461" s="412"/>
      <c r="K461" s="412"/>
      <c r="L461" s="413"/>
      <c r="M461" s="412"/>
      <c r="N461" s="413"/>
      <c r="O461" s="413"/>
      <c r="P461" s="412"/>
      <c r="Q461" s="414"/>
      <c r="R461" s="414"/>
    </row>
    <row r="462">
      <c r="B462" s="374"/>
      <c r="C462" s="374"/>
      <c r="D462" s="412"/>
      <c r="E462" s="412"/>
      <c r="F462" s="412"/>
      <c r="G462" s="412"/>
      <c r="H462" s="412"/>
      <c r="I462" s="412"/>
      <c r="J462" s="412"/>
      <c r="K462" s="412"/>
      <c r="L462" s="413"/>
      <c r="M462" s="412"/>
      <c r="N462" s="413"/>
      <c r="O462" s="413"/>
      <c r="P462" s="412"/>
      <c r="Q462" s="414"/>
      <c r="R462" s="414"/>
    </row>
    <row r="463">
      <c r="B463" s="374"/>
      <c r="C463" s="374"/>
      <c r="D463" s="412"/>
      <c r="E463" s="412"/>
      <c r="F463" s="412"/>
      <c r="G463" s="412"/>
      <c r="H463" s="412"/>
      <c r="I463" s="412"/>
      <c r="J463" s="412"/>
      <c r="K463" s="412"/>
      <c r="L463" s="413"/>
      <c r="M463" s="412"/>
      <c r="N463" s="413"/>
      <c r="O463" s="413"/>
      <c r="P463" s="412"/>
      <c r="Q463" s="414"/>
      <c r="R463" s="414"/>
    </row>
    <row r="464">
      <c r="B464" s="374"/>
      <c r="C464" s="374"/>
      <c r="D464" s="412"/>
      <c r="E464" s="412"/>
      <c r="F464" s="412"/>
      <c r="G464" s="412"/>
      <c r="H464" s="412"/>
      <c r="I464" s="412"/>
      <c r="J464" s="412"/>
      <c r="K464" s="412"/>
      <c r="L464" s="413"/>
      <c r="M464" s="412"/>
      <c r="N464" s="413"/>
      <c r="O464" s="413"/>
      <c r="P464" s="412"/>
      <c r="Q464" s="414"/>
      <c r="R464" s="414"/>
    </row>
    <row r="465">
      <c r="B465" s="374"/>
      <c r="C465" s="374"/>
      <c r="D465" s="412"/>
      <c r="E465" s="412"/>
      <c r="F465" s="412"/>
      <c r="G465" s="412"/>
      <c r="H465" s="412"/>
      <c r="I465" s="412"/>
      <c r="J465" s="412"/>
      <c r="K465" s="412"/>
      <c r="L465" s="413"/>
      <c r="M465" s="412"/>
      <c r="N465" s="413"/>
      <c r="O465" s="413"/>
      <c r="P465" s="412"/>
      <c r="Q465" s="414"/>
      <c r="R465" s="414"/>
    </row>
    <row r="466">
      <c r="B466" s="374"/>
      <c r="C466" s="374"/>
      <c r="D466" s="412"/>
      <c r="E466" s="412"/>
      <c r="F466" s="412"/>
      <c r="G466" s="412"/>
      <c r="H466" s="412"/>
      <c r="I466" s="412"/>
      <c r="J466" s="412"/>
      <c r="K466" s="412"/>
      <c r="L466" s="413"/>
      <c r="M466" s="412"/>
      <c r="N466" s="413"/>
      <c r="O466" s="413"/>
      <c r="P466" s="412"/>
      <c r="Q466" s="414"/>
      <c r="R466" s="414"/>
    </row>
    <row r="467">
      <c r="B467" s="374"/>
      <c r="C467" s="374"/>
      <c r="D467" s="412"/>
      <c r="E467" s="412"/>
      <c r="F467" s="412"/>
      <c r="G467" s="412"/>
      <c r="H467" s="412"/>
      <c r="I467" s="412"/>
      <c r="J467" s="412"/>
      <c r="K467" s="412"/>
      <c r="L467" s="413"/>
      <c r="M467" s="412"/>
      <c r="N467" s="413"/>
      <c r="O467" s="413"/>
      <c r="P467" s="412"/>
      <c r="Q467" s="414"/>
      <c r="R467" s="414"/>
    </row>
    <row r="468">
      <c r="B468" s="374"/>
      <c r="C468" s="374"/>
      <c r="D468" s="412"/>
      <c r="E468" s="412"/>
      <c r="F468" s="412"/>
      <c r="G468" s="412"/>
      <c r="H468" s="412"/>
      <c r="I468" s="412"/>
      <c r="J468" s="412"/>
      <c r="K468" s="412"/>
      <c r="L468" s="413"/>
      <c r="M468" s="412"/>
      <c r="N468" s="413"/>
      <c r="O468" s="413"/>
      <c r="P468" s="412"/>
      <c r="Q468" s="414"/>
      <c r="R468" s="414"/>
    </row>
    <row r="469">
      <c r="B469" s="374"/>
      <c r="C469" s="374"/>
      <c r="D469" s="412"/>
      <c r="E469" s="412"/>
      <c r="F469" s="412"/>
      <c r="G469" s="412"/>
      <c r="H469" s="412"/>
      <c r="I469" s="412"/>
      <c r="J469" s="412"/>
      <c r="K469" s="412"/>
      <c r="L469" s="413"/>
      <c r="M469" s="412"/>
      <c r="N469" s="413"/>
      <c r="O469" s="413"/>
      <c r="P469" s="412"/>
      <c r="Q469" s="414"/>
      <c r="R469" s="414"/>
    </row>
    <row r="470">
      <c r="B470" s="374"/>
      <c r="C470" s="374"/>
      <c r="D470" s="412"/>
      <c r="E470" s="412"/>
      <c r="F470" s="412"/>
      <c r="G470" s="412"/>
      <c r="H470" s="412"/>
      <c r="I470" s="412"/>
      <c r="J470" s="412"/>
      <c r="K470" s="412"/>
      <c r="L470" s="413"/>
      <c r="M470" s="412"/>
      <c r="N470" s="413"/>
      <c r="O470" s="413"/>
      <c r="P470" s="412"/>
      <c r="Q470" s="414"/>
      <c r="R470" s="414"/>
    </row>
    <row r="471">
      <c r="B471" s="374"/>
      <c r="C471" s="374"/>
      <c r="D471" s="412"/>
      <c r="E471" s="412"/>
      <c r="F471" s="412"/>
      <c r="G471" s="412"/>
      <c r="H471" s="412"/>
      <c r="I471" s="412"/>
      <c r="J471" s="412"/>
      <c r="K471" s="412"/>
      <c r="L471" s="413"/>
      <c r="M471" s="412"/>
      <c r="N471" s="413"/>
      <c r="O471" s="413"/>
      <c r="P471" s="412"/>
      <c r="Q471" s="414"/>
      <c r="R471" s="414"/>
    </row>
    <row r="472">
      <c r="B472" s="374"/>
      <c r="C472" s="374"/>
      <c r="D472" s="412"/>
      <c r="E472" s="412"/>
      <c r="F472" s="412"/>
      <c r="G472" s="412"/>
      <c r="H472" s="412"/>
      <c r="I472" s="412"/>
      <c r="J472" s="412"/>
      <c r="K472" s="412"/>
      <c r="L472" s="413"/>
      <c r="M472" s="412"/>
      <c r="N472" s="413"/>
      <c r="O472" s="413"/>
      <c r="P472" s="412"/>
      <c r="Q472" s="414"/>
      <c r="R472" s="414"/>
    </row>
    <row r="473">
      <c r="B473" s="374"/>
      <c r="C473" s="374"/>
      <c r="D473" s="412"/>
      <c r="E473" s="412"/>
      <c r="F473" s="412"/>
      <c r="G473" s="412"/>
      <c r="H473" s="412"/>
      <c r="I473" s="412"/>
      <c r="J473" s="412"/>
      <c r="K473" s="412"/>
      <c r="L473" s="413"/>
      <c r="M473" s="412"/>
      <c r="N473" s="413"/>
      <c r="O473" s="413"/>
      <c r="P473" s="412"/>
      <c r="Q473" s="414"/>
      <c r="R473" s="414"/>
    </row>
    <row r="474">
      <c r="B474" s="374"/>
      <c r="C474" s="374"/>
      <c r="D474" s="412"/>
      <c r="E474" s="412"/>
      <c r="F474" s="412"/>
      <c r="G474" s="412"/>
      <c r="H474" s="412"/>
      <c r="I474" s="412"/>
      <c r="J474" s="412"/>
      <c r="K474" s="412"/>
      <c r="L474" s="413"/>
      <c r="M474" s="412"/>
      <c r="N474" s="413"/>
      <c r="O474" s="413"/>
      <c r="P474" s="412"/>
      <c r="Q474" s="414"/>
      <c r="R474" s="414"/>
    </row>
    <row r="475">
      <c r="B475" s="374"/>
      <c r="C475" s="374"/>
      <c r="D475" s="412"/>
      <c r="E475" s="412"/>
      <c r="F475" s="412"/>
      <c r="G475" s="412"/>
      <c r="H475" s="412"/>
      <c r="I475" s="412"/>
      <c r="J475" s="412"/>
      <c r="K475" s="412"/>
      <c r="L475" s="413"/>
      <c r="M475" s="412"/>
      <c r="N475" s="413"/>
      <c r="O475" s="413"/>
      <c r="P475" s="412"/>
      <c r="Q475" s="414"/>
      <c r="R475" s="414"/>
    </row>
    <row r="476">
      <c r="B476" s="374"/>
      <c r="C476" s="374"/>
      <c r="D476" s="412"/>
      <c r="E476" s="412"/>
      <c r="F476" s="412"/>
      <c r="G476" s="412"/>
      <c r="H476" s="412"/>
      <c r="I476" s="412"/>
      <c r="J476" s="412"/>
      <c r="K476" s="412"/>
      <c r="L476" s="413"/>
      <c r="M476" s="412"/>
      <c r="N476" s="413"/>
      <c r="O476" s="413"/>
      <c r="P476" s="412"/>
      <c r="Q476" s="414"/>
      <c r="R476" s="414"/>
    </row>
    <row r="477">
      <c r="B477" s="374"/>
      <c r="C477" s="374"/>
      <c r="D477" s="412"/>
      <c r="E477" s="412"/>
      <c r="F477" s="412"/>
      <c r="G477" s="412"/>
      <c r="H477" s="412"/>
      <c r="I477" s="412"/>
      <c r="J477" s="412"/>
      <c r="K477" s="412"/>
      <c r="L477" s="413"/>
      <c r="M477" s="412"/>
      <c r="N477" s="413"/>
      <c r="O477" s="413"/>
      <c r="P477" s="412"/>
      <c r="Q477" s="414"/>
      <c r="R477" s="414"/>
    </row>
    <row r="478">
      <c r="B478" s="374"/>
      <c r="C478" s="374"/>
      <c r="D478" s="412"/>
      <c r="E478" s="412"/>
      <c r="F478" s="412"/>
      <c r="G478" s="412"/>
      <c r="H478" s="412"/>
      <c r="I478" s="412"/>
      <c r="J478" s="412"/>
      <c r="K478" s="412"/>
      <c r="L478" s="413"/>
      <c r="M478" s="412"/>
      <c r="N478" s="413"/>
      <c r="O478" s="413"/>
      <c r="P478" s="412"/>
      <c r="Q478" s="414"/>
      <c r="R478" s="414"/>
    </row>
    <row r="479">
      <c r="B479" s="374"/>
      <c r="C479" s="374"/>
      <c r="D479" s="412"/>
      <c r="E479" s="412"/>
      <c r="F479" s="412"/>
      <c r="G479" s="412"/>
      <c r="H479" s="412"/>
      <c r="I479" s="412"/>
      <c r="J479" s="412"/>
      <c r="K479" s="412"/>
      <c r="L479" s="413"/>
      <c r="M479" s="412"/>
      <c r="N479" s="413"/>
      <c r="O479" s="413"/>
      <c r="P479" s="412"/>
      <c r="Q479" s="414"/>
      <c r="R479" s="414"/>
    </row>
    <row r="480">
      <c r="B480" s="374"/>
      <c r="C480" s="374"/>
      <c r="D480" s="412"/>
      <c r="E480" s="412"/>
      <c r="F480" s="412"/>
      <c r="G480" s="412"/>
      <c r="H480" s="412"/>
      <c r="I480" s="412"/>
      <c r="J480" s="412"/>
      <c r="K480" s="412"/>
      <c r="L480" s="413"/>
      <c r="M480" s="412"/>
      <c r="N480" s="413"/>
      <c r="O480" s="413"/>
      <c r="P480" s="412"/>
      <c r="Q480" s="414"/>
      <c r="R480" s="414"/>
    </row>
    <row r="481">
      <c r="B481" s="374"/>
      <c r="C481" s="374"/>
      <c r="D481" s="412"/>
      <c r="E481" s="412"/>
      <c r="F481" s="412"/>
      <c r="G481" s="412"/>
      <c r="H481" s="412"/>
      <c r="I481" s="412"/>
      <c r="J481" s="412"/>
      <c r="K481" s="412"/>
      <c r="L481" s="413"/>
      <c r="M481" s="412"/>
      <c r="N481" s="413"/>
      <c r="O481" s="413"/>
      <c r="P481" s="412"/>
      <c r="Q481" s="414"/>
      <c r="R481" s="414"/>
    </row>
    <row r="482">
      <c r="B482" s="374"/>
      <c r="C482" s="374"/>
      <c r="D482" s="412"/>
      <c r="E482" s="412"/>
      <c r="F482" s="412"/>
      <c r="G482" s="412"/>
      <c r="H482" s="412"/>
      <c r="I482" s="412"/>
      <c r="J482" s="412"/>
      <c r="K482" s="412"/>
      <c r="L482" s="413"/>
      <c r="M482" s="412"/>
      <c r="N482" s="413"/>
      <c r="O482" s="413"/>
      <c r="P482" s="412"/>
      <c r="Q482" s="414"/>
      <c r="R482" s="414"/>
    </row>
    <row r="483">
      <c r="B483" s="374"/>
      <c r="C483" s="374"/>
      <c r="D483" s="412"/>
      <c r="E483" s="412"/>
      <c r="F483" s="412"/>
      <c r="G483" s="412"/>
      <c r="H483" s="412"/>
      <c r="I483" s="412"/>
      <c r="J483" s="412"/>
      <c r="K483" s="412"/>
      <c r="L483" s="413"/>
      <c r="M483" s="412"/>
      <c r="N483" s="413"/>
      <c r="O483" s="413"/>
      <c r="P483" s="412"/>
      <c r="Q483" s="414"/>
      <c r="R483" s="414"/>
    </row>
    <row r="484">
      <c r="B484" s="374"/>
      <c r="C484" s="374"/>
      <c r="D484" s="412"/>
      <c r="E484" s="412"/>
      <c r="F484" s="412"/>
      <c r="G484" s="412"/>
      <c r="H484" s="412"/>
      <c r="I484" s="412"/>
      <c r="J484" s="412"/>
      <c r="K484" s="412"/>
      <c r="L484" s="413"/>
      <c r="M484" s="412"/>
      <c r="N484" s="413"/>
      <c r="O484" s="413"/>
      <c r="P484" s="412"/>
      <c r="Q484" s="414"/>
      <c r="R484" s="414"/>
    </row>
    <row r="485">
      <c r="B485" s="374"/>
      <c r="C485" s="374"/>
      <c r="D485" s="412"/>
      <c r="E485" s="412"/>
      <c r="F485" s="412"/>
      <c r="G485" s="412"/>
      <c r="H485" s="412"/>
      <c r="I485" s="412"/>
      <c r="J485" s="412"/>
      <c r="K485" s="412"/>
      <c r="L485" s="413"/>
      <c r="M485" s="412"/>
      <c r="N485" s="413"/>
      <c r="O485" s="413"/>
      <c r="P485" s="412"/>
      <c r="Q485" s="414"/>
      <c r="R485" s="414"/>
    </row>
    <row r="486">
      <c r="B486" s="374"/>
      <c r="C486" s="374"/>
      <c r="D486" s="412"/>
      <c r="E486" s="412"/>
      <c r="F486" s="412"/>
      <c r="G486" s="412"/>
      <c r="H486" s="412"/>
      <c r="I486" s="412"/>
      <c r="J486" s="412"/>
      <c r="K486" s="412"/>
      <c r="L486" s="413"/>
      <c r="M486" s="412"/>
      <c r="N486" s="413"/>
      <c r="O486" s="413"/>
      <c r="P486" s="412"/>
      <c r="Q486" s="414"/>
      <c r="R486" s="414"/>
    </row>
    <row r="487">
      <c r="B487" s="374"/>
      <c r="C487" s="374"/>
      <c r="D487" s="412"/>
      <c r="E487" s="412"/>
      <c r="F487" s="412"/>
      <c r="G487" s="412"/>
      <c r="H487" s="412"/>
      <c r="I487" s="412"/>
      <c r="J487" s="412"/>
      <c r="K487" s="412"/>
      <c r="L487" s="413"/>
      <c r="M487" s="412"/>
      <c r="N487" s="413"/>
      <c r="O487" s="413"/>
      <c r="P487" s="412"/>
      <c r="Q487" s="414"/>
      <c r="R487" s="414"/>
    </row>
    <row r="488">
      <c r="B488" s="374"/>
      <c r="C488" s="374"/>
      <c r="D488" s="412"/>
      <c r="E488" s="412"/>
      <c r="F488" s="412"/>
      <c r="G488" s="412"/>
      <c r="H488" s="412"/>
      <c r="I488" s="412"/>
      <c r="J488" s="412"/>
      <c r="K488" s="412"/>
      <c r="L488" s="413"/>
      <c r="M488" s="412"/>
      <c r="N488" s="413"/>
      <c r="O488" s="413"/>
      <c r="P488" s="412"/>
      <c r="Q488" s="414"/>
      <c r="R488" s="414"/>
    </row>
    <row r="489">
      <c r="B489" s="374"/>
      <c r="C489" s="374"/>
      <c r="D489" s="412"/>
      <c r="E489" s="412"/>
      <c r="F489" s="412"/>
      <c r="G489" s="412"/>
      <c r="H489" s="412"/>
      <c r="I489" s="412"/>
      <c r="J489" s="412"/>
      <c r="K489" s="412"/>
      <c r="L489" s="413"/>
      <c r="M489" s="412"/>
      <c r="N489" s="413"/>
      <c r="O489" s="413"/>
      <c r="P489" s="412"/>
      <c r="Q489" s="414"/>
      <c r="R489" s="414"/>
    </row>
    <row r="490">
      <c r="B490" s="374"/>
      <c r="C490" s="374"/>
      <c r="D490" s="412"/>
      <c r="E490" s="412"/>
      <c r="F490" s="412"/>
      <c r="G490" s="412"/>
      <c r="H490" s="412"/>
      <c r="I490" s="412"/>
      <c r="J490" s="412"/>
      <c r="K490" s="412"/>
      <c r="L490" s="413"/>
      <c r="M490" s="412"/>
      <c r="N490" s="413"/>
      <c r="O490" s="413"/>
      <c r="P490" s="412"/>
      <c r="Q490" s="414"/>
      <c r="R490" s="414"/>
    </row>
    <row r="491">
      <c r="B491" s="374"/>
      <c r="C491" s="374"/>
      <c r="D491" s="412"/>
      <c r="E491" s="412"/>
      <c r="F491" s="412"/>
      <c r="G491" s="412"/>
      <c r="H491" s="412"/>
      <c r="I491" s="412"/>
      <c r="J491" s="412"/>
      <c r="K491" s="412"/>
      <c r="L491" s="413"/>
      <c r="M491" s="412"/>
      <c r="N491" s="413"/>
      <c r="O491" s="413"/>
      <c r="P491" s="412"/>
      <c r="Q491" s="414"/>
      <c r="R491" s="414"/>
    </row>
    <row r="492">
      <c r="B492" s="374"/>
      <c r="C492" s="374"/>
      <c r="D492" s="412"/>
      <c r="E492" s="412"/>
      <c r="F492" s="412"/>
      <c r="G492" s="412"/>
      <c r="H492" s="412"/>
      <c r="I492" s="412"/>
      <c r="J492" s="412"/>
      <c r="K492" s="412"/>
      <c r="L492" s="413"/>
      <c r="M492" s="412"/>
      <c r="N492" s="413"/>
      <c r="O492" s="413"/>
      <c r="P492" s="412"/>
      <c r="Q492" s="414"/>
      <c r="R492" s="414"/>
    </row>
    <row r="493">
      <c r="B493" s="374"/>
      <c r="C493" s="374"/>
      <c r="D493" s="412"/>
      <c r="E493" s="412"/>
      <c r="F493" s="412"/>
      <c r="G493" s="412"/>
      <c r="H493" s="412"/>
      <c r="I493" s="412"/>
      <c r="J493" s="412"/>
      <c r="K493" s="412"/>
      <c r="L493" s="413"/>
      <c r="M493" s="412"/>
      <c r="N493" s="413"/>
      <c r="O493" s="413"/>
      <c r="P493" s="412"/>
      <c r="Q493" s="414"/>
      <c r="R493" s="414"/>
    </row>
    <row r="494">
      <c r="B494" s="374"/>
      <c r="C494" s="374"/>
      <c r="D494" s="412"/>
      <c r="E494" s="412"/>
      <c r="F494" s="412"/>
      <c r="G494" s="412"/>
      <c r="H494" s="412"/>
      <c r="I494" s="412"/>
      <c r="J494" s="412"/>
      <c r="K494" s="412"/>
      <c r="L494" s="413"/>
      <c r="M494" s="412"/>
      <c r="N494" s="413"/>
      <c r="O494" s="413"/>
      <c r="P494" s="412"/>
      <c r="Q494" s="414"/>
      <c r="R494" s="414"/>
    </row>
    <row r="495">
      <c r="B495" s="374"/>
      <c r="C495" s="374"/>
      <c r="D495" s="412"/>
      <c r="E495" s="412"/>
      <c r="F495" s="412"/>
      <c r="G495" s="412"/>
      <c r="H495" s="412"/>
      <c r="I495" s="412"/>
      <c r="J495" s="412"/>
      <c r="K495" s="412"/>
      <c r="L495" s="413"/>
      <c r="M495" s="412"/>
      <c r="N495" s="413"/>
      <c r="O495" s="413"/>
      <c r="P495" s="412"/>
      <c r="Q495" s="414"/>
      <c r="R495" s="414"/>
    </row>
    <row r="496">
      <c r="B496" s="374"/>
      <c r="C496" s="374"/>
      <c r="D496" s="412"/>
      <c r="E496" s="412"/>
      <c r="F496" s="412"/>
      <c r="G496" s="412"/>
      <c r="H496" s="412"/>
      <c r="I496" s="412"/>
      <c r="J496" s="412"/>
      <c r="K496" s="412"/>
      <c r="L496" s="413"/>
      <c r="M496" s="412"/>
      <c r="N496" s="413"/>
      <c r="O496" s="413"/>
      <c r="P496" s="412"/>
      <c r="Q496" s="414"/>
      <c r="R496" s="414"/>
    </row>
    <row r="497">
      <c r="B497" s="374"/>
      <c r="C497" s="374"/>
      <c r="D497" s="412"/>
      <c r="E497" s="412"/>
      <c r="F497" s="412"/>
      <c r="G497" s="412"/>
      <c r="H497" s="412"/>
      <c r="I497" s="412"/>
      <c r="J497" s="412"/>
      <c r="K497" s="412"/>
      <c r="L497" s="413"/>
      <c r="M497" s="412"/>
      <c r="N497" s="413"/>
      <c r="O497" s="413"/>
      <c r="P497" s="412"/>
      <c r="Q497" s="414"/>
      <c r="R497" s="414"/>
    </row>
    <row r="498">
      <c r="B498" s="374"/>
      <c r="C498" s="374"/>
      <c r="D498" s="412"/>
      <c r="E498" s="412"/>
      <c r="F498" s="412"/>
      <c r="G498" s="412"/>
      <c r="H498" s="412"/>
      <c r="I498" s="412"/>
      <c r="J498" s="412"/>
      <c r="K498" s="412"/>
      <c r="L498" s="413"/>
      <c r="M498" s="412"/>
      <c r="N498" s="413"/>
      <c r="O498" s="413"/>
      <c r="P498" s="412"/>
      <c r="Q498" s="414"/>
      <c r="R498" s="414"/>
    </row>
    <row r="499">
      <c r="B499" s="374"/>
      <c r="C499" s="374"/>
      <c r="D499" s="412"/>
      <c r="E499" s="412"/>
      <c r="F499" s="412"/>
      <c r="G499" s="412"/>
      <c r="H499" s="412"/>
      <c r="I499" s="412"/>
      <c r="J499" s="412"/>
      <c r="K499" s="412"/>
      <c r="L499" s="413"/>
      <c r="M499" s="412"/>
      <c r="N499" s="413"/>
      <c r="O499" s="413"/>
      <c r="P499" s="412"/>
      <c r="Q499" s="414"/>
      <c r="R499" s="414"/>
    </row>
    <row r="500">
      <c r="B500" s="374"/>
      <c r="C500" s="374"/>
      <c r="D500" s="412"/>
      <c r="E500" s="412"/>
      <c r="F500" s="412"/>
      <c r="G500" s="412"/>
      <c r="H500" s="412"/>
      <c r="I500" s="412"/>
      <c r="J500" s="412"/>
      <c r="K500" s="412"/>
      <c r="L500" s="413"/>
      <c r="M500" s="412"/>
      <c r="N500" s="413"/>
      <c r="O500" s="413"/>
      <c r="P500" s="412"/>
      <c r="Q500" s="414"/>
      <c r="R500" s="414"/>
    </row>
    <row r="501">
      <c r="B501" s="374"/>
      <c r="C501" s="374"/>
      <c r="D501" s="412"/>
      <c r="E501" s="412"/>
      <c r="F501" s="412"/>
      <c r="G501" s="412"/>
      <c r="H501" s="412"/>
      <c r="I501" s="412"/>
      <c r="J501" s="412"/>
      <c r="K501" s="412"/>
      <c r="L501" s="413"/>
      <c r="M501" s="412"/>
      <c r="N501" s="413"/>
      <c r="O501" s="413"/>
      <c r="P501" s="412"/>
      <c r="Q501" s="414"/>
      <c r="R501" s="414"/>
    </row>
    <row r="502">
      <c r="B502" s="374"/>
      <c r="C502" s="374"/>
      <c r="D502" s="412"/>
      <c r="E502" s="412"/>
      <c r="F502" s="412"/>
      <c r="G502" s="412"/>
      <c r="H502" s="412"/>
      <c r="I502" s="412"/>
      <c r="J502" s="412"/>
      <c r="K502" s="412"/>
      <c r="L502" s="413"/>
      <c r="M502" s="412"/>
      <c r="N502" s="413"/>
      <c r="O502" s="413"/>
      <c r="P502" s="412"/>
      <c r="Q502" s="414"/>
      <c r="R502" s="414"/>
    </row>
    <row r="503">
      <c r="B503" s="374"/>
      <c r="C503" s="374"/>
      <c r="D503" s="412"/>
      <c r="E503" s="412"/>
      <c r="F503" s="412"/>
      <c r="G503" s="412"/>
      <c r="H503" s="412"/>
      <c r="I503" s="412"/>
      <c r="J503" s="412"/>
      <c r="K503" s="412"/>
      <c r="L503" s="413"/>
      <c r="M503" s="412"/>
      <c r="N503" s="413"/>
      <c r="O503" s="413"/>
      <c r="P503" s="412"/>
      <c r="Q503" s="414"/>
      <c r="R503" s="414"/>
    </row>
    <row r="504">
      <c r="B504" s="374"/>
      <c r="C504" s="374"/>
      <c r="D504" s="412"/>
      <c r="E504" s="412"/>
      <c r="F504" s="412"/>
      <c r="G504" s="412"/>
      <c r="H504" s="412"/>
      <c r="I504" s="412"/>
      <c r="J504" s="412"/>
      <c r="K504" s="412"/>
      <c r="L504" s="413"/>
      <c r="M504" s="412"/>
      <c r="N504" s="413"/>
      <c r="O504" s="413"/>
      <c r="P504" s="412"/>
      <c r="Q504" s="414"/>
      <c r="R504" s="414"/>
    </row>
    <row r="505">
      <c r="B505" s="374"/>
      <c r="C505" s="374"/>
      <c r="D505" s="412"/>
      <c r="E505" s="412"/>
      <c r="F505" s="412"/>
      <c r="G505" s="412"/>
      <c r="H505" s="412"/>
      <c r="I505" s="412"/>
      <c r="J505" s="412"/>
      <c r="K505" s="412"/>
      <c r="L505" s="413"/>
      <c r="M505" s="412"/>
      <c r="N505" s="413"/>
      <c r="O505" s="413"/>
      <c r="P505" s="412"/>
      <c r="Q505" s="414"/>
      <c r="R505" s="414"/>
    </row>
    <row r="506">
      <c r="B506" s="374"/>
      <c r="C506" s="374"/>
      <c r="D506" s="412"/>
      <c r="E506" s="412"/>
      <c r="F506" s="412"/>
      <c r="G506" s="412"/>
      <c r="H506" s="412"/>
      <c r="I506" s="412"/>
      <c r="J506" s="412"/>
      <c r="K506" s="412"/>
      <c r="L506" s="413"/>
      <c r="M506" s="412"/>
      <c r="N506" s="413"/>
      <c r="O506" s="413"/>
      <c r="P506" s="412"/>
      <c r="Q506" s="414"/>
      <c r="R506" s="414"/>
    </row>
    <row r="507">
      <c r="B507" s="374"/>
      <c r="C507" s="374"/>
      <c r="D507" s="412"/>
      <c r="E507" s="412"/>
      <c r="F507" s="412"/>
      <c r="G507" s="412"/>
      <c r="H507" s="412"/>
      <c r="I507" s="412"/>
      <c r="J507" s="412"/>
      <c r="K507" s="412"/>
      <c r="L507" s="413"/>
      <c r="M507" s="412"/>
      <c r="N507" s="413"/>
      <c r="O507" s="413"/>
      <c r="P507" s="412"/>
      <c r="Q507" s="414"/>
      <c r="R507" s="414"/>
    </row>
    <row r="508">
      <c r="B508" s="374"/>
      <c r="C508" s="374"/>
      <c r="D508" s="412"/>
      <c r="E508" s="412"/>
      <c r="F508" s="412"/>
      <c r="G508" s="412"/>
      <c r="H508" s="412"/>
      <c r="I508" s="412"/>
      <c r="J508" s="412"/>
      <c r="K508" s="412"/>
      <c r="L508" s="413"/>
      <c r="M508" s="412"/>
      <c r="N508" s="413"/>
      <c r="O508" s="413"/>
      <c r="P508" s="412"/>
      <c r="Q508" s="414"/>
      <c r="R508" s="414"/>
    </row>
    <row r="509">
      <c r="B509" s="374"/>
      <c r="C509" s="374"/>
      <c r="D509" s="412"/>
      <c r="E509" s="412"/>
      <c r="F509" s="412"/>
      <c r="G509" s="412"/>
      <c r="H509" s="412"/>
      <c r="I509" s="412"/>
      <c r="J509" s="412"/>
      <c r="K509" s="412"/>
      <c r="L509" s="413"/>
      <c r="M509" s="412"/>
      <c r="N509" s="413"/>
      <c r="O509" s="413"/>
      <c r="P509" s="412"/>
      <c r="Q509" s="414"/>
      <c r="R509" s="414"/>
    </row>
    <row r="510">
      <c r="B510" s="374"/>
      <c r="C510" s="374"/>
      <c r="D510" s="412"/>
      <c r="E510" s="412"/>
      <c r="F510" s="412"/>
      <c r="G510" s="412"/>
      <c r="H510" s="412"/>
      <c r="I510" s="412"/>
      <c r="J510" s="412"/>
      <c r="K510" s="412"/>
      <c r="L510" s="413"/>
      <c r="M510" s="412"/>
      <c r="N510" s="413"/>
      <c r="O510" s="413"/>
      <c r="P510" s="412"/>
      <c r="Q510" s="414"/>
      <c r="R510" s="414"/>
    </row>
    <row r="511">
      <c r="B511" s="374"/>
      <c r="C511" s="374"/>
      <c r="D511" s="412"/>
      <c r="E511" s="412"/>
      <c r="F511" s="412"/>
      <c r="G511" s="412"/>
      <c r="H511" s="412"/>
      <c r="I511" s="412"/>
      <c r="J511" s="412"/>
      <c r="K511" s="412"/>
      <c r="L511" s="413"/>
      <c r="M511" s="412"/>
      <c r="N511" s="413"/>
      <c r="O511" s="413"/>
      <c r="P511" s="412"/>
      <c r="Q511" s="414"/>
      <c r="R511" s="414"/>
    </row>
    <row r="512">
      <c r="B512" s="374"/>
      <c r="C512" s="374"/>
      <c r="D512" s="412"/>
      <c r="E512" s="412"/>
      <c r="F512" s="412"/>
      <c r="G512" s="412"/>
      <c r="H512" s="412"/>
      <c r="I512" s="412"/>
      <c r="J512" s="412"/>
      <c r="K512" s="412"/>
      <c r="L512" s="413"/>
      <c r="M512" s="412"/>
      <c r="N512" s="413"/>
      <c r="O512" s="413"/>
      <c r="P512" s="412"/>
      <c r="Q512" s="414"/>
      <c r="R512" s="414"/>
    </row>
    <row r="513">
      <c r="B513" s="374"/>
      <c r="C513" s="374"/>
      <c r="D513" s="412"/>
      <c r="E513" s="412"/>
      <c r="F513" s="412"/>
      <c r="G513" s="412"/>
      <c r="H513" s="412"/>
      <c r="I513" s="412"/>
      <c r="J513" s="412"/>
      <c r="K513" s="412"/>
      <c r="L513" s="413"/>
      <c r="M513" s="412"/>
      <c r="N513" s="413"/>
      <c r="O513" s="413"/>
      <c r="P513" s="412"/>
      <c r="Q513" s="414"/>
      <c r="R513" s="414"/>
    </row>
    <row r="514">
      <c r="B514" s="374"/>
      <c r="C514" s="374"/>
      <c r="D514" s="412"/>
      <c r="E514" s="412"/>
      <c r="F514" s="412"/>
      <c r="G514" s="412"/>
      <c r="H514" s="412"/>
      <c r="I514" s="412"/>
      <c r="J514" s="412"/>
      <c r="K514" s="412"/>
      <c r="L514" s="413"/>
      <c r="M514" s="412"/>
      <c r="N514" s="413"/>
      <c r="O514" s="413"/>
      <c r="P514" s="412"/>
      <c r="Q514" s="414"/>
      <c r="R514" s="414"/>
    </row>
    <row r="515">
      <c r="B515" s="374"/>
      <c r="C515" s="374"/>
      <c r="D515" s="412"/>
      <c r="E515" s="412"/>
      <c r="F515" s="412"/>
      <c r="G515" s="412"/>
      <c r="H515" s="412"/>
      <c r="I515" s="412"/>
      <c r="J515" s="412"/>
      <c r="K515" s="412"/>
      <c r="L515" s="413"/>
      <c r="M515" s="412"/>
      <c r="N515" s="413"/>
      <c r="O515" s="413"/>
      <c r="P515" s="412"/>
      <c r="Q515" s="414"/>
      <c r="R515" s="414"/>
    </row>
    <row r="516">
      <c r="B516" s="374"/>
      <c r="C516" s="374"/>
      <c r="D516" s="412"/>
      <c r="E516" s="412"/>
      <c r="F516" s="412"/>
      <c r="G516" s="412"/>
      <c r="H516" s="412"/>
      <c r="I516" s="412"/>
      <c r="J516" s="412"/>
      <c r="K516" s="412"/>
      <c r="L516" s="413"/>
      <c r="M516" s="412"/>
      <c r="N516" s="413"/>
      <c r="O516" s="413"/>
      <c r="P516" s="412"/>
      <c r="Q516" s="414"/>
      <c r="R516" s="414"/>
    </row>
    <row r="517">
      <c r="B517" s="374"/>
      <c r="C517" s="374"/>
      <c r="D517" s="412"/>
      <c r="E517" s="412"/>
      <c r="F517" s="412"/>
      <c r="G517" s="412"/>
      <c r="H517" s="412"/>
      <c r="I517" s="412"/>
      <c r="J517" s="412"/>
      <c r="K517" s="412"/>
      <c r="L517" s="413"/>
      <c r="M517" s="412"/>
      <c r="N517" s="413"/>
      <c r="O517" s="413"/>
      <c r="P517" s="412"/>
      <c r="Q517" s="414"/>
      <c r="R517" s="414"/>
    </row>
    <row r="518">
      <c r="B518" s="374"/>
      <c r="C518" s="374"/>
      <c r="D518" s="412"/>
      <c r="E518" s="412"/>
      <c r="F518" s="412"/>
      <c r="G518" s="412"/>
      <c r="H518" s="412"/>
      <c r="I518" s="412"/>
      <c r="J518" s="412"/>
      <c r="K518" s="412"/>
      <c r="L518" s="413"/>
      <c r="M518" s="412"/>
      <c r="N518" s="413"/>
      <c r="O518" s="413"/>
      <c r="P518" s="412"/>
      <c r="Q518" s="414"/>
      <c r="R518" s="414"/>
    </row>
    <row r="519">
      <c r="B519" s="374"/>
      <c r="C519" s="374"/>
      <c r="D519" s="412"/>
      <c r="E519" s="412"/>
      <c r="F519" s="412"/>
      <c r="G519" s="412"/>
      <c r="H519" s="412"/>
      <c r="I519" s="412"/>
      <c r="J519" s="412"/>
      <c r="K519" s="412"/>
      <c r="L519" s="413"/>
      <c r="M519" s="412"/>
      <c r="N519" s="413"/>
      <c r="O519" s="413"/>
      <c r="P519" s="412"/>
      <c r="Q519" s="414"/>
      <c r="R519" s="414"/>
    </row>
    <row r="520">
      <c r="B520" s="374"/>
      <c r="C520" s="374"/>
      <c r="D520" s="412"/>
      <c r="E520" s="412"/>
      <c r="F520" s="412"/>
      <c r="G520" s="412"/>
      <c r="H520" s="412"/>
      <c r="I520" s="412"/>
      <c r="J520" s="412"/>
      <c r="K520" s="412"/>
      <c r="L520" s="413"/>
      <c r="M520" s="412"/>
      <c r="N520" s="413"/>
      <c r="O520" s="413"/>
      <c r="P520" s="412"/>
      <c r="Q520" s="414"/>
      <c r="R520" s="414"/>
    </row>
    <row r="521">
      <c r="B521" s="374"/>
      <c r="C521" s="374"/>
      <c r="D521" s="412"/>
      <c r="E521" s="412"/>
      <c r="F521" s="412"/>
      <c r="G521" s="412"/>
      <c r="H521" s="412"/>
      <c r="I521" s="412"/>
      <c r="J521" s="412"/>
      <c r="K521" s="412"/>
      <c r="L521" s="413"/>
      <c r="M521" s="412"/>
      <c r="N521" s="413"/>
      <c r="O521" s="413"/>
      <c r="P521" s="412"/>
      <c r="Q521" s="414"/>
      <c r="R521" s="414"/>
    </row>
    <row r="522">
      <c r="B522" s="374"/>
      <c r="C522" s="374"/>
      <c r="D522" s="412"/>
      <c r="E522" s="412"/>
      <c r="F522" s="412"/>
      <c r="G522" s="412"/>
      <c r="H522" s="412"/>
      <c r="I522" s="412"/>
      <c r="J522" s="412"/>
      <c r="K522" s="412"/>
      <c r="L522" s="413"/>
      <c r="M522" s="412"/>
      <c r="N522" s="413"/>
      <c r="O522" s="413"/>
      <c r="P522" s="412"/>
      <c r="Q522" s="414"/>
      <c r="R522" s="414"/>
    </row>
    <row r="523">
      <c r="B523" s="374"/>
      <c r="C523" s="374"/>
      <c r="D523" s="412"/>
      <c r="E523" s="412"/>
      <c r="F523" s="412"/>
      <c r="G523" s="412"/>
      <c r="H523" s="412"/>
      <c r="I523" s="412"/>
      <c r="J523" s="412"/>
      <c r="K523" s="412"/>
      <c r="L523" s="413"/>
      <c r="M523" s="412"/>
      <c r="N523" s="413"/>
      <c r="O523" s="413"/>
      <c r="P523" s="412"/>
      <c r="Q523" s="414"/>
      <c r="R523" s="414"/>
    </row>
    <row r="524">
      <c r="B524" s="374"/>
      <c r="C524" s="374"/>
      <c r="D524" s="412"/>
      <c r="E524" s="412"/>
      <c r="F524" s="412"/>
      <c r="G524" s="412"/>
      <c r="H524" s="412"/>
      <c r="I524" s="412"/>
      <c r="J524" s="412"/>
      <c r="K524" s="412"/>
      <c r="L524" s="413"/>
      <c r="M524" s="412"/>
      <c r="N524" s="413"/>
      <c r="O524" s="413"/>
      <c r="P524" s="412"/>
      <c r="Q524" s="414"/>
      <c r="R524" s="414"/>
    </row>
    <row r="525">
      <c r="B525" s="374"/>
      <c r="C525" s="374"/>
      <c r="D525" s="412"/>
      <c r="E525" s="412"/>
      <c r="F525" s="412"/>
      <c r="G525" s="412"/>
      <c r="H525" s="412"/>
      <c r="I525" s="412"/>
      <c r="J525" s="412"/>
      <c r="K525" s="412"/>
      <c r="L525" s="413"/>
      <c r="M525" s="412"/>
      <c r="N525" s="413"/>
      <c r="O525" s="413"/>
      <c r="P525" s="412"/>
      <c r="Q525" s="414"/>
      <c r="R525" s="414"/>
    </row>
    <row r="526">
      <c r="B526" s="374"/>
      <c r="C526" s="374"/>
      <c r="D526" s="412"/>
      <c r="E526" s="412"/>
      <c r="F526" s="412"/>
      <c r="G526" s="412"/>
      <c r="H526" s="412"/>
      <c r="I526" s="412"/>
      <c r="J526" s="412"/>
      <c r="K526" s="412"/>
      <c r="L526" s="413"/>
      <c r="M526" s="412"/>
      <c r="N526" s="413"/>
      <c r="O526" s="413"/>
      <c r="P526" s="412"/>
      <c r="Q526" s="414"/>
      <c r="R526" s="414"/>
    </row>
    <row r="527">
      <c r="B527" s="374"/>
      <c r="C527" s="374"/>
      <c r="D527" s="412"/>
      <c r="E527" s="412"/>
      <c r="F527" s="412"/>
      <c r="G527" s="412"/>
      <c r="H527" s="412"/>
      <c r="I527" s="412"/>
      <c r="J527" s="412"/>
      <c r="K527" s="412"/>
      <c r="L527" s="413"/>
      <c r="M527" s="412"/>
      <c r="N527" s="413"/>
      <c r="O527" s="413"/>
      <c r="P527" s="412"/>
      <c r="Q527" s="414"/>
      <c r="R527" s="414"/>
    </row>
    <row r="528">
      <c r="B528" s="374"/>
      <c r="C528" s="374"/>
      <c r="D528" s="412"/>
      <c r="E528" s="412"/>
      <c r="F528" s="412"/>
      <c r="G528" s="412"/>
      <c r="H528" s="412"/>
      <c r="I528" s="412"/>
      <c r="J528" s="412"/>
      <c r="K528" s="412"/>
      <c r="L528" s="413"/>
      <c r="M528" s="412"/>
      <c r="N528" s="413"/>
      <c r="O528" s="413"/>
      <c r="P528" s="412"/>
      <c r="Q528" s="414"/>
      <c r="R528" s="414"/>
    </row>
    <row r="529">
      <c r="B529" s="374"/>
      <c r="C529" s="374"/>
      <c r="D529" s="412"/>
      <c r="E529" s="412"/>
      <c r="F529" s="412"/>
      <c r="G529" s="412"/>
      <c r="H529" s="412"/>
      <c r="I529" s="412"/>
      <c r="J529" s="412"/>
      <c r="K529" s="412"/>
      <c r="L529" s="413"/>
      <c r="M529" s="412"/>
      <c r="N529" s="413"/>
      <c r="O529" s="413"/>
      <c r="P529" s="412"/>
      <c r="Q529" s="414"/>
      <c r="R529" s="414"/>
    </row>
    <row r="530">
      <c r="B530" s="374"/>
      <c r="C530" s="374"/>
      <c r="D530" s="412"/>
      <c r="E530" s="412"/>
      <c r="F530" s="412"/>
      <c r="G530" s="412"/>
      <c r="H530" s="412"/>
      <c r="I530" s="412"/>
      <c r="J530" s="412"/>
      <c r="K530" s="412"/>
      <c r="L530" s="413"/>
      <c r="M530" s="412"/>
      <c r="N530" s="413"/>
      <c r="O530" s="413"/>
      <c r="P530" s="412"/>
      <c r="Q530" s="414"/>
      <c r="R530" s="414"/>
    </row>
    <row r="531">
      <c r="B531" s="374"/>
      <c r="C531" s="374"/>
      <c r="D531" s="412"/>
      <c r="E531" s="412"/>
      <c r="F531" s="412"/>
      <c r="G531" s="412"/>
      <c r="H531" s="412"/>
      <c r="I531" s="412"/>
      <c r="J531" s="412"/>
      <c r="K531" s="412"/>
      <c r="L531" s="413"/>
      <c r="M531" s="412"/>
      <c r="N531" s="413"/>
      <c r="O531" s="413"/>
      <c r="P531" s="412"/>
      <c r="Q531" s="414"/>
      <c r="R531" s="414"/>
    </row>
    <row r="532">
      <c r="B532" s="374"/>
      <c r="C532" s="374"/>
      <c r="D532" s="412"/>
      <c r="E532" s="412"/>
      <c r="F532" s="412"/>
      <c r="G532" s="412"/>
      <c r="H532" s="412"/>
      <c r="I532" s="412"/>
      <c r="J532" s="412"/>
      <c r="K532" s="412"/>
      <c r="L532" s="413"/>
      <c r="M532" s="412"/>
      <c r="N532" s="413"/>
      <c r="O532" s="413"/>
      <c r="P532" s="412"/>
      <c r="Q532" s="414"/>
      <c r="R532" s="414"/>
    </row>
    <row r="533">
      <c r="B533" s="374"/>
      <c r="C533" s="374"/>
      <c r="D533" s="412"/>
      <c r="E533" s="412"/>
      <c r="F533" s="412"/>
      <c r="G533" s="412"/>
      <c r="H533" s="412"/>
      <c r="I533" s="412"/>
      <c r="J533" s="412"/>
      <c r="K533" s="412"/>
      <c r="L533" s="413"/>
      <c r="M533" s="412"/>
      <c r="N533" s="413"/>
      <c r="O533" s="413"/>
      <c r="P533" s="412"/>
      <c r="Q533" s="414"/>
      <c r="R533" s="414"/>
    </row>
    <row r="534">
      <c r="B534" s="374"/>
      <c r="C534" s="374"/>
      <c r="D534" s="412"/>
      <c r="E534" s="412"/>
      <c r="F534" s="412"/>
      <c r="G534" s="412"/>
      <c r="H534" s="412"/>
      <c r="I534" s="412"/>
      <c r="J534" s="412"/>
      <c r="K534" s="412"/>
      <c r="L534" s="413"/>
      <c r="M534" s="412"/>
      <c r="N534" s="413"/>
      <c r="O534" s="413"/>
      <c r="P534" s="412"/>
      <c r="Q534" s="414"/>
      <c r="R534" s="414"/>
    </row>
    <row r="535">
      <c r="B535" s="374"/>
      <c r="C535" s="374"/>
      <c r="D535" s="412"/>
      <c r="E535" s="412"/>
      <c r="F535" s="412"/>
      <c r="G535" s="412"/>
      <c r="H535" s="412"/>
      <c r="I535" s="412"/>
      <c r="J535" s="412"/>
      <c r="K535" s="412"/>
      <c r="L535" s="413"/>
      <c r="M535" s="412"/>
      <c r="N535" s="413"/>
      <c r="O535" s="413"/>
      <c r="P535" s="412"/>
      <c r="Q535" s="414"/>
      <c r="R535" s="414"/>
    </row>
    <row r="536">
      <c r="B536" s="374"/>
      <c r="C536" s="374"/>
      <c r="D536" s="412"/>
      <c r="E536" s="412"/>
      <c r="F536" s="412"/>
      <c r="G536" s="412"/>
      <c r="H536" s="412"/>
      <c r="I536" s="412"/>
      <c r="J536" s="412"/>
      <c r="K536" s="412"/>
      <c r="L536" s="413"/>
      <c r="M536" s="412"/>
      <c r="N536" s="413"/>
      <c r="O536" s="413"/>
      <c r="P536" s="412"/>
      <c r="Q536" s="414"/>
      <c r="R536" s="414"/>
    </row>
    <row r="537">
      <c r="B537" s="374"/>
      <c r="C537" s="374"/>
      <c r="D537" s="412"/>
      <c r="E537" s="412"/>
      <c r="F537" s="412"/>
      <c r="G537" s="412"/>
      <c r="H537" s="412"/>
      <c r="I537" s="412"/>
      <c r="J537" s="412"/>
      <c r="K537" s="412"/>
      <c r="L537" s="413"/>
      <c r="M537" s="412"/>
      <c r="N537" s="413"/>
      <c r="O537" s="413"/>
      <c r="P537" s="412"/>
      <c r="Q537" s="414"/>
      <c r="R537" s="414"/>
    </row>
    <row r="538">
      <c r="B538" s="374"/>
      <c r="C538" s="374"/>
      <c r="D538" s="412"/>
      <c r="E538" s="412"/>
      <c r="F538" s="412"/>
      <c r="G538" s="412"/>
      <c r="H538" s="412"/>
      <c r="I538" s="412"/>
      <c r="J538" s="412"/>
      <c r="K538" s="412"/>
      <c r="L538" s="413"/>
      <c r="M538" s="412"/>
      <c r="N538" s="413"/>
      <c r="O538" s="413"/>
      <c r="P538" s="412"/>
      <c r="Q538" s="414"/>
      <c r="R538" s="414"/>
    </row>
    <row r="539">
      <c r="B539" s="374"/>
      <c r="C539" s="374"/>
      <c r="D539" s="412"/>
      <c r="E539" s="412"/>
      <c r="F539" s="412"/>
      <c r="G539" s="412"/>
      <c r="H539" s="412"/>
      <c r="I539" s="412"/>
      <c r="J539" s="412"/>
      <c r="K539" s="412"/>
      <c r="L539" s="413"/>
      <c r="M539" s="412"/>
      <c r="N539" s="413"/>
      <c r="O539" s="413"/>
      <c r="P539" s="412"/>
      <c r="Q539" s="414"/>
      <c r="R539" s="414"/>
    </row>
    <row r="540">
      <c r="B540" s="374"/>
      <c r="C540" s="374"/>
      <c r="D540" s="412"/>
      <c r="E540" s="412"/>
      <c r="F540" s="412"/>
      <c r="G540" s="412"/>
      <c r="H540" s="412"/>
      <c r="I540" s="412"/>
      <c r="J540" s="412"/>
      <c r="K540" s="412"/>
      <c r="L540" s="413"/>
      <c r="M540" s="412"/>
      <c r="N540" s="413"/>
      <c r="O540" s="413"/>
      <c r="P540" s="412"/>
      <c r="Q540" s="414"/>
      <c r="R540" s="414"/>
    </row>
    <row r="541">
      <c r="B541" s="374"/>
      <c r="C541" s="374"/>
      <c r="D541" s="412"/>
      <c r="E541" s="412"/>
      <c r="F541" s="412"/>
      <c r="G541" s="412"/>
      <c r="H541" s="412"/>
      <c r="I541" s="412"/>
      <c r="J541" s="412"/>
      <c r="K541" s="412"/>
      <c r="L541" s="413"/>
      <c r="M541" s="412"/>
      <c r="N541" s="413"/>
      <c r="O541" s="413"/>
      <c r="P541" s="412"/>
      <c r="Q541" s="414"/>
      <c r="R541" s="414"/>
    </row>
    <row r="542">
      <c r="B542" s="374"/>
      <c r="C542" s="374"/>
      <c r="D542" s="412"/>
      <c r="E542" s="412"/>
      <c r="F542" s="412"/>
      <c r="G542" s="412"/>
      <c r="H542" s="412"/>
      <c r="I542" s="412"/>
      <c r="J542" s="412"/>
      <c r="K542" s="412"/>
      <c r="L542" s="413"/>
      <c r="M542" s="412"/>
      <c r="N542" s="413"/>
      <c r="O542" s="413"/>
      <c r="P542" s="412"/>
      <c r="Q542" s="414"/>
      <c r="R542" s="414"/>
    </row>
    <row r="543">
      <c r="B543" s="374"/>
      <c r="C543" s="374"/>
      <c r="D543" s="412"/>
      <c r="E543" s="412"/>
      <c r="F543" s="412"/>
      <c r="G543" s="412"/>
      <c r="H543" s="412"/>
      <c r="I543" s="412"/>
      <c r="J543" s="412"/>
      <c r="K543" s="412"/>
      <c r="L543" s="413"/>
      <c r="M543" s="412"/>
      <c r="N543" s="413"/>
      <c r="O543" s="413"/>
      <c r="P543" s="412"/>
      <c r="Q543" s="414"/>
      <c r="R543" s="414"/>
    </row>
    <row r="544">
      <c r="B544" s="374"/>
      <c r="C544" s="374"/>
      <c r="D544" s="412"/>
      <c r="E544" s="412"/>
      <c r="F544" s="412"/>
      <c r="G544" s="412"/>
      <c r="H544" s="412"/>
      <c r="I544" s="412"/>
      <c r="J544" s="412"/>
      <c r="K544" s="412"/>
      <c r="L544" s="413"/>
      <c r="M544" s="412"/>
      <c r="N544" s="413"/>
      <c r="O544" s="413"/>
      <c r="P544" s="412"/>
      <c r="Q544" s="414"/>
      <c r="R544" s="414"/>
    </row>
    <row r="545">
      <c r="B545" s="374"/>
      <c r="C545" s="374"/>
      <c r="D545" s="412"/>
      <c r="E545" s="412"/>
      <c r="F545" s="412"/>
      <c r="G545" s="412"/>
      <c r="H545" s="412"/>
      <c r="I545" s="412"/>
      <c r="J545" s="412"/>
      <c r="K545" s="412"/>
      <c r="L545" s="413"/>
      <c r="M545" s="412"/>
      <c r="N545" s="413"/>
      <c r="O545" s="413"/>
      <c r="P545" s="412"/>
      <c r="Q545" s="414"/>
      <c r="R545" s="414"/>
    </row>
    <row r="546">
      <c r="B546" s="374"/>
      <c r="C546" s="374"/>
      <c r="D546" s="412"/>
      <c r="E546" s="412"/>
      <c r="F546" s="412"/>
      <c r="G546" s="412"/>
      <c r="H546" s="412"/>
      <c r="I546" s="412"/>
      <c r="J546" s="412"/>
      <c r="K546" s="412"/>
      <c r="L546" s="413"/>
      <c r="M546" s="412"/>
      <c r="N546" s="413"/>
      <c r="O546" s="413"/>
      <c r="P546" s="412"/>
      <c r="Q546" s="414"/>
      <c r="R546" s="414"/>
    </row>
    <row r="547">
      <c r="B547" s="374"/>
      <c r="C547" s="374"/>
      <c r="D547" s="412"/>
      <c r="E547" s="412"/>
      <c r="F547" s="412"/>
      <c r="G547" s="412"/>
      <c r="H547" s="412"/>
      <c r="I547" s="412"/>
      <c r="J547" s="412"/>
      <c r="K547" s="412"/>
      <c r="L547" s="413"/>
      <c r="M547" s="412"/>
      <c r="N547" s="413"/>
      <c r="O547" s="413"/>
      <c r="P547" s="412"/>
      <c r="Q547" s="414"/>
      <c r="R547" s="414"/>
    </row>
    <row r="548">
      <c r="B548" s="374"/>
      <c r="C548" s="374"/>
      <c r="D548" s="412"/>
      <c r="E548" s="412"/>
      <c r="F548" s="412"/>
      <c r="G548" s="412"/>
      <c r="H548" s="412"/>
      <c r="I548" s="412"/>
      <c r="J548" s="412"/>
      <c r="K548" s="412"/>
      <c r="L548" s="413"/>
      <c r="M548" s="412"/>
      <c r="N548" s="413"/>
      <c r="O548" s="413"/>
      <c r="P548" s="412"/>
      <c r="Q548" s="414"/>
      <c r="R548" s="414"/>
    </row>
    <row r="549">
      <c r="B549" s="374"/>
      <c r="C549" s="374"/>
      <c r="D549" s="412"/>
      <c r="E549" s="412"/>
      <c r="F549" s="412"/>
      <c r="G549" s="412"/>
      <c r="H549" s="412"/>
      <c r="I549" s="412"/>
      <c r="J549" s="412"/>
      <c r="K549" s="412"/>
      <c r="L549" s="413"/>
      <c r="M549" s="412"/>
      <c r="N549" s="413"/>
      <c r="O549" s="413"/>
      <c r="P549" s="412"/>
      <c r="Q549" s="414"/>
      <c r="R549" s="414"/>
    </row>
    <row r="550">
      <c r="B550" s="374"/>
      <c r="C550" s="374"/>
      <c r="D550" s="412"/>
      <c r="E550" s="412"/>
      <c r="F550" s="412"/>
      <c r="G550" s="412"/>
      <c r="H550" s="412"/>
      <c r="I550" s="412"/>
      <c r="J550" s="412"/>
      <c r="K550" s="412"/>
      <c r="L550" s="413"/>
      <c r="M550" s="412"/>
      <c r="N550" s="413"/>
      <c r="O550" s="413"/>
      <c r="P550" s="412"/>
      <c r="Q550" s="414"/>
      <c r="R550" s="414"/>
    </row>
    <row r="551">
      <c r="B551" s="374"/>
      <c r="C551" s="374"/>
      <c r="D551" s="412"/>
      <c r="E551" s="412"/>
      <c r="F551" s="412"/>
      <c r="G551" s="412"/>
      <c r="H551" s="412"/>
      <c r="I551" s="412"/>
      <c r="J551" s="412"/>
      <c r="K551" s="412"/>
      <c r="L551" s="413"/>
      <c r="M551" s="412"/>
      <c r="N551" s="413"/>
      <c r="O551" s="413"/>
      <c r="P551" s="412"/>
      <c r="Q551" s="414"/>
      <c r="R551" s="414"/>
    </row>
    <row r="552">
      <c r="B552" s="374"/>
      <c r="C552" s="374"/>
      <c r="D552" s="412"/>
      <c r="E552" s="412"/>
      <c r="F552" s="412"/>
      <c r="G552" s="412"/>
      <c r="H552" s="412"/>
      <c r="I552" s="412"/>
      <c r="J552" s="412"/>
      <c r="K552" s="412"/>
      <c r="L552" s="413"/>
      <c r="M552" s="412"/>
      <c r="N552" s="413"/>
      <c r="O552" s="413"/>
      <c r="P552" s="412"/>
      <c r="Q552" s="414"/>
      <c r="R552" s="414"/>
    </row>
    <row r="553">
      <c r="B553" s="374"/>
      <c r="C553" s="374"/>
      <c r="D553" s="412"/>
      <c r="E553" s="412"/>
      <c r="F553" s="412"/>
      <c r="G553" s="412"/>
      <c r="H553" s="412"/>
      <c r="I553" s="412"/>
      <c r="J553" s="412"/>
      <c r="K553" s="412"/>
      <c r="L553" s="413"/>
      <c r="M553" s="412"/>
      <c r="N553" s="413"/>
      <c r="O553" s="413"/>
      <c r="P553" s="412"/>
      <c r="Q553" s="414"/>
      <c r="R553" s="414"/>
    </row>
    <row r="554">
      <c r="B554" s="374"/>
      <c r="C554" s="374"/>
      <c r="D554" s="412"/>
      <c r="E554" s="412"/>
      <c r="F554" s="412"/>
      <c r="G554" s="412"/>
      <c r="H554" s="412"/>
      <c r="I554" s="412"/>
      <c r="J554" s="412"/>
      <c r="K554" s="412"/>
      <c r="L554" s="413"/>
      <c r="M554" s="412"/>
      <c r="N554" s="413"/>
      <c r="O554" s="413"/>
      <c r="P554" s="412"/>
      <c r="Q554" s="414"/>
      <c r="R554" s="414"/>
    </row>
    <row r="555">
      <c r="B555" s="374"/>
      <c r="C555" s="374"/>
      <c r="D555" s="412"/>
      <c r="E555" s="412"/>
      <c r="F555" s="412"/>
      <c r="G555" s="412"/>
      <c r="H555" s="412"/>
      <c r="I555" s="412"/>
      <c r="J555" s="412"/>
      <c r="K555" s="412"/>
      <c r="L555" s="413"/>
      <c r="M555" s="412"/>
      <c r="N555" s="413"/>
      <c r="O555" s="413"/>
      <c r="P555" s="412"/>
      <c r="Q555" s="414"/>
      <c r="R555" s="414"/>
    </row>
    <row r="556">
      <c r="B556" s="374"/>
      <c r="C556" s="374"/>
      <c r="D556" s="412"/>
      <c r="E556" s="412"/>
      <c r="F556" s="412"/>
      <c r="G556" s="412"/>
      <c r="H556" s="412"/>
      <c r="I556" s="412"/>
      <c r="J556" s="412"/>
      <c r="K556" s="412"/>
      <c r="L556" s="413"/>
      <c r="M556" s="412"/>
      <c r="N556" s="413"/>
      <c r="O556" s="413"/>
      <c r="P556" s="412"/>
      <c r="Q556" s="414"/>
      <c r="R556" s="414"/>
    </row>
    <row r="557">
      <c r="B557" s="374"/>
      <c r="C557" s="374"/>
      <c r="D557" s="412"/>
      <c r="E557" s="412"/>
      <c r="F557" s="412"/>
      <c r="G557" s="412"/>
      <c r="H557" s="412"/>
      <c r="I557" s="412"/>
      <c r="J557" s="412"/>
      <c r="K557" s="412"/>
      <c r="L557" s="413"/>
      <c r="M557" s="412"/>
      <c r="N557" s="413"/>
      <c r="O557" s="413"/>
      <c r="P557" s="412"/>
      <c r="Q557" s="414"/>
      <c r="R557" s="414"/>
    </row>
    <row r="558">
      <c r="B558" s="374"/>
      <c r="C558" s="374"/>
      <c r="D558" s="412"/>
      <c r="E558" s="412"/>
      <c r="F558" s="412"/>
      <c r="G558" s="412"/>
      <c r="H558" s="412"/>
      <c r="I558" s="412"/>
      <c r="J558" s="412"/>
      <c r="K558" s="412"/>
      <c r="L558" s="413"/>
      <c r="M558" s="412"/>
      <c r="N558" s="413"/>
      <c r="O558" s="413"/>
      <c r="P558" s="412"/>
      <c r="Q558" s="414"/>
      <c r="R558" s="414"/>
    </row>
    <row r="559">
      <c r="B559" s="374"/>
      <c r="C559" s="374"/>
      <c r="D559" s="412"/>
      <c r="E559" s="412"/>
      <c r="F559" s="412"/>
      <c r="G559" s="412"/>
      <c r="H559" s="412"/>
      <c r="I559" s="412"/>
      <c r="J559" s="412"/>
      <c r="K559" s="412"/>
      <c r="L559" s="413"/>
      <c r="M559" s="412"/>
      <c r="N559" s="413"/>
      <c r="O559" s="413"/>
      <c r="P559" s="412"/>
      <c r="Q559" s="414"/>
      <c r="R559" s="414"/>
    </row>
    <row r="560">
      <c r="B560" s="374"/>
      <c r="C560" s="374"/>
      <c r="D560" s="412"/>
      <c r="E560" s="412"/>
      <c r="F560" s="412"/>
      <c r="G560" s="412"/>
      <c r="H560" s="412"/>
      <c r="I560" s="412"/>
      <c r="J560" s="412"/>
      <c r="K560" s="412"/>
      <c r="L560" s="413"/>
      <c r="M560" s="412"/>
      <c r="N560" s="413"/>
      <c r="O560" s="413"/>
      <c r="P560" s="412"/>
      <c r="Q560" s="414"/>
      <c r="R560" s="414"/>
    </row>
    <row r="561">
      <c r="B561" s="374"/>
      <c r="C561" s="374"/>
      <c r="D561" s="412"/>
      <c r="E561" s="412"/>
      <c r="F561" s="412"/>
      <c r="G561" s="412"/>
      <c r="H561" s="412"/>
      <c r="I561" s="412"/>
      <c r="J561" s="412"/>
      <c r="K561" s="412"/>
      <c r="L561" s="413"/>
      <c r="M561" s="412"/>
      <c r="N561" s="413"/>
      <c r="O561" s="413"/>
      <c r="P561" s="412"/>
      <c r="Q561" s="414"/>
      <c r="R561" s="414"/>
    </row>
    <row r="562">
      <c r="B562" s="374"/>
      <c r="C562" s="374"/>
      <c r="D562" s="412"/>
      <c r="E562" s="412"/>
      <c r="F562" s="412"/>
      <c r="G562" s="412"/>
      <c r="H562" s="412"/>
      <c r="I562" s="412"/>
      <c r="J562" s="412"/>
      <c r="K562" s="412"/>
      <c r="L562" s="413"/>
      <c r="M562" s="412"/>
      <c r="N562" s="413"/>
      <c r="O562" s="413"/>
      <c r="P562" s="412"/>
      <c r="Q562" s="414"/>
      <c r="R562" s="414"/>
    </row>
    <row r="563">
      <c r="B563" s="374"/>
      <c r="C563" s="374"/>
      <c r="D563" s="412"/>
      <c r="E563" s="412"/>
      <c r="F563" s="412"/>
      <c r="G563" s="412"/>
      <c r="H563" s="412"/>
      <c r="I563" s="412"/>
      <c r="J563" s="412"/>
      <c r="K563" s="412"/>
      <c r="L563" s="413"/>
      <c r="M563" s="412"/>
      <c r="N563" s="413"/>
      <c r="O563" s="413"/>
      <c r="P563" s="412"/>
      <c r="Q563" s="414"/>
      <c r="R563" s="414"/>
    </row>
    <row r="564">
      <c r="B564" s="374"/>
      <c r="C564" s="374"/>
      <c r="D564" s="412"/>
      <c r="E564" s="412"/>
      <c r="F564" s="412"/>
      <c r="G564" s="412"/>
      <c r="H564" s="412"/>
      <c r="I564" s="412"/>
      <c r="J564" s="412"/>
      <c r="K564" s="412"/>
      <c r="L564" s="413"/>
      <c r="M564" s="412"/>
      <c r="N564" s="413"/>
      <c r="O564" s="413"/>
      <c r="P564" s="412"/>
      <c r="Q564" s="414"/>
      <c r="R564" s="414"/>
    </row>
    <row r="565">
      <c r="B565" s="374"/>
      <c r="C565" s="374"/>
      <c r="D565" s="412"/>
      <c r="E565" s="412"/>
      <c r="F565" s="412"/>
      <c r="G565" s="412"/>
      <c r="H565" s="412"/>
      <c r="I565" s="412"/>
      <c r="J565" s="412"/>
      <c r="K565" s="412"/>
      <c r="L565" s="413"/>
      <c r="M565" s="412"/>
      <c r="N565" s="413"/>
      <c r="O565" s="413"/>
      <c r="P565" s="412"/>
      <c r="Q565" s="414"/>
      <c r="R565" s="414"/>
    </row>
    <row r="566">
      <c r="B566" s="374"/>
      <c r="C566" s="374"/>
      <c r="D566" s="412"/>
      <c r="E566" s="412"/>
      <c r="F566" s="412"/>
      <c r="G566" s="412"/>
      <c r="H566" s="412"/>
      <c r="I566" s="412"/>
      <c r="J566" s="412"/>
      <c r="K566" s="412"/>
      <c r="L566" s="413"/>
      <c r="M566" s="412"/>
      <c r="N566" s="413"/>
      <c r="O566" s="413"/>
      <c r="P566" s="412"/>
      <c r="Q566" s="414"/>
      <c r="R566" s="414"/>
    </row>
    <row r="567">
      <c r="B567" s="374"/>
      <c r="C567" s="374"/>
      <c r="D567" s="412"/>
      <c r="E567" s="412"/>
      <c r="F567" s="412"/>
      <c r="G567" s="412"/>
      <c r="H567" s="412"/>
      <c r="I567" s="412"/>
      <c r="J567" s="412"/>
      <c r="K567" s="412"/>
      <c r="L567" s="413"/>
      <c r="M567" s="412"/>
      <c r="N567" s="413"/>
      <c r="O567" s="413"/>
      <c r="P567" s="412"/>
      <c r="Q567" s="414"/>
      <c r="R567" s="414"/>
    </row>
    <row r="568">
      <c r="B568" s="374"/>
      <c r="C568" s="374"/>
      <c r="D568" s="412"/>
      <c r="E568" s="412"/>
      <c r="F568" s="412"/>
      <c r="G568" s="412"/>
      <c r="H568" s="412"/>
      <c r="I568" s="412"/>
      <c r="J568" s="412"/>
      <c r="K568" s="412"/>
      <c r="L568" s="413"/>
      <c r="M568" s="412"/>
      <c r="N568" s="413"/>
      <c r="O568" s="413"/>
      <c r="P568" s="412"/>
      <c r="Q568" s="414"/>
      <c r="R568" s="414"/>
    </row>
    <row r="569">
      <c r="B569" s="374"/>
      <c r="C569" s="374"/>
      <c r="D569" s="412"/>
      <c r="E569" s="412"/>
      <c r="F569" s="412"/>
      <c r="G569" s="412"/>
      <c r="H569" s="412"/>
      <c r="I569" s="412"/>
      <c r="J569" s="412"/>
      <c r="K569" s="412"/>
      <c r="L569" s="413"/>
      <c r="M569" s="412"/>
      <c r="N569" s="413"/>
      <c r="O569" s="413"/>
      <c r="P569" s="412"/>
      <c r="Q569" s="414"/>
      <c r="R569" s="414"/>
    </row>
    <row r="570">
      <c r="B570" s="374"/>
      <c r="C570" s="374"/>
      <c r="D570" s="412"/>
      <c r="E570" s="412"/>
      <c r="F570" s="412"/>
      <c r="G570" s="412"/>
      <c r="H570" s="412"/>
      <c r="I570" s="412"/>
      <c r="J570" s="412"/>
      <c r="K570" s="412"/>
      <c r="L570" s="413"/>
      <c r="M570" s="412"/>
      <c r="N570" s="413"/>
      <c r="O570" s="413"/>
      <c r="P570" s="412"/>
      <c r="Q570" s="414"/>
      <c r="R570" s="414"/>
    </row>
    <row r="571">
      <c r="B571" s="374"/>
      <c r="C571" s="374"/>
      <c r="D571" s="412"/>
      <c r="E571" s="412"/>
      <c r="F571" s="412"/>
      <c r="G571" s="412"/>
      <c r="H571" s="412"/>
      <c r="I571" s="412"/>
      <c r="J571" s="412"/>
      <c r="K571" s="412"/>
      <c r="L571" s="413"/>
      <c r="M571" s="412"/>
      <c r="N571" s="413"/>
      <c r="O571" s="413"/>
      <c r="P571" s="412"/>
      <c r="Q571" s="414"/>
      <c r="R571" s="414"/>
    </row>
    <row r="572">
      <c r="B572" s="374"/>
      <c r="C572" s="374"/>
      <c r="D572" s="412"/>
      <c r="E572" s="412"/>
      <c r="F572" s="412"/>
      <c r="G572" s="412"/>
      <c r="H572" s="412"/>
      <c r="I572" s="412"/>
      <c r="J572" s="412"/>
      <c r="K572" s="412"/>
      <c r="L572" s="413"/>
      <c r="M572" s="412"/>
      <c r="N572" s="413"/>
      <c r="O572" s="413"/>
      <c r="P572" s="412"/>
      <c r="Q572" s="414"/>
      <c r="R572" s="414"/>
    </row>
    <row r="573">
      <c r="B573" s="374"/>
      <c r="C573" s="374"/>
      <c r="D573" s="412"/>
      <c r="E573" s="412"/>
      <c r="F573" s="412"/>
      <c r="G573" s="412"/>
      <c r="H573" s="412"/>
      <c r="I573" s="412"/>
      <c r="J573" s="412"/>
      <c r="K573" s="412"/>
      <c r="L573" s="413"/>
      <c r="M573" s="412"/>
      <c r="N573" s="413"/>
      <c r="O573" s="413"/>
      <c r="P573" s="412"/>
      <c r="Q573" s="414"/>
      <c r="R573" s="414"/>
    </row>
    <row r="574">
      <c r="B574" s="374"/>
      <c r="C574" s="374"/>
      <c r="D574" s="412"/>
      <c r="E574" s="412"/>
      <c r="F574" s="412"/>
      <c r="G574" s="412"/>
      <c r="H574" s="412"/>
      <c r="I574" s="412"/>
      <c r="J574" s="412"/>
      <c r="K574" s="412"/>
      <c r="L574" s="413"/>
      <c r="M574" s="412"/>
      <c r="N574" s="413"/>
      <c r="O574" s="413"/>
      <c r="P574" s="412"/>
      <c r="Q574" s="414"/>
      <c r="R574" s="414"/>
    </row>
    <row r="575">
      <c r="B575" s="374"/>
      <c r="C575" s="374"/>
      <c r="D575" s="412"/>
      <c r="E575" s="412"/>
      <c r="F575" s="412"/>
      <c r="G575" s="412"/>
      <c r="H575" s="412"/>
      <c r="I575" s="412"/>
      <c r="J575" s="412"/>
      <c r="K575" s="412"/>
      <c r="L575" s="413"/>
      <c r="M575" s="412"/>
      <c r="N575" s="413"/>
      <c r="O575" s="413"/>
      <c r="P575" s="412"/>
      <c r="Q575" s="414"/>
      <c r="R575" s="414"/>
    </row>
    <row r="576">
      <c r="B576" s="374"/>
      <c r="C576" s="374"/>
      <c r="D576" s="412"/>
      <c r="E576" s="412"/>
      <c r="F576" s="412"/>
      <c r="G576" s="412"/>
      <c r="H576" s="412"/>
      <c r="I576" s="412"/>
      <c r="J576" s="412"/>
      <c r="K576" s="412"/>
      <c r="L576" s="413"/>
      <c r="M576" s="412"/>
      <c r="N576" s="413"/>
      <c r="O576" s="413"/>
      <c r="P576" s="412"/>
      <c r="Q576" s="414"/>
      <c r="R576" s="414"/>
    </row>
    <row r="577">
      <c r="B577" s="374"/>
      <c r="C577" s="374"/>
      <c r="D577" s="412"/>
      <c r="E577" s="412"/>
      <c r="F577" s="412"/>
      <c r="G577" s="412"/>
      <c r="H577" s="412"/>
      <c r="I577" s="412"/>
      <c r="J577" s="412"/>
      <c r="K577" s="412"/>
      <c r="L577" s="413"/>
      <c r="M577" s="412"/>
      <c r="N577" s="413"/>
      <c r="O577" s="413"/>
      <c r="P577" s="412"/>
      <c r="Q577" s="414"/>
      <c r="R577" s="414"/>
    </row>
    <row r="578">
      <c r="B578" s="374"/>
      <c r="C578" s="374"/>
      <c r="D578" s="412"/>
      <c r="E578" s="412"/>
      <c r="F578" s="412"/>
      <c r="G578" s="412"/>
      <c r="H578" s="412"/>
      <c r="I578" s="412"/>
      <c r="J578" s="412"/>
      <c r="K578" s="412"/>
      <c r="L578" s="413"/>
      <c r="M578" s="412"/>
      <c r="N578" s="413"/>
      <c r="O578" s="413"/>
      <c r="P578" s="412"/>
      <c r="Q578" s="414"/>
      <c r="R578" s="414"/>
    </row>
    <row r="579">
      <c r="B579" s="374"/>
      <c r="C579" s="374"/>
      <c r="D579" s="412"/>
      <c r="E579" s="412"/>
      <c r="F579" s="412"/>
      <c r="G579" s="412"/>
      <c r="H579" s="412"/>
      <c r="I579" s="412"/>
      <c r="J579" s="412"/>
      <c r="K579" s="412"/>
      <c r="L579" s="413"/>
      <c r="M579" s="412"/>
      <c r="N579" s="413"/>
      <c r="O579" s="413"/>
      <c r="P579" s="412"/>
      <c r="Q579" s="414"/>
      <c r="R579" s="414"/>
    </row>
    <row r="580">
      <c r="B580" s="374"/>
      <c r="C580" s="374"/>
      <c r="D580" s="412"/>
      <c r="E580" s="412"/>
      <c r="F580" s="412"/>
      <c r="G580" s="412"/>
      <c r="H580" s="412"/>
      <c r="I580" s="412"/>
      <c r="J580" s="412"/>
      <c r="K580" s="412"/>
      <c r="L580" s="413"/>
      <c r="M580" s="412"/>
      <c r="N580" s="413"/>
      <c r="O580" s="413"/>
      <c r="P580" s="412"/>
      <c r="Q580" s="414"/>
      <c r="R580" s="414"/>
    </row>
    <row r="581">
      <c r="B581" s="374"/>
      <c r="C581" s="374"/>
      <c r="D581" s="412"/>
      <c r="E581" s="412"/>
      <c r="F581" s="412"/>
      <c r="G581" s="412"/>
      <c r="H581" s="412"/>
      <c r="I581" s="412"/>
      <c r="J581" s="412"/>
      <c r="K581" s="412"/>
      <c r="L581" s="413"/>
      <c r="M581" s="412"/>
      <c r="N581" s="413"/>
      <c r="O581" s="413"/>
      <c r="P581" s="412"/>
      <c r="Q581" s="414"/>
      <c r="R581" s="414"/>
    </row>
    <row r="582">
      <c r="B582" s="374"/>
      <c r="C582" s="374"/>
      <c r="D582" s="412"/>
      <c r="E582" s="412"/>
      <c r="F582" s="412"/>
      <c r="G582" s="412"/>
      <c r="H582" s="412"/>
      <c r="I582" s="412"/>
      <c r="J582" s="412"/>
      <c r="K582" s="412"/>
      <c r="L582" s="413"/>
      <c r="M582" s="412"/>
      <c r="N582" s="413"/>
      <c r="O582" s="413"/>
      <c r="P582" s="412"/>
      <c r="Q582" s="414"/>
      <c r="R582" s="414"/>
    </row>
    <row r="583">
      <c r="B583" s="374"/>
      <c r="C583" s="374"/>
      <c r="D583" s="412"/>
      <c r="E583" s="412"/>
      <c r="F583" s="412"/>
      <c r="G583" s="412"/>
      <c r="H583" s="412"/>
      <c r="I583" s="412"/>
      <c r="J583" s="412"/>
      <c r="K583" s="412"/>
      <c r="L583" s="413"/>
      <c r="M583" s="412"/>
      <c r="N583" s="413"/>
      <c r="O583" s="413"/>
      <c r="P583" s="412"/>
      <c r="Q583" s="414"/>
      <c r="R583" s="414"/>
    </row>
    <row r="584">
      <c r="B584" s="374"/>
      <c r="C584" s="374"/>
      <c r="D584" s="412"/>
      <c r="E584" s="412"/>
      <c r="F584" s="412"/>
      <c r="G584" s="412"/>
      <c r="H584" s="412"/>
      <c r="I584" s="412"/>
      <c r="J584" s="412"/>
      <c r="K584" s="412"/>
      <c r="L584" s="413"/>
      <c r="M584" s="412"/>
      <c r="N584" s="413"/>
      <c r="O584" s="413"/>
      <c r="P584" s="412"/>
      <c r="Q584" s="414"/>
      <c r="R584" s="414"/>
    </row>
    <row r="585">
      <c r="B585" s="374"/>
      <c r="C585" s="374"/>
      <c r="D585" s="412"/>
      <c r="E585" s="412"/>
      <c r="F585" s="412"/>
      <c r="G585" s="412"/>
      <c r="H585" s="412"/>
      <c r="I585" s="412"/>
      <c r="J585" s="412"/>
      <c r="K585" s="412"/>
      <c r="L585" s="413"/>
      <c r="M585" s="412"/>
      <c r="N585" s="413"/>
      <c r="O585" s="413"/>
      <c r="P585" s="412"/>
      <c r="Q585" s="414"/>
      <c r="R585" s="414"/>
    </row>
    <row r="586">
      <c r="B586" s="374"/>
      <c r="C586" s="374"/>
      <c r="D586" s="412"/>
      <c r="E586" s="412"/>
      <c r="F586" s="412"/>
      <c r="G586" s="412"/>
      <c r="H586" s="412"/>
      <c r="I586" s="412"/>
      <c r="J586" s="412"/>
      <c r="K586" s="412"/>
      <c r="L586" s="413"/>
      <c r="M586" s="412"/>
      <c r="N586" s="413"/>
      <c r="O586" s="413"/>
      <c r="P586" s="412"/>
      <c r="Q586" s="414"/>
      <c r="R586" s="414"/>
    </row>
    <row r="587">
      <c r="B587" s="374"/>
      <c r="C587" s="374"/>
      <c r="D587" s="412"/>
      <c r="E587" s="412"/>
      <c r="F587" s="412"/>
      <c r="G587" s="412"/>
      <c r="H587" s="412"/>
      <c r="I587" s="412"/>
      <c r="J587" s="412"/>
      <c r="K587" s="412"/>
      <c r="L587" s="413"/>
      <c r="M587" s="412"/>
      <c r="N587" s="413"/>
      <c r="O587" s="413"/>
      <c r="P587" s="412"/>
      <c r="Q587" s="414"/>
      <c r="R587" s="414"/>
    </row>
    <row r="588">
      <c r="B588" s="374"/>
      <c r="C588" s="374"/>
      <c r="D588" s="412"/>
      <c r="E588" s="412"/>
      <c r="F588" s="412"/>
      <c r="G588" s="412"/>
      <c r="H588" s="412"/>
      <c r="I588" s="412"/>
      <c r="J588" s="412"/>
      <c r="K588" s="412"/>
      <c r="L588" s="413"/>
      <c r="M588" s="412"/>
      <c r="N588" s="413"/>
      <c r="O588" s="413"/>
      <c r="P588" s="412"/>
      <c r="Q588" s="414"/>
      <c r="R588" s="414"/>
    </row>
    <row r="589">
      <c r="B589" s="374"/>
      <c r="C589" s="374"/>
      <c r="D589" s="412"/>
      <c r="E589" s="412"/>
      <c r="F589" s="412"/>
      <c r="G589" s="412"/>
      <c r="H589" s="412"/>
      <c r="I589" s="412"/>
      <c r="J589" s="412"/>
      <c r="K589" s="412"/>
      <c r="L589" s="413"/>
      <c r="M589" s="412"/>
      <c r="N589" s="413"/>
      <c r="O589" s="413"/>
      <c r="P589" s="412"/>
      <c r="Q589" s="414"/>
      <c r="R589" s="414"/>
    </row>
    <row r="590">
      <c r="B590" s="374"/>
      <c r="C590" s="374"/>
      <c r="D590" s="412"/>
      <c r="E590" s="412"/>
      <c r="F590" s="412"/>
      <c r="G590" s="412"/>
      <c r="H590" s="412"/>
      <c r="I590" s="412"/>
      <c r="J590" s="412"/>
      <c r="K590" s="412"/>
      <c r="L590" s="413"/>
      <c r="M590" s="412"/>
      <c r="N590" s="413"/>
      <c r="O590" s="413"/>
      <c r="P590" s="412"/>
      <c r="Q590" s="414"/>
      <c r="R590" s="414"/>
    </row>
    <row r="591">
      <c r="B591" s="374"/>
      <c r="C591" s="374"/>
      <c r="D591" s="412"/>
      <c r="E591" s="412"/>
      <c r="F591" s="412"/>
      <c r="G591" s="412"/>
      <c r="H591" s="412"/>
      <c r="I591" s="412"/>
      <c r="J591" s="412"/>
      <c r="K591" s="412"/>
      <c r="L591" s="413"/>
      <c r="M591" s="412"/>
      <c r="N591" s="413"/>
      <c r="O591" s="413"/>
      <c r="P591" s="412"/>
      <c r="Q591" s="414"/>
      <c r="R591" s="414"/>
    </row>
    <row r="592">
      <c r="B592" s="374"/>
      <c r="C592" s="374"/>
      <c r="D592" s="412"/>
      <c r="E592" s="412"/>
      <c r="F592" s="412"/>
      <c r="G592" s="412"/>
      <c r="H592" s="412"/>
      <c r="I592" s="412"/>
      <c r="J592" s="412"/>
      <c r="K592" s="412"/>
      <c r="L592" s="413"/>
      <c r="M592" s="412"/>
      <c r="N592" s="413"/>
      <c r="O592" s="413"/>
      <c r="P592" s="412"/>
      <c r="Q592" s="414"/>
      <c r="R592" s="414"/>
    </row>
    <row r="593">
      <c r="B593" s="374"/>
      <c r="C593" s="374"/>
      <c r="D593" s="412"/>
      <c r="E593" s="412"/>
      <c r="F593" s="412"/>
      <c r="G593" s="412"/>
      <c r="H593" s="412"/>
      <c r="I593" s="412"/>
      <c r="J593" s="412"/>
      <c r="K593" s="412"/>
      <c r="L593" s="413"/>
      <c r="M593" s="412"/>
      <c r="N593" s="413"/>
      <c r="O593" s="413"/>
      <c r="P593" s="412"/>
      <c r="Q593" s="414"/>
      <c r="R593" s="414"/>
    </row>
    <row r="594">
      <c r="B594" s="374"/>
      <c r="C594" s="374"/>
      <c r="D594" s="412"/>
      <c r="E594" s="412"/>
      <c r="F594" s="412"/>
      <c r="G594" s="412"/>
      <c r="H594" s="412"/>
      <c r="I594" s="412"/>
      <c r="J594" s="412"/>
      <c r="K594" s="412"/>
      <c r="L594" s="413"/>
      <c r="M594" s="412"/>
      <c r="N594" s="413"/>
      <c r="O594" s="413"/>
      <c r="P594" s="412"/>
      <c r="Q594" s="414"/>
      <c r="R594" s="414"/>
    </row>
    <row r="595">
      <c r="B595" s="374"/>
      <c r="C595" s="374"/>
      <c r="D595" s="412"/>
      <c r="E595" s="412"/>
      <c r="F595" s="412"/>
      <c r="G595" s="412"/>
      <c r="H595" s="412"/>
      <c r="I595" s="412"/>
      <c r="J595" s="412"/>
      <c r="K595" s="412"/>
      <c r="L595" s="413"/>
      <c r="M595" s="412"/>
      <c r="N595" s="413"/>
      <c r="O595" s="413"/>
      <c r="P595" s="412"/>
      <c r="Q595" s="414"/>
      <c r="R595" s="414"/>
    </row>
    <row r="596">
      <c r="B596" s="374"/>
      <c r="C596" s="374"/>
      <c r="D596" s="412"/>
      <c r="E596" s="412"/>
      <c r="F596" s="412"/>
      <c r="G596" s="412"/>
      <c r="H596" s="412"/>
      <c r="I596" s="412"/>
      <c r="J596" s="412"/>
      <c r="K596" s="412"/>
      <c r="L596" s="413"/>
      <c r="M596" s="412"/>
      <c r="N596" s="413"/>
      <c r="O596" s="413"/>
      <c r="P596" s="412"/>
      <c r="Q596" s="414"/>
      <c r="R596" s="414"/>
    </row>
    <row r="597">
      <c r="B597" s="374"/>
      <c r="C597" s="374"/>
      <c r="D597" s="412"/>
      <c r="E597" s="412"/>
      <c r="F597" s="412"/>
      <c r="G597" s="412"/>
      <c r="H597" s="412"/>
      <c r="I597" s="412"/>
      <c r="J597" s="412"/>
      <c r="K597" s="412"/>
      <c r="L597" s="413"/>
      <c r="M597" s="412"/>
      <c r="N597" s="413"/>
      <c r="O597" s="413"/>
      <c r="P597" s="412"/>
      <c r="Q597" s="414"/>
      <c r="R597" s="414"/>
    </row>
    <row r="598">
      <c r="B598" s="374"/>
      <c r="C598" s="374"/>
      <c r="D598" s="412"/>
      <c r="E598" s="412"/>
      <c r="F598" s="412"/>
      <c r="G598" s="412"/>
      <c r="H598" s="412"/>
      <c r="I598" s="412"/>
      <c r="J598" s="412"/>
      <c r="K598" s="412"/>
      <c r="L598" s="413"/>
      <c r="M598" s="412"/>
      <c r="N598" s="413"/>
      <c r="O598" s="413"/>
      <c r="P598" s="412"/>
      <c r="Q598" s="414"/>
      <c r="R598" s="414"/>
    </row>
    <row r="599">
      <c r="B599" s="374"/>
      <c r="C599" s="374"/>
      <c r="D599" s="412"/>
      <c r="E599" s="412"/>
      <c r="F599" s="412"/>
      <c r="G599" s="412"/>
      <c r="H599" s="412"/>
      <c r="I599" s="412"/>
      <c r="J599" s="412"/>
      <c r="K599" s="412"/>
      <c r="L599" s="413"/>
      <c r="M599" s="412"/>
      <c r="N599" s="413"/>
      <c r="O599" s="413"/>
      <c r="P599" s="412"/>
      <c r="Q599" s="414"/>
      <c r="R599" s="414"/>
    </row>
    <row r="600">
      <c r="B600" s="374"/>
      <c r="C600" s="374"/>
      <c r="D600" s="412"/>
      <c r="E600" s="412"/>
      <c r="F600" s="412"/>
      <c r="G600" s="412"/>
      <c r="H600" s="412"/>
      <c r="I600" s="412"/>
      <c r="J600" s="412"/>
      <c r="K600" s="412"/>
      <c r="L600" s="413"/>
      <c r="M600" s="412"/>
      <c r="N600" s="413"/>
      <c r="O600" s="413"/>
      <c r="P600" s="412"/>
      <c r="Q600" s="414"/>
      <c r="R600" s="414"/>
    </row>
    <row r="601">
      <c r="B601" s="374"/>
      <c r="C601" s="374"/>
      <c r="D601" s="412"/>
      <c r="E601" s="412"/>
      <c r="F601" s="412"/>
      <c r="G601" s="412"/>
      <c r="H601" s="412"/>
      <c r="I601" s="412"/>
      <c r="J601" s="412"/>
      <c r="K601" s="412"/>
      <c r="L601" s="413"/>
      <c r="M601" s="412"/>
      <c r="N601" s="413"/>
      <c r="O601" s="413"/>
      <c r="P601" s="412"/>
      <c r="Q601" s="414"/>
      <c r="R601" s="414"/>
    </row>
    <row r="602">
      <c r="B602" s="374"/>
      <c r="C602" s="374"/>
      <c r="D602" s="412"/>
      <c r="E602" s="412"/>
      <c r="F602" s="412"/>
      <c r="G602" s="412"/>
      <c r="H602" s="412"/>
      <c r="I602" s="412"/>
      <c r="J602" s="412"/>
      <c r="K602" s="412"/>
      <c r="L602" s="413"/>
      <c r="M602" s="412"/>
      <c r="N602" s="413"/>
      <c r="O602" s="413"/>
      <c r="P602" s="412"/>
      <c r="Q602" s="414"/>
      <c r="R602" s="414"/>
    </row>
    <row r="603">
      <c r="B603" s="374"/>
      <c r="C603" s="374"/>
      <c r="D603" s="412"/>
      <c r="E603" s="412"/>
      <c r="F603" s="412"/>
      <c r="G603" s="412"/>
      <c r="H603" s="412"/>
      <c r="I603" s="412"/>
      <c r="J603" s="412"/>
      <c r="K603" s="412"/>
      <c r="L603" s="413"/>
      <c r="M603" s="412"/>
      <c r="N603" s="413"/>
      <c r="O603" s="413"/>
      <c r="P603" s="412"/>
      <c r="Q603" s="414"/>
      <c r="R603" s="414"/>
    </row>
    <row r="604">
      <c r="B604" s="374"/>
      <c r="C604" s="374"/>
      <c r="D604" s="412"/>
      <c r="E604" s="412"/>
      <c r="F604" s="412"/>
      <c r="G604" s="412"/>
      <c r="H604" s="412"/>
      <c r="I604" s="412"/>
      <c r="J604" s="412"/>
      <c r="K604" s="412"/>
      <c r="L604" s="413"/>
      <c r="M604" s="412"/>
      <c r="N604" s="413"/>
      <c r="O604" s="413"/>
      <c r="P604" s="412"/>
      <c r="Q604" s="414"/>
      <c r="R604" s="414"/>
    </row>
    <row r="605">
      <c r="B605" s="374"/>
      <c r="C605" s="374"/>
      <c r="D605" s="412"/>
      <c r="E605" s="412"/>
      <c r="F605" s="412"/>
      <c r="G605" s="412"/>
      <c r="H605" s="412"/>
      <c r="I605" s="412"/>
      <c r="J605" s="412"/>
      <c r="K605" s="412"/>
      <c r="L605" s="413"/>
      <c r="M605" s="412"/>
      <c r="N605" s="413"/>
      <c r="O605" s="413"/>
      <c r="P605" s="412"/>
      <c r="Q605" s="414"/>
      <c r="R605" s="414"/>
    </row>
    <row r="606">
      <c r="B606" s="374"/>
      <c r="C606" s="374"/>
      <c r="D606" s="412"/>
      <c r="E606" s="412"/>
      <c r="F606" s="412"/>
      <c r="G606" s="412"/>
      <c r="H606" s="412"/>
      <c r="I606" s="412"/>
      <c r="J606" s="412"/>
      <c r="K606" s="412"/>
      <c r="L606" s="413"/>
      <c r="M606" s="412"/>
      <c r="N606" s="413"/>
      <c r="O606" s="413"/>
      <c r="P606" s="412"/>
      <c r="Q606" s="414"/>
      <c r="R606" s="414"/>
    </row>
    <row r="607">
      <c r="B607" s="374"/>
      <c r="C607" s="374"/>
      <c r="D607" s="412"/>
      <c r="E607" s="412"/>
      <c r="F607" s="412"/>
      <c r="G607" s="412"/>
      <c r="H607" s="412"/>
      <c r="I607" s="412"/>
      <c r="J607" s="412"/>
      <c r="K607" s="412"/>
      <c r="L607" s="413"/>
      <c r="M607" s="412"/>
      <c r="N607" s="413"/>
      <c r="O607" s="413"/>
      <c r="P607" s="412"/>
      <c r="Q607" s="414"/>
      <c r="R607" s="414"/>
    </row>
    <row r="608">
      <c r="B608" s="374"/>
      <c r="C608" s="374"/>
      <c r="D608" s="412"/>
      <c r="E608" s="412"/>
      <c r="F608" s="412"/>
      <c r="G608" s="412"/>
      <c r="H608" s="412"/>
      <c r="I608" s="412"/>
      <c r="J608" s="412"/>
      <c r="K608" s="412"/>
      <c r="L608" s="413"/>
      <c r="M608" s="412"/>
      <c r="N608" s="413"/>
      <c r="O608" s="413"/>
      <c r="P608" s="412"/>
      <c r="Q608" s="414"/>
      <c r="R608" s="414"/>
    </row>
    <row r="609">
      <c r="B609" s="374"/>
      <c r="C609" s="374"/>
      <c r="D609" s="412"/>
      <c r="E609" s="412"/>
      <c r="F609" s="412"/>
      <c r="G609" s="412"/>
      <c r="H609" s="412"/>
      <c r="I609" s="412"/>
      <c r="J609" s="412"/>
      <c r="K609" s="412"/>
      <c r="L609" s="413"/>
      <c r="M609" s="412"/>
      <c r="N609" s="413"/>
      <c r="O609" s="413"/>
      <c r="P609" s="412"/>
      <c r="Q609" s="414"/>
      <c r="R609" s="414"/>
    </row>
    <row r="610">
      <c r="B610" s="374"/>
      <c r="C610" s="374"/>
      <c r="D610" s="412"/>
      <c r="E610" s="412"/>
      <c r="F610" s="412"/>
      <c r="G610" s="412"/>
      <c r="H610" s="412"/>
      <c r="I610" s="412"/>
      <c r="J610" s="412"/>
      <c r="K610" s="412"/>
      <c r="L610" s="413"/>
      <c r="M610" s="412"/>
      <c r="N610" s="413"/>
      <c r="O610" s="413"/>
      <c r="P610" s="412"/>
      <c r="Q610" s="414"/>
      <c r="R610" s="414"/>
    </row>
    <row r="611">
      <c r="B611" s="374"/>
      <c r="C611" s="374"/>
      <c r="D611" s="412"/>
      <c r="E611" s="412"/>
      <c r="F611" s="412"/>
      <c r="G611" s="412"/>
      <c r="H611" s="412"/>
      <c r="I611" s="412"/>
      <c r="J611" s="412"/>
      <c r="K611" s="412"/>
      <c r="L611" s="413"/>
      <c r="M611" s="412"/>
      <c r="N611" s="413"/>
      <c r="O611" s="413"/>
      <c r="P611" s="412"/>
      <c r="Q611" s="414"/>
      <c r="R611" s="414"/>
    </row>
    <row r="612">
      <c r="B612" s="374"/>
      <c r="C612" s="374"/>
      <c r="D612" s="412"/>
      <c r="E612" s="412"/>
      <c r="F612" s="412"/>
      <c r="G612" s="412"/>
      <c r="H612" s="412"/>
      <c r="I612" s="412"/>
      <c r="J612" s="412"/>
      <c r="K612" s="412"/>
      <c r="L612" s="413"/>
      <c r="M612" s="412"/>
      <c r="N612" s="413"/>
      <c r="O612" s="413"/>
      <c r="P612" s="412"/>
      <c r="Q612" s="414"/>
      <c r="R612" s="414"/>
    </row>
    <row r="613">
      <c r="B613" s="374"/>
      <c r="C613" s="374"/>
      <c r="D613" s="412"/>
      <c r="E613" s="412"/>
      <c r="F613" s="412"/>
      <c r="G613" s="412"/>
      <c r="H613" s="412"/>
      <c r="I613" s="412"/>
      <c r="J613" s="412"/>
      <c r="K613" s="412"/>
      <c r="L613" s="413"/>
      <c r="M613" s="412"/>
      <c r="N613" s="413"/>
      <c r="O613" s="413"/>
      <c r="P613" s="412"/>
      <c r="Q613" s="414"/>
      <c r="R613" s="414"/>
    </row>
    <row r="614">
      <c r="B614" s="374"/>
      <c r="C614" s="374"/>
      <c r="D614" s="412"/>
      <c r="E614" s="412"/>
      <c r="F614" s="412"/>
      <c r="G614" s="412"/>
      <c r="H614" s="412"/>
      <c r="I614" s="412"/>
      <c r="J614" s="412"/>
      <c r="K614" s="412"/>
      <c r="L614" s="413"/>
      <c r="M614" s="412"/>
      <c r="N614" s="413"/>
      <c r="O614" s="413"/>
      <c r="P614" s="412"/>
      <c r="Q614" s="414"/>
      <c r="R614" s="414"/>
    </row>
    <row r="615">
      <c r="B615" s="374"/>
      <c r="C615" s="374"/>
      <c r="D615" s="412"/>
      <c r="E615" s="412"/>
      <c r="F615" s="412"/>
      <c r="G615" s="412"/>
      <c r="H615" s="412"/>
      <c r="I615" s="412"/>
      <c r="J615" s="412"/>
      <c r="K615" s="412"/>
      <c r="L615" s="413"/>
      <c r="M615" s="412"/>
      <c r="N615" s="413"/>
      <c r="O615" s="413"/>
      <c r="P615" s="412"/>
      <c r="Q615" s="414"/>
      <c r="R615" s="414"/>
    </row>
    <row r="616">
      <c r="B616" s="374"/>
      <c r="C616" s="374"/>
      <c r="D616" s="412"/>
      <c r="E616" s="412"/>
      <c r="F616" s="412"/>
      <c r="G616" s="412"/>
      <c r="H616" s="412"/>
      <c r="I616" s="412"/>
      <c r="J616" s="412"/>
      <c r="K616" s="412"/>
      <c r="L616" s="413"/>
      <c r="M616" s="412"/>
      <c r="N616" s="413"/>
      <c r="O616" s="413"/>
      <c r="P616" s="412"/>
      <c r="Q616" s="414"/>
      <c r="R616" s="414"/>
    </row>
    <row r="617">
      <c r="B617" s="374"/>
      <c r="C617" s="374"/>
      <c r="D617" s="412"/>
      <c r="E617" s="412"/>
      <c r="F617" s="412"/>
      <c r="G617" s="412"/>
      <c r="H617" s="412"/>
      <c r="I617" s="412"/>
      <c r="J617" s="412"/>
      <c r="K617" s="412"/>
      <c r="L617" s="413"/>
      <c r="M617" s="412"/>
      <c r="N617" s="413"/>
      <c r="O617" s="413"/>
      <c r="P617" s="412"/>
      <c r="Q617" s="414"/>
      <c r="R617" s="414"/>
    </row>
    <row r="618">
      <c r="B618" s="374"/>
      <c r="C618" s="374"/>
      <c r="D618" s="412"/>
      <c r="E618" s="412"/>
      <c r="F618" s="412"/>
      <c r="G618" s="412"/>
      <c r="H618" s="412"/>
      <c r="I618" s="412"/>
      <c r="J618" s="412"/>
      <c r="K618" s="412"/>
      <c r="L618" s="413"/>
      <c r="M618" s="412"/>
      <c r="N618" s="413"/>
      <c r="O618" s="413"/>
      <c r="P618" s="412"/>
      <c r="Q618" s="414"/>
      <c r="R618" s="414"/>
    </row>
    <row r="619">
      <c r="B619" s="374"/>
      <c r="C619" s="374"/>
      <c r="D619" s="412"/>
      <c r="E619" s="412"/>
      <c r="F619" s="412"/>
      <c r="G619" s="412"/>
      <c r="H619" s="412"/>
      <c r="I619" s="412"/>
      <c r="J619" s="412"/>
      <c r="K619" s="412"/>
      <c r="L619" s="413"/>
      <c r="M619" s="412"/>
      <c r="N619" s="413"/>
      <c r="O619" s="413"/>
      <c r="P619" s="412"/>
      <c r="Q619" s="414"/>
      <c r="R619" s="414"/>
    </row>
    <row r="620">
      <c r="B620" s="374"/>
      <c r="C620" s="374"/>
      <c r="D620" s="412"/>
      <c r="E620" s="412"/>
      <c r="F620" s="412"/>
      <c r="G620" s="412"/>
      <c r="H620" s="412"/>
      <c r="I620" s="412"/>
      <c r="J620" s="412"/>
      <c r="K620" s="412"/>
      <c r="L620" s="413"/>
      <c r="M620" s="412"/>
      <c r="N620" s="413"/>
      <c r="O620" s="413"/>
      <c r="P620" s="412"/>
      <c r="Q620" s="414"/>
      <c r="R620" s="414"/>
    </row>
    <row r="621">
      <c r="B621" s="374"/>
      <c r="C621" s="374"/>
      <c r="D621" s="412"/>
      <c r="E621" s="412"/>
      <c r="F621" s="412"/>
      <c r="G621" s="412"/>
      <c r="H621" s="412"/>
      <c r="I621" s="412"/>
      <c r="J621" s="412"/>
      <c r="K621" s="412"/>
      <c r="L621" s="413"/>
      <c r="M621" s="412"/>
      <c r="N621" s="413"/>
      <c r="O621" s="413"/>
      <c r="P621" s="412"/>
      <c r="Q621" s="414"/>
      <c r="R621" s="414"/>
    </row>
    <row r="622">
      <c r="B622" s="374"/>
      <c r="C622" s="374"/>
      <c r="D622" s="412"/>
      <c r="E622" s="412"/>
      <c r="F622" s="412"/>
      <c r="G622" s="412"/>
      <c r="H622" s="412"/>
      <c r="I622" s="412"/>
      <c r="J622" s="412"/>
      <c r="K622" s="412"/>
      <c r="L622" s="413"/>
      <c r="M622" s="412"/>
      <c r="N622" s="413"/>
      <c r="O622" s="413"/>
      <c r="P622" s="412"/>
      <c r="Q622" s="414"/>
      <c r="R622" s="414"/>
    </row>
    <row r="623">
      <c r="B623" s="374"/>
      <c r="C623" s="374"/>
      <c r="D623" s="412"/>
      <c r="E623" s="412"/>
      <c r="F623" s="412"/>
      <c r="G623" s="412"/>
      <c r="H623" s="412"/>
      <c r="I623" s="412"/>
      <c r="J623" s="412"/>
      <c r="K623" s="412"/>
      <c r="L623" s="413"/>
      <c r="M623" s="412"/>
      <c r="N623" s="413"/>
      <c r="O623" s="413"/>
      <c r="P623" s="412"/>
      <c r="Q623" s="414"/>
      <c r="R623" s="414"/>
    </row>
    <row r="624">
      <c r="B624" s="374"/>
      <c r="C624" s="374"/>
      <c r="D624" s="412"/>
      <c r="E624" s="412"/>
      <c r="F624" s="412"/>
      <c r="G624" s="412"/>
      <c r="H624" s="412"/>
      <c r="I624" s="412"/>
      <c r="J624" s="412"/>
      <c r="K624" s="412"/>
      <c r="L624" s="413"/>
      <c r="M624" s="412"/>
      <c r="N624" s="413"/>
      <c r="O624" s="413"/>
      <c r="P624" s="412"/>
      <c r="Q624" s="414"/>
      <c r="R624" s="414"/>
    </row>
    <row r="625">
      <c r="B625" s="374"/>
      <c r="C625" s="374"/>
      <c r="D625" s="412"/>
      <c r="E625" s="412"/>
      <c r="F625" s="412"/>
      <c r="G625" s="412"/>
      <c r="H625" s="412"/>
      <c r="I625" s="412"/>
      <c r="J625" s="412"/>
      <c r="K625" s="412"/>
      <c r="L625" s="413"/>
      <c r="M625" s="412"/>
      <c r="N625" s="413"/>
      <c r="O625" s="413"/>
      <c r="P625" s="412"/>
      <c r="Q625" s="414"/>
      <c r="R625" s="414"/>
    </row>
    <row r="626">
      <c r="B626" s="374"/>
      <c r="C626" s="374"/>
      <c r="D626" s="412"/>
      <c r="E626" s="412"/>
      <c r="F626" s="412"/>
      <c r="G626" s="412"/>
      <c r="H626" s="412"/>
      <c r="I626" s="412"/>
      <c r="J626" s="412"/>
      <c r="K626" s="412"/>
      <c r="L626" s="413"/>
      <c r="M626" s="412"/>
      <c r="N626" s="413"/>
      <c r="O626" s="413"/>
      <c r="P626" s="412"/>
      <c r="Q626" s="414"/>
      <c r="R626" s="414"/>
    </row>
    <row r="627">
      <c r="B627" s="374"/>
      <c r="C627" s="374"/>
      <c r="D627" s="412"/>
      <c r="E627" s="412"/>
      <c r="F627" s="412"/>
      <c r="G627" s="412"/>
      <c r="H627" s="412"/>
      <c r="I627" s="412"/>
      <c r="J627" s="412"/>
      <c r="K627" s="412"/>
      <c r="L627" s="413"/>
      <c r="M627" s="412"/>
      <c r="N627" s="413"/>
      <c r="O627" s="413"/>
      <c r="P627" s="412"/>
      <c r="Q627" s="414"/>
      <c r="R627" s="414"/>
    </row>
    <row r="628">
      <c r="B628" s="374"/>
      <c r="C628" s="374"/>
      <c r="D628" s="412"/>
      <c r="E628" s="412"/>
      <c r="F628" s="412"/>
      <c r="G628" s="412"/>
      <c r="H628" s="412"/>
      <c r="I628" s="412"/>
      <c r="J628" s="412"/>
      <c r="K628" s="412"/>
      <c r="L628" s="413"/>
      <c r="M628" s="412"/>
      <c r="N628" s="413"/>
      <c r="O628" s="413"/>
      <c r="P628" s="412"/>
      <c r="Q628" s="414"/>
      <c r="R628" s="414"/>
    </row>
    <row r="629">
      <c r="B629" s="374"/>
      <c r="C629" s="374"/>
      <c r="D629" s="412"/>
      <c r="E629" s="412"/>
      <c r="F629" s="412"/>
      <c r="G629" s="412"/>
      <c r="H629" s="412"/>
      <c r="I629" s="412"/>
      <c r="J629" s="412"/>
      <c r="K629" s="412"/>
      <c r="L629" s="413"/>
      <c r="M629" s="412"/>
      <c r="N629" s="413"/>
      <c r="O629" s="413"/>
      <c r="P629" s="412"/>
      <c r="Q629" s="414"/>
      <c r="R629" s="414"/>
    </row>
    <row r="630">
      <c r="B630" s="374"/>
      <c r="C630" s="374"/>
      <c r="D630" s="412"/>
      <c r="E630" s="412"/>
      <c r="F630" s="412"/>
      <c r="G630" s="412"/>
      <c r="H630" s="412"/>
      <c r="I630" s="412"/>
      <c r="J630" s="412"/>
      <c r="K630" s="412"/>
      <c r="L630" s="413"/>
      <c r="M630" s="412"/>
      <c r="N630" s="413"/>
      <c r="O630" s="413"/>
      <c r="P630" s="412"/>
      <c r="Q630" s="414"/>
      <c r="R630" s="414"/>
    </row>
    <row r="631">
      <c r="B631" s="374"/>
      <c r="C631" s="374"/>
      <c r="D631" s="412"/>
      <c r="E631" s="412"/>
      <c r="F631" s="412"/>
      <c r="G631" s="412"/>
      <c r="H631" s="412"/>
      <c r="I631" s="412"/>
      <c r="J631" s="412"/>
      <c r="K631" s="412"/>
      <c r="L631" s="413"/>
      <c r="M631" s="412"/>
      <c r="N631" s="413"/>
      <c r="O631" s="413"/>
      <c r="P631" s="412"/>
      <c r="Q631" s="414"/>
      <c r="R631" s="414"/>
    </row>
    <row r="632">
      <c r="B632" s="374"/>
      <c r="C632" s="374"/>
      <c r="D632" s="412"/>
      <c r="E632" s="412"/>
      <c r="F632" s="412"/>
      <c r="G632" s="412"/>
      <c r="H632" s="412"/>
      <c r="I632" s="412"/>
      <c r="J632" s="412"/>
      <c r="K632" s="412"/>
      <c r="L632" s="413"/>
      <c r="M632" s="412"/>
      <c r="N632" s="413"/>
      <c r="O632" s="413"/>
      <c r="P632" s="412"/>
      <c r="Q632" s="414"/>
      <c r="R632" s="414"/>
    </row>
    <row r="633">
      <c r="B633" s="374"/>
      <c r="C633" s="374"/>
      <c r="D633" s="412"/>
      <c r="E633" s="412"/>
      <c r="F633" s="412"/>
      <c r="G633" s="412"/>
      <c r="H633" s="412"/>
      <c r="I633" s="412"/>
      <c r="J633" s="412"/>
      <c r="K633" s="412"/>
      <c r="L633" s="413"/>
      <c r="M633" s="412"/>
      <c r="N633" s="413"/>
      <c r="O633" s="413"/>
      <c r="P633" s="412"/>
      <c r="Q633" s="414"/>
      <c r="R633" s="414"/>
    </row>
    <row r="634">
      <c r="B634" s="374"/>
      <c r="C634" s="374"/>
      <c r="D634" s="412"/>
      <c r="E634" s="412"/>
      <c r="F634" s="412"/>
      <c r="G634" s="412"/>
      <c r="H634" s="412"/>
      <c r="I634" s="412"/>
      <c r="J634" s="412"/>
      <c r="K634" s="412"/>
      <c r="L634" s="413"/>
      <c r="M634" s="412"/>
      <c r="N634" s="413"/>
      <c r="O634" s="413"/>
      <c r="P634" s="412"/>
      <c r="Q634" s="414"/>
      <c r="R634" s="414"/>
    </row>
    <row r="635">
      <c r="B635" s="374"/>
      <c r="C635" s="374"/>
      <c r="D635" s="412"/>
      <c r="E635" s="412"/>
      <c r="F635" s="412"/>
      <c r="G635" s="412"/>
      <c r="H635" s="412"/>
      <c r="I635" s="412"/>
      <c r="J635" s="412"/>
      <c r="K635" s="412"/>
      <c r="L635" s="413"/>
      <c r="M635" s="412"/>
      <c r="N635" s="413"/>
      <c r="O635" s="413"/>
      <c r="P635" s="412"/>
      <c r="Q635" s="414"/>
      <c r="R635" s="414"/>
    </row>
    <row r="636">
      <c r="B636" s="374"/>
      <c r="C636" s="374"/>
      <c r="D636" s="412"/>
      <c r="E636" s="412"/>
      <c r="F636" s="412"/>
      <c r="G636" s="412"/>
      <c r="H636" s="412"/>
      <c r="I636" s="412"/>
      <c r="J636" s="412"/>
      <c r="K636" s="412"/>
      <c r="L636" s="413"/>
      <c r="M636" s="412"/>
      <c r="N636" s="413"/>
      <c r="O636" s="413"/>
      <c r="P636" s="412"/>
      <c r="Q636" s="414"/>
      <c r="R636" s="414"/>
    </row>
    <row r="637">
      <c r="B637" s="374"/>
      <c r="C637" s="374"/>
      <c r="D637" s="412"/>
      <c r="E637" s="412"/>
      <c r="F637" s="412"/>
      <c r="G637" s="412"/>
      <c r="H637" s="412"/>
      <c r="I637" s="412"/>
      <c r="J637" s="412"/>
      <c r="K637" s="412"/>
      <c r="L637" s="413"/>
      <c r="M637" s="412"/>
      <c r="N637" s="413"/>
      <c r="O637" s="413"/>
      <c r="P637" s="412"/>
      <c r="Q637" s="414"/>
      <c r="R637" s="414"/>
    </row>
    <row r="638">
      <c r="B638" s="374"/>
      <c r="C638" s="374"/>
      <c r="D638" s="412"/>
      <c r="E638" s="412"/>
      <c r="F638" s="412"/>
      <c r="G638" s="412"/>
      <c r="H638" s="412"/>
      <c r="I638" s="412"/>
      <c r="J638" s="412"/>
      <c r="K638" s="412"/>
      <c r="L638" s="413"/>
      <c r="M638" s="412"/>
      <c r="N638" s="413"/>
      <c r="O638" s="413"/>
      <c r="P638" s="412"/>
      <c r="Q638" s="414"/>
      <c r="R638" s="414"/>
    </row>
    <row r="639">
      <c r="B639" s="374"/>
      <c r="C639" s="374"/>
      <c r="D639" s="412"/>
      <c r="E639" s="412"/>
      <c r="F639" s="412"/>
      <c r="G639" s="412"/>
      <c r="H639" s="412"/>
      <c r="I639" s="412"/>
      <c r="J639" s="412"/>
      <c r="K639" s="412"/>
      <c r="L639" s="413"/>
      <c r="M639" s="412"/>
      <c r="N639" s="413"/>
      <c r="O639" s="413"/>
      <c r="P639" s="412"/>
      <c r="Q639" s="414"/>
      <c r="R639" s="414"/>
    </row>
    <row r="640">
      <c r="B640" s="374"/>
      <c r="C640" s="374"/>
      <c r="D640" s="412"/>
      <c r="E640" s="412"/>
      <c r="F640" s="412"/>
      <c r="G640" s="412"/>
      <c r="H640" s="412"/>
      <c r="I640" s="412"/>
      <c r="J640" s="412"/>
      <c r="K640" s="412"/>
      <c r="L640" s="413"/>
      <c r="M640" s="412"/>
      <c r="N640" s="413"/>
      <c r="O640" s="413"/>
      <c r="P640" s="412"/>
      <c r="Q640" s="414"/>
      <c r="R640" s="414"/>
    </row>
    <row r="641">
      <c r="B641" s="374"/>
      <c r="C641" s="374"/>
      <c r="D641" s="412"/>
      <c r="E641" s="412"/>
      <c r="F641" s="412"/>
      <c r="G641" s="412"/>
      <c r="H641" s="412"/>
      <c r="I641" s="412"/>
      <c r="J641" s="412"/>
      <c r="K641" s="412"/>
      <c r="L641" s="413"/>
      <c r="M641" s="412"/>
      <c r="N641" s="413"/>
      <c r="O641" s="413"/>
      <c r="P641" s="412"/>
      <c r="Q641" s="414"/>
      <c r="R641" s="414"/>
    </row>
    <row r="642">
      <c r="B642" s="374"/>
      <c r="C642" s="374"/>
      <c r="D642" s="412"/>
      <c r="E642" s="412"/>
      <c r="F642" s="412"/>
      <c r="G642" s="412"/>
      <c r="H642" s="412"/>
      <c r="I642" s="412"/>
      <c r="J642" s="412"/>
      <c r="K642" s="412"/>
      <c r="L642" s="413"/>
      <c r="M642" s="412"/>
      <c r="N642" s="413"/>
      <c r="O642" s="413"/>
      <c r="P642" s="412"/>
      <c r="Q642" s="414"/>
      <c r="R642" s="414"/>
    </row>
    <row r="643">
      <c r="B643" s="374"/>
      <c r="C643" s="374"/>
      <c r="D643" s="412"/>
      <c r="E643" s="412"/>
      <c r="F643" s="412"/>
      <c r="G643" s="412"/>
      <c r="H643" s="412"/>
      <c r="I643" s="412"/>
      <c r="J643" s="412"/>
      <c r="K643" s="412"/>
      <c r="L643" s="413"/>
      <c r="M643" s="412"/>
      <c r="N643" s="413"/>
      <c r="O643" s="413"/>
      <c r="P643" s="412"/>
      <c r="Q643" s="414"/>
      <c r="R643" s="414"/>
    </row>
    <row r="644">
      <c r="B644" s="374"/>
      <c r="C644" s="374"/>
      <c r="D644" s="412"/>
      <c r="E644" s="412"/>
      <c r="F644" s="412"/>
      <c r="G644" s="412"/>
      <c r="H644" s="412"/>
      <c r="I644" s="412"/>
      <c r="J644" s="412"/>
      <c r="K644" s="412"/>
      <c r="L644" s="413"/>
      <c r="M644" s="412"/>
      <c r="N644" s="413"/>
      <c r="O644" s="413"/>
      <c r="P644" s="412"/>
      <c r="Q644" s="414"/>
      <c r="R644" s="414"/>
    </row>
    <row r="645">
      <c r="B645" s="374"/>
      <c r="C645" s="374"/>
      <c r="D645" s="412"/>
      <c r="E645" s="412"/>
      <c r="F645" s="412"/>
      <c r="G645" s="412"/>
      <c r="H645" s="412"/>
      <c r="I645" s="412"/>
      <c r="J645" s="412"/>
      <c r="K645" s="412"/>
      <c r="L645" s="413"/>
      <c r="M645" s="412"/>
      <c r="N645" s="413"/>
      <c r="O645" s="413"/>
      <c r="P645" s="412"/>
      <c r="Q645" s="414"/>
      <c r="R645" s="414"/>
    </row>
    <row r="646">
      <c r="B646" s="374"/>
      <c r="C646" s="374"/>
      <c r="D646" s="412"/>
      <c r="E646" s="412"/>
      <c r="F646" s="412"/>
      <c r="G646" s="412"/>
      <c r="H646" s="412"/>
      <c r="I646" s="412"/>
      <c r="J646" s="412"/>
      <c r="K646" s="412"/>
      <c r="L646" s="413"/>
      <c r="M646" s="412"/>
      <c r="N646" s="413"/>
      <c r="O646" s="413"/>
      <c r="P646" s="412"/>
      <c r="Q646" s="414"/>
      <c r="R646" s="414"/>
    </row>
    <row r="647">
      <c r="B647" s="374"/>
      <c r="C647" s="374"/>
      <c r="D647" s="412"/>
      <c r="E647" s="412"/>
      <c r="F647" s="412"/>
      <c r="G647" s="412"/>
      <c r="H647" s="412"/>
      <c r="I647" s="412"/>
      <c r="J647" s="412"/>
      <c r="K647" s="412"/>
      <c r="L647" s="413"/>
      <c r="M647" s="412"/>
      <c r="N647" s="413"/>
      <c r="O647" s="413"/>
      <c r="P647" s="412"/>
      <c r="Q647" s="414"/>
      <c r="R647" s="414"/>
    </row>
    <row r="648">
      <c r="B648" s="374"/>
      <c r="C648" s="374"/>
      <c r="D648" s="412"/>
      <c r="E648" s="412"/>
      <c r="F648" s="412"/>
      <c r="G648" s="412"/>
      <c r="H648" s="412"/>
      <c r="I648" s="412"/>
      <c r="J648" s="412"/>
      <c r="K648" s="412"/>
      <c r="L648" s="413"/>
      <c r="M648" s="412"/>
      <c r="N648" s="413"/>
      <c r="O648" s="413"/>
      <c r="P648" s="412"/>
      <c r="Q648" s="414"/>
      <c r="R648" s="414"/>
    </row>
    <row r="649">
      <c r="B649" s="374"/>
      <c r="C649" s="374"/>
      <c r="D649" s="412"/>
      <c r="E649" s="412"/>
      <c r="F649" s="412"/>
      <c r="G649" s="412"/>
      <c r="H649" s="412"/>
      <c r="I649" s="412"/>
      <c r="J649" s="412"/>
      <c r="K649" s="412"/>
      <c r="L649" s="413"/>
      <c r="M649" s="412"/>
      <c r="N649" s="413"/>
      <c r="O649" s="413"/>
      <c r="P649" s="412"/>
      <c r="Q649" s="414"/>
      <c r="R649" s="414"/>
    </row>
    <row r="650">
      <c r="B650" s="374"/>
      <c r="C650" s="374"/>
      <c r="D650" s="412"/>
      <c r="E650" s="412"/>
      <c r="F650" s="412"/>
      <c r="G650" s="412"/>
      <c r="H650" s="412"/>
      <c r="I650" s="412"/>
      <c r="J650" s="412"/>
      <c r="K650" s="412"/>
      <c r="L650" s="413"/>
      <c r="M650" s="412"/>
      <c r="N650" s="413"/>
      <c r="O650" s="413"/>
      <c r="P650" s="412"/>
      <c r="Q650" s="414"/>
      <c r="R650" s="414"/>
    </row>
    <row r="651">
      <c r="B651" s="374"/>
      <c r="C651" s="374"/>
      <c r="D651" s="412"/>
      <c r="E651" s="412"/>
      <c r="F651" s="412"/>
      <c r="G651" s="412"/>
      <c r="H651" s="412"/>
      <c r="I651" s="412"/>
      <c r="J651" s="412"/>
      <c r="K651" s="412"/>
      <c r="L651" s="413"/>
      <c r="M651" s="412"/>
      <c r="N651" s="413"/>
      <c r="O651" s="413"/>
      <c r="P651" s="412"/>
      <c r="Q651" s="414"/>
      <c r="R651" s="414"/>
    </row>
    <row r="652">
      <c r="B652" s="374"/>
      <c r="C652" s="374"/>
      <c r="D652" s="412"/>
      <c r="E652" s="412"/>
      <c r="F652" s="412"/>
      <c r="G652" s="412"/>
      <c r="H652" s="412"/>
      <c r="I652" s="412"/>
      <c r="J652" s="412"/>
      <c r="K652" s="412"/>
      <c r="L652" s="413"/>
      <c r="M652" s="412"/>
      <c r="N652" s="413"/>
      <c r="O652" s="413"/>
      <c r="P652" s="412"/>
      <c r="Q652" s="414"/>
      <c r="R652" s="414"/>
    </row>
    <row r="653">
      <c r="B653" s="374"/>
      <c r="C653" s="374"/>
      <c r="D653" s="412"/>
      <c r="E653" s="412"/>
      <c r="F653" s="412"/>
      <c r="G653" s="412"/>
      <c r="H653" s="412"/>
      <c r="I653" s="412"/>
      <c r="J653" s="412"/>
      <c r="K653" s="412"/>
      <c r="L653" s="413"/>
      <c r="M653" s="412"/>
      <c r="N653" s="413"/>
      <c r="O653" s="413"/>
      <c r="P653" s="412"/>
      <c r="Q653" s="414"/>
      <c r="R653" s="414"/>
    </row>
    <row r="654">
      <c r="B654" s="374"/>
      <c r="C654" s="374"/>
      <c r="D654" s="412"/>
      <c r="E654" s="412"/>
      <c r="F654" s="412"/>
      <c r="G654" s="412"/>
      <c r="H654" s="412"/>
      <c r="I654" s="412"/>
      <c r="J654" s="412"/>
      <c r="K654" s="412"/>
      <c r="L654" s="413"/>
      <c r="M654" s="412"/>
      <c r="N654" s="413"/>
      <c r="O654" s="413"/>
      <c r="P654" s="412"/>
      <c r="Q654" s="414"/>
      <c r="R654" s="414"/>
    </row>
    <row r="655">
      <c r="B655" s="374"/>
      <c r="C655" s="374"/>
      <c r="D655" s="412"/>
      <c r="E655" s="412"/>
      <c r="F655" s="412"/>
      <c r="G655" s="412"/>
      <c r="H655" s="412"/>
      <c r="I655" s="412"/>
      <c r="J655" s="412"/>
      <c r="K655" s="412"/>
      <c r="L655" s="413"/>
      <c r="M655" s="412"/>
      <c r="N655" s="413"/>
      <c r="O655" s="413"/>
      <c r="P655" s="412"/>
      <c r="Q655" s="414"/>
      <c r="R655" s="414"/>
    </row>
    <row r="656">
      <c r="B656" s="374"/>
      <c r="C656" s="374"/>
      <c r="D656" s="412"/>
      <c r="E656" s="412"/>
      <c r="F656" s="412"/>
      <c r="G656" s="412"/>
      <c r="H656" s="412"/>
      <c r="I656" s="412"/>
      <c r="J656" s="412"/>
      <c r="K656" s="412"/>
      <c r="L656" s="413"/>
      <c r="M656" s="412"/>
      <c r="N656" s="413"/>
      <c r="O656" s="413"/>
      <c r="P656" s="412"/>
      <c r="Q656" s="414"/>
      <c r="R656" s="414"/>
    </row>
    <row r="657">
      <c r="B657" s="374"/>
      <c r="C657" s="374"/>
      <c r="D657" s="412"/>
      <c r="E657" s="412"/>
      <c r="F657" s="412"/>
      <c r="G657" s="412"/>
      <c r="H657" s="412"/>
      <c r="I657" s="412"/>
      <c r="J657" s="412"/>
      <c r="K657" s="412"/>
      <c r="L657" s="413"/>
      <c r="M657" s="412"/>
      <c r="N657" s="413"/>
      <c r="O657" s="413"/>
      <c r="P657" s="412"/>
      <c r="Q657" s="414"/>
      <c r="R657" s="414"/>
    </row>
    <row r="658">
      <c r="B658" s="374"/>
      <c r="C658" s="374"/>
      <c r="D658" s="412"/>
      <c r="E658" s="412"/>
      <c r="F658" s="412"/>
      <c r="G658" s="412"/>
      <c r="H658" s="412"/>
      <c r="I658" s="412"/>
      <c r="J658" s="412"/>
      <c r="K658" s="412"/>
      <c r="L658" s="413"/>
      <c r="M658" s="412"/>
      <c r="N658" s="413"/>
      <c r="O658" s="413"/>
      <c r="P658" s="412"/>
      <c r="Q658" s="414"/>
      <c r="R658" s="414"/>
    </row>
    <row r="659">
      <c r="B659" s="374"/>
      <c r="C659" s="374"/>
      <c r="D659" s="412"/>
      <c r="E659" s="412"/>
      <c r="F659" s="412"/>
      <c r="G659" s="412"/>
      <c r="H659" s="412"/>
      <c r="I659" s="412"/>
      <c r="J659" s="412"/>
      <c r="K659" s="412"/>
      <c r="L659" s="413"/>
      <c r="M659" s="412"/>
      <c r="N659" s="413"/>
      <c r="O659" s="413"/>
      <c r="P659" s="412"/>
      <c r="Q659" s="414"/>
      <c r="R659" s="414"/>
    </row>
    <row r="660">
      <c r="B660" s="374"/>
      <c r="C660" s="374"/>
      <c r="D660" s="412"/>
      <c r="E660" s="412"/>
      <c r="F660" s="412"/>
      <c r="G660" s="412"/>
      <c r="H660" s="412"/>
      <c r="I660" s="412"/>
      <c r="J660" s="412"/>
      <c r="K660" s="412"/>
      <c r="L660" s="413"/>
      <c r="M660" s="412"/>
      <c r="N660" s="413"/>
      <c r="O660" s="413"/>
      <c r="P660" s="412"/>
      <c r="Q660" s="414"/>
      <c r="R660" s="414"/>
    </row>
    <row r="661">
      <c r="B661" s="374"/>
      <c r="C661" s="374"/>
      <c r="D661" s="412"/>
      <c r="E661" s="412"/>
      <c r="F661" s="412"/>
      <c r="G661" s="412"/>
      <c r="H661" s="412"/>
      <c r="I661" s="412"/>
      <c r="J661" s="412"/>
      <c r="K661" s="412"/>
      <c r="L661" s="413"/>
      <c r="M661" s="412"/>
      <c r="N661" s="413"/>
      <c r="O661" s="413"/>
      <c r="P661" s="412"/>
      <c r="Q661" s="414"/>
      <c r="R661" s="414"/>
    </row>
    <row r="662">
      <c r="B662" s="374"/>
      <c r="C662" s="374"/>
      <c r="D662" s="412"/>
      <c r="E662" s="412"/>
      <c r="F662" s="412"/>
      <c r="G662" s="412"/>
      <c r="H662" s="412"/>
      <c r="I662" s="412"/>
      <c r="J662" s="412"/>
      <c r="K662" s="412"/>
      <c r="L662" s="413"/>
      <c r="M662" s="412"/>
      <c r="N662" s="413"/>
      <c r="O662" s="413"/>
      <c r="P662" s="412"/>
      <c r="Q662" s="414"/>
      <c r="R662" s="414"/>
    </row>
    <row r="663">
      <c r="B663" s="374"/>
      <c r="C663" s="374"/>
      <c r="D663" s="412"/>
      <c r="E663" s="412"/>
      <c r="F663" s="412"/>
      <c r="G663" s="412"/>
      <c r="H663" s="412"/>
      <c r="I663" s="412"/>
      <c r="J663" s="412"/>
      <c r="K663" s="412"/>
      <c r="L663" s="413"/>
      <c r="M663" s="412"/>
      <c r="N663" s="413"/>
      <c r="O663" s="413"/>
      <c r="P663" s="412"/>
      <c r="Q663" s="414"/>
      <c r="R663" s="414"/>
    </row>
    <row r="664">
      <c r="B664" s="374"/>
      <c r="C664" s="374"/>
      <c r="D664" s="412"/>
      <c r="E664" s="412"/>
      <c r="F664" s="412"/>
      <c r="G664" s="412"/>
      <c r="H664" s="412"/>
      <c r="I664" s="412"/>
      <c r="J664" s="412"/>
      <c r="K664" s="412"/>
      <c r="L664" s="413"/>
      <c r="M664" s="412"/>
      <c r="N664" s="413"/>
      <c r="O664" s="413"/>
      <c r="P664" s="412"/>
      <c r="Q664" s="414"/>
      <c r="R664" s="414"/>
    </row>
    <row r="665">
      <c r="B665" s="374"/>
      <c r="C665" s="374"/>
      <c r="D665" s="412"/>
      <c r="E665" s="412"/>
      <c r="F665" s="412"/>
      <c r="G665" s="412"/>
      <c r="H665" s="412"/>
      <c r="I665" s="412"/>
      <c r="J665" s="412"/>
      <c r="K665" s="412"/>
      <c r="L665" s="413"/>
      <c r="M665" s="412"/>
      <c r="N665" s="413"/>
      <c r="O665" s="413"/>
      <c r="P665" s="412"/>
      <c r="Q665" s="414"/>
      <c r="R665" s="414"/>
    </row>
    <row r="666">
      <c r="B666" s="374"/>
      <c r="C666" s="374"/>
      <c r="D666" s="412"/>
      <c r="E666" s="412"/>
      <c r="F666" s="412"/>
      <c r="G666" s="412"/>
      <c r="H666" s="412"/>
      <c r="I666" s="412"/>
      <c r="J666" s="412"/>
      <c r="K666" s="412"/>
      <c r="L666" s="413"/>
      <c r="M666" s="412"/>
      <c r="N666" s="413"/>
      <c r="O666" s="413"/>
      <c r="P666" s="412"/>
      <c r="Q666" s="414"/>
      <c r="R666" s="414"/>
    </row>
    <row r="667">
      <c r="B667" s="374"/>
      <c r="C667" s="374"/>
      <c r="D667" s="412"/>
      <c r="E667" s="412"/>
      <c r="F667" s="412"/>
      <c r="G667" s="412"/>
      <c r="H667" s="412"/>
      <c r="I667" s="412"/>
      <c r="J667" s="412"/>
      <c r="K667" s="412"/>
      <c r="L667" s="413"/>
      <c r="M667" s="412"/>
      <c r="N667" s="413"/>
      <c r="O667" s="413"/>
      <c r="P667" s="412"/>
      <c r="Q667" s="414"/>
      <c r="R667" s="414"/>
    </row>
    <row r="668">
      <c r="B668" s="374"/>
      <c r="C668" s="374"/>
      <c r="D668" s="412"/>
      <c r="E668" s="412"/>
      <c r="F668" s="412"/>
      <c r="G668" s="412"/>
      <c r="H668" s="412"/>
      <c r="I668" s="412"/>
      <c r="J668" s="412"/>
      <c r="K668" s="412"/>
      <c r="L668" s="413"/>
      <c r="M668" s="412"/>
      <c r="N668" s="413"/>
      <c r="O668" s="413"/>
      <c r="P668" s="412"/>
      <c r="Q668" s="414"/>
      <c r="R668" s="414"/>
    </row>
    <row r="669">
      <c r="B669" s="374"/>
      <c r="C669" s="374"/>
      <c r="D669" s="412"/>
      <c r="E669" s="412"/>
      <c r="F669" s="412"/>
      <c r="G669" s="412"/>
      <c r="H669" s="412"/>
      <c r="I669" s="412"/>
      <c r="J669" s="412"/>
      <c r="K669" s="412"/>
      <c r="L669" s="413"/>
      <c r="M669" s="412"/>
      <c r="N669" s="413"/>
      <c r="O669" s="413"/>
      <c r="P669" s="412"/>
      <c r="Q669" s="414"/>
      <c r="R669" s="414"/>
    </row>
    <row r="670">
      <c r="B670" s="374"/>
      <c r="C670" s="374"/>
      <c r="D670" s="412"/>
      <c r="E670" s="412"/>
      <c r="F670" s="412"/>
      <c r="G670" s="412"/>
      <c r="H670" s="412"/>
      <c r="I670" s="412"/>
      <c r="J670" s="412"/>
      <c r="K670" s="412"/>
      <c r="L670" s="413"/>
      <c r="M670" s="412"/>
      <c r="N670" s="413"/>
      <c r="O670" s="413"/>
      <c r="P670" s="412"/>
      <c r="Q670" s="414"/>
      <c r="R670" s="414"/>
    </row>
    <row r="671">
      <c r="B671" s="374"/>
      <c r="C671" s="374"/>
      <c r="D671" s="412"/>
      <c r="E671" s="412"/>
      <c r="F671" s="412"/>
      <c r="G671" s="412"/>
      <c r="H671" s="412"/>
      <c r="I671" s="412"/>
      <c r="J671" s="412"/>
      <c r="K671" s="412"/>
      <c r="L671" s="413"/>
      <c r="M671" s="412"/>
      <c r="N671" s="413"/>
      <c r="O671" s="413"/>
      <c r="P671" s="412"/>
      <c r="Q671" s="414"/>
      <c r="R671" s="414"/>
    </row>
    <row r="672">
      <c r="B672" s="374"/>
      <c r="C672" s="374"/>
      <c r="D672" s="412"/>
      <c r="E672" s="412"/>
      <c r="F672" s="412"/>
      <c r="G672" s="412"/>
      <c r="H672" s="412"/>
      <c r="I672" s="412"/>
      <c r="J672" s="412"/>
      <c r="K672" s="412"/>
      <c r="L672" s="413"/>
      <c r="M672" s="412"/>
      <c r="N672" s="413"/>
      <c r="O672" s="413"/>
      <c r="P672" s="412"/>
      <c r="Q672" s="414"/>
      <c r="R672" s="414"/>
    </row>
    <row r="673">
      <c r="B673" s="374"/>
      <c r="C673" s="374"/>
      <c r="D673" s="412"/>
      <c r="E673" s="412"/>
      <c r="F673" s="412"/>
      <c r="G673" s="412"/>
      <c r="H673" s="412"/>
      <c r="I673" s="412"/>
      <c r="J673" s="412"/>
      <c r="K673" s="412"/>
      <c r="L673" s="413"/>
      <c r="M673" s="412"/>
      <c r="N673" s="413"/>
      <c r="O673" s="413"/>
      <c r="P673" s="412"/>
      <c r="Q673" s="414"/>
      <c r="R673" s="414"/>
    </row>
    <row r="674">
      <c r="B674" s="374"/>
      <c r="C674" s="374"/>
      <c r="D674" s="412"/>
      <c r="E674" s="412"/>
      <c r="F674" s="412"/>
      <c r="G674" s="412"/>
      <c r="H674" s="412"/>
      <c r="I674" s="412"/>
      <c r="J674" s="412"/>
      <c r="K674" s="412"/>
      <c r="L674" s="413"/>
      <c r="M674" s="412"/>
      <c r="N674" s="413"/>
      <c r="O674" s="413"/>
      <c r="P674" s="412"/>
      <c r="Q674" s="414"/>
      <c r="R674" s="414"/>
    </row>
    <row r="675">
      <c r="B675" s="374"/>
      <c r="C675" s="374"/>
      <c r="D675" s="412"/>
      <c r="E675" s="412"/>
      <c r="F675" s="412"/>
      <c r="G675" s="412"/>
      <c r="H675" s="412"/>
      <c r="I675" s="412"/>
      <c r="J675" s="412"/>
      <c r="K675" s="412"/>
      <c r="L675" s="413"/>
      <c r="M675" s="412"/>
      <c r="N675" s="413"/>
      <c r="O675" s="413"/>
      <c r="P675" s="412"/>
      <c r="Q675" s="414"/>
      <c r="R675" s="414"/>
    </row>
    <row r="676">
      <c r="B676" s="374"/>
      <c r="C676" s="374"/>
      <c r="D676" s="412"/>
      <c r="E676" s="412"/>
      <c r="F676" s="412"/>
      <c r="G676" s="412"/>
      <c r="H676" s="412"/>
      <c r="I676" s="412"/>
      <c r="J676" s="412"/>
      <c r="K676" s="412"/>
      <c r="L676" s="413"/>
      <c r="M676" s="412"/>
      <c r="N676" s="413"/>
      <c r="O676" s="413"/>
      <c r="P676" s="412"/>
      <c r="Q676" s="414"/>
      <c r="R676" s="414"/>
    </row>
    <row r="677">
      <c r="B677" s="374"/>
      <c r="C677" s="374"/>
      <c r="D677" s="412"/>
      <c r="E677" s="412"/>
      <c r="F677" s="412"/>
      <c r="G677" s="412"/>
      <c r="H677" s="412"/>
      <c r="I677" s="412"/>
      <c r="J677" s="412"/>
      <c r="K677" s="412"/>
      <c r="L677" s="413"/>
      <c r="M677" s="412"/>
      <c r="N677" s="413"/>
      <c r="O677" s="413"/>
      <c r="P677" s="412"/>
      <c r="Q677" s="414"/>
      <c r="R677" s="414"/>
    </row>
    <row r="678">
      <c r="B678" s="374"/>
      <c r="C678" s="374"/>
      <c r="D678" s="412"/>
      <c r="E678" s="412"/>
      <c r="F678" s="412"/>
      <c r="G678" s="412"/>
      <c r="H678" s="412"/>
      <c r="I678" s="412"/>
      <c r="J678" s="412"/>
      <c r="K678" s="412"/>
      <c r="L678" s="413"/>
      <c r="M678" s="412"/>
      <c r="N678" s="413"/>
      <c r="O678" s="413"/>
      <c r="P678" s="412"/>
      <c r="Q678" s="414"/>
      <c r="R678" s="414"/>
    </row>
    <row r="679">
      <c r="B679" s="374"/>
      <c r="C679" s="374"/>
      <c r="D679" s="412"/>
      <c r="E679" s="412"/>
      <c r="F679" s="412"/>
      <c r="G679" s="412"/>
      <c r="H679" s="412"/>
      <c r="I679" s="412"/>
      <c r="J679" s="412"/>
      <c r="K679" s="412"/>
      <c r="L679" s="413"/>
      <c r="M679" s="412"/>
      <c r="N679" s="413"/>
      <c r="O679" s="413"/>
      <c r="P679" s="412"/>
      <c r="Q679" s="414"/>
      <c r="R679" s="414"/>
    </row>
    <row r="680">
      <c r="B680" s="374"/>
      <c r="C680" s="374"/>
      <c r="D680" s="412"/>
      <c r="E680" s="412"/>
      <c r="F680" s="412"/>
      <c r="G680" s="412"/>
      <c r="H680" s="412"/>
      <c r="I680" s="412"/>
      <c r="J680" s="412"/>
      <c r="K680" s="412"/>
      <c r="L680" s="413"/>
      <c r="M680" s="412"/>
      <c r="N680" s="413"/>
      <c r="O680" s="413"/>
      <c r="P680" s="412"/>
      <c r="Q680" s="414"/>
      <c r="R680" s="414"/>
    </row>
    <row r="681">
      <c r="B681" s="374"/>
      <c r="C681" s="374"/>
      <c r="D681" s="412"/>
      <c r="E681" s="412"/>
      <c r="F681" s="412"/>
      <c r="G681" s="412"/>
      <c r="H681" s="412"/>
      <c r="I681" s="412"/>
      <c r="J681" s="412"/>
      <c r="K681" s="412"/>
      <c r="L681" s="413"/>
      <c r="M681" s="412"/>
      <c r="N681" s="413"/>
      <c r="O681" s="413"/>
      <c r="P681" s="412"/>
      <c r="Q681" s="414"/>
      <c r="R681" s="414"/>
    </row>
    <row r="682">
      <c r="B682" s="374"/>
      <c r="C682" s="374"/>
      <c r="D682" s="412"/>
      <c r="E682" s="412"/>
      <c r="F682" s="412"/>
      <c r="G682" s="412"/>
      <c r="H682" s="412"/>
      <c r="I682" s="412"/>
      <c r="J682" s="412"/>
      <c r="K682" s="412"/>
      <c r="L682" s="413"/>
      <c r="M682" s="412"/>
      <c r="N682" s="413"/>
      <c r="O682" s="413"/>
      <c r="P682" s="412"/>
      <c r="Q682" s="414"/>
      <c r="R682" s="414"/>
    </row>
    <row r="683">
      <c r="B683" s="374"/>
      <c r="C683" s="374"/>
      <c r="D683" s="412"/>
      <c r="E683" s="412"/>
      <c r="F683" s="412"/>
      <c r="G683" s="412"/>
      <c r="H683" s="412"/>
      <c r="I683" s="412"/>
      <c r="J683" s="412"/>
      <c r="K683" s="412"/>
      <c r="L683" s="413"/>
      <c r="M683" s="412"/>
      <c r="N683" s="413"/>
      <c r="O683" s="413"/>
      <c r="P683" s="412"/>
      <c r="Q683" s="414"/>
      <c r="R683" s="414"/>
    </row>
    <row r="684">
      <c r="B684" s="374"/>
      <c r="C684" s="374"/>
      <c r="D684" s="412"/>
      <c r="E684" s="412"/>
      <c r="F684" s="412"/>
      <c r="G684" s="412"/>
      <c r="H684" s="412"/>
      <c r="I684" s="412"/>
      <c r="J684" s="412"/>
      <c r="K684" s="412"/>
      <c r="L684" s="413"/>
      <c r="M684" s="412"/>
      <c r="N684" s="413"/>
      <c r="O684" s="413"/>
      <c r="P684" s="412"/>
      <c r="Q684" s="414"/>
      <c r="R684" s="414"/>
    </row>
    <row r="685">
      <c r="B685" s="374"/>
      <c r="C685" s="374"/>
      <c r="D685" s="412"/>
      <c r="E685" s="412"/>
      <c r="F685" s="412"/>
      <c r="G685" s="412"/>
      <c r="H685" s="412"/>
      <c r="I685" s="412"/>
      <c r="J685" s="412"/>
      <c r="K685" s="412"/>
      <c r="L685" s="413"/>
      <c r="M685" s="412"/>
      <c r="N685" s="413"/>
      <c r="O685" s="413"/>
      <c r="P685" s="412"/>
      <c r="Q685" s="414"/>
      <c r="R685" s="414"/>
    </row>
    <row r="686">
      <c r="B686" s="374"/>
      <c r="C686" s="374"/>
      <c r="D686" s="412"/>
      <c r="E686" s="412"/>
      <c r="F686" s="412"/>
      <c r="G686" s="412"/>
      <c r="H686" s="412"/>
      <c r="I686" s="412"/>
      <c r="J686" s="412"/>
      <c r="K686" s="412"/>
      <c r="L686" s="413"/>
      <c r="M686" s="412"/>
      <c r="N686" s="413"/>
      <c r="O686" s="413"/>
      <c r="P686" s="412"/>
      <c r="Q686" s="414"/>
      <c r="R686" s="414"/>
    </row>
    <row r="687">
      <c r="B687" s="374"/>
      <c r="C687" s="374"/>
      <c r="D687" s="412"/>
      <c r="E687" s="412"/>
      <c r="F687" s="412"/>
      <c r="G687" s="412"/>
      <c r="H687" s="412"/>
      <c r="I687" s="412"/>
      <c r="J687" s="412"/>
      <c r="K687" s="412"/>
      <c r="L687" s="413"/>
      <c r="M687" s="412"/>
      <c r="N687" s="413"/>
      <c r="O687" s="413"/>
      <c r="P687" s="412"/>
      <c r="Q687" s="414"/>
      <c r="R687" s="414"/>
    </row>
    <row r="688">
      <c r="B688" s="374"/>
      <c r="C688" s="374"/>
      <c r="D688" s="412"/>
      <c r="E688" s="412"/>
      <c r="F688" s="412"/>
      <c r="G688" s="412"/>
      <c r="H688" s="412"/>
      <c r="I688" s="412"/>
      <c r="J688" s="412"/>
      <c r="K688" s="412"/>
      <c r="L688" s="413"/>
      <c r="M688" s="412"/>
      <c r="N688" s="413"/>
      <c r="O688" s="413"/>
      <c r="P688" s="412"/>
      <c r="Q688" s="414"/>
      <c r="R688" s="414"/>
    </row>
    <row r="689">
      <c r="B689" s="374"/>
      <c r="C689" s="374"/>
      <c r="D689" s="412"/>
      <c r="E689" s="412"/>
      <c r="F689" s="412"/>
      <c r="G689" s="412"/>
      <c r="H689" s="412"/>
      <c r="I689" s="412"/>
      <c r="J689" s="412"/>
      <c r="K689" s="412"/>
      <c r="L689" s="413"/>
      <c r="M689" s="412"/>
      <c r="N689" s="413"/>
      <c r="O689" s="413"/>
      <c r="P689" s="412"/>
      <c r="Q689" s="414"/>
      <c r="R689" s="414"/>
    </row>
    <row r="690">
      <c r="B690" s="374"/>
      <c r="C690" s="374"/>
      <c r="D690" s="412"/>
      <c r="E690" s="412"/>
      <c r="F690" s="412"/>
      <c r="G690" s="412"/>
      <c r="H690" s="412"/>
      <c r="I690" s="412"/>
      <c r="J690" s="412"/>
      <c r="K690" s="412"/>
      <c r="L690" s="413"/>
      <c r="M690" s="412"/>
      <c r="N690" s="413"/>
      <c r="O690" s="413"/>
      <c r="P690" s="412"/>
      <c r="Q690" s="414"/>
      <c r="R690" s="414"/>
    </row>
    <row r="691">
      <c r="B691" s="374"/>
      <c r="C691" s="374"/>
      <c r="D691" s="412"/>
      <c r="E691" s="412"/>
      <c r="F691" s="412"/>
      <c r="G691" s="412"/>
      <c r="H691" s="412"/>
      <c r="I691" s="412"/>
      <c r="J691" s="412"/>
      <c r="K691" s="412"/>
      <c r="L691" s="413"/>
      <c r="M691" s="412"/>
      <c r="N691" s="413"/>
      <c r="O691" s="413"/>
      <c r="P691" s="412"/>
      <c r="Q691" s="414"/>
      <c r="R691" s="414"/>
    </row>
    <row r="692">
      <c r="B692" s="374"/>
      <c r="C692" s="374"/>
      <c r="D692" s="412"/>
      <c r="E692" s="412"/>
      <c r="F692" s="412"/>
      <c r="G692" s="412"/>
      <c r="H692" s="412"/>
      <c r="I692" s="412"/>
      <c r="J692" s="412"/>
      <c r="K692" s="412"/>
      <c r="L692" s="413"/>
      <c r="M692" s="412"/>
      <c r="N692" s="413"/>
      <c r="O692" s="413"/>
      <c r="P692" s="412"/>
      <c r="Q692" s="414"/>
      <c r="R692" s="414"/>
    </row>
    <row r="693">
      <c r="B693" s="374"/>
      <c r="C693" s="374"/>
      <c r="D693" s="412"/>
      <c r="E693" s="412"/>
      <c r="F693" s="412"/>
      <c r="G693" s="412"/>
      <c r="H693" s="412"/>
      <c r="I693" s="412"/>
      <c r="J693" s="412"/>
      <c r="K693" s="412"/>
      <c r="L693" s="413"/>
      <c r="M693" s="412"/>
      <c r="N693" s="413"/>
      <c r="O693" s="413"/>
      <c r="P693" s="412"/>
      <c r="Q693" s="414"/>
      <c r="R693" s="414"/>
    </row>
    <row r="694">
      <c r="B694" s="374"/>
      <c r="C694" s="374"/>
      <c r="D694" s="412"/>
      <c r="E694" s="412"/>
      <c r="F694" s="412"/>
      <c r="G694" s="412"/>
      <c r="H694" s="412"/>
      <c r="I694" s="412"/>
      <c r="J694" s="412"/>
      <c r="K694" s="412"/>
      <c r="L694" s="413"/>
      <c r="M694" s="412"/>
      <c r="N694" s="413"/>
      <c r="O694" s="413"/>
      <c r="P694" s="412"/>
      <c r="Q694" s="414"/>
      <c r="R694" s="414"/>
    </row>
    <row r="695">
      <c r="B695" s="374"/>
      <c r="C695" s="374"/>
      <c r="D695" s="412"/>
      <c r="E695" s="412"/>
      <c r="F695" s="412"/>
      <c r="G695" s="412"/>
      <c r="H695" s="412"/>
      <c r="I695" s="412"/>
      <c r="J695" s="412"/>
      <c r="K695" s="412"/>
      <c r="L695" s="413"/>
      <c r="M695" s="412"/>
      <c r="N695" s="413"/>
      <c r="O695" s="413"/>
      <c r="P695" s="412"/>
      <c r="Q695" s="414"/>
      <c r="R695" s="414"/>
    </row>
    <row r="696">
      <c r="B696" s="374"/>
      <c r="C696" s="374"/>
      <c r="D696" s="412"/>
      <c r="E696" s="412"/>
      <c r="F696" s="412"/>
      <c r="G696" s="412"/>
      <c r="H696" s="412"/>
      <c r="I696" s="412"/>
      <c r="J696" s="412"/>
      <c r="K696" s="412"/>
      <c r="L696" s="413"/>
      <c r="M696" s="412"/>
      <c r="N696" s="413"/>
      <c r="O696" s="413"/>
      <c r="P696" s="412"/>
      <c r="Q696" s="414"/>
      <c r="R696" s="414"/>
    </row>
    <row r="697">
      <c r="B697" s="374"/>
      <c r="C697" s="374"/>
      <c r="D697" s="412"/>
      <c r="E697" s="412"/>
      <c r="F697" s="412"/>
      <c r="G697" s="412"/>
      <c r="H697" s="412"/>
      <c r="I697" s="412"/>
      <c r="J697" s="412"/>
      <c r="K697" s="412"/>
      <c r="L697" s="413"/>
      <c r="M697" s="412"/>
      <c r="N697" s="413"/>
      <c r="O697" s="413"/>
      <c r="P697" s="412"/>
      <c r="Q697" s="414"/>
      <c r="R697" s="414"/>
    </row>
    <row r="698">
      <c r="B698" s="374"/>
      <c r="C698" s="374"/>
      <c r="D698" s="412"/>
      <c r="E698" s="412"/>
      <c r="F698" s="412"/>
      <c r="G698" s="412"/>
      <c r="H698" s="412"/>
      <c r="I698" s="412"/>
      <c r="J698" s="412"/>
      <c r="K698" s="412"/>
      <c r="L698" s="413"/>
      <c r="M698" s="412"/>
      <c r="N698" s="413"/>
      <c r="O698" s="413"/>
      <c r="P698" s="412"/>
      <c r="Q698" s="414"/>
      <c r="R698" s="414"/>
    </row>
    <row r="699">
      <c r="B699" s="374"/>
      <c r="C699" s="374"/>
      <c r="D699" s="412"/>
      <c r="E699" s="412"/>
      <c r="F699" s="412"/>
      <c r="G699" s="412"/>
      <c r="H699" s="412"/>
      <c r="I699" s="412"/>
      <c r="J699" s="412"/>
      <c r="K699" s="412"/>
      <c r="L699" s="413"/>
      <c r="M699" s="412"/>
      <c r="N699" s="413"/>
      <c r="O699" s="413"/>
      <c r="P699" s="412"/>
      <c r="Q699" s="414"/>
      <c r="R699" s="414"/>
    </row>
    <row r="700">
      <c r="B700" s="374"/>
      <c r="C700" s="374"/>
      <c r="D700" s="412"/>
      <c r="E700" s="412"/>
      <c r="F700" s="412"/>
      <c r="G700" s="412"/>
      <c r="H700" s="412"/>
      <c r="I700" s="412"/>
      <c r="J700" s="412"/>
      <c r="K700" s="412"/>
      <c r="L700" s="413"/>
      <c r="M700" s="412"/>
      <c r="N700" s="413"/>
      <c r="O700" s="413"/>
      <c r="P700" s="412"/>
      <c r="Q700" s="414"/>
      <c r="R700" s="414"/>
    </row>
    <row r="701">
      <c r="B701" s="374"/>
      <c r="C701" s="374"/>
      <c r="D701" s="412"/>
      <c r="E701" s="412"/>
      <c r="F701" s="412"/>
      <c r="G701" s="412"/>
      <c r="H701" s="412"/>
      <c r="I701" s="412"/>
      <c r="J701" s="412"/>
      <c r="K701" s="412"/>
      <c r="L701" s="413"/>
      <c r="M701" s="412"/>
      <c r="N701" s="413"/>
      <c r="O701" s="413"/>
      <c r="P701" s="412"/>
      <c r="Q701" s="414"/>
      <c r="R701" s="414"/>
    </row>
    <row r="702">
      <c r="B702" s="374"/>
      <c r="C702" s="374"/>
      <c r="D702" s="412"/>
      <c r="E702" s="412"/>
      <c r="F702" s="412"/>
      <c r="G702" s="412"/>
      <c r="H702" s="412"/>
      <c r="I702" s="412"/>
      <c r="J702" s="412"/>
      <c r="K702" s="412"/>
      <c r="L702" s="413"/>
      <c r="M702" s="412"/>
      <c r="N702" s="413"/>
      <c r="O702" s="413"/>
      <c r="P702" s="412"/>
      <c r="Q702" s="414"/>
      <c r="R702" s="414"/>
    </row>
    <row r="703">
      <c r="B703" s="374"/>
      <c r="C703" s="374"/>
      <c r="D703" s="412"/>
      <c r="E703" s="412"/>
      <c r="F703" s="412"/>
      <c r="G703" s="412"/>
      <c r="H703" s="412"/>
      <c r="I703" s="412"/>
      <c r="J703" s="412"/>
      <c r="K703" s="412"/>
      <c r="L703" s="413"/>
      <c r="M703" s="412"/>
      <c r="N703" s="413"/>
      <c r="O703" s="413"/>
      <c r="P703" s="412"/>
      <c r="Q703" s="414"/>
      <c r="R703" s="414"/>
    </row>
    <row r="704">
      <c r="B704" s="374"/>
      <c r="C704" s="374"/>
      <c r="D704" s="412"/>
      <c r="E704" s="412"/>
      <c r="F704" s="412"/>
      <c r="G704" s="412"/>
      <c r="H704" s="412"/>
      <c r="I704" s="412"/>
      <c r="J704" s="412"/>
      <c r="K704" s="412"/>
      <c r="L704" s="413"/>
      <c r="M704" s="412"/>
      <c r="N704" s="413"/>
      <c r="O704" s="413"/>
      <c r="P704" s="412"/>
      <c r="Q704" s="414"/>
      <c r="R704" s="414"/>
    </row>
    <row r="705">
      <c r="B705" s="374"/>
      <c r="C705" s="374"/>
      <c r="D705" s="412"/>
      <c r="E705" s="412"/>
      <c r="F705" s="412"/>
      <c r="G705" s="412"/>
      <c r="H705" s="412"/>
      <c r="I705" s="412"/>
      <c r="J705" s="412"/>
      <c r="K705" s="412"/>
      <c r="L705" s="413"/>
      <c r="M705" s="412"/>
      <c r="N705" s="413"/>
      <c r="O705" s="413"/>
      <c r="P705" s="412"/>
      <c r="Q705" s="414"/>
      <c r="R705" s="414"/>
    </row>
    <row r="706">
      <c r="B706" s="374"/>
      <c r="C706" s="374"/>
      <c r="D706" s="412"/>
      <c r="E706" s="412"/>
      <c r="F706" s="412"/>
      <c r="G706" s="412"/>
      <c r="H706" s="412"/>
      <c r="I706" s="412"/>
      <c r="J706" s="412"/>
      <c r="K706" s="412"/>
      <c r="L706" s="413"/>
      <c r="M706" s="412"/>
      <c r="N706" s="413"/>
      <c r="O706" s="413"/>
      <c r="P706" s="412"/>
      <c r="Q706" s="414"/>
      <c r="R706" s="414"/>
    </row>
    <row r="707">
      <c r="B707" s="374"/>
      <c r="C707" s="374"/>
      <c r="D707" s="412"/>
      <c r="E707" s="412"/>
      <c r="F707" s="412"/>
      <c r="G707" s="412"/>
      <c r="H707" s="412"/>
      <c r="I707" s="412"/>
      <c r="J707" s="412"/>
      <c r="K707" s="412"/>
      <c r="L707" s="413"/>
      <c r="M707" s="412"/>
      <c r="N707" s="413"/>
      <c r="O707" s="413"/>
      <c r="P707" s="412"/>
      <c r="Q707" s="414"/>
      <c r="R707" s="414"/>
    </row>
    <row r="708">
      <c r="B708" s="374"/>
      <c r="C708" s="374"/>
      <c r="D708" s="412"/>
      <c r="E708" s="412"/>
      <c r="F708" s="412"/>
      <c r="G708" s="412"/>
      <c r="H708" s="412"/>
      <c r="I708" s="412"/>
      <c r="J708" s="412"/>
      <c r="K708" s="412"/>
      <c r="L708" s="413"/>
      <c r="M708" s="412"/>
      <c r="N708" s="413"/>
      <c r="O708" s="413"/>
      <c r="P708" s="412"/>
      <c r="Q708" s="414"/>
      <c r="R708" s="414"/>
    </row>
    <row r="709">
      <c r="B709" s="374"/>
      <c r="C709" s="374"/>
      <c r="D709" s="412"/>
      <c r="E709" s="412"/>
      <c r="F709" s="412"/>
      <c r="G709" s="412"/>
      <c r="H709" s="412"/>
      <c r="I709" s="412"/>
      <c r="J709" s="412"/>
      <c r="K709" s="412"/>
      <c r="L709" s="413"/>
      <c r="M709" s="412"/>
      <c r="N709" s="413"/>
      <c r="O709" s="413"/>
      <c r="P709" s="412"/>
      <c r="Q709" s="414"/>
      <c r="R709" s="414"/>
    </row>
    <row r="710">
      <c r="B710" s="374"/>
      <c r="C710" s="374"/>
      <c r="D710" s="412"/>
      <c r="E710" s="412"/>
      <c r="F710" s="412"/>
      <c r="G710" s="412"/>
      <c r="H710" s="412"/>
      <c r="I710" s="412"/>
      <c r="J710" s="412"/>
      <c r="K710" s="412"/>
      <c r="L710" s="413"/>
      <c r="M710" s="412"/>
      <c r="N710" s="413"/>
      <c r="O710" s="413"/>
      <c r="P710" s="412"/>
      <c r="Q710" s="414"/>
      <c r="R710" s="414"/>
    </row>
    <row r="711">
      <c r="B711" s="374"/>
      <c r="C711" s="374"/>
      <c r="D711" s="412"/>
      <c r="E711" s="412"/>
      <c r="F711" s="412"/>
      <c r="G711" s="412"/>
      <c r="H711" s="412"/>
      <c r="I711" s="412"/>
      <c r="J711" s="412"/>
      <c r="K711" s="412"/>
      <c r="L711" s="413"/>
      <c r="M711" s="412"/>
      <c r="N711" s="413"/>
      <c r="O711" s="413"/>
      <c r="P711" s="412"/>
      <c r="Q711" s="414"/>
      <c r="R711" s="414"/>
    </row>
    <row r="712">
      <c r="B712" s="374"/>
      <c r="C712" s="374"/>
      <c r="D712" s="412"/>
      <c r="E712" s="412"/>
      <c r="F712" s="412"/>
      <c r="G712" s="412"/>
      <c r="H712" s="412"/>
      <c r="I712" s="412"/>
      <c r="J712" s="412"/>
      <c r="K712" s="412"/>
      <c r="L712" s="413"/>
      <c r="M712" s="412"/>
      <c r="N712" s="413"/>
      <c r="O712" s="413"/>
      <c r="P712" s="412"/>
      <c r="Q712" s="414"/>
      <c r="R712" s="414"/>
    </row>
    <row r="713">
      <c r="B713" s="374"/>
      <c r="C713" s="374"/>
      <c r="D713" s="412"/>
      <c r="E713" s="412"/>
      <c r="F713" s="412"/>
      <c r="G713" s="412"/>
      <c r="H713" s="412"/>
      <c r="I713" s="412"/>
      <c r="J713" s="412"/>
      <c r="K713" s="412"/>
      <c r="L713" s="413"/>
      <c r="M713" s="412"/>
      <c r="N713" s="413"/>
      <c r="O713" s="413"/>
      <c r="P713" s="412"/>
      <c r="Q713" s="414"/>
      <c r="R713" s="414"/>
    </row>
    <row r="714">
      <c r="B714" s="374"/>
      <c r="C714" s="374"/>
      <c r="D714" s="412"/>
      <c r="E714" s="412"/>
      <c r="F714" s="412"/>
      <c r="G714" s="412"/>
      <c r="H714" s="412"/>
      <c r="I714" s="412"/>
      <c r="J714" s="412"/>
      <c r="K714" s="412"/>
      <c r="L714" s="413"/>
      <c r="M714" s="412"/>
      <c r="N714" s="413"/>
      <c r="O714" s="413"/>
      <c r="P714" s="412"/>
      <c r="Q714" s="414"/>
      <c r="R714" s="414"/>
    </row>
    <row r="715">
      <c r="B715" s="374"/>
      <c r="C715" s="374"/>
      <c r="D715" s="412"/>
      <c r="E715" s="412"/>
      <c r="F715" s="412"/>
      <c r="G715" s="412"/>
      <c r="H715" s="412"/>
      <c r="I715" s="412"/>
      <c r="J715" s="412"/>
      <c r="K715" s="412"/>
      <c r="L715" s="413"/>
      <c r="M715" s="412"/>
      <c r="N715" s="413"/>
      <c r="O715" s="413"/>
      <c r="P715" s="412"/>
      <c r="Q715" s="414"/>
      <c r="R715" s="414"/>
    </row>
    <row r="716">
      <c r="B716" s="374"/>
      <c r="C716" s="374"/>
      <c r="D716" s="412"/>
      <c r="E716" s="412"/>
      <c r="F716" s="412"/>
      <c r="G716" s="412"/>
      <c r="H716" s="412"/>
      <c r="I716" s="412"/>
      <c r="J716" s="412"/>
      <c r="K716" s="412"/>
      <c r="L716" s="413"/>
      <c r="M716" s="412"/>
      <c r="N716" s="413"/>
      <c r="O716" s="413"/>
      <c r="P716" s="412"/>
      <c r="Q716" s="414"/>
      <c r="R716" s="414"/>
    </row>
    <row r="717">
      <c r="B717" s="374"/>
      <c r="C717" s="374"/>
      <c r="D717" s="412"/>
      <c r="E717" s="412"/>
      <c r="F717" s="412"/>
      <c r="G717" s="412"/>
      <c r="H717" s="412"/>
      <c r="I717" s="412"/>
      <c r="J717" s="412"/>
      <c r="K717" s="412"/>
      <c r="L717" s="413"/>
      <c r="M717" s="412"/>
      <c r="N717" s="413"/>
      <c r="O717" s="413"/>
      <c r="P717" s="412"/>
      <c r="Q717" s="414"/>
      <c r="R717" s="414"/>
    </row>
    <row r="718">
      <c r="B718" s="374"/>
      <c r="C718" s="374"/>
      <c r="D718" s="412"/>
      <c r="E718" s="412"/>
      <c r="F718" s="412"/>
      <c r="G718" s="412"/>
      <c r="H718" s="412"/>
      <c r="I718" s="412"/>
      <c r="J718" s="412"/>
      <c r="K718" s="412"/>
      <c r="L718" s="413"/>
      <c r="M718" s="412"/>
      <c r="N718" s="413"/>
      <c r="O718" s="413"/>
      <c r="P718" s="412"/>
      <c r="Q718" s="414"/>
      <c r="R718" s="414"/>
    </row>
    <row r="719">
      <c r="B719" s="374"/>
      <c r="C719" s="374"/>
      <c r="D719" s="412"/>
      <c r="E719" s="412"/>
      <c r="F719" s="412"/>
      <c r="G719" s="412"/>
      <c r="H719" s="412"/>
      <c r="I719" s="412"/>
      <c r="J719" s="412"/>
      <c r="K719" s="412"/>
      <c r="L719" s="413"/>
      <c r="M719" s="412"/>
      <c r="N719" s="413"/>
      <c r="O719" s="413"/>
      <c r="P719" s="412"/>
      <c r="Q719" s="414"/>
      <c r="R719" s="414"/>
    </row>
    <row r="720">
      <c r="B720" s="374"/>
      <c r="C720" s="374"/>
      <c r="D720" s="412"/>
      <c r="E720" s="412"/>
      <c r="F720" s="412"/>
      <c r="G720" s="412"/>
      <c r="H720" s="412"/>
      <c r="I720" s="412"/>
      <c r="J720" s="412"/>
      <c r="K720" s="412"/>
      <c r="L720" s="413"/>
      <c r="M720" s="412"/>
      <c r="N720" s="413"/>
      <c r="O720" s="413"/>
      <c r="P720" s="412"/>
      <c r="Q720" s="414"/>
      <c r="R720" s="414"/>
    </row>
    <row r="721">
      <c r="B721" s="374"/>
      <c r="C721" s="374"/>
      <c r="D721" s="412"/>
      <c r="E721" s="412"/>
      <c r="F721" s="412"/>
      <c r="G721" s="412"/>
      <c r="H721" s="412"/>
      <c r="I721" s="412"/>
      <c r="J721" s="412"/>
      <c r="K721" s="412"/>
      <c r="L721" s="413"/>
      <c r="M721" s="412"/>
      <c r="N721" s="413"/>
      <c r="O721" s="413"/>
      <c r="P721" s="412"/>
      <c r="Q721" s="414"/>
      <c r="R721" s="414"/>
    </row>
    <row r="722">
      <c r="B722" s="374"/>
      <c r="C722" s="374"/>
      <c r="D722" s="412"/>
      <c r="E722" s="412"/>
      <c r="F722" s="412"/>
      <c r="G722" s="412"/>
      <c r="H722" s="412"/>
      <c r="I722" s="412"/>
      <c r="J722" s="412"/>
      <c r="K722" s="412"/>
      <c r="L722" s="413"/>
      <c r="M722" s="412"/>
      <c r="N722" s="413"/>
      <c r="O722" s="413"/>
      <c r="P722" s="412"/>
      <c r="Q722" s="414"/>
      <c r="R722" s="414"/>
    </row>
    <row r="723">
      <c r="B723" s="374"/>
      <c r="C723" s="374"/>
      <c r="D723" s="412"/>
      <c r="E723" s="412"/>
      <c r="F723" s="412"/>
      <c r="G723" s="412"/>
      <c r="H723" s="412"/>
      <c r="I723" s="412"/>
      <c r="J723" s="412"/>
      <c r="K723" s="412"/>
      <c r="L723" s="413"/>
      <c r="M723" s="412"/>
      <c r="N723" s="413"/>
      <c r="O723" s="413"/>
      <c r="P723" s="412"/>
      <c r="Q723" s="414"/>
      <c r="R723" s="414"/>
    </row>
    <row r="724">
      <c r="B724" s="374"/>
      <c r="C724" s="374"/>
      <c r="D724" s="412"/>
      <c r="E724" s="412"/>
      <c r="F724" s="412"/>
      <c r="G724" s="412"/>
      <c r="H724" s="412"/>
      <c r="I724" s="412"/>
      <c r="J724" s="412"/>
      <c r="K724" s="412"/>
      <c r="L724" s="413"/>
      <c r="M724" s="412"/>
      <c r="N724" s="413"/>
      <c r="O724" s="413"/>
      <c r="P724" s="412"/>
      <c r="Q724" s="414"/>
      <c r="R724" s="414"/>
    </row>
    <row r="725">
      <c r="B725" s="374"/>
      <c r="C725" s="374"/>
      <c r="D725" s="412"/>
      <c r="E725" s="412"/>
      <c r="F725" s="412"/>
      <c r="G725" s="412"/>
      <c r="H725" s="412"/>
      <c r="I725" s="412"/>
      <c r="J725" s="412"/>
      <c r="K725" s="412"/>
      <c r="L725" s="413"/>
      <c r="M725" s="412"/>
      <c r="N725" s="413"/>
      <c r="O725" s="413"/>
      <c r="P725" s="412"/>
      <c r="Q725" s="414"/>
      <c r="R725" s="414"/>
    </row>
    <row r="726">
      <c r="B726" s="374"/>
      <c r="C726" s="374"/>
      <c r="D726" s="412"/>
      <c r="E726" s="412"/>
      <c r="F726" s="412"/>
      <c r="G726" s="412"/>
      <c r="H726" s="412"/>
      <c r="I726" s="412"/>
      <c r="J726" s="412"/>
      <c r="K726" s="412"/>
      <c r="L726" s="413"/>
      <c r="M726" s="412"/>
      <c r="N726" s="413"/>
      <c r="O726" s="413"/>
      <c r="P726" s="412"/>
      <c r="Q726" s="414"/>
      <c r="R726" s="414"/>
    </row>
    <row r="727">
      <c r="B727" s="374"/>
      <c r="C727" s="374"/>
      <c r="D727" s="412"/>
      <c r="E727" s="412"/>
      <c r="F727" s="412"/>
      <c r="G727" s="412"/>
      <c r="H727" s="412"/>
      <c r="I727" s="412"/>
      <c r="J727" s="412"/>
      <c r="K727" s="412"/>
      <c r="L727" s="413"/>
      <c r="M727" s="412"/>
      <c r="N727" s="413"/>
      <c r="O727" s="413"/>
      <c r="P727" s="412"/>
      <c r="Q727" s="414"/>
      <c r="R727" s="414"/>
    </row>
    <row r="728">
      <c r="B728" s="374"/>
      <c r="C728" s="374"/>
      <c r="D728" s="412"/>
      <c r="E728" s="412"/>
      <c r="F728" s="412"/>
      <c r="G728" s="412"/>
      <c r="H728" s="412"/>
      <c r="I728" s="412"/>
      <c r="J728" s="412"/>
      <c r="K728" s="412"/>
      <c r="L728" s="413"/>
      <c r="M728" s="412"/>
      <c r="N728" s="413"/>
      <c r="O728" s="413"/>
      <c r="P728" s="412"/>
      <c r="Q728" s="414"/>
      <c r="R728" s="414"/>
    </row>
    <row r="729">
      <c r="B729" s="374"/>
      <c r="C729" s="374"/>
      <c r="D729" s="412"/>
      <c r="E729" s="412"/>
      <c r="F729" s="412"/>
      <c r="G729" s="412"/>
      <c r="H729" s="412"/>
      <c r="I729" s="412"/>
      <c r="J729" s="412"/>
      <c r="K729" s="412"/>
      <c r="L729" s="413"/>
      <c r="M729" s="412"/>
      <c r="N729" s="413"/>
      <c r="O729" s="413"/>
      <c r="P729" s="412"/>
      <c r="Q729" s="414"/>
      <c r="R729" s="414"/>
    </row>
    <row r="730">
      <c r="B730" s="374"/>
      <c r="C730" s="374"/>
      <c r="D730" s="412"/>
      <c r="E730" s="412"/>
      <c r="F730" s="412"/>
      <c r="G730" s="412"/>
      <c r="H730" s="412"/>
      <c r="I730" s="412"/>
      <c r="J730" s="412"/>
      <c r="K730" s="412"/>
      <c r="L730" s="413"/>
      <c r="M730" s="412"/>
      <c r="N730" s="413"/>
      <c r="O730" s="413"/>
      <c r="P730" s="412"/>
      <c r="Q730" s="414"/>
      <c r="R730" s="414"/>
    </row>
    <row r="731">
      <c r="B731" s="374"/>
      <c r="C731" s="374"/>
      <c r="D731" s="412"/>
      <c r="E731" s="412"/>
      <c r="F731" s="412"/>
      <c r="G731" s="412"/>
      <c r="H731" s="412"/>
      <c r="I731" s="412"/>
      <c r="J731" s="412"/>
      <c r="K731" s="412"/>
      <c r="L731" s="413"/>
      <c r="M731" s="412"/>
      <c r="N731" s="413"/>
      <c r="O731" s="413"/>
      <c r="P731" s="412"/>
      <c r="Q731" s="414"/>
      <c r="R731" s="414"/>
    </row>
    <row r="732">
      <c r="B732" s="374"/>
      <c r="C732" s="374"/>
      <c r="D732" s="412"/>
      <c r="E732" s="412"/>
      <c r="F732" s="412"/>
      <c r="G732" s="412"/>
      <c r="H732" s="412"/>
      <c r="I732" s="412"/>
      <c r="J732" s="412"/>
      <c r="K732" s="412"/>
      <c r="L732" s="413"/>
      <c r="M732" s="412"/>
      <c r="N732" s="413"/>
      <c r="O732" s="413"/>
      <c r="P732" s="412"/>
      <c r="Q732" s="414"/>
      <c r="R732" s="414"/>
    </row>
    <row r="733">
      <c r="B733" s="374"/>
      <c r="C733" s="374"/>
      <c r="D733" s="412"/>
      <c r="E733" s="412"/>
      <c r="F733" s="412"/>
      <c r="G733" s="412"/>
      <c r="H733" s="412"/>
      <c r="I733" s="412"/>
      <c r="J733" s="412"/>
      <c r="K733" s="412"/>
      <c r="L733" s="413"/>
      <c r="M733" s="412"/>
      <c r="N733" s="413"/>
      <c r="O733" s="413"/>
      <c r="P733" s="412"/>
      <c r="Q733" s="414"/>
      <c r="R733" s="414"/>
    </row>
    <row r="734">
      <c r="B734" s="374"/>
      <c r="C734" s="374"/>
      <c r="D734" s="412"/>
      <c r="E734" s="412"/>
      <c r="F734" s="412"/>
      <c r="G734" s="412"/>
      <c r="H734" s="412"/>
      <c r="I734" s="412"/>
      <c r="J734" s="412"/>
      <c r="K734" s="412"/>
      <c r="L734" s="413"/>
      <c r="M734" s="412"/>
      <c r="N734" s="413"/>
      <c r="O734" s="413"/>
      <c r="P734" s="412"/>
      <c r="Q734" s="414"/>
      <c r="R734" s="414"/>
    </row>
    <row r="735">
      <c r="B735" s="374"/>
      <c r="C735" s="374"/>
      <c r="D735" s="412"/>
      <c r="E735" s="412"/>
      <c r="F735" s="412"/>
      <c r="G735" s="412"/>
      <c r="H735" s="412"/>
      <c r="I735" s="412"/>
      <c r="J735" s="412"/>
      <c r="K735" s="412"/>
      <c r="L735" s="413"/>
      <c r="M735" s="412"/>
      <c r="N735" s="413"/>
      <c r="O735" s="413"/>
      <c r="P735" s="412"/>
      <c r="Q735" s="414"/>
      <c r="R735" s="414"/>
    </row>
    <row r="736">
      <c r="B736" s="374"/>
      <c r="C736" s="374"/>
      <c r="D736" s="412"/>
      <c r="E736" s="412"/>
      <c r="F736" s="412"/>
      <c r="G736" s="412"/>
      <c r="H736" s="412"/>
      <c r="I736" s="412"/>
      <c r="J736" s="412"/>
      <c r="K736" s="412"/>
      <c r="L736" s="413"/>
      <c r="M736" s="412"/>
      <c r="N736" s="413"/>
      <c r="O736" s="413"/>
      <c r="P736" s="412"/>
      <c r="Q736" s="414"/>
      <c r="R736" s="414"/>
    </row>
    <row r="737">
      <c r="B737" s="374"/>
      <c r="C737" s="374"/>
      <c r="D737" s="412"/>
      <c r="E737" s="412"/>
      <c r="F737" s="412"/>
      <c r="G737" s="412"/>
      <c r="H737" s="412"/>
      <c r="I737" s="412"/>
      <c r="J737" s="412"/>
      <c r="K737" s="412"/>
      <c r="L737" s="413"/>
      <c r="M737" s="412"/>
      <c r="N737" s="413"/>
      <c r="O737" s="413"/>
      <c r="P737" s="412"/>
      <c r="Q737" s="414"/>
      <c r="R737" s="414"/>
    </row>
    <row r="738">
      <c r="B738" s="374"/>
      <c r="C738" s="374"/>
      <c r="D738" s="412"/>
      <c r="E738" s="412"/>
      <c r="F738" s="412"/>
      <c r="G738" s="412"/>
      <c r="H738" s="412"/>
      <c r="I738" s="412"/>
      <c r="J738" s="412"/>
      <c r="K738" s="412"/>
      <c r="L738" s="413"/>
      <c r="M738" s="412"/>
      <c r="N738" s="413"/>
      <c r="O738" s="413"/>
      <c r="P738" s="412"/>
      <c r="Q738" s="414"/>
      <c r="R738" s="414"/>
    </row>
    <row r="739">
      <c r="B739" s="374"/>
      <c r="C739" s="374"/>
      <c r="D739" s="412"/>
      <c r="E739" s="412"/>
      <c r="F739" s="412"/>
      <c r="G739" s="412"/>
      <c r="H739" s="412"/>
      <c r="I739" s="412"/>
      <c r="J739" s="412"/>
      <c r="K739" s="412"/>
      <c r="L739" s="413"/>
      <c r="M739" s="412"/>
      <c r="N739" s="413"/>
      <c r="O739" s="413"/>
      <c r="P739" s="412"/>
      <c r="Q739" s="414"/>
      <c r="R739" s="414"/>
    </row>
    <row r="740">
      <c r="B740" s="374"/>
      <c r="C740" s="374"/>
      <c r="D740" s="412"/>
      <c r="E740" s="412"/>
      <c r="F740" s="412"/>
      <c r="G740" s="412"/>
      <c r="H740" s="412"/>
      <c r="I740" s="412"/>
      <c r="J740" s="412"/>
      <c r="K740" s="412"/>
      <c r="L740" s="413"/>
      <c r="M740" s="412"/>
      <c r="N740" s="413"/>
      <c r="O740" s="413"/>
      <c r="P740" s="412"/>
      <c r="Q740" s="414"/>
      <c r="R740" s="414"/>
    </row>
    <row r="741">
      <c r="B741" s="374"/>
      <c r="C741" s="374"/>
      <c r="D741" s="412"/>
      <c r="E741" s="412"/>
      <c r="F741" s="412"/>
      <c r="G741" s="412"/>
      <c r="H741" s="412"/>
      <c r="I741" s="412"/>
      <c r="J741" s="412"/>
      <c r="K741" s="412"/>
      <c r="L741" s="413"/>
      <c r="M741" s="412"/>
      <c r="N741" s="413"/>
      <c r="O741" s="413"/>
      <c r="P741" s="412"/>
      <c r="Q741" s="414"/>
      <c r="R741" s="414"/>
    </row>
    <row r="742">
      <c r="B742" s="374"/>
      <c r="C742" s="374"/>
      <c r="D742" s="412"/>
      <c r="E742" s="412"/>
      <c r="F742" s="412"/>
      <c r="G742" s="412"/>
      <c r="H742" s="412"/>
      <c r="I742" s="412"/>
      <c r="J742" s="412"/>
      <c r="K742" s="412"/>
      <c r="L742" s="413"/>
      <c r="M742" s="412"/>
      <c r="N742" s="413"/>
      <c r="O742" s="413"/>
      <c r="P742" s="412"/>
      <c r="Q742" s="414"/>
      <c r="R742" s="414"/>
    </row>
    <row r="743">
      <c r="B743" s="374"/>
      <c r="C743" s="374"/>
      <c r="D743" s="412"/>
      <c r="E743" s="412"/>
      <c r="F743" s="412"/>
      <c r="G743" s="412"/>
      <c r="H743" s="412"/>
      <c r="I743" s="412"/>
      <c r="J743" s="412"/>
      <c r="K743" s="412"/>
      <c r="L743" s="413"/>
      <c r="M743" s="412"/>
      <c r="N743" s="413"/>
      <c r="O743" s="413"/>
      <c r="P743" s="412"/>
      <c r="Q743" s="414"/>
      <c r="R743" s="414"/>
    </row>
    <row r="744">
      <c r="B744" s="374"/>
      <c r="C744" s="374"/>
      <c r="D744" s="412"/>
      <c r="E744" s="412"/>
      <c r="F744" s="412"/>
      <c r="G744" s="412"/>
      <c r="H744" s="412"/>
      <c r="I744" s="412"/>
      <c r="J744" s="412"/>
      <c r="K744" s="412"/>
      <c r="L744" s="413"/>
      <c r="M744" s="412"/>
      <c r="N744" s="413"/>
      <c r="O744" s="413"/>
      <c r="P744" s="412"/>
      <c r="Q744" s="414"/>
      <c r="R744" s="414"/>
    </row>
    <row r="745">
      <c r="B745" s="374"/>
      <c r="C745" s="374"/>
      <c r="D745" s="412"/>
      <c r="E745" s="412"/>
      <c r="F745" s="412"/>
      <c r="G745" s="412"/>
      <c r="H745" s="412"/>
      <c r="I745" s="412"/>
      <c r="J745" s="412"/>
      <c r="K745" s="412"/>
      <c r="L745" s="413"/>
      <c r="M745" s="412"/>
      <c r="N745" s="413"/>
      <c r="O745" s="413"/>
      <c r="P745" s="412"/>
      <c r="Q745" s="414"/>
      <c r="R745" s="414"/>
    </row>
    <row r="746">
      <c r="B746" s="374"/>
      <c r="C746" s="374"/>
      <c r="D746" s="412"/>
      <c r="E746" s="412"/>
      <c r="F746" s="412"/>
      <c r="G746" s="412"/>
      <c r="H746" s="412"/>
      <c r="I746" s="412"/>
      <c r="J746" s="412"/>
      <c r="K746" s="412"/>
      <c r="L746" s="413"/>
      <c r="M746" s="412"/>
      <c r="N746" s="413"/>
      <c r="O746" s="413"/>
      <c r="P746" s="412"/>
      <c r="Q746" s="414"/>
      <c r="R746" s="414"/>
    </row>
    <row r="747">
      <c r="B747" s="374"/>
      <c r="C747" s="374"/>
      <c r="D747" s="412"/>
      <c r="E747" s="412"/>
      <c r="F747" s="412"/>
      <c r="G747" s="412"/>
      <c r="H747" s="412"/>
      <c r="I747" s="412"/>
      <c r="J747" s="412"/>
      <c r="K747" s="412"/>
      <c r="L747" s="413"/>
      <c r="M747" s="412"/>
      <c r="N747" s="413"/>
      <c r="O747" s="413"/>
      <c r="P747" s="412"/>
      <c r="Q747" s="414"/>
      <c r="R747" s="414"/>
    </row>
    <row r="748">
      <c r="B748" s="374"/>
      <c r="C748" s="374"/>
      <c r="D748" s="412"/>
      <c r="E748" s="412"/>
      <c r="F748" s="412"/>
      <c r="G748" s="412"/>
      <c r="H748" s="412"/>
      <c r="I748" s="412"/>
      <c r="J748" s="412"/>
      <c r="K748" s="412"/>
      <c r="L748" s="413"/>
      <c r="M748" s="412"/>
      <c r="N748" s="413"/>
      <c r="O748" s="413"/>
      <c r="P748" s="412"/>
      <c r="Q748" s="414"/>
      <c r="R748" s="414"/>
    </row>
    <row r="749">
      <c r="B749" s="374"/>
      <c r="C749" s="374"/>
      <c r="D749" s="412"/>
      <c r="E749" s="412"/>
      <c r="F749" s="412"/>
      <c r="G749" s="412"/>
      <c r="H749" s="412"/>
      <c r="I749" s="412"/>
      <c r="J749" s="412"/>
      <c r="K749" s="412"/>
      <c r="L749" s="413"/>
      <c r="M749" s="412"/>
      <c r="N749" s="413"/>
      <c r="O749" s="413"/>
      <c r="P749" s="412"/>
      <c r="Q749" s="414"/>
      <c r="R749" s="414"/>
    </row>
    <row r="750">
      <c r="B750" s="374"/>
      <c r="C750" s="374"/>
      <c r="D750" s="412"/>
      <c r="E750" s="412"/>
      <c r="F750" s="412"/>
      <c r="G750" s="412"/>
      <c r="H750" s="412"/>
      <c r="I750" s="412"/>
      <c r="J750" s="412"/>
      <c r="K750" s="412"/>
      <c r="L750" s="413"/>
      <c r="M750" s="412"/>
      <c r="N750" s="413"/>
      <c r="O750" s="413"/>
      <c r="P750" s="412"/>
      <c r="Q750" s="414"/>
      <c r="R750" s="414"/>
    </row>
    <row r="751">
      <c r="B751" s="374"/>
      <c r="C751" s="374"/>
      <c r="D751" s="412"/>
      <c r="E751" s="412"/>
      <c r="F751" s="412"/>
      <c r="G751" s="412"/>
      <c r="H751" s="412"/>
      <c r="I751" s="412"/>
      <c r="J751" s="412"/>
      <c r="K751" s="412"/>
      <c r="L751" s="413"/>
      <c r="M751" s="412"/>
      <c r="N751" s="413"/>
      <c r="O751" s="413"/>
      <c r="P751" s="412"/>
      <c r="Q751" s="414"/>
      <c r="R751" s="414"/>
    </row>
    <row r="752">
      <c r="B752" s="374"/>
      <c r="C752" s="374"/>
      <c r="D752" s="412"/>
      <c r="E752" s="412"/>
      <c r="F752" s="412"/>
      <c r="G752" s="412"/>
      <c r="H752" s="412"/>
      <c r="I752" s="412"/>
      <c r="J752" s="412"/>
      <c r="K752" s="412"/>
      <c r="L752" s="413"/>
      <c r="M752" s="412"/>
      <c r="N752" s="413"/>
      <c r="O752" s="413"/>
      <c r="P752" s="412"/>
      <c r="Q752" s="414"/>
      <c r="R752" s="414"/>
    </row>
    <row r="753">
      <c r="B753" s="374"/>
      <c r="C753" s="374"/>
      <c r="D753" s="412"/>
      <c r="E753" s="412"/>
      <c r="F753" s="412"/>
      <c r="G753" s="412"/>
      <c r="H753" s="412"/>
      <c r="I753" s="412"/>
      <c r="J753" s="412"/>
      <c r="K753" s="412"/>
      <c r="L753" s="413"/>
      <c r="M753" s="412"/>
      <c r="N753" s="413"/>
      <c r="O753" s="413"/>
      <c r="P753" s="412"/>
      <c r="Q753" s="414"/>
      <c r="R753" s="414"/>
    </row>
    <row r="754">
      <c r="B754" s="374"/>
      <c r="C754" s="374"/>
      <c r="D754" s="412"/>
      <c r="E754" s="412"/>
      <c r="F754" s="412"/>
      <c r="G754" s="412"/>
      <c r="H754" s="412"/>
      <c r="I754" s="412"/>
      <c r="J754" s="412"/>
      <c r="K754" s="412"/>
      <c r="L754" s="413"/>
      <c r="M754" s="412"/>
      <c r="N754" s="413"/>
      <c r="O754" s="413"/>
      <c r="P754" s="412"/>
      <c r="Q754" s="414"/>
      <c r="R754" s="414"/>
    </row>
    <row r="755">
      <c r="B755" s="374"/>
      <c r="C755" s="374"/>
      <c r="D755" s="412"/>
      <c r="E755" s="412"/>
      <c r="F755" s="412"/>
      <c r="G755" s="412"/>
      <c r="H755" s="412"/>
      <c r="I755" s="412"/>
      <c r="J755" s="412"/>
      <c r="K755" s="412"/>
      <c r="L755" s="413"/>
      <c r="M755" s="412"/>
      <c r="N755" s="413"/>
      <c r="O755" s="413"/>
      <c r="P755" s="412"/>
      <c r="Q755" s="414"/>
      <c r="R755" s="414"/>
    </row>
    <row r="756">
      <c r="B756" s="374"/>
      <c r="C756" s="374"/>
      <c r="D756" s="412"/>
      <c r="E756" s="412"/>
      <c r="F756" s="412"/>
      <c r="G756" s="412"/>
      <c r="H756" s="412"/>
      <c r="I756" s="412"/>
      <c r="J756" s="412"/>
      <c r="K756" s="412"/>
      <c r="L756" s="413"/>
      <c r="M756" s="412"/>
      <c r="N756" s="413"/>
      <c r="O756" s="413"/>
      <c r="P756" s="412"/>
      <c r="Q756" s="414"/>
      <c r="R756" s="414"/>
    </row>
    <row r="757">
      <c r="B757" s="374"/>
      <c r="C757" s="374"/>
      <c r="D757" s="412"/>
      <c r="E757" s="412"/>
      <c r="F757" s="412"/>
      <c r="G757" s="412"/>
      <c r="H757" s="412"/>
      <c r="I757" s="412"/>
      <c r="J757" s="412"/>
      <c r="K757" s="412"/>
      <c r="L757" s="413"/>
      <c r="M757" s="412"/>
      <c r="N757" s="413"/>
      <c r="O757" s="413"/>
      <c r="P757" s="412"/>
      <c r="Q757" s="414"/>
      <c r="R757" s="414"/>
    </row>
    <row r="758">
      <c r="B758" s="374"/>
      <c r="C758" s="374"/>
      <c r="D758" s="412"/>
      <c r="E758" s="412"/>
      <c r="F758" s="412"/>
      <c r="G758" s="412"/>
      <c r="H758" s="412"/>
      <c r="I758" s="412"/>
      <c r="J758" s="412"/>
      <c r="K758" s="412"/>
      <c r="L758" s="413"/>
      <c r="M758" s="412"/>
      <c r="N758" s="413"/>
      <c r="O758" s="413"/>
      <c r="P758" s="412"/>
      <c r="Q758" s="414"/>
      <c r="R758" s="414"/>
    </row>
    <row r="759">
      <c r="B759" s="374"/>
      <c r="C759" s="374"/>
      <c r="D759" s="412"/>
      <c r="E759" s="412"/>
      <c r="F759" s="412"/>
      <c r="G759" s="412"/>
      <c r="H759" s="412"/>
      <c r="I759" s="412"/>
      <c r="J759" s="412"/>
      <c r="K759" s="412"/>
      <c r="L759" s="413"/>
      <c r="M759" s="412"/>
      <c r="N759" s="413"/>
      <c r="O759" s="413"/>
      <c r="P759" s="412"/>
      <c r="Q759" s="414"/>
      <c r="R759" s="414"/>
    </row>
    <row r="760">
      <c r="B760" s="374"/>
      <c r="C760" s="374"/>
      <c r="D760" s="412"/>
      <c r="E760" s="412"/>
      <c r="F760" s="412"/>
      <c r="G760" s="412"/>
      <c r="H760" s="412"/>
      <c r="I760" s="412"/>
      <c r="J760" s="412"/>
      <c r="K760" s="412"/>
      <c r="L760" s="413"/>
      <c r="M760" s="412"/>
      <c r="N760" s="413"/>
      <c r="O760" s="413"/>
      <c r="P760" s="412"/>
      <c r="Q760" s="414"/>
      <c r="R760" s="414"/>
    </row>
    <row r="761">
      <c r="B761" s="374"/>
      <c r="C761" s="374"/>
      <c r="D761" s="412"/>
      <c r="E761" s="412"/>
      <c r="F761" s="412"/>
      <c r="G761" s="412"/>
      <c r="H761" s="412"/>
      <c r="I761" s="412"/>
      <c r="J761" s="412"/>
      <c r="K761" s="412"/>
      <c r="L761" s="413"/>
      <c r="M761" s="412"/>
      <c r="N761" s="413"/>
      <c r="O761" s="413"/>
      <c r="P761" s="412"/>
      <c r="Q761" s="414"/>
      <c r="R761" s="414"/>
    </row>
    <row r="762">
      <c r="B762" s="374"/>
      <c r="C762" s="374"/>
      <c r="D762" s="412"/>
      <c r="E762" s="412"/>
      <c r="F762" s="412"/>
      <c r="G762" s="412"/>
      <c r="H762" s="412"/>
      <c r="I762" s="412"/>
      <c r="J762" s="412"/>
      <c r="K762" s="412"/>
      <c r="L762" s="413"/>
      <c r="M762" s="412"/>
      <c r="N762" s="413"/>
      <c r="O762" s="413"/>
      <c r="P762" s="412"/>
      <c r="Q762" s="414"/>
      <c r="R762" s="414"/>
    </row>
    <row r="763">
      <c r="B763" s="374"/>
      <c r="C763" s="374"/>
      <c r="D763" s="412"/>
      <c r="E763" s="412"/>
      <c r="F763" s="412"/>
      <c r="G763" s="412"/>
      <c r="H763" s="412"/>
      <c r="I763" s="412"/>
      <c r="J763" s="412"/>
      <c r="K763" s="412"/>
      <c r="L763" s="413"/>
      <c r="M763" s="412"/>
      <c r="N763" s="413"/>
      <c r="O763" s="413"/>
      <c r="P763" s="412"/>
      <c r="Q763" s="414"/>
      <c r="R763" s="414"/>
    </row>
    <row r="764">
      <c r="B764" s="374"/>
      <c r="C764" s="374"/>
      <c r="D764" s="412"/>
      <c r="E764" s="412"/>
      <c r="F764" s="412"/>
      <c r="G764" s="412"/>
      <c r="H764" s="412"/>
      <c r="I764" s="412"/>
      <c r="J764" s="412"/>
      <c r="K764" s="412"/>
      <c r="L764" s="413"/>
      <c r="M764" s="412"/>
      <c r="N764" s="413"/>
      <c r="O764" s="413"/>
      <c r="P764" s="412"/>
      <c r="Q764" s="414"/>
      <c r="R764" s="414"/>
    </row>
    <row r="765">
      <c r="B765" s="374"/>
      <c r="C765" s="374"/>
      <c r="D765" s="412"/>
      <c r="E765" s="412"/>
      <c r="F765" s="412"/>
      <c r="G765" s="412"/>
      <c r="H765" s="412"/>
      <c r="I765" s="412"/>
      <c r="J765" s="412"/>
      <c r="K765" s="412"/>
      <c r="L765" s="413"/>
      <c r="M765" s="412"/>
      <c r="N765" s="413"/>
      <c r="O765" s="413"/>
      <c r="P765" s="412"/>
      <c r="Q765" s="414"/>
      <c r="R765" s="414"/>
    </row>
    <row r="766">
      <c r="B766" s="374"/>
      <c r="C766" s="374"/>
      <c r="D766" s="412"/>
      <c r="E766" s="412"/>
      <c r="F766" s="412"/>
      <c r="G766" s="412"/>
      <c r="H766" s="412"/>
      <c r="I766" s="412"/>
      <c r="J766" s="412"/>
      <c r="K766" s="412"/>
      <c r="L766" s="413"/>
      <c r="M766" s="412"/>
      <c r="N766" s="413"/>
      <c r="O766" s="413"/>
      <c r="P766" s="412"/>
      <c r="Q766" s="414"/>
      <c r="R766" s="414"/>
    </row>
    <row r="767">
      <c r="B767" s="374"/>
      <c r="C767" s="374"/>
      <c r="D767" s="412"/>
      <c r="E767" s="412"/>
      <c r="F767" s="412"/>
      <c r="G767" s="412"/>
      <c r="H767" s="412"/>
      <c r="I767" s="412"/>
      <c r="J767" s="412"/>
      <c r="K767" s="412"/>
      <c r="L767" s="413"/>
      <c r="M767" s="412"/>
      <c r="N767" s="413"/>
      <c r="O767" s="413"/>
      <c r="P767" s="412"/>
      <c r="Q767" s="414"/>
      <c r="R767" s="414"/>
    </row>
    <row r="768">
      <c r="B768" s="374"/>
      <c r="C768" s="374"/>
      <c r="D768" s="412"/>
      <c r="E768" s="412"/>
      <c r="F768" s="412"/>
      <c r="G768" s="412"/>
      <c r="H768" s="412"/>
      <c r="I768" s="412"/>
      <c r="J768" s="412"/>
      <c r="K768" s="412"/>
      <c r="L768" s="413"/>
      <c r="M768" s="412"/>
      <c r="N768" s="413"/>
      <c r="O768" s="413"/>
      <c r="P768" s="412"/>
      <c r="Q768" s="414"/>
      <c r="R768" s="414"/>
    </row>
    <row r="769">
      <c r="B769" s="374"/>
      <c r="C769" s="374"/>
      <c r="D769" s="412"/>
      <c r="E769" s="412"/>
      <c r="F769" s="412"/>
      <c r="G769" s="412"/>
      <c r="H769" s="412"/>
      <c r="I769" s="412"/>
      <c r="J769" s="412"/>
      <c r="K769" s="412"/>
      <c r="L769" s="413"/>
      <c r="M769" s="412"/>
      <c r="N769" s="413"/>
      <c r="O769" s="413"/>
      <c r="P769" s="412"/>
      <c r="Q769" s="414"/>
      <c r="R769" s="414"/>
    </row>
    <row r="770">
      <c r="B770" s="374"/>
      <c r="C770" s="374"/>
      <c r="D770" s="412"/>
      <c r="E770" s="412"/>
      <c r="F770" s="412"/>
      <c r="G770" s="412"/>
      <c r="H770" s="412"/>
      <c r="I770" s="412"/>
      <c r="J770" s="412"/>
      <c r="K770" s="412"/>
      <c r="L770" s="413"/>
      <c r="M770" s="412"/>
      <c r="N770" s="413"/>
      <c r="O770" s="413"/>
      <c r="P770" s="412"/>
      <c r="Q770" s="414"/>
      <c r="R770" s="414"/>
    </row>
    <row r="771">
      <c r="B771" s="374"/>
      <c r="C771" s="374"/>
      <c r="D771" s="412"/>
      <c r="E771" s="412"/>
      <c r="F771" s="412"/>
      <c r="G771" s="412"/>
      <c r="H771" s="412"/>
      <c r="I771" s="412"/>
      <c r="J771" s="412"/>
      <c r="K771" s="412"/>
      <c r="L771" s="413"/>
      <c r="M771" s="412"/>
      <c r="N771" s="413"/>
      <c r="O771" s="413"/>
      <c r="P771" s="412"/>
      <c r="Q771" s="414"/>
      <c r="R771" s="414"/>
    </row>
    <row r="772">
      <c r="B772" s="374"/>
      <c r="C772" s="374"/>
      <c r="D772" s="412"/>
      <c r="E772" s="412"/>
      <c r="F772" s="412"/>
      <c r="G772" s="412"/>
      <c r="H772" s="412"/>
      <c r="I772" s="412"/>
      <c r="J772" s="412"/>
      <c r="K772" s="412"/>
      <c r="L772" s="413"/>
      <c r="M772" s="412"/>
      <c r="N772" s="413"/>
      <c r="O772" s="413"/>
      <c r="P772" s="412"/>
      <c r="Q772" s="414"/>
      <c r="R772" s="414"/>
    </row>
    <row r="773">
      <c r="B773" s="374"/>
      <c r="C773" s="374"/>
      <c r="D773" s="412"/>
      <c r="E773" s="412"/>
      <c r="F773" s="412"/>
      <c r="G773" s="412"/>
      <c r="H773" s="412"/>
      <c r="I773" s="412"/>
      <c r="J773" s="412"/>
      <c r="K773" s="412"/>
      <c r="L773" s="413"/>
      <c r="M773" s="412"/>
      <c r="N773" s="413"/>
      <c r="O773" s="413"/>
      <c r="P773" s="412"/>
      <c r="Q773" s="414"/>
      <c r="R773" s="414"/>
    </row>
    <row r="774">
      <c r="B774" s="374"/>
      <c r="C774" s="374"/>
      <c r="D774" s="412"/>
      <c r="E774" s="412"/>
      <c r="F774" s="412"/>
      <c r="G774" s="412"/>
      <c r="H774" s="412"/>
      <c r="I774" s="412"/>
      <c r="J774" s="412"/>
      <c r="K774" s="412"/>
      <c r="L774" s="413"/>
      <c r="M774" s="412"/>
      <c r="N774" s="413"/>
      <c r="O774" s="413"/>
      <c r="P774" s="412"/>
      <c r="Q774" s="414"/>
      <c r="R774" s="414"/>
    </row>
    <row r="775">
      <c r="B775" s="374"/>
      <c r="C775" s="374"/>
      <c r="D775" s="412"/>
      <c r="E775" s="412"/>
      <c r="F775" s="412"/>
      <c r="G775" s="412"/>
      <c r="H775" s="412"/>
      <c r="I775" s="412"/>
      <c r="J775" s="412"/>
      <c r="K775" s="412"/>
      <c r="L775" s="413"/>
      <c r="M775" s="412"/>
      <c r="N775" s="413"/>
      <c r="O775" s="413"/>
      <c r="P775" s="412"/>
      <c r="Q775" s="414"/>
      <c r="R775" s="414"/>
    </row>
    <row r="776">
      <c r="B776" s="374"/>
      <c r="C776" s="374"/>
      <c r="D776" s="412"/>
      <c r="E776" s="412"/>
      <c r="F776" s="412"/>
      <c r="G776" s="412"/>
      <c r="H776" s="412"/>
      <c r="I776" s="412"/>
      <c r="J776" s="412"/>
      <c r="K776" s="412"/>
      <c r="L776" s="413"/>
      <c r="M776" s="412"/>
      <c r="N776" s="413"/>
      <c r="O776" s="413"/>
      <c r="P776" s="412"/>
      <c r="Q776" s="414"/>
      <c r="R776" s="414"/>
    </row>
    <row r="777">
      <c r="B777" s="374"/>
      <c r="C777" s="374"/>
      <c r="D777" s="412"/>
      <c r="E777" s="412"/>
      <c r="F777" s="412"/>
      <c r="G777" s="412"/>
      <c r="H777" s="412"/>
      <c r="I777" s="412"/>
      <c r="J777" s="412"/>
      <c r="K777" s="412"/>
      <c r="L777" s="413"/>
      <c r="M777" s="412"/>
      <c r="N777" s="413"/>
      <c r="O777" s="413"/>
      <c r="P777" s="412"/>
      <c r="Q777" s="414"/>
      <c r="R777" s="414"/>
    </row>
    <row r="778">
      <c r="B778" s="374"/>
      <c r="C778" s="374"/>
      <c r="D778" s="412"/>
      <c r="E778" s="412"/>
      <c r="F778" s="412"/>
      <c r="G778" s="412"/>
      <c r="H778" s="412"/>
      <c r="I778" s="412"/>
      <c r="J778" s="412"/>
      <c r="K778" s="412"/>
      <c r="L778" s="413"/>
      <c r="M778" s="412"/>
      <c r="N778" s="413"/>
      <c r="O778" s="413"/>
      <c r="P778" s="412"/>
      <c r="Q778" s="414"/>
      <c r="R778" s="414"/>
    </row>
    <row r="779">
      <c r="B779" s="374"/>
      <c r="C779" s="374"/>
      <c r="D779" s="412"/>
      <c r="E779" s="412"/>
      <c r="F779" s="412"/>
      <c r="G779" s="412"/>
      <c r="H779" s="412"/>
      <c r="I779" s="412"/>
      <c r="J779" s="412"/>
      <c r="K779" s="412"/>
      <c r="L779" s="413"/>
      <c r="M779" s="412"/>
      <c r="N779" s="413"/>
      <c r="O779" s="413"/>
      <c r="P779" s="412"/>
      <c r="Q779" s="414"/>
      <c r="R779" s="414"/>
    </row>
    <row r="780">
      <c r="B780" s="374"/>
      <c r="C780" s="374"/>
      <c r="D780" s="412"/>
      <c r="E780" s="412"/>
      <c r="F780" s="412"/>
      <c r="G780" s="412"/>
      <c r="H780" s="412"/>
      <c r="I780" s="412"/>
      <c r="J780" s="412"/>
      <c r="K780" s="412"/>
      <c r="L780" s="413"/>
      <c r="M780" s="412"/>
      <c r="N780" s="413"/>
      <c r="O780" s="413"/>
      <c r="P780" s="412"/>
      <c r="Q780" s="414"/>
      <c r="R780" s="414"/>
    </row>
    <row r="781">
      <c r="B781" s="374"/>
      <c r="C781" s="374"/>
      <c r="D781" s="412"/>
      <c r="E781" s="412"/>
      <c r="F781" s="412"/>
      <c r="G781" s="412"/>
      <c r="H781" s="412"/>
      <c r="I781" s="412"/>
      <c r="J781" s="412"/>
      <c r="K781" s="412"/>
      <c r="L781" s="413"/>
      <c r="M781" s="412"/>
      <c r="N781" s="413"/>
      <c r="O781" s="413"/>
      <c r="P781" s="412"/>
      <c r="Q781" s="414"/>
      <c r="R781" s="414"/>
    </row>
    <row r="782">
      <c r="B782" s="374"/>
      <c r="C782" s="374"/>
      <c r="D782" s="412"/>
      <c r="E782" s="412"/>
      <c r="F782" s="412"/>
      <c r="G782" s="412"/>
      <c r="H782" s="412"/>
      <c r="I782" s="412"/>
      <c r="J782" s="412"/>
      <c r="K782" s="412"/>
      <c r="L782" s="413"/>
      <c r="M782" s="412"/>
      <c r="N782" s="413"/>
      <c r="O782" s="413"/>
      <c r="P782" s="412"/>
      <c r="Q782" s="414"/>
      <c r="R782" s="414"/>
    </row>
    <row r="783">
      <c r="B783" s="374"/>
      <c r="C783" s="374"/>
      <c r="D783" s="412"/>
      <c r="E783" s="412"/>
      <c r="F783" s="412"/>
      <c r="G783" s="412"/>
      <c r="H783" s="412"/>
      <c r="I783" s="412"/>
      <c r="J783" s="412"/>
      <c r="K783" s="412"/>
      <c r="L783" s="413"/>
      <c r="M783" s="412"/>
      <c r="N783" s="413"/>
      <c r="O783" s="413"/>
      <c r="P783" s="412"/>
      <c r="Q783" s="414"/>
      <c r="R783" s="414"/>
    </row>
    <row r="784">
      <c r="B784" s="374"/>
      <c r="C784" s="374"/>
      <c r="D784" s="412"/>
      <c r="E784" s="412"/>
      <c r="F784" s="412"/>
      <c r="G784" s="412"/>
      <c r="H784" s="412"/>
      <c r="I784" s="412"/>
      <c r="J784" s="412"/>
      <c r="K784" s="412"/>
      <c r="L784" s="413"/>
      <c r="M784" s="412"/>
      <c r="N784" s="413"/>
      <c r="O784" s="413"/>
      <c r="P784" s="412"/>
      <c r="Q784" s="414"/>
      <c r="R784" s="414"/>
    </row>
    <row r="785">
      <c r="B785" s="374"/>
      <c r="C785" s="374"/>
      <c r="D785" s="412"/>
      <c r="E785" s="412"/>
      <c r="F785" s="412"/>
      <c r="G785" s="412"/>
      <c r="H785" s="412"/>
      <c r="I785" s="412"/>
      <c r="J785" s="412"/>
      <c r="K785" s="412"/>
      <c r="L785" s="413"/>
      <c r="M785" s="412"/>
      <c r="N785" s="413"/>
      <c r="O785" s="413"/>
      <c r="P785" s="412"/>
      <c r="Q785" s="414"/>
      <c r="R785" s="414"/>
    </row>
    <row r="786">
      <c r="B786" s="374"/>
      <c r="C786" s="374"/>
      <c r="D786" s="412"/>
      <c r="E786" s="412"/>
      <c r="F786" s="412"/>
      <c r="G786" s="412"/>
      <c r="H786" s="412"/>
      <c r="I786" s="412"/>
      <c r="J786" s="412"/>
      <c r="K786" s="412"/>
      <c r="L786" s="413"/>
      <c r="M786" s="412"/>
      <c r="N786" s="413"/>
      <c r="O786" s="413"/>
      <c r="P786" s="412"/>
      <c r="Q786" s="414"/>
      <c r="R786" s="414"/>
    </row>
    <row r="787">
      <c r="B787" s="374"/>
      <c r="C787" s="374"/>
      <c r="D787" s="412"/>
      <c r="E787" s="412"/>
      <c r="F787" s="412"/>
      <c r="G787" s="412"/>
      <c r="H787" s="412"/>
      <c r="I787" s="412"/>
      <c r="J787" s="412"/>
      <c r="K787" s="412"/>
      <c r="L787" s="413"/>
      <c r="M787" s="412"/>
      <c r="N787" s="413"/>
      <c r="O787" s="413"/>
      <c r="P787" s="412"/>
      <c r="Q787" s="414"/>
      <c r="R787" s="414"/>
    </row>
    <row r="788">
      <c r="B788" s="374"/>
      <c r="C788" s="374"/>
      <c r="D788" s="412"/>
      <c r="E788" s="412"/>
      <c r="F788" s="412"/>
      <c r="G788" s="412"/>
      <c r="H788" s="412"/>
      <c r="I788" s="412"/>
      <c r="J788" s="412"/>
      <c r="K788" s="412"/>
      <c r="L788" s="413"/>
      <c r="M788" s="412"/>
      <c r="N788" s="413"/>
      <c r="O788" s="413"/>
      <c r="P788" s="412"/>
      <c r="Q788" s="414"/>
      <c r="R788" s="414"/>
    </row>
    <row r="789">
      <c r="B789" s="374"/>
      <c r="C789" s="374"/>
      <c r="D789" s="412"/>
      <c r="E789" s="412"/>
      <c r="F789" s="412"/>
      <c r="G789" s="412"/>
      <c r="H789" s="412"/>
      <c r="I789" s="412"/>
      <c r="J789" s="412"/>
      <c r="K789" s="412"/>
      <c r="L789" s="413"/>
      <c r="M789" s="412"/>
      <c r="N789" s="413"/>
      <c r="O789" s="413"/>
      <c r="P789" s="412"/>
      <c r="Q789" s="414"/>
      <c r="R789" s="414"/>
    </row>
    <row r="790">
      <c r="B790" s="374"/>
      <c r="C790" s="374"/>
      <c r="D790" s="412"/>
      <c r="E790" s="412"/>
      <c r="F790" s="412"/>
      <c r="G790" s="412"/>
      <c r="H790" s="412"/>
      <c r="I790" s="412"/>
      <c r="J790" s="412"/>
      <c r="K790" s="412"/>
      <c r="L790" s="413"/>
      <c r="M790" s="412"/>
      <c r="N790" s="413"/>
      <c r="O790" s="413"/>
      <c r="P790" s="412"/>
      <c r="Q790" s="414"/>
      <c r="R790" s="414"/>
    </row>
    <row r="791">
      <c r="B791" s="374"/>
      <c r="C791" s="374"/>
      <c r="D791" s="412"/>
      <c r="E791" s="412"/>
      <c r="F791" s="412"/>
      <c r="G791" s="412"/>
      <c r="H791" s="412"/>
      <c r="I791" s="412"/>
      <c r="J791" s="412"/>
      <c r="K791" s="412"/>
      <c r="L791" s="413"/>
      <c r="M791" s="412"/>
      <c r="N791" s="413"/>
      <c r="O791" s="413"/>
      <c r="P791" s="412"/>
      <c r="Q791" s="414"/>
      <c r="R791" s="414"/>
    </row>
    <row r="792">
      <c r="B792" s="374"/>
      <c r="C792" s="374"/>
      <c r="D792" s="412"/>
      <c r="E792" s="412"/>
      <c r="F792" s="412"/>
      <c r="G792" s="412"/>
      <c r="H792" s="412"/>
      <c r="I792" s="412"/>
      <c r="J792" s="412"/>
      <c r="K792" s="412"/>
      <c r="L792" s="413"/>
      <c r="M792" s="412"/>
      <c r="N792" s="413"/>
      <c r="O792" s="413"/>
      <c r="P792" s="412"/>
      <c r="Q792" s="414"/>
      <c r="R792" s="414"/>
    </row>
    <row r="793">
      <c r="B793" s="374"/>
      <c r="C793" s="374"/>
      <c r="D793" s="412"/>
      <c r="E793" s="412"/>
      <c r="F793" s="412"/>
      <c r="G793" s="412"/>
      <c r="H793" s="412"/>
      <c r="I793" s="412"/>
      <c r="J793" s="412"/>
      <c r="K793" s="412"/>
      <c r="L793" s="413"/>
      <c r="M793" s="412"/>
      <c r="N793" s="413"/>
      <c r="O793" s="413"/>
      <c r="P793" s="412"/>
      <c r="Q793" s="414"/>
      <c r="R793" s="414"/>
    </row>
    <row r="794">
      <c r="B794" s="374"/>
      <c r="C794" s="374"/>
      <c r="D794" s="412"/>
      <c r="E794" s="412"/>
      <c r="F794" s="412"/>
      <c r="G794" s="412"/>
      <c r="H794" s="412"/>
      <c r="I794" s="412"/>
      <c r="J794" s="412"/>
      <c r="K794" s="412"/>
      <c r="L794" s="413"/>
      <c r="M794" s="412"/>
      <c r="N794" s="413"/>
      <c r="O794" s="413"/>
      <c r="P794" s="412"/>
      <c r="Q794" s="414"/>
      <c r="R794" s="414"/>
    </row>
    <row r="795">
      <c r="B795" s="374"/>
      <c r="C795" s="374"/>
      <c r="D795" s="412"/>
      <c r="E795" s="412"/>
      <c r="F795" s="412"/>
      <c r="G795" s="412"/>
      <c r="H795" s="412"/>
      <c r="I795" s="412"/>
      <c r="J795" s="412"/>
      <c r="K795" s="412"/>
      <c r="L795" s="413"/>
      <c r="M795" s="412"/>
      <c r="N795" s="413"/>
      <c r="O795" s="413"/>
      <c r="P795" s="412"/>
      <c r="Q795" s="414"/>
      <c r="R795" s="414"/>
    </row>
    <row r="796">
      <c r="B796" s="374"/>
      <c r="C796" s="374"/>
      <c r="D796" s="412"/>
      <c r="E796" s="412"/>
      <c r="F796" s="412"/>
      <c r="G796" s="412"/>
      <c r="H796" s="412"/>
      <c r="I796" s="412"/>
      <c r="J796" s="412"/>
      <c r="K796" s="412"/>
      <c r="L796" s="413"/>
      <c r="M796" s="412"/>
      <c r="N796" s="413"/>
      <c r="O796" s="413"/>
      <c r="P796" s="412"/>
      <c r="Q796" s="414"/>
      <c r="R796" s="414"/>
    </row>
    <row r="797">
      <c r="B797" s="374"/>
      <c r="C797" s="374"/>
      <c r="D797" s="412"/>
      <c r="E797" s="412"/>
      <c r="F797" s="412"/>
      <c r="G797" s="412"/>
      <c r="H797" s="412"/>
      <c r="I797" s="412"/>
      <c r="J797" s="412"/>
      <c r="K797" s="412"/>
      <c r="L797" s="413"/>
      <c r="M797" s="412"/>
      <c r="N797" s="413"/>
      <c r="O797" s="413"/>
      <c r="P797" s="412"/>
      <c r="Q797" s="414"/>
      <c r="R797" s="414"/>
    </row>
    <row r="798">
      <c r="B798" s="374"/>
      <c r="C798" s="374"/>
      <c r="D798" s="412"/>
      <c r="E798" s="412"/>
      <c r="F798" s="412"/>
      <c r="G798" s="412"/>
      <c r="H798" s="412"/>
      <c r="I798" s="412"/>
      <c r="J798" s="412"/>
      <c r="K798" s="412"/>
      <c r="L798" s="413"/>
      <c r="M798" s="412"/>
      <c r="N798" s="413"/>
      <c r="O798" s="413"/>
      <c r="P798" s="412"/>
      <c r="Q798" s="414"/>
      <c r="R798" s="414"/>
    </row>
    <row r="799">
      <c r="B799" s="374"/>
      <c r="C799" s="374"/>
      <c r="D799" s="412"/>
      <c r="E799" s="412"/>
      <c r="F799" s="412"/>
      <c r="G799" s="412"/>
      <c r="H799" s="412"/>
      <c r="I799" s="412"/>
      <c r="J799" s="412"/>
      <c r="K799" s="412"/>
      <c r="L799" s="413"/>
      <c r="M799" s="412"/>
      <c r="N799" s="413"/>
      <c r="O799" s="413"/>
      <c r="P799" s="412"/>
      <c r="Q799" s="414"/>
      <c r="R799" s="414"/>
    </row>
    <row r="800">
      <c r="B800" s="374"/>
      <c r="C800" s="374"/>
      <c r="D800" s="412"/>
      <c r="E800" s="412"/>
      <c r="F800" s="412"/>
      <c r="G800" s="412"/>
      <c r="H800" s="412"/>
      <c r="I800" s="412"/>
      <c r="J800" s="412"/>
      <c r="K800" s="412"/>
      <c r="L800" s="413"/>
      <c r="M800" s="412"/>
      <c r="N800" s="413"/>
      <c r="O800" s="413"/>
      <c r="P800" s="412"/>
      <c r="Q800" s="414"/>
      <c r="R800" s="414"/>
    </row>
    <row r="801">
      <c r="B801" s="374"/>
      <c r="C801" s="374"/>
      <c r="D801" s="412"/>
      <c r="E801" s="412"/>
      <c r="F801" s="412"/>
      <c r="G801" s="412"/>
      <c r="H801" s="412"/>
      <c r="I801" s="412"/>
      <c r="J801" s="412"/>
      <c r="K801" s="412"/>
      <c r="L801" s="413"/>
      <c r="M801" s="412"/>
      <c r="N801" s="413"/>
      <c r="O801" s="413"/>
      <c r="P801" s="412"/>
      <c r="Q801" s="414"/>
      <c r="R801" s="414"/>
    </row>
    <row r="802">
      <c r="B802" s="374"/>
      <c r="C802" s="374"/>
      <c r="D802" s="412"/>
      <c r="E802" s="412"/>
      <c r="F802" s="412"/>
      <c r="G802" s="412"/>
      <c r="H802" s="412"/>
      <c r="I802" s="412"/>
      <c r="J802" s="412"/>
      <c r="K802" s="412"/>
      <c r="L802" s="413"/>
      <c r="M802" s="412"/>
      <c r="N802" s="413"/>
      <c r="O802" s="413"/>
      <c r="P802" s="412"/>
      <c r="Q802" s="414"/>
      <c r="R802" s="414"/>
    </row>
    <row r="803">
      <c r="B803" s="374"/>
      <c r="C803" s="374"/>
      <c r="D803" s="412"/>
      <c r="E803" s="412"/>
      <c r="F803" s="412"/>
      <c r="G803" s="412"/>
      <c r="H803" s="412"/>
      <c r="I803" s="412"/>
      <c r="J803" s="412"/>
      <c r="K803" s="412"/>
      <c r="L803" s="413"/>
      <c r="M803" s="412"/>
      <c r="N803" s="413"/>
      <c r="O803" s="413"/>
      <c r="P803" s="412"/>
      <c r="Q803" s="414"/>
      <c r="R803" s="414"/>
    </row>
    <row r="804">
      <c r="B804" s="374"/>
      <c r="C804" s="374"/>
      <c r="D804" s="412"/>
      <c r="E804" s="412"/>
      <c r="F804" s="412"/>
      <c r="G804" s="412"/>
      <c r="H804" s="412"/>
      <c r="I804" s="412"/>
      <c r="J804" s="412"/>
      <c r="K804" s="412"/>
      <c r="L804" s="413"/>
      <c r="M804" s="412"/>
      <c r="N804" s="413"/>
      <c r="O804" s="413"/>
      <c r="P804" s="412"/>
      <c r="Q804" s="414"/>
      <c r="R804" s="414"/>
    </row>
    <row r="805">
      <c r="B805" s="374"/>
      <c r="C805" s="374"/>
      <c r="D805" s="412"/>
      <c r="E805" s="412"/>
      <c r="F805" s="412"/>
      <c r="G805" s="412"/>
      <c r="H805" s="412"/>
      <c r="I805" s="412"/>
      <c r="J805" s="412"/>
      <c r="K805" s="412"/>
      <c r="L805" s="413"/>
      <c r="M805" s="412"/>
      <c r="N805" s="413"/>
      <c r="O805" s="413"/>
      <c r="P805" s="412"/>
      <c r="Q805" s="414"/>
      <c r="R805" s="414"/>
    </row>
    <row r="806">
      <c r="B806" s="374"/>
      <c r="C806" s="374"/>
      <c r="D806" s="412"/>
      <c r="E806" s="412"/>
      <c r="F806" s="412"/>
      <c r="G806" s="412"/>
      <c r="H806" s="412"/>
      <c r="I806" s="412"/>
      <c r="J806" s="412"/>
      <c r="K806" s="412"/>
      <c r="L806" s="413"/>
      <c r="M806" s="412"/>
      <c r="N806" s="413"/>
      <c r="O806" s="413"/>
      <c r="P806" s="412"/>
      <c r="Q806" s="414"/>
      <c r="R806" s="414"/>
    </row>
    <row r="807">
      <c r="B807" s="374"/>
      <c r="C807" s="374"/>
      <c r="D807" s="412"/>
      <c r="E807" s="412"/>
      <c r="F807" s="412"/>
      <c r="G807" s="412"/>
      <c r="H807" s="412"/>
      <c r="I807" s="412"/>
      <c r="J807" s="412"/>
      <c r="K807" s="412"/>
      <c r="L807" s="413"/>
      <c r="M807" s="412"/>
      <c r="N807" s="413"/>
      <c r="O807" s="413"/>
      <c r="P807" s="412"/>
      <c r="Q807" s="414"/>
      <c r="R807" s="414"/>
    </row>
    <row r="808">
      <c r="B808" s="374"/>
      <c r="C808" s="374"/>
      <c r="D808" s="412"/>
      <c r="E808" s="412"/>
      <c r="F808" s="412"/>
      <c r="G808" s="412"/>
      <c r="H808" s="412"/>
      <c r="I808" s="412"/>
      <c r="J808" s="412"/>
      <c r="K808" s="412"/>
      <c r="L808" s="413"/>
      <c r="M808" s="412"/>
      <c r="N808" s="413"/>
      <c r="O808" s="413"/>
      <c r="P808" s="412"/>
      <c r="Q808" s="414"/>
      <c r="R808" s="414"/>
    </row>
    <row r="809">
      <c r="B809" s="374"/>
      <c r="C809" s="374"/>
      <c r="D809" s="412"/>
      <c r="E809" s="412"/>
      <c r="F809" s="412"/>
      <c r="G809" s="412"/>
      <c r="H809" s="412"/>
      <c r="I809" s="412"/>
      <c r="J809" s="412"/>
      <c r="K809" s="412"/>
      <c r="L809" s="413"/>
      <c r="M809" s="412"/>
      <c r="N809" s="413"/>
      <c r="O809" s="413"/>
      <c r="P809" s="412"/>
      <c r="Q809" s="414"/>
      <c r="R809" s="414"/>
    </row>
    <row r="810">
      <c r="B810" s="374"/>
      <c r="C810" s="374"/>
      <c r="D810" s="412"/>
      <c r="E810" s="412"/>
      <c r="F810" s="412"/>
      <c r="G810" s="412"/>
      <c r="H810" s="412"/>
      <c r="I810" s="412"/>
      <c r="J810" s="412"/>
      <c r="K810" s="412"/>
      <c r="L810" s="413"/>
      <c r="M810" s="412"/>
      <c r="N810" s="413"/>
      <c r="O810" s="413"/>
      <c r="P810" s="412"/>
      <c r="Q810" s="414"/>
      <c r="R810" s="414"/>
    </row>
    <row r="811">
      <c r="B811" s="374"/>
      <c r="C811" s="374"/>
      <c r="D811" s="412"/>
      <c r="E811" s="412"/>
      <c r="F811" s="412"/>
      <c r="G811" s="412"/>
      <c r="H811" s="412"/>
      <c r="I811" s="412"/>
      <c r="J811" s="412"/>
      <c r="K811" s="412"/>
      <c r="L811" s="413"/>
      <c r="M811" s="412"/>
      <c r="N811" s="413"/>
      <c r="O811" s="413"/>
      <c r="P811" s="412"/>
      <c r="Q811" s="414"/>
      <c r="R811" s="414"/>
    </row>
    <row r="812">
      <c r="B812" s="374"/>
      <c r="C812" s="374"/>
      <c r="D812" s="412"/>
      <c r="E812" s="412"/>
      <c r="F812" s="412"/>
      <c r="G812" s="412"/>
      <c r="H812" s="412"/>
      <c r="I812" s="412"/>
      <c r="J812" s="412"/>
      <c r="K812" s="412"/>
      <c r="L812" s="413"/>
      <c r="M812" s="412"/>
      <c r="N812" s="413"/>
      <c r="O812" s="413"/>
      <c r="P812" s="412"/>
      <c r="Q812" s="414"/>
      <c r="R812" s="414"/>
    </row>
    <row r="813">
      <c r="B813" s="374"/>
      <c r="C813" s="374"/>
      <c r="D813" s="412"/>
      <c r="E813" s="412"/>
      <c r="F813" s="412"/>
      <c r="G813" s="412"/>
      <c r="H813" s="412"/>
      <c r="I813" s="412"/>
      <c r="J813" s="412"/>
      <c r="K813" s="412"/>
      <c r="L813" s="413"/>
      <c r="M813" s="412"/>
      <c r="N813" s="413"/>
      <c r="O813" s="413"/>
      <c r="P813" s="412"/>
      <c r="Q813" s="414"/>
      <c r="R813" s="414"/>
    </row>
    <row r="814">
      <c r="B814" s="374"/>
      <c r="C814" s="374"/>
      <c r="D814" s="412"/>
      <c r="E814" s="412"/>
      <c r="F814" s="412"/>
      <c r="G814" s="412"/>
      <c r="H814" s="412"/>
      <c r="I814" s="412"/>
      <c r="J814" s="412"/>
      <c r="K814" s="412"/>
      <c r="L814" s="413"/>
      <c r="M814" s="412"/>
      <c r="N814" s="413"/>
      <c r="O814" s="413"/>
      <c r="P814" s="412"/>
      <c r="Q814" s="414"/>
      <c r="R814" s="414"/>
    </row>
    <row r="815">
      <c r="B815" s="374"/>
      <c r="C815" s="374"/>
      <c r="D815" s="412"/>
      <c r="E815" s="412"/>
      <c r="F815" s="412"/>
      <c r="G815" s="412"/>
      <c r="H815" s="412"/>
      <c r="I815" s="412"/>
      <c r="J815" s="412"/>
      <c r="K815" s="412"/>
      <c r="L815" s="413"/>
      <c r="M815" s="412"/>
      <c r="N815" s="413"/>
      <c r="O815" s="413"/>
      <c r="P815" s="412"/>
      <c r="Q815" s="414"/>
      <c r="R815" s="414"/>
    </row>
    <row r="816">
      <c r="B816" s="374"/>
      <c r="C816" s="374"/>
      <c r="D816" s="412"/>
      <c r="E816" s="412"/>
      <c r="F816" s="412"/>
      <c r="G816" s="412"/>
      <c r="H816" s="412"/>
      <c r="I816" s="412"/>
      <c r="J816" s="412"/>
      <c r="K816" s="412"/>
      <c r="L816" s="413"/>
      <c r="M816" s="412"/>
      <c r="N816" s="413"/>
      <c r="O816" s="413"/>
      <c r="P816" s="412"/>
      <c r="Q816" s="414"/>
      <c r="R816" s="414"/>
    </row>
    <row r="817">
      <c r="B817" s="374"/>
      <c r="C817" s="374"/>
      <c r="D817" s="412"/>
      <c r="E817" s="412"/>
      <c r="F817" s="412"/>
      <c r="G817" s="412"/>
      <c r="H817" s="412"/>
      <c r="I817" s="412"/>
      <c r="J817" s="412"/>
      <c r="K817" s="412"/>
      <c r="L817" s="413"/>
      <c r="M817" s="412"/>
      <c r="N817" s="413"/>
      <c r="O817" s="413"/>
      <c r="P817" s="412"/>
      <c r="Q817" s="414"/>
      <c r="R817" s="414"/>
    </row>
    <row r="818">
      <c r="B818" s="374"/>
      <c r="C818" s="374"/>
      <c r="D818" s="412"/>
      <c r="E818" s="412"/>
      <c r="F818" s="412"/>
      <c r="G818" s="412"/>
      <c r="H818" s="412"/>
      <c r="I818" s="412"/>
      <c r="J818" s="412"/>
      <c r="K818" s="412"/>
      <c r="L818" s="413"/>
      <c r="M818" s="412"/>
      <c r="N818" s="413"/>
      <c r="O818" s="413"/>
      <c r="P818" s="412"/>
      <c r="Q818" s="414"/>
      <c r="R818" s="414"/>
    </row>
    <row r="819">
      <c r="B819" s="374"/>
      <c r="C819" s="374"/>
      <c r="D819" s="412"/>
      <c r="E819" s="412"/>
      <c r="F819" s="412"/>
      <c r="G819" s="412"/>
      <c r="H819" s="412"/>
      <c r="I819" s="412"/>
      <c r="J819" s="412"/>
      <c r="K819" s="412"/>
      <c r="L819" s="413"/>
      <c r="M819" s="412"/>
      <c r="N819" s="413"/>
      <c r="O819" s="413"/>
      <c r="P819" s="412"/>
      <c r="Q819" s="414"/>
      <c r="R819" s="414"/>
    </row>
    <row r="820">
      <c r="B820" s="374"/>
      <c r="C820" s="374"/>
      <c r="D820" s="412"/>
      <c r="E820" s="412"/>
      <c r="F820" s="412"/>
      <c r="G820" s="412"/>
      <c r="H820" s="412"/>
      <c r="I820" s="412"/>
      <c r="J820" s="412"/>
      <c r="K820" s="412"/>
      <c r="L820" s="413"/>
      <c r="M820" s="412"/>
      <c r="N820" s="413"/>
      <c r="O820" s="413"/>
      <c r="P820" s="412"/>
      <c r="Q820" s="414"/>
      <c r="R820" s="414"/>
    </row>
    <row r="821">
      <c r="B821" s="374"/>
      <c r="C821" s="374"/>
      <c r="D821" s="412"/>
      <c r="E821" s="412"/>
      <c r="F821" s="412"/>
      <c r="G821" s="412"/>
      <c r="H821" s="412"/>
      <c r="I821" s="412"/>
      <c r="J821" s="412"/>
      <c r="K821" s="412"/>
      <c r="L821" s="413"/>
      <c r="M821" s="412"/>
      <c r="N821" s="413"/>
      <c r="O821" s="413"/>
      <c r="P821" s="412"/>
      <c r="Q821" s="414"/>
      <c r="R821" s="414"/>
    </row>
    <row r="822">
      <c r="B822" s="374"/>
      <c r="C822" s="374"/>
      <c r="D822" s="412"/>
      <c r="E822" s="412"/>
      <c r="F822" s="412"/>
      <c r="G822" s="412"/>
      <c r="H822" s="412"/>
      <c r="I822" s="412"/>
      <c r="J822" s="412"/>
      <c r="K822" s="412"/>
      <c r="L822" s="413"/>
      <c r="M822" s="412"/>
      <c r="N822" s="413"/>
      <c r="O822" s="413"/>
      <c r="P822" s="412"/>
      <c r="Q822" s="414"/>
      <c r="R822" s="414"/>
    </row>
    <row r="823">
      <c r="B823" s="374"/>
      <c r="C823" s="374"/>
      <c r="D823" s="412"/>
      <c r="E823" s="412"/>
      <c r="F823" s="412"/>
      <c r="G823" s="412"/>
      <c r="H823" s="412"/>
      <c r="I823" s="412"/>
      <c r="J823" s="412"/>
      <c r="K823" s="412"/>
      <c r="L823" s="413"/>
      <c r="M823" s="412"/>
      <c r="N823" s="413"/>
      <c r="O823" s="413"/>
      <c r="P823" s="412"/>
      <c r="Q823" s="414"/>
      <c r="R823" s="414"/>
    </row>
    <row r="824">
      <c r="B824" s="374"/>
      <c r="C824" s="374"/>
      <c r="D824" s="412"/>
      <c r="E824" s="412"/>
      <c r="F824" s="412"/>
      <c r="G824" s="412"/>
      <c r="H824" s="412"/>
      <c r="I824" s="412"/>
      <c r="J824" s="412"/>
      <c r="K824" s="412"/>
      <c r="L824" s="413"/>
      <c r="M824" s="412"/>
      <c r="N824" s="413"/>
      <c r="O824" s="413"/>
      <c r="P824" s="412"/>
      <c r="Q824" s="414"/>
      <c r="R824" s="414"/>
    </row>
    <row r="825">
      <c r="B825" s="374"/>
      <c r="C825" s="374"/>
      <c r="D825" s="412"/>
      <c r="E825" s="412"/>
      <c r="F825" s="412"/>
      <c r="G825" s="412"/>
      <c r="H825" s="412"/>
      <c r="I825" s="412"/>
      <c r="J825" s="412"/>
      <c r="K825" s="412"/>
      <c r="L825" s="413"/>
      <c r="M825" s="412"/>
      <c r="N825" s="413"/>
      <c r="O825" s="413"/>
      <c r="P825" s="412"/>
      <c r="Q825" s="414"/>
      <c r="R825" s="414"/>
    </row>
    <row r="826">
      <c r="B826" s="374"/>
      <c r="C826" s="374"/>
      <c r="D826" s="412"/>
      <c r="E826" s="412"/>
      <c r="F826" s="412"/>
      <c r="G826" s="412"/>
      <c r="H826" s="412"/>
      <c r="I826" s="412"/>
      <c r="J826" s="412"/>
      <c r="K826" s="412"/>
      <c r="L826" s="413"/>
      <c r="M826" s="412"/>
      <c r="N826" s="413"/>
      <c r="O826" s="413"/>
      <c r="P826" s="412"/>
      <c r="Q826" s="414"/>
      <c r="R826" s="414"/>
    </row>
    <row r="827">
      <c r="B827" s="374"/>
      <c r="C827" s="374"/>
      <c r="D827" s="412"/>
      <c r="E827" s="412"/>
      <c r="F827" s="412"/>
      <c r="G827" s="412"/>
      <c r="H827" s="412"/>
      <c r="I827" s="412"/>
      <c r="J827" s="412"/>
      <c r="K827" s="412"/>
      <c r="L827" s="413"/>
      <c r="M827" s="412"/>
      <c r="N827" s="413"/>
      <c r="O827" s="413"/>
      <c r="P827" s="412"/>
      <c r="Q827" s="414"/>
      <c r="R827" s="414"/>
    </row>
    <row r="828">
      <c r="B828" s="374"/>
      <c r="C828" s="374"/>
      <c r="D828" s="412"/>
      <c r="E828" s="412"/>
      <c r="F828" s="412"/>
      <c r="G828" s="412"/>
      <c r="H828" s="412"/>
      <c r="I828" s="412"/>
      <c r="J828" s="412"/>
      <c r="K828" s="412"/>
      <c r="L828" s="413"/>
      <c r="M828" s="412"/>
      <c r="N828" s="413"/>
      <c r="O828" s="413"/>
      <c r="P828" s="412"/>
      <c r="Q828" s="414"/>
      <c r="R828" s="414"/>
    </row>
    <row r="829">
      <c r="B829" s="374"/>
      <c r="C829" s="374"/>
      <c r="D829" s="412"/>
      <c r="E829" s="412"/>
      <c r="F829" s="412"/>
      <c r="G829" s="412"/>
      <c r="H829" s="412"/>
      <c r="I829" s="412"/>
      <c r="J829" s="412"/>
      <c r="K829" s="412"/>
      <c r="L829" s="413"/>
      <c r="M829" s="412"/>
      <c r="N829" s="413"/>
      <c r="O829" s="413"/>
      <c r="P829" s="412"/>
      <c r="Q829" s="414"/>
      <c r="R829" s="414"/>
    </row>
    <row r="830">
      <c r="B830" s="374"/>
      <c r="C830" s="374"/>
      <c r="D830" s="412"/>
      <c r="E830" s="412"/>
      <c r="F830" s="412"/>
      <c r="G830" s="412"/>
      <c r="H830" s="412"/>
      <c r="I830" s="412"/>
      <c r="J830" s="412"/>
      <c r="K830" s="412"/>
      <c r="L830" s="413"/>
      <c r="M830" s="412"/>
      <c r="N830" s="413"/>
      <c r="O830" s="413"/>
      <c r="P830" s="412"/>
      <c r="Q830" s="414"/>
      <c r="R830" s="414"/>
    </row>
    <row r="831">
      <c r="B831" s="374"/>
      <c r="C831" s="374"/>
      <c r="D831" s="412"/>
      <c r="E831" s="412"/>
      <c r="F831" s="412"/>
      <c r="G831" s="412"/>
      <c r="H831" s="412"/>
      <c r="I831" s="412"/>
      <c r="J831" s="412"/>
      <c r="K831" s="412"/>
      <c r="L831" s="413"/>
      <c r="M831" s="412"/>
      <c r="N831" s="413"/>
      <c r="O831" s="413"/>
      <c r="P831" s="412"/>
      <c r="Q831" s="414"/>
      <c r="R831" s="414"/>
    </row>
    <row r="832">
      <c r="B832" s="374"/>
      <c r="C832" s="374"/>
      <c r="D832" s="412"/>
      <c r="E832" s="412"/>
      <c r="F832" s="412"/>
      <c r="G832" s="412"/>
      <c r="H832" s="412"/>
      <c r="I832" s="412"/>
      <c r="J832" s="412"/>
      <c r="K832" s="412"/>
      <c r="L832" s="413"/>
      <c r="M832" s="412"/>
      <c r="N832" s="413"/>
      <c r="O832" s="413"/>
      <c r="P832" s="412"/>
      <c r="Q832" s="414"/>
      <c r="R832" s="414"/>
    </row>
    <row r="833">
      <c r="B833" s="374"/>
      <c r="C833" s="374"/>
      <c r="D833" s="412"/>
      <c r="E833" s="412"/>
      <c r="F833" s="412"/>
      <c r="G833" s="412"/>
      <c r="H833" s="412"/>
      <c r="I833" s="412"/>
      <c r="J833" s="412"/>
      <c r="K833" s="412"/>
      <c r="L833" s="413"/>
      <c r="M833" s="412"/>
      <c r="N833" s="413"/>
      <c r="O833" s="413"/>
      <c r="P833" s="412"/>
      <c r="Q833" s="414"/>
      <c r="R833" s="414"/>
    </row>
    <row r="834">
      <c r="B834" s="374"/>
      <c r="C834" s="374"/>
      <c r="D834" s="412"/>
      <c r="E834" s="412"/>
      <c r="F834" s="412"/>
      <c r="G834" s="412"/>
      <c r="H834" s="412"/>
      <c r="I834" s="412"/>
      <c r="J834" s="412"/>
      <c r="K834" s="412"/>
      <c r="L834" s="413"/>
      <c r="M834" s="412"/>
      <c r="N834" s="413"/>
      <c r="O834" s="413"/>
      <c r="P834" s="412"/>
      <c r="Q834" s="414"/>
      <c r="R834" s="414"/>
    </row>
    <row r="835">
      <c r="B835" s="374"/>
      <c r="C835" s="374"/>
      <c r="D835" s="412"/>
      <c r="E835" s="412"/>
      <c r="F835" s="412"/>
      <c r="G835" s="412"/>
      <c r="H835" s="412"/>
      <c r="I835" s="412"/>
      <c r="J835" s="412"/>
      <c r="K835" s="412"/>
      <c r="L835" s="413"/>
      <c r="M835" s="412"/>
      <c r="N835" s="413"/>
      <c r="O835" s="413"/>
      <c r="P835" s="412"/>
      <c r="Q835" s="414"/>
      <c r="R835" s="414"/>
    </row>
    <row r="836">
      <c r="B836" s="374"/>
      <c r="C836" s="374"/>
      <c r="D836" s="412"/>
      <c r="E836" s="412"/>
      <c r="F836" s="412"/>
      <c r="G836" s="412"/>
      <c r="H836" s="412"/>
      <c r="I836" s="412"/>
      <c r="J836" s="412"/>
      <c r="K836" s="412"/>
      <c r="L836" s="413"/>
      <c r="M836" s="412"/>
      <c r="N836" s="413"/>
      <c r="O836" s="413"/>
      <c r="P836" s="412"/>
      <c r="Q836" s="414"/>
      <c r="R836" s="414"/>
    </row>
    <row r="837">
      <c r="B837" s="374"/>
      <c r="C837" s="374"/>
      <c r="D837" s="412"/>
      <c r="E837" s="412"/>
      <c r="F837" s="412"/>
      <c r="G837" s="412"/>
      <c r="H837" s="412"/>
      <c r="I837" s="412"/>
      <c r="J837" s="412"/>
      <c r="K837" s="412"/>
      <c r="L837" s="413"/>
      <c r="M837" s="412"/>
      <c r="N837" s="413"/>
      <c r="O837" s="413"/>
      <c r="P837" s="412"/>
      <c r="Q837" s="414"/>
      <c r="R837" s="414"/>
    </row>
    <row r="838">
      <c r="B838" s="374"/>
      <c r="C838" s="374"/>
      <c r="D838" s="412"/>
      <c r="E838" s="412"/>
      <c r="F838" s="412"/>
      <c r="G838" s="412"/>
      <c r="H838" s="412"/>
      <c r="I838" s="412"/>
      <c r="J838" s="412"/>
      <c r="K838" s="412"/>
      <c r="L838" s="413"/>
      <c r="M838" s="412"/>
      <c r="N838" s="413"/>
      <c r="O838" s="413"/>
      <c r="P838" s="412"/>
      <c r="Q838" s="414"/>
      <c r="R838" s="414"/>
    </row>
    <row r="839">
      <c r="B839" s="374"/>
      <c r="C839" s="374"/>
      <c r="D839" s="412"/>
      <c r="E839" s="412"/>
      <c r="F839" s="412"/>
      <c r="G839" s="412"/>
      <c r="H839" s="412"/>
      <c r="I839" s="412"/>
      <c r="J839" s="412"/>
      <c r="K839" s="412"/>
      <c r="L839" s="413"/>
      <c r="M839" s="412"/>
      <c r="N839" s="413"/>
      <c r="O839" s="413"/>
      <c r="P839" s="412"/>
      <c r="Q839" s="414"/>
      <c r="R839" s="414"/>
    </row>
    <row r="840">
      <c r="B840" s="374"/>
      <c r="C840" s="374"/>
      <c r="D840" s="412"/>
      <c r="E840" s="412"/>
      <c r="F840" s="412"/>
      <c r="G840" s="412"/>
      <c r="H840" s="412"/>
      <c r="I840" s="412"/>
      <c r="J840" s="412"/>
      <c r="K840" s="412"/>
      <c r="L840" s="413"/>
      <c r="M840" s="412"/>
      <c r="N840" s="413"/>
      <c r="O840" s="413"/>
      <c r="P840" s="412"/>
      <c r="Q840" s="414"/>
      <c r="R840" s="414"/>
    </row>
    <row r="841">
      <c r="B841" s="374"/>
      <c r="C841" s="374"/>
      <c r="D841" s="412"/>
      <c r="E841" s="412"/>
      <c r="F841" s="412"/>
      <c r="G841" s="412"/>
      <c r="H841" s="412"/>
      <c r="I841" s="412"/>
      <c r="J841" s="412"/>
      <c r="K841" s="412"/>
      <c r="L841" s="413"/>
      <c r="M841" s="412"/>
      <c r="N841" s="413"/>
      <c r="O841" s="413"/>
      <c r="P841" s="412"/>
      <c r="Q841" s="414"/>
      <c r="R841" s="414"/>
    </row>
    <row r="842">
      <c r="B842" s="374"/>
      <c r="C842" s="374"/>
      <c r="D842" s="412"/>
      <c r="E842" s="412"/>
      <c r="F842" s="412"/>
      <c r="G842" s="412"/>
      <c r="H842" s="412"/>
      <c r="I842" s="412"/>
      <c r="J842" s="412"/>
      <c r="K842" s="412"/>
      <c r="L842" s="413"/>
      <c r="M842" s="412"/>
      <c r="N842" s="413"/>
      <c r="O842" s="413"/>
      <c r="P842" s="412"/>
      <c r="Q842" s="414"/>
      <c r="R842" s="414"/>
    </row>
    <row r="843">
      <c r="B843" s="374"/>
      <c r="C843" s="374"/>
      <c r="D843" s="412"/>
      <c r="E843" s="412"/>
      <c r="F843" s="412"/>
      <c r="G843" s="412"/>
      <c r="H843" s="412"/>
      <c r="I843" s="412"/>
      <c r="J843" s="412"/>
      <c r="K843" s="412"/>
      <c r="L843" s="413"/>
      <c r="M843" s="412"/>
      <c r="N843" s="413"/>
      <c r="O843" s="413"/>
      <c r="P843" s="412"/>
      <c r="Q843" s="414"/>
      <c r="R843" s="414"/>
    </row>
    <row r="844">
      <c r="B844" s="374"/>
      <c r="C844" s="374"/>
      <c r="D844" s="412"/>
      <c r="E844" s="412"/>
      <c r="F844" s="412"/>
      <c r="G844" s="412"/>
      <c r="H844" s="412"/>
      <c r="I844" s="412"/>
      <c r="J844" s="412"/>
      <c r="K844" s="412"/>
      <c r="L844" s="413"/>
      <c r="M844" s="412"/>
      <c r="N844" s="413"/>
      <c r="O844" s="413"/>
      <c r="P844" s="412"/>
      <c r="Q844" s="414"/>
      <c r="R844" s="414"/>
    </row>
    <row r="845">
      <c r="B845" s="374"/>
      <c r="C845" s="374"/>
      <c r="D845" s="412"/>
      <c r="E845" s="412"/>
      <c r="F845" s="412"/>
      <c r="G845" s="412"/>
      <c r="H845" s="412"/>
      <c r="I845" s="412"/>
      <c r="J845" s="412"/>
      <c r="K845" s="412"/>
      <c r="L845" s="413"/>
      <c r="M845" s="412"/>
      <c r="N845" s="413"/>
      <c r="O845" s="413"/>
      <c r="P845" s="412"/>
      <c r="Q845" s="414"/>
      <c r="R845" s="414"/>
    </row>
    <row r="846">
      <c r="B846" s="374"/>
      <c r="C846" s="374"/>
      <c r="D846" s="412"/>
      <c r="E846" s="412"/>
      <c r="F846" s="412"/>
      <c r="G846" s="412"/>
      <c r="H846" s="412"/>
      <c r="I846" s="412"/>
      <c r="J846" s="412"/>
      <c r="K846" s="412"/>
      <c r="L846" s="413"/>
      <c r="M846" s="412"/>
      <c r="N846" s="413"/>
      <c r="O846" s="413"/>
      <c r="P846" s="412"/>
      <c r="Q846" s="414"/>
      <c r="R846" s="414"/>
    </row>
    <row r="847">
      <c r="B847" s="374"/>
      <c r="C847" s="374"/>
      <c r="D847" s="412"/>
      <c r="E847" s="412"/>
      <c r="F847" s="412"/>
      <c r="G847" s="412"/>
      <c r="H847" s="412"/>
      <c r="I847" s="412"/>
      <c r="J847" s="412"/>
      <c r="K847" s="412"/>
      <c r="L847" s="413"/>
      <c r="M847" s="412"/>
      <c r="N847" s="413"/>
      <c r="O847" s="413"/>
      <c r="P847" s="412"/>
      <c r="Q847" s="414"/>
      <c r="R847" s="414"/>
    </row>
    <row r="848">
      <c r="B848" s="374"/>
      <c r="C848" s="374"/>
      <c r="D848" s="412"/>
      <c r="E848" s="412"/>
      <c r="F848" s="412"/>
      <c r="G848" s="412"/>
      <c r="H848" s="412"/>
      <c r="I848" s="412"/>
      <c r="J848" s="412"/>
      <c r="K848" s="412"/>
      <c r="L848" s="413"/>
      <c r="M848" s="412"/>
      <c r="N848" s="413"/>
      <c r="O848" s="413"/>
      <c r="P848" s="412"/>
      <c r="Q848" s="414"/>
      <c r="R848" s="414"/>
    </row>
    <row r="849">
      <c r="B849" s="374"/>
      <c r="C849" s="374"/>
      <c r="D849" s="412"/>
      <c r="E849" s="412"/>
      <c r="F849" s="412"/>
      <c r="G849" s="412"/>
      <c r="H849" s="412"/>
      <c r="I849" s="412"/>
      <c r="J849" s="412"/>
      <c r="K849" s="412"/>
      <c r="L849" s="413"/>
      <c r="M849" s="412"/>
      <c r="N849" s="413"/>
      <c r="O849" s="413"/>
      <c r="P849" s="412"/>
      <c r="Q849" s="414"/>
      <c r="R849" s="414"/>
    </row>
    <row r="850">
      <c r="B850" s="374"/>
      <c r="C850" s="374"/>
      <c r="D850" s="412"/>
      <c r="E850" s="412"/>
      <c r="F850" s="412"/>
      <c r="G850" s="412"/>
      <c r="H850" s="412"/>
      <c r="I850" s="412"/>
      <c r="J850" s="412"/>
      <c r="K850" s="412"/>
      <c r="L850" s="413"/>
      <c r="M850" s="412"/>
      <c r="N850" s="413"/>
      <c r="O850" s="413"/>
      <c r="P850" s="412"/>
      <c r="Q850" s="414"/>
      <c r="R850" s="414"/>
    </row>
    <row r="851">
      <c r="B851" s="374"/>
      <c r="C851" s="374"/>
      <c r="D851" s="412"/>
      <c r="E851" s="412"/>
      <c r="F851" s="412"/>
      <c r="G851" s="412"/>
      <c r="H851" s="412"/>
      <c r="I851" s="412"/>
      <c r="J851" s="412"/>
      <c r="K851" s="412"/>
      <c r="L851" s="413"/>
      <c r="M851" s="412"/>
      <c r="N851" s="413"/>
      <c r="O851" s="413"/>
      <c r="P851" s="412"/>
      <c r="Q851" s="414"/>
      <c r="R851" s="414"/>
    </row>
    <row r="852">
      <c r="B852" s="374"/>
      <c r="C852" s="374"/>
      <c r="D852" s="412"/>
      <c r="E852" s="412"/>
      <c r="F852" s="412"/>
      <c r="G852" s="412"/>
      <c r="H852" s="412"/>
      <c r="I852" s="412"/>
      <c r="J852" s="412"/>
      <c r="K852" s="412"/>
      <c r="L852" s="413"/>
      <c r="M852" s="412"/>
      <c r="N852" s="413"/>
      <c r="O852" s="413"/>
      <c r="P852" s="412"/>
      <c r="Q852" s="414"/>
      <c r="R852" s="414"/>
    </row>
    <row r="853">
      <c r="B853" s="374"/>
      <c r="C853" s="374"/>
      <c r="D853" s="412"/>
      <c r="E853" s="412"/>
      <c r="F853" s="412"/>
      <c r="G853" s="412"/>
      <c r="H853" s="412"/>
      <c r="I853" s="412"/>
      <c r="J853" s="412"/>
      <c r="K853" s="412"/>
      <c r="L853" s="413"/>
      <c r="M853" s="412"/>
      <c r="N853" s="413"/>
      <c r="O853" s="413"/>
      <c r="P853" s="412"/>
      <c r="Q853" s="414"/>
      <c r="R853" s="414"/>
    </row>
    <row r="854">
      <c r="B854" s="374"/>
      <c r="C854" s="374"/>
      <c r="D854" s="412"/>
      <c r="E854" s="412"/>
      <c r="F854" s="412"/>
      <c r="G854" s="412"/>
      <c r="H854" s="412"/>
      <c r="I854" s="412"/>
      <c r="J854" s="412"/>
      <c r="K854" s="412"/>
      <c r="L854" s="413"/>
      <c r="M854" s="412"/>
      <c r="N854" s="413"/>
      <c r="O854" s="413"/>
      <c r="P854" s="412"/>
      <c r="Q854" s="414"/>
      <c r="R854" s="414"/>
    </row>
    <row r="855">
      <c r="B855" s="374"/>
      <c r="C855" s="374"/>
      <c r="D855" s="412"/>
      <c r="E855" s="412"/>
      <c r="F855" s="412"/>
      <c r="G855" s="412"/>
      <c r="H855" s="412"/>
      <c r="I855" s="412"/>
      <c r="J855" s="412"/>
      <c r="K855" s="412"/>
      <c r="L855" s="413"/>
      <c r="M855" s="412"/>
      <c r="N855" s="413"/>
      <c r="O855" s="413"/>
      <c r="P855" s="412"/>
      <c r="Q855" s="414"/>
      <c r="R855" s="414"/>
    </row>
    <row r="856">
      <c r="B856" s="374"/>
      <c r="C856" s="374"/>
      <c r="D856" s="412"/>
      <c r="E856" s="412"/>
      <c r="F856" s="412"/>
      <c r="G856" s="412"/>
      <c r="H856" s="412"/>
      <c r="I856" s="412"/>
      <c r="J856" s="412"/>
      <c r="K856" s="412"/>
      <c r="L856" s="413"/>
      <c r="M856" s="412"/>
      <c r="N856" s="413"/>
      <c r="O856" s="413"/>
      <c r="P856" s="412"/>
      <c r="Q856" s="414"/>
      <c r="R856" s="414"/>
    </row>
    <row r="857">
      <c r="B857" s="374"/>
      <c r="C857" s="374"/>
      <c r="D857" s="412"/>
      <c r="E857" s="412"/>
      <c r="F857" s="412"/>
      <c r="G857" s="412"/>
      <c r="H857" s="412"/>
      <c r="I857" s="412"/>
      <c r="J857" s="412"/>
      <c r="K857" s="412"/>
      <c r="L857" s="413"/>
      <c r="M857" s="412"/>
      <c r="N857" s="413"/>
      <c r="O857" s="413"/>
      <c r="P857" s="412"/>
      <c r="Q857" s="414"/>
      <c r="R857" s="414"/>
    </row>
    <row r="858">
      <c r="B858" s="374"/>
      <c r="C858" s="374"/>
      <c r="D858" s="412"/>
      <c r="E858" s="412"/>
      <c r="F858" s="412"/>
      <c r="G858" s="412"/>
      <c r="H858" s="412"/>
      <c r="I858" s="412"/>
      <c r="J858" s="412"/>
      <c r="K858" s="412"/>
      <c r="L858" s="413"/>
      <c r="M858" s="412"/>
      <c r="N858" s="413"/>
      <c r="O858" s="413"/>
      <c r="P858" s="412"/>
      <c r="Q858" s="414"/>
      <c r="R858" s="414"/>
    </row>
    <row r="859">
      <c r="B859" s="374"/>
      <c r="C859" s="374"/>
      <c r="D859" s="412"/>
      <c r="E859" s="412"/>
      <c r="F859" s="412"/>
      <c r="G859" s="412"/>
      <c r="H859" s="412"/>
      <c r="I859" s="412"/>
      <c r="J859" s="412"/>
      <c r="K859" s="412"/>
      <c r="L859" s="413"/>
      <c r="M859" s="412"/>
      <c r="N859" s="413"/>
      <c r="O859" s="413"/>
      <c r="P859" s="412"/>
      <c r="Q859" s="414"/>
      <c r="R859" s="414"/>
    </row>
    <row r="860">
      <c r="B860" s="374"/>
      <c r="C860" s="374"/>
      <c r="D860" s="412"/>
      <c r="E860" s="412"/>
      <c r="F860" s="412"/>
      <c r="G860" s="412"/>
      <c r="H860" s="412"/>
      <c r="I860" s="412"/>
      <c r="J860" s="412"/>
      <c r="K860" s="412"/>
      <c r="L860" s="413"/>
      <c r="M860" s="412"/>
      <c r="N860" s="413"/>
      <c r="O860" s="413"/>
      <c r="P860" s="412"/>
      <c r="Q860" s="414"/>
      <c r="R860" s="414"/>
    </row>
    <row r="861">
      <c r="B861" s="374"/>
      <c r="C861" s="374"/>
      <c r="D861" s="412"/>
      <c r="E861" s="412"/>
      <c r="F861" s="412"/>
      <c r="G861" s="412"/>
      <c r="H861" s="412"/>
      <c r="I861" s="412"/>
      <c r="J861" s="412"/>
      <c r="K861" s="412"/>
      <c r="L861" s="413"/>
      <c r="M861" s="412"/>
      <c r="N861" s="413"/>
      <c r="O861" s="413"/>
      <c r="P861" s="412"/>
      <c r="Q861" s="414"/>
      <c r="R861" s="414"/>
    </row>
    <row r="862">
      <c r="B862" s="374"/>
      <c r="C862" s="374"/>
      <c r="D862" s="412"/>
      <c r="E862" s="412"/>
      <c r="F862" s="412"/>
      <c r="G862" s="412"/>
      <c r="H862" s="412"/>
      <c r="I862" s="412"/>
      <c r="J862" s="412"/>
      <c r="K862" s="412"/>
      <c r="L862" s="413"/>
      <c r="M862" s="412"/>
      <c r="N862" s="413"/>
      <c r="O862" s="413"/>
      <c r="P862" s="412"/>
      <c r="Q862" s="414"/>
      <c r="R862" s="414"/>
    </row>
    <row r="863">
      <c r="B863" s="374"/>
      <c r="C863" s="374"/>
      <c r="D863" s="412"/>
      <c r="E863" s="412"/>
      <c r="F863" s="412"/>
      <c r="G863" s="412"/>
      <c r="H863" s="412"/>
      <c r="I863" s="412"/>
      <c r="J863" s="412"/>
      <c r="K863" s="412"/>
      <c r="L863" s="413"/>
      <c r="M863" s="412"/>
      <c r="N863" s="413"/>
      <c r="O863" s="413"/>
      <c r="P863" s="412"/>
      <c r="Q863" s="414"/>
      <c r="R863" s="414"/>
    </row>
    <row r="864">
      <c r="B864" s="374"/>
      <c r="C864" s="374"/>
      <c r="D864" s="412"/>
      <c r="E864" s="412"/>
      <c r="F864" s="412"/>
      <c r="G864" s="412"/>
      <c r="H864" s="412"/>
      <c r="I864" s="412"/>
      <c r="J864" s="412"/>
      <c r="K864" s="412"/>
      <c r="L864" s="413"/>
      <c r="M864" s="412"/>
      <c r="N864" s="413"/>
      <c r="O864" s="413"/>
      <c r="P864" s="412"/>
      <c r="Q864" s="414"/>
      <c r="R864" s="414"/>
    </row>
    <row r="865">
      <c r="B865" s="374"/>
      <c r="C865" s="374"/>
      <c r="D865" s="412"/>
      <c r="E865" s="412"/>
      <c r="F865" s="412"/>
      <c r="G865" s="412"/>
      <c r="H865" s="412"/>
      <c r="I865" s="412"/>
      <c r="J865" s="412"/>
      <c r="K865" s="412"/>
      <c r="L865" s="413"/>
      <c r="M865" s="412"/>
      <c r="N865" s="413"/>
      <c r="O865" s="413"/>
      <c r="P865" s="412"/>
      <c r="Q865" s="414"/>
      <c r="R865" s="414"/>
    </row>
    <row r="866">
      <c r="B866" s="374"/>
      <c r="C866" s="374"/>
      <c r="D866" s="412"/>
      <c r="E866" s="412"/>
      <c r="F866" s="412"/>
      <c r="G866" s="412"/>
      <c r="H866" s="412"/>
      <c r="I866" s="412"/>
      <c r="J866" s="412"/>
      <c r="K866" s="412"/>
      <c r="L866" s="413"/>
      <c r="M866" s="412"/>
      <c r="N866" s="413"/>
      <c r="O866" s="413"/>
      <c r="P866" s="412"/>
      <c r="Q866" s="414"/>
      <c r="R866" s="414"/>
    </row>
    <row r="867">
      <c r="B867" s="374"/>
      <c r="C867" s="374"/>
      <c r="D867" s="412"/>
      <c r="E867" s="412"/>
      <c r="F867" s="412"/>
      <c r="G867" s="412"/>
      <c r="H867" s="412"/>
      <c r="I867" s="412"/>
      <c r="J867" s="412"/>
      <c r="K867" s="412"/>
      <c r="L867" s="413"/>
      <c r="M867" s="412"/>
      <c r="N867" s="413"/>
      <c r="O867" s="413"/>
      <c r="P867" s="412"/>
      <c r="Q867" s="414"/>
      <c r="R867" s="414"/>
    </row>
    <row r="868">
      <c r="B868" s="374"/>
      <c r="C868" s="374"/>
      <c r="D868" s="412"/>
      <c r="E868" s="412"/>
      <c r="F868" s="412"/>
      <c r="G868" s="412"/>
      <c r="H868" s="412"/>
      <c r="I868" s="412"/>
      <c r="J868" s="412"/>
      <c r="K868" s="412"/>
      <c r="L868" s="413"/>
      <c r="M868" s="412"/>
      <c r="N868" s="413"/>
      <c r="O868" s="413"/>
      <c r="P868" s="412"/>
      <c r="Q868" s="414"/>
      <c r="R868" s="414"/>
    </row>
    <row r="869">
      <c r="B869" s="374"/>
      <c r="C869" s="374"/>
      <c r="D869" s="412"/>
      <c r="E869" s="412"/>
      <c r="F869" s="412"/>
      <c r="G869" s="412"/>
      <c r="H869" s="412"/>
      <c r="I869" s="412"/>
      <c r="J869" s="412"/>
      <c r="K869" s="412"/>
      <c r="L869" s="413"/>
      <c r="M869" s="412"/>
      <c r="N869" s="413"/>
      <c r="O869" s="413"/>
      <c r="P869" s="412"/>
      <c r="Q869" s="414"/>
      <c r="R869" s="414"/>
    </row>
    <row r="870">
      <c r="B870" s="374"/>
      <c r="C870" s="374"/>
      <c r="D870" s="412"/>
      <c r="E870" s="412"/>
      <c r="F870" s="412"/>
      <c r="G870" s="412"/>
      <c r="H870" s="412"/>
      <c r="I870" s="412"/>
      <c r="J870" s="412"/>
      <c r="K870" s="412"/>
      <c r="L870" s="413"/>
      <c r="M870" s="412"/>
      <c r="N870" s="413"/>
      <c r="O870" s="413"/>
      <c r="P870" s="412"/>
      <c r="Q870" s="414"/>
      <c r="R870" s="414"/>
    </row>
    <row r="871">
      <c r="B871" s="374"/>
      <c r="C871" s="374"/>
      <c r="D871" s="412"/>
      <c r="E871" s="412"/>
      <c r="F871" s="412"/>
      <c r="G871" s="412"/>
      <c r="H871" s="412"/>
      <c r="I871" s="412"/>
      <c r="J871" s="412"/>
      <c r="K871" s="412"/>
      <c r="L871" s="413"/>
      <c r="M871" s="412"/>
      <c r="N871" s="413"/>
      <c r="O871" s="413"/>
      <c r="P871" s="412"/>
      <c r="Q871" s="414"/>
      <c r="R871" s="414"/>
    </row>
    <row r="872">
      <c r="B872" s="374"/>
      <c r="C872" s="374"/>
      <c r="D872" s="412"/>
      <c r="E872" s="412"/>
      <c r="F872" s="412"/>
      <c r="G872" s="412"/>
      <c r="H872" s="412"/>
      <c r="I872" s="412"/>
      <c r="J872" s="412"/>
      <c r="K872" s="412"/>
      <c r="L872" s="413"/>
      <c r="M872" s="412"/>
      <c r="N872" s="413"/>
      <c r="O872" s="413"/>
      <c r="P872" s="412"/>
      <c r="Q872" s="414"/>
      <c r="R872" s="414"/>
    </row>
    <row r="873">
      <c r="B873" s="374"/>
      <c r="C873" s="374"/>
      <c r="D873" s="412"/>
      <c r="E873" s="412"/>
      <c r="F873" s="412"/>
      <c r="G873" s="412"/>
      <c r="H873" s="412"/>
      <c r="I873" s="412"/>
      <c r="J873" s="412"/>
      <c r="K873" s="412"/>
      <c r="L873" s="413"/>
      <c r="M873" s="412"/>
      <c r="N873" s="413"/>
      <c r="O873" s="413"/>
      <c r="P873" s="412"/>
      <c r="Q873" s="414"/>
      <c r="R873" s="414"/>
    </row>
    <row r="874">
      <c r="B874" s="374"/>
      <c r="C874" s="374"/>
      <c r="D874" s="412"/>
      <c r="E874" s="412"/>
      <c r="F874" s="412"/>
      <c r="G874" s="412"/>
      <c r="H874" s="412"/>
      <c r="I874" s="412"/>
      <c r="J874" s="412"/>
      <c r="K874" s="412"/>
      <c r="L874" s="413"/>
      <c r="M874" s="412"/>
      <c r="N874" s="413"/>
      <c r="O874" s="413"/>
      <c r="P874" s="412"/>
      <c r="Q874" s="414"/>
      <c r="R874" s="414"/>
    </row>
    <row r="875">
      <c r="B875" s="374"/>
      <c r="C875" s="374"/>
      <c r="D875" s="412"/>
      <c r="E875" s="412"/>
      <c r="F875" s="412"/>
      <c r="G875" s="412"/>
      <c r="H875" s="412"/>
      <c r="I875" s="412"/>
      <c r="J875" s="412"/>
      <c r="K875" s="412"/>
      <c r="L875" s="413"/>
      <c r="M875" s="412"/>
      <c r="N875" s="413"/>
      <c r="O875" s="413"/>
      <c r="P875" s="412"/>
      <c r="Q875" s="414"/>
      <c r="R875" s="414"/>
    </row>
    <row r="876">
      <c r="B876" s="374"/>
      <c r="C876" s="374"/>
      <c r="D876" s="412"/>
      <c r="E876" s="412"/>
      <c r="F876" s="412"/>
      <c r="G876" s="412"/>
      <c r="H876" s="412"/>
      <c r="I876" s="412"/>
      <c r="J876" s="412"/>
      <c r="K876" s="412"/>
      <c r="L876" s="413"/>
      <c r="M876" s="412"/>
      <c r="N876" s="413"/>
      <c r="O876" s="413"/>
      <c r="P876" s="412"/>
      <c r="Q876" s="414"/>
      <c r="R876" s="414"/>
    </row>
    <row r="877">
      <c r="B877" s="374"/>
      <c r="C877" s="374"/>
      <c r="D877" s="412"/>
      <c r="E877" s="412"/>
      <c r="F877" s="412"/>
      <c r="G877" s="412"/>
      <c r="H877" s="412"/>
      <c r="I877" s="412"/>
      <c r="J877" s="412"/>
      <c r="K877" s="412"/>
      <c r="L877" s="413"/>
      <c r="M877" s="412"/>
      <c r="N877" s="413"/>
      <c r="O877" s="413"/>
      <c r="P877" s="412"/>
      <c r="Q877" s="414"/>
      <c r="R877" s="414"/>
    </row>
    <row r="878">
      <c r="B878" s="374"/>
      <c r="C878" s="374"/>
      <c r="D878" s="412"/>
      <c r="E878" s="412"/>
      <c r="F878" s="412"/>
      <c r="G878" s="412"/>
      <c r="H878" s="412"/>
      <c r="I878" s="412"/>
      <c r="J878" s="412"/>
      <c r="K878" s="412"/>
      <c r="L878" s="413"/>
      <c r="M878" s="412"/>
      <c r="N878" s="413"/>
      <c r="O878" s="413"/>
      <c r="P878" s="412"/>
      <c r="Q878" s="414"/>
      <c r="R878" s="414"/>
    </row>
    <row r="879">
      <c r="B879" s="374"/>
      <c r="C879" s="374"/>
      <c r="D879" s="412"/>
      <c r="E879" s="412"/>
      <c r="F879" s="412"/>
      <c r="G879" s="412"/>
      <c r="H879" s="412"/>
      <c r="I879" s="412"/>
      <c r="J879" s="412"/>
      <c r="K879" s="412"/>
      <c r="L879" s="413"/>
      <c r="M879" s="412"/>
      <c r="N879" s="413"/>
      <c r="O879" s="413"/>
      <c r="P879" s="412"/>
      <c r="Q879" s="414"/>
      <c r="R879" s="414"/>
    </row>
    <row r="880">
      <c r="B880" s="374"/>
      <c r="C880" s="374"/>
      <c r="D880" s="412"/>
      <c r="E880" s="412"/>
      <c r="F880" s="412"/>
      <c r="G880" s="412"/>
      <c r="H880" s="412"/>
      <c r="I880" s="412"/>
      <c r="J880" s="412"/>
      <c r="K880" s="412"/>
      <c r="L880" s="413"/>
      <c r="M880" s="412"/>
      <c r="N880" s="413"/>
      <c r="O880" s="413"/>
      <c r="P880" s="412"/>
      <c r="Q880" s="414"/>
      <c r="R880" s="414"/>
    </row>
    <row r="881">
      <c r="B881" s="374"/>
      <c r="C881" s="374"/>
      <c r="D881" s="412"/>
      <c r="E881" s="412"/>
      <c r="F881" s="412"/>
      <c r="G881" s="412"/>
      <c r="H881" s="412"/>
      <c r="I881" s="412"/>
      <c r="J881" s="412"/>
      <c r="K881" s="412"/>
      <c r="L881" s="413"/>
      <c r="M881" s="412"/>
      <c r="N881" s="413"/>
      <c r="O881" s="413"/>
      <c r="P881" s="412"/>
      <c r="Q881" s="414"/>
      <c r="R881" s="414"/>
    </row>
    <row r="882">
      <c r="B882" s="374"/>
      <c r="C882" s="374"/>
      <c r="D882" s="412"/>
      <c r="E882" s="412"/>
      <c r="F882" s="412"/>
      <c r="G882" s="412"/>
      <c r="H882" s="412"/>
      <c r="I882" s="412"/>
      <c r="J882" s="412"/>
      <c r="K882" s="412"/>
      <c r="L882" s="413"/>
      <c r="M882" s="412"/>
      <c r="N882" s="413"/>
      <c r="O882" s="413"/>
      <c r="P882" s="412"/>
      <c r="Q882" s="414"/>
      <c r="R882" s="414"/>
    </row>
    <row r="883">
      <c r="B883" s="374"/>
      <c r="C883" s="374"/>
      <c r="D883" s="412"/>
      <c r="E883" s="412"/>
      <c r="F883" s="412"/>
      <c r="G883" s="412"/>
      <c r="H883" s="412"/>
      <c r="I883" s="412"/>
      <c r="J883" s="412"/>
      <c r="K883" s="412"/>
      <c r="L883" s="413"/>
      <c r="M883" s="412"/>
      <c r="N883" s="413"/>
      <c r="O883" s="413"/>
      <c r="P883" s="412"/>
      <c r="Q883" s="414"/>
      <c r="R883" s="414"/>
    </row>
    <row r="884">
      <c r="B884" s="374"/>
      <c r="C884" s="374"/>
      <c r="D884" s="412"/>
      <c r="E884" s="412"/>
      <c r="F884" s="412"/>
      <c r="G884" s="412"/>
      <c r="H884" s="412"/>
      <c r="I884" s="412"/>
      <c r="J884" s="412"/>
      <c r="K884" s="412"/>
      <c r="L884" s="413"/>
      <c r="M884" s="412"/>
      <c r="N884" s="413"/>
      <c r="O884" s="413"/>
      <c r="P884" s="412"/>
      <c r="Q884" s="414"/>
      <c r="R884" s="414"/>
    </row>
    <row r="885">
      <c r="B885" s="374"/>
      <c r="C885" s="374"/>
      <c r="D885" s="412"/>
      <c r="E885" s="412"/>
      <c r="F885" s="412"/>
      <c r="G885" s="412"/>
      <c r="H885" s="412"/>
      <c r="I885" s="412"/>
      <c r="J885" s="412"/>
      <c r="K885" s="412"/>
      <c r="L885" s="413"/>
      <c r="M885" s="412"/>
      <c r="N885" s="413"/>
      <c r="O885" s="413"/>
      <c r="P885" s="412"/>
      <c r="Q885" s="414"/>
      <c r="R885" s="414"/>
    </row>
    <row r="886">
      <c r="B886" s="374"/>
      <c r="C886" s="374"/>
      <c r="D886" s="412"/>
      <c r="E886" s="412"/>
      <c r="F886" s="412"/>
      <c r="G886" s="412"/>
      <c r="H886" s="412"/>
      <c r="I886" s="412"/>
      <c r="J886" s="412"/>
      <c r="K886" s="412"/>
      <c r="L886" s="413"/>
      <c r="M886" s="412"/>
      <c r="N886" s="413"/>
      <c r="O886" s="413"/>
      <c r="P886" s="412"/>
      <c r="Q886" s="414"/>
      <c r="R886" s="414"/>
    </row>
    <row r="887">
      <c r="B887" s="374"/>
      <c r="C887" s="374"/>
      <c r="D887" s="412"/>
      <c r="E887" s="412"/>
      <c r="F887" s="412"/>
      <c r="G887" s="412"/>
      <c r="H887" s="412"/>
      <c r="I887" s="412"/>
      <c r="J887" s="412"/>
      <c r="K887" s="412"/>
      <c r="L887" s="413"/>
      <c r="M887" s="412"/>
      <c r="N887" s="413"/>
      <c r="O887" s="413"/>
      <c r="P887" s="412"/>
      <c r="Q887" s="414"/>
      <c r="R887" s="414"/>
    </row>
    <row r="888">
      <c r="B888" s="374"/>
      <c r="C888" s="374"/>
      <c r="D888" s="412"/>
      <c r="E888" s="412"/>
      <c r="F888" s="412"/>
      <c r="G888" s="412"/>
      <c r="H888" s="412"/>
      <c r="I888" s="412"/>
      <c r="J888" s="412"/>
      <c r="K888" s="412"/>
      <c r="L888" s="413"/>
      <c r="M888" s="412"/>
      <c r="N888" s="413"/>
      <c r="O888" s="413"/>
      <c r="P888" s="412"/>
      <c r="Q888" s="414"/>
      <c r="R888" s="414"/>
    </row>
    <row r="889">
      <c r="B889" s="374"/>
      <c r="C889" s="374"/>
      <c r="D889" s="412"/>
      <c r="E889" s="412"/>
      <c r="F889" s="412"/>
      <c r="G889" s="412"/>
      <c r="H889" s="412"/>
      <c r="I889" s="412"/>
      <c r="J889" s="412"/>
      <c r="K889" s="412"/>
      <c r="L889" s="413"/>
      <c r="M889" s="412"/>
      <c r="N889" s="413"/>
      <c r="O889" s="413"/>
      <c r="P889" s="412"/>
      <c r="Q889" s="414"/>
      <c r="R889" s="414"/>
    </row>
    <row r="890">
      <c r="B890" s="374"/>
      <c r="C890" s="374"/>
      <c r="D890" s="412"/>
      <c r="E890" s="412"/>
      <c r="F890" s="412"/>
      <c r="G890" s="412"/>
      <c r="H890" s="412"/>
      <c r="I890" s="412"/>
      <c r="J890" s="412"/>
      <c r="K890" s="412"/>
      <c r="L890" s="413"/>
      <c r="M890" s="412"/>
      <c r="N890" s="413"/>
      <c r="O890" s="413"/>
      <c r="P890" s="412"/>
      <c r="Q890" s="414"/>
      <c r="R890" s="414"/>
    </row>
    <row r="891">
      <c r="B891" s="374"/>
      <c r="C891" s="374"/>
      <c r="D891" s="412"/>
      <c r="E891" s="412"/>
      <c r="F891" s="412"/>
      <c r="G891" s="412"/>
      <c r="H891" s="412"/>
      <c r="I891" s="412"/>
      <c r="J891" s="412"/>
      <c r="K891" s="412"/>
      <c r="L891" s="413"/>
      <c r="M891" s="412"/>
      <c r="N891" s="413"/>
      <c r="O891" s="413"/>
      <c r="P891" s="412"/>
      <c r="Q891" s="414"/>
      <c r="R891" s="414"/>
    </row>
    <row r="892">
      <c r="B892" s="374"/>
      <c r="C892" s="374"/>
      <c r="D892" s="412"/>
      <c r="E892" s="412"/>
      <c r="F892" s="412"/>
      <c r="G892" s="412"/>
      <c r="H892" s="412"/>
      <c r="I892" s="412"/>
      <c r="J892" s="412"/>
      <c r="K892" s="412"/>
      <c r="L892" s="413"/>
      <c r="M892" s="412"/>
      <c r="N892" s="413"/>
      <c r="O892" s="413"/>
      <c r="P892" s="412"/>
      <c r="Q892" s="414"/>
      <c r="R892" s="414"/>
    </row>
    <row r="893">
      <c r="B893" s="374"/>
      <c r="C893" s="374"/>
      <c r="D893" s="412"/>
      <c r="E893" s="412"/>
      <c r="F893" s="412"/>
      <c r="G893" s="412"/>
      <c r="H893" s="412"/>
      <c r="I893" s="412"/>
      <c r="J893" s="412"/>
      <c r="K893" s="412"/>
      <c r="L893" s="413"/>
      <c r="M893" s="412"/>
      <c r="N893" s="413"/>
      <c r="O893" s="413"/>
      <c r="P893" s="412"/>
      <c r="Q893" s="414"/>
      <c r="R893" s="414"/>
    </row>
    <row r="894">
      <c r="B894" s="374"/>
      <c r="C894" s="374"/>
      <c r="D894" s="412"/>
      <c r="E894" s="412"/>
      <c r="F894" s="412"/>
      <c r="G894" s="412"/>
      <c r="H894" s="412"/>
      <c r="I894" s="412"/>
      <c r="J894" s="412"/>
      <c r="K894" s="412"/>
      <c r="L894" s="413"/>
      <c r="M894" s="412"/>
      <c r="N894" s="413"/>
      <c r="O894" s="413"/>
      <c r="P894" s="412"/>
      <c r="Q894" s="414"/>
      <c r="R894" s="414"/>
    </row>
    <row r="895">
      <c r="B895" s="374"/>
      <c r="C895" s="374"/>
      <c r="D895" s="412"/>
      <c r="E895" s="412"/>
      <c r="F895" s="412"/>
      <c r="G895" s="412"/>
      <c r="H895" s="412"/>
      <c r="I895" s="412"/>
      <c r="J895" s="412"/>
      <c r="K895" s="412"/>
      <c r="L895" s="413"/>
      <c r="M895" s="412"/>
      <c r="N895" s="413"/>
      <c r="O895" s="413"/>
      <c r="P895" s="412"/>
      <c r="Q895" s="414"/>
      <c r="R895" s="414"/>
    </row>
    <row r="896">
      <c r="B896" s="374"/>
      <c r="C896" s="374"/>
      <c r="D896" s="412"/>
      <c r="E896" s="412"/>
      <c r="F896" s="412"/>
      <c r="G896" s="412"/>
      <c r="H896" s="412"/>
      <c r="I896" s="412"/>
      <c r="J896" s="412"/>
      <c r="K896" s="412"/>
      <c r="L896" s="413"/>
      <c r="M896" s="412"/>
      <c r="N896" s="413"/>
      <c r="O896" s="413"/>
      <c r="P896" s="412"/>
      <c r="Q896" s="414"/>
      <c r="R896" s="414"/>
    </row>
    <row r="897">
      <c r="B897" s="374"/>
      <c r="C897" s="374"/>
      <c r="D897" s="412"/>
      <c r="E897" s="412"/>
      <c r="F897" s="412"/>
      <c r="G897" s="412"/>
      <c r="H897" s="412"/>
      <c r="I897" s="412"/>
      <c r="J897" s="412"/>
      <c r="K897" s="412"/>
      <c r="L897" s="413"/>
      <c r="M897" s="412"/>
      <c r="N897" s="413"/>
      <c r="O897" s="413"/>
      <c r="P897" s="412"/>
      <c r="Q897" s="414"/>
      <c r="R897" s="414"/>
    </row>
    <row r="898">
      <c r="B898" s="374"/>
      <c r="C898" s="374"/>
      <c r="D898" s="412"/>
      <c r="E898" s="412"/>
      <c r="F898" s="412"/>
      <c r="G898" s="412"/>
      <c r="H898" s="412"/>
      <c r="I898" s="412"/>
      <c r="J898" s="412"/>
      <c r="K898" s="412"/>
      <c r="L898" s="413"/>
      <c r="M898" s="412"/>
      <c r="N898" s="413"/>
      <c r="O898" s="413"/>
      <c r="P898" s="412"/>
      <c r="Q898" s="414"/>
      <c r="R898" s="414"/>
    </row>
    <row r="899">
      <c r="B899" s="374"/>
      <c r="C899" s="374"/>
      <c r="D899" s="412"/>
      <c r="E899" s="412"/>
      <c r="F899" s="412"/>
      <c r="G899" s="412"/>
      <c r="H899" s="412"/>
      <c r="I899" s="412"/>
      <c r="J899" s="412"/>
      <c r="K899" s="412"/>
      <c r="L899" s="413"/>
      <c r="M899" s="412"/>
      <c r="N899" s="413"/>
      <c r="O899" s="413"/>
      <c r="P899" s="412"/>
      <c r="Q899" s="414"/>
      <c r="R899" s="414"/>
    </row>
    <row r="900">
      <c r="B900" s="374"/>
      <c r="C900" s="374"/>
      <c r="D900" s="412"/>
      <c r="E900" s="412"/>
      <c r="F900" s="412"/>
      <c r="G900" s="412"/>
      <c r="H900" s="412"/>
      <c r="I900" s="412"/>
      <c r="J900" s="412"/>
      <c r="K900" s="412"/>
      <c r="L900" s="413"/>
      <c r="M900" s="412"/>
      <c r="N900" s="413"/>
      <c r="O900" s="413"/>
      <c r="P900" s="412"/>
      <c r="Q900" s="414"/>
      <c r="R900" s="414"/>
    </row>
    <row r="901">
      <c r="B901" s="374"/>
      <c r="C901" s="374"/>
      <c r="D901" s="412"/>
      <c r="E901" s="412"/>
      <c r="F901" s="412"/>
      <c r="G901" s="412"/>
      <c r="H901" s="412"/>
      <c r="I901" s="412"/>
      <c r="J901" s="412"/>
      <c r="K901" s="412"/>
      <c r="L901" s="413"/>
      <c r="M901" s="412"/>
      <c r="N901" s="413"/>
      <c r="O901" s="413"/>
      <c r="P901" s="412"/>
      <c r="Q901" s="414"/>
      <c r="R901" s="414"/>
    </row>
    <row r="902">
      <c r="B902" s="374"/>
      <c r="C902" s="374"/>
      <c r="D902" s="412"/>
      <c r="E902" s="412"/>
      <c r="F902" s="412"/>
      <c r="G902" s="412"/>
      <c r="H902" s="412"/>
      <c r="I902" s="412"/>
      <c r="J902" s="412"/>
      <c r="K902" s="412"/>
      <c r="L902" s="413"/>
      <c r="M902" s="412"/>
      <c r="N902" s="413"/>
      <c r="O902" s="413"/>
      <c r="P902" s="412"/>
      <c r="Q902" s="414"/>
      <c r="R902" s="414"/>
    </row>
    <row r="903">
      <c r="B903" s="374"/>
      <c r="C903" s="374"/>
      <c r="D903" s="412"/>
      <c r="E903" s="412"/>
      <c r="F903" s="412"/>
      <c r="G903" s="412"/>
      <c r="H903" s="412"/>
      <c r="I903" s="412"/>
      <c r="J903" s="412"/>
      <c r="K903" s="412"/>
      <c r="L903" s="413"/>
      <c r="M903" s="412"/>
      <c r="N903" s="413"/>
      <c r="O903" s="413"/>
      <c r="P903" s="412"/>
      <c r="Q903" s="414"/>
      <c r="R903" s="414"/>
    </row>
    <row r="904">
      <c r="B904" s="374"/>
      <c r="C904" s="374"/>
      <c r="D904" s="412"/>
      <c r="E904" s="412"/>
      <c r="F904" s="412"/>
      <c r="G904" s="412"/>
      <c r="H904" s="412"/>
      <c r="I904" s="412"/>
      <c r="J904" s="412"/>
      <c r="K904" s="412"/>
      <c r="L904" s="413"/>
      <c r="M904" s="412"/>
      <c r="N904" s="413"/>
      <c r="O904" s="413"/>
      <c r="P904" s="412"/>
      <c r="Q904" s="414"/>
      <c r="R904" s="414"/>
    </row>
    <row r="905">
      <c r="B905" s="374"/>
      <c r="C905" s="374"/>
      <c r="D905" s="412"/>
      <c r="E905" s="412"/>
      <c r="F905" s="412"/>
      <c r="G905" s="412"/>
      <c r="H905" s="412"/>
      <c r="I905" s="412"/>
      <c r="J905" s="412"/>
      <c r="K905" s="412"/>
      <c r="L905" s="413"/>
      <c r="M905" s="412"/>
      <c r="N905" s="413"/>
      <c r="O905" s="413"/>
      <c r="P905" s="412"/>
      <c r="Q905" s="414"/>
      <c r="R905" s="414"/>
    </row>
    <row r="906">
      <c r="B906" s="374"/>
      <c r="C906" s="374"/>
      <c r="D906" s="412"/>
      <c r="E906" s="412"/>
      <c r="F906" s="412"/>
      <c r="G906" s="412"/>
      <c r="H906" s="412"/>
      <c r="I906" s="412"/>
      <c r="J906" s="412"/>
      <c r="K906" s="412"/>
      <c r="L906" s="413"/>
      <c r="M906" s="412"/>
      <c r="N906" s="413"/>
      <c r="O906" s="413"/>
      <c r="P906" s="412"/>
      <c r="Q906" s="414"/>
      <c r="R906" s="414"/>
    </row>
    <row r="907">
      <c r="B907" s="374"/>
      <c r="C907" s="374"/>
      <c r="D907" s="412"/>
      <c r="E907" s="412"/>
      <c r="F907" s="412"/>
      <c r="G907" s="412"/>
      <c r="H907" s="412"/>
      <c r="I907" s="412"/>
      <c r="J907" s="412"/>
      <c r="K907" s="412"/>
      <c r="L907" s="413"/>
      <c r="M907" s="412"/>
      <c r="N907" s="413"/>
      <c r="O907" s="413"/>
      <c r="P907" s="412"/>
      <c r="Q907" s="414"/>
      <c r="R907" s="414"/>
    </row>
    <row r="908">
      <c r="B908" s="374"/>
      <c r="C908" s="374"/>
      <c r="D908" s="412"/>
      <c r="E908" s="412"/>
      <c r="F908" s="412"/>
      <c r="G908" s="412"/>
      <c r="H908" s="412"/>
      <c r="I908" s="412"/>
      <c r="J908" s="412"/>
      <c r="K908" s="412"/>
      <c r="L908" s="413"/>
      <c r="M908" s="412"/>
      <c r="N908" s="413"/>
      <c r="O908" s="413"/>
      <c r="P908" s="412"/>
      <c r="Q908" s="414"/>
      <c r="R908" s="414"/>
    </row>
    <row r="909">
      <c r="B909" s="374"/>
      <c r="C909" s="374"/>
      <c r="D909" s="412"/>
      <c r="E909" s="412"/>
      <c r="F909" s="412"/>
      <c r="G909" s="412"/>
      <c r="H909" s="412"/>
      <c r="I909" s="412"/>
      <c r="J909" s="412"/>
      <c r="K909" s="412"/>
      <c r="L909" s="413"/>
      <c r="M909" s="412"/>
      <c r="N909" s="413"/>
      <c r="O909" s="413"/>
      <c r="P909" s="412"/>
      <c r="Q909" s="414"/>
      <c r="R909" s="414"/>
    </row>
    <row r="910">
      <c r="B910" s="374"/>
      <c r="C910" s="374"/>
      <c r="D910" s="412"/>
      <c r="E910" s="412"/>
      <c r="F910" s="412"/>
      <c r="G910" s="412"/>
      <c r="H910" s="412"/>
      <c r="I910" s="412"/>
      <c r="J910" s="412"/>
      <c r="K910" s="412"/>
      <c r="L910" s="413"/>
      <c r="M910" s="412"/>
      <c r="N910" s="413"/>
      <c r="O910" s="413"/>
      <c r="P910" s="412"/>
      <c r="Q910" s="414"/>
      <c r="R910" s="414"/>
    </row>
    <row r="911">
      <c r="B911" s="374"/>
      <c r="C911" s="374"/>
      <c r="D911" s="412"/>
      <c r="E911" s="412"/>
      <c r="F911" s="412"/>
      <c r="G911" s="412"/>
      <c r="H911" s="412"/>
      <c r="I911" s="412"/>
      <c r="J911" s="412"/>
      <c r="K911" s="412"/>
      <c r="L911" s="413"/>
      <c r="M911" s="412"/>
      <c r="N911" s="413"/>
      <c r="O911" s="413"/>
      <c r="P911" s="412"/>
      <c r="Q911" s="414"/>
      <c r="R911" s="414"/>
    </row>
    <row r="912">
      <c r="B912" s="374"/>
      <c r="C912" s="374"/>
      <c r="D912" s="412"/>
      <c r="E912" s="412"/>
      <c r="F912" s="412"/>
      <c r="G912" s="412"/>
      <c r="H912" s="412"/>
      <c r="I912" s="412"/>
      <c r="J912" s="412"/>
      <c r="K912" s="412"/>
      <c r="L912" s="413"/>
      <c r="M912" s="412"/>
      <c r="N912" s="413"/>
      <c r="O912" s="413"/>
      <c r="P912" s="412"/>
      <c r="Q912" s="414"/>
      <c r="R912" s="414"/>
    </row>
    <row r="913">
      <c r="B913" s="374"/>
      <c r="C913" s="374"/>
      <c r="D913" s="412"/>
      <c r="E913" s="412"/>
      <c r="F913" s="412"/>
      <c r="G913" s="412"/>
      <c r="H913" s="412"/>
      <c r="I913" s="412"/>
      <c r="J913" s="412"/>
      <c r="K913" s="412"/>
      <c r="L913" s="413"/>
      <c r="M913" s="412"/>
      <c r="N913" s="413"/>
      <c r="O913" s="413"/>
      <c r="P913" s="412"/>
      <c r="Q913" s="414"/>
      <c r="R913" s="414"/>
    </row>
    <row r="914">
      <c r="B914" s="374"/>
      <c r="C914" s="374"/>
      <c r="D914" s="412"/>
      <c r="E914" s="412"/>
      <c r="F914" s="412"/>
      <c r="G914" s="412"/>
      <c r="H914" s="412"/>
      <c r="I914" s="412"/>
      <c r="J914" s="412"/>
      <c r="K914" s="412"/>
      <c r="L914" s="413"/>
      <c r="M914" s="412"/>
      <c r="N914" s="413"/>
      <c r="O914" s="413"/>
      <c r="P914" s="412"/>
      <c r="Q914" s="414"/>
      <c r="R914" s="414"/>
    </row>
    <row r="915">
      <c r="B915" s="374"/>
      <c r="C915" s="374"/>
      <c r="D915" s="412"/>
      <c r="E915" s="412"/>
      <c r="F915" s="412"/>
      <c r="G915" s="412"/>
      <c r="H915" s="412"/>
      <c r="I915" s="412"/>
      <c r="J915" s="412"/>
      <c r="K915" s="412"/>
      <c r="L915" s="413"/>
      <c r="M915" s="412"/>
      <c r="N915" s="413"/>
      <c r="O915" s="413"/>
      <c r="P915" s="412"/>
      <c r="Q915" s="414"/>
      <c r="R915" s="414"/>
    </row>
    <row r="916">
      <c r="B916" s="374"/>
      <c r="C916" s="374"/>
      <c r="D916" s="412"/>
      <c r="E916" s="412"/>
      <c r="F916" s="412"/>
      <c r="G916" s="412"/>
      <c r="H916" s="412"/>
      <c r="I916" s="412"/>
      <c r="J916" s="412"/>
      <c r="K916" s="412"/>
      <c r="L916" s="413"/>
      <c r="M916" s="412"/>
      <c r="N916" s="413"/>
      <c r="O916" s="413"/>
      <c r="P916" s="412"/>
      <c r="Q916" s="414"/>
      <c r="R916" s="414"/>
    </row>
    <row r="917">
      <c r="B917" s="374"/>
      <c r="C917" s="374"/>
      <c r="D917" s="412"/>
      <c r="E917" s="412"/>
      <c r="F917" s="412"/>
      <c r="G917" s="412"/>
      <c r="H917" s="412"/>
      <c r="I917" s="412"/>
      <c r="J917" s="412"/>
      <c r="K917" s="412"/>
      <c r="L917" s="413"/>
      <c r="M917" s="412"/>
      <c r="N917" s="413"/>
      <c r="O917" s="413"/>
      <c r="P917" s="412"/>
      <c r="Q917" s="414"/>
      <c r="R917" s="414"/>
    </row>
    <row r="918">
      <c r="B918" s="374"/>
      <c r="C918" s="374"/>
      <c r="D918" s="412"/>
      <c r="E918" s="412"/>
      <c r="F918" s="412"/>
      <c r="G918" s="412"/>
      <c r="H918" s="412"/>
      <c r="I918" s="412"/>
      <c r="J918" s="412"/>
      <c r="K918" s="412"/>
      <c r="L918" s="413"/>
      <c r="M918" s="412"/>
      <c r="N918" s="413"/>
      <c r="O918" s="413"/>
      <c r="P918" s="412"/>
      <c r="Q918" s="414"/>
      <c r="R918" s="414"/>
    </row>
    <row r="919">
      <c r="B919" s="374"/>
      <c r="C919" s="374"/>
      <c r="D919" s="412"/>
      <c r="E919" s="412"/>
      <c r="F919" s="412"/>
      <c r="G919" s="412"/>
      <c r="H919" s="412"/>
      <c r="I919" s="412"/>
      <c r="J919" s="412"/>
      <c r="K919" s="412"/>
      <c r="L919" s="413"/>
      <c r="M919" s="412"/>
      <c r="N919" s="413"/>
      <c r="O919" s="413"/>
      <c r="P919" s="412"/>
      <c r="Q919" s="414"/>
      <c r="R919" s="414"/>
    </row>
    <row r="920">
      <c r="B920" s="374"/>
      <c r="C920" s="374"/>
      <c r="D920" s="412"/>
      <c r="E920" s="412"/>
      <c r="F920" s="412"/>
      <c r="G920" s="412"/>
      <c r="H920" s="412"/>
      <c r="I920" s="412"/>
      <c r="J920" s="412"/>
      <c r="K920" s="412"/>
      <c r="L920" s="413"/>
      <c r="M920" s="412"/>
      <c r="N920" s="413"/>
      <c r="O920" s="413"/>
      <c r="P920" s="412"/>
      <c r="Q920" s="414"/>
      <c r="R920" s="414"/>
    </row>
    <row r="921">
      <c r="B921" s="374"/>
      <c r="C921" s="374"/>
      <c r="D921" s="412"/>
      <c r="E921" s="412"/>
      <c r="F921" s="412"/>
      <c r="G921" s="412"/>
      <c r="H921" s="412"/>
      <c r="I921" s="412"/>
      <c r="J921" s="412"/>
      <c r="K921" s="412"/>
      <c r="L921" s="413"/>
      <c r="M921" s="412"/>
      <c r="N921" s="413"/>
      <c r="O921" s="413"/>
      <c r="P921" s="412"/>
      <c r="Q921" s="414"/>
      <c r="R921" s="414"/>
    </row>
    <row r="922">
      <c r="B922" s="374"/>
      <c r="C922" s="374"/>
      <c r="D922" s="412"/>
      <c r="E922" s="412"/>
      <c r="F922" s="412"/>
      <c r="G922" s="412"/>
      <c r="H922" s="412"/>
      <c r="I922" s="412"/>
      <c r="J922" s="412"/>
      <c r="K922" s="412"/>
      <c r="L922" s="413"/>
      <c r="M922" s="412"/>
      <c r="N922" s="413"/>
      <c r="O922" s="413"/>
      <c r="P922" s="412"/>
      <c r="Q922" s="414"/>
      <c r="R922" s="414"/>
    </row>
    <row r="923">
      <c r="B923" s="374"/>
      <c r="C923" s="374"/>
      <c r="D923" s="412"/>
      <c r="E923" s="412"/>
      <c r="F923" s="412"/>
      <c r="G923" s="412"/>
      <c r="H923" s="412"/>
      <c r="I923" s="412"/>
      <c r="J923" s="412"/>
      <c r="K923" s="412"/>
      <c r="L923" s="413"/>
      <c r="M923" s="412"/>
      <c r="N923" s="413"/>
      <c r="O923" s="413"/>
      <c r="P923" s="412"/>
      <c r="Q923" s="414"/>
      <c r="R923" s="414"/>
    </row>
    <row r="924">
      <c r="B924" s="374"/>
      <c r="C924" s="374"/>
      <c r="D924" s="412"/>
      <c r="E924" s="412"/>
      <c r="F924" s="412"/>
      <c r="G924" s="412"/>
      <c r="H924" s="412"/>
      <c r="I924" s="412"/>
      <c r="J924" s="412"/>
      <c r="K924" s="412"/>
      <c r="L924" s="413"/>
      <c r="M924" s="412"/>
      <c r="N924" s="413"/>
      <c r="O924" s="413"/>
      <c r="P924" s="412"/>
      <c r="Q924" s="414"/>
      <c r="R924" s="414"/>
    </row>
    <row r="925">
      <c r="B925" s="374"/>
      <c r="C925" s="374"/>
      <c r="D925" s="412"/>
      <c r="E925" s="412"/>
      <c r="F925" s="412"/>
      <c r="G925" s="412"/>
      <c r="H925" s="412"/>
      <c r="I925" s="412"/>
      <c r="J925" s="412"/>
      <c r="K925" s="412"/>
      <c r="L925" s="413"/>
      <c r="M925" s="412"/>
      <c r="N925" s="413"/>
      <c r="O925" s="413"/>
      <c r="P925" s="412"/>
      <c r="Q925" s="414"/>
      <c r="R925" s="414"/>
    </row>
    <row r="926">
      <c r="B926" s="374"/>
      <c r="C926" s="374"/>
      <c r="D926" s="412"/>
      <c r="E926" s="412"/>
      <c r="F926" s="412"/>
      <c r="G926" s="412"/>
      <c r="H926" s="412"/>
      <c r="I926" s="412"/>
      <c r="J926" s="412"/>
      <c r="K926" s="412"/>
      <c r="L926" s="413"/>
      <c r="M926" s="412"/>
      <c r="N926" s="413"/>
      <c r="O926" s="413"/>
      <c r="P926" s="412"/>
      <c r="Q926" s="414"/>
      <c r="R926" s="414"/>
    </row>
    <row r="927">
      <c r="B927" s="374"/>
      <c r="C927" s="374"/>
      <c r="D927" s="412"/>
      <c r="E927" s="412"/>
      <c r="F927" s="412"/>
      <c r="G927" s="412"/>
      <c r="H927" s="412"/>
      <c r="I927" s="412"/>
      <c r="J927" s="412"/>
      <c r="K927" s="412"/>
      <c r="L927" s="413"/>
      <c r="M927" s="412"/>
      <c r="N927" s="413"/>
      <c r="O927" s="413"/>
      <c r="P927" s="412"/>
      <c r="Q927" s="414"/>
      <c r="R927" s="414"/>
    </row>
    <row r="928">
      <c r="B928" s="374"/>
      <c r="C928" s="374"/>
      <c r="D928" s="412"/>
      <c r="E928" s="412"/>
      <c r="F928" s="412"/>
      <c r="G928" s="412"/>
      <c r="H928" s="412"/>
      <c r="I928" s="412"/>
      <c r="J928" s="412"/>
      <c r="K928" s="412"/>
      <c r="L928" s="413"/>
      <c r="M928" s="412"/>
      <c r="N928" s="413"/>
      <c r="O928" s="413"/>
      <c r="P928" s="412"/>
      <c r="Q928" s="414"/>
      <c r="R928" s="414"/>
    </row>
    <row r="929">
      <c r="B929" s="374"/>
      <c r="C929" s="374"/>
      <c r="D929" s="412"/>
      <c r="E929" s="412"/>
      <c r="F929" s="412"/>
      <c r="G929" s="412"/>
      <c r="H929" s="412"/>
      <c r="I929" s="412"/>
      <c r="J929" s="412"/>
      <c r="K929" s="412"/>
      <c r="L929" s="413"/>
      <c r="M929" s="412"/>
      <c r="N929" s="413"/>
      <c r="O929" s="413"/>
      <c r="P929" s="412"/>
      <c r="Q929" s="414"/>
      <c r="R929" s="414"/>
    </row>
    <row r="930">
      <c r="B930" s="374"/>
      <c r="C930" s="374"/>
      <c r="D930" s="412"/>
      <c r="E930" s="412"/>
      <c r="F930" s="412"/>
      <c r="G930" s="412"/>
      <c r="H930" s="412"/>
      <c r="I930" s="412"/>
      <c r="J930" s="412"/>
      <c r="K930" s="412"/>
      <c r="L930" s="413"/>
      <c r="M930" s="412"/>
      <c r="N930" s="413"/>
      <c r="O930" s="413"/>
      <c r="P930" s="412"/>
      <c r="Q930" s="414"/>
      <c r="R930" s="414"/>
    </row>
    <row r="931">
      <c r="B931" s="374"/>
      <c r="C931" s="374"/>
      <c r="D931" s="412"/>
      <c r="E931" s="412"/>
      <c r="F931" s="412"/>
      <c r="G931" s="412"/>
      <c r="H931" s="412"/>
      <c r="I931" s="412"/>
      <c r="J931" s="412"/>
      <c r="K931" s="412"/>
      <c r="L931" s="413"/>
      <c r="M931" s="412"/>
      <c r="N931" s="413"/>
      <c r="O931" s="413"/>
      <c r="P931" s="412"/>
      <c r="Q931" s="414"/>
      <c r="R931" s="414"/>
    </row>
    <row r="932">
      <c r="B932" s="374"/>
      <c r="C932" s="374"/>
      <c r="D932" s="412"/>
      <c r="E932" s="412"/>
      <c r="F932" s="412"/>
      <c r="G932" s="412"/>
      <c r="H932" s="412"/>
      <c r="I932" s="412"/>
      <c r="J932" s="412"/>
      <c r="K932" s="412"/>
      <c r="L932" s="413"/>
      <c r="M932" s="412"/>
      <c r="N932" s="413"/>
      <c r="O932" s="413"/>
      <c r="P932" s="412"/>
      <c r="Q932" s="414"/>
      <c r="R932" s="414"/>
    </row>
    <row r="933">
      <c r="B933" s="374"/>
      <c r="C933" s="374"/>
      <c r="D933" s="412"/>
      <c r="E933" s="412"/>
      <c r="F933" s="412"/>
      <c r="G933" s="412"/>
      <c r="H933" s="412"/>
      <c r="I933" s="412"/>
      <c r="J933" s="412"/>
      <c r="K933" s="412"/>
      <c r="L933" s="413"/>
      <c r="M933" s="412"/>
      <c r="N933" s="413"/>
      <c r="O933" s="413"/>
      <c r="P933" s="412"/>
      <c r="Q933" s="414"/>
      <c r="R933" s="414"/>
    </row>
    <row r="934">
      <c r="B934" s="374"/>
      <c r="C934" s="374"/>
      <c r="D934" s="412"/>
      <c r="E934" s="412"/>
      <c r="F934" s="412"/>
      <c r="G934" s="412"/>
      <c r="H934" s="412"/>
      <c r="I934" s="412"/>
      <c r="J934" s="412"/>
      <c r="K934" s="412"/>
      <c r="L934" s="413"/>
      <c r="M934" s="412"/>
      <c r="N934" s="413"/>
      <c r="O934" s="413"/>
      <c r="P934" s="412"/>
      <c r="Q934" s="414"/>
      <c r="R934" s="414"/>
    </row>
    <row r="935">
      <c r="B935" s="374"/>
      <c r="C935" s="374"/>
      <c r="D935" s="412"/>
      <c r="E935" s="412"/>
      <c r="F935" s="412"/>
      <c r="G935" s="412"/>
      <c r="H935" s="412"/>
      <c r="I935" s="412"/>
      <c r="J935" s="412"/>
      <c r="K935" s="412"/>
      <c r="L935" s="413"/>
      <c r="M935" s="412"/>
      <c r="N935" s="413"/>
      <c r="O935" s="413"/>
      <c r="P935" s="412"/>
      <c r="Q935" s="414"/>
      <c r="R935" s="414"/>
    </row>
    <row r="936">
      <c r="B936" s="374"/>
      <c r="C936" s="374"/>
      <c r="D936" s="412"/>
      <c r="E936" s="412"/>
      <c r="F936" s="412"/>
      <c r="G936" s="412"/>
      <c r="H936" s="412"/>
      <c r="I936" s="412"/>
      <c r="J936" s="412"/>
      <c r="K936" s="412"/>
      <c r="L936" s="413"/>
      <c r="M936" s="412"/>
      <c r="N936" s="413"/>
      <c r="O936" s="413"/>
      <c r="P936" s="412"/>
      <c r="Q936" s="414"/>
      <c r="R936" s="414"/>
    </row>
    <row r="937">
      <c r="B937" s="374"/>
      <c r="C937" s="374"/>
      <c r="D937" s="412"/>
      <c r="E937" s="412"/>
      <c r="F937" s="412"/>
      <c r="G937" s="412"/>
      <c r="H937" s="412"/>
      <c r="I937" s="412"/>
      <c r="J937" s="412"/>
      <c r="K937" s="412"/>
      <c r="L937" s="413"/>
      <c r="M937" s="412"/>
      <c r="N937" s="413"/>
      <c r="O937" s="413"/>
      <c r="P937" s="412"/>
      <c r="Q937" s="414"/>
      <c r="R937" s="414"/>
    </row>
    <row r="938">
      <c r="B938" s="374"/>
      <c r="C938" s="374"/>
      <c r="D938" s="412"/>
      <c r="E938" s="412"/>
      <c r="F938" s="412"/>
      <c r="G938" s="412"/>
      <c r="H938" s="412"/>
      <c r="I938" s="412"/>
      <c r="J938" s="412"/>
      <c r="K938" s="412"/>
      <c r="L938" s="413"/>
      <c r="M938" s="412"/>
      <c r="N938" s="413"/>
      <c r="O938" s="413"/>
      <c r="P938" s="412"/>
      <c r="Q938" s="414"/>
      <c r="R938" s="414"/>
    </row>
    <row r="939">
      <c r="B939" s="374"/>
      <c r="C939" s="374"/>
      <c r="D939" s="412"/>
      <c r="E939" s="412"/>
      <c r="F939" s="412"/>
      <c r="G939" s="412"/>
      <c r="H939" s="412"/>
      <c r="I939" s="412"/>
      <c r="J939" s="412"/>
      <c r="K939" s="412"/>
      <c r="L939" s="413"/>
      <c r="M939" s="412"/>
      <c r="N939" s="413"/>
      <c r="O939" s="413"/>
      <c r="P939" s="412"/>
      <c r="Q939" s="414"/>
      <c r="R939" s="414"/>
    </row>
    <row r="940">
      <c r="B940" s="374"/>
      <c r="C940" s="374"/>
      <c r="D940" s="412"/>
      <c r="E940" s="412"/>
      <c r="F940" s="412"/>
      <c r="G940" s="412"/>
      <c r="H940" s="412"/>
      <c r="I940" s="412"/>
      <c r="J940" s="412"/>
      <c r="K940" s="412"/>
      <c r="L940" s="413"/>
      <c r="M940" s="412"/>
      <c r="N940" s="413"/>
      <c r="O940" s="413"/>
      <c r="P940" s="412"/>
      <c r="Q940" s="414"/>
      <c r="R940" s="414"/>
    </row>
    <row r="941">
      <c r="B941" s="374"/>
      <c r="C941" s="374"/>
      <c r="D941" s="412"/>
      <c r="E941" s="412"/>
      <c r="F941" s="412"/>
      <c r="G941" s="412"/>
      <c r="H941" s="412"/>
      <c r="I941" s="412"/>
      <c r="J941" s="412"/>
      <c r="K941" s="412"/>
      <c r="L941" s="413"/>
      <c r="M941" s="412"/>
      <c r="N941" s="413"/>
      <c r="O941" s="413"/>
      <c r="P941" s="412"/>
      <c r="Q941" s="414"/>
      <c r="R941" s="414"/>
    </row>
    <row r="942">
      <c r="B942" s="374"/>
      <c r="C942" s="374"/>
      <c r="D942" s="412"/>
      <c r="E942" s="412"/>
      <c r="F942" s="412"/>
      <c r="G942" s="412"/>
      <c r="H942" s="412"/>
      <c r="I942" s="412"/>
      <c r="J942" s="412"/>
      <c r="K942" s="412"/>
      <c r="L942" s="413"/>
      <c r="M942" s="412"/>
      <c r="N942" s="413"/>
      <c r="O942" s="413"/>
      <c r="P942" s="412"/>
      <c r="Q942" s="414"/>
      <c r="R942" s="414"/>
    </row>
    <row r="943">
      <c r="B943" s="374"/>
      <c r="C943" s="374"/>
      <c r="D943" s="412"/>
      <c r="E943" s="412"/>
      <c r="F943" s="412"/>
      <c r="G943" s="412"/>
      <c r="H943" s="412"/>
      <c r="I943" s="412"/>
      <c r="J943" s="412"/>
      <c r="K943" s="412"/>
      <c r="L943" s="413"/>
      <c r="M943" s="412"/>
      <c r="N943" s="413"/>
      <c r="O943" s="413"/>
      <c r="P943" s="412"/>
      <c r="Q943" s="414"/>
      <c r="R943" s="414"/>
    </row>
    <row r="944">
      <c r="B944" s="374"/>
      <c r="C944" s="374"/>
      <c r="D944" s="412"/>
      <c r="E944" s="412"/>
      <c r="F944" s="412"/>
      <c r="G944" s="412"/>
      <c r="H944" s="412"/>
      <c r="I944" s="412"/>
      <c r="J944" s="412"/>
      <c r="K944" s="412"/>
      <c r="L944" s="413"/>
      <c r="M944" s="412"/>
      <c r="N944" s="413"/>
      <c r="O944" s="413"/>
      <c r="P944" s="412"/>
      <c r="Q944" s="414"/>
      <c r="R944" s="414"/>
    </row>
    <row r="945">
      <c r="B945" s="374"/>
      <c r="C945" s="374"/>
      <c r="D945" s="412"/>
      <c r="E945" s="412"/>
      <c r="F945" s="412"/>
      <c r="G945" s="412"/>
      <c r="H945" s="412"/>
      <c r="I945" s="412"/>
      <c r="J945" s="412"/>
      <c r="K945" s="412"/>
      <c r="L945" s="413"/>
      <c r="M945" s="412"/>
      <c r="N945" s="413"/>
      <c r="O945" s="413"/>
      <c r="P945" s="412"/>
      <c r="Q945" s="414"/>
      <c r="R945" s="414"/>
    </row>
    <row r="946">
      <c r="B946" s="374"/>
      <c r="C946" s="374"/>
      <c r="D946" s="412"/>
      <c r="E946" s="412"/>
      <c r="F946" s="412"/>
      <c r="G946" s="412"/>
      <c r="H946" s="412"/>
      <c r="I946" s="412"/>
      <c r="J946" s="412"/>
      <c r="K946" s="412"/>
      <c r="L946" s="413"/>
      <c r="M946" s="412"/>
      <c r="N946" s="413"/>
      <c r="O946" s="413"/>
      <c r="P946" s="412"/>
      <c r="Q946" s="414"/>
      <c r="R946" s="414"/>
    </row>
    <row r="947">
      <c r="B947" s="374"/>
      <c r="C947" s="374"/>
      <c r="D947" s="412"/>
      <c r="E947" s="412"/>
      <c r="F947" s="412"/>
      <c r="G947" s="412"/>
      <c r="H947" s="412"/>
      <c r="I947" s="412"/>
      <c r="J947" s="412"/>
      <c r="K947" s="412"/>
      <c r="L947" s="413"/>
      <c r="M947" s="412"/>
      <c r="N947" s="413"/>
      <c r="O947" s="413"/>
      <c r="P947" s="412"/>
      <c r="Q947" s="414"/>
      <c r="R947" s="414"/>
    </row>
    <row r="948">
      <c r="B948" s="374"/>
      <c r="C948" s="374"/>
      <c r="D948" s="412"/>
      <c r="E948" s="412"/>
      <c r="F948" s="412"/>
      <c r="G948" s="412"/>
      <c r="H948" s="412"/>
      <c r="I948" s="412"/>
      <c r="J948" s="412"/>
      <c r="K948" s="412"/>
      <c r="L948" s="413"/>
      <c r="M948" s="412"/>
      <c r="N948" s="413"/>
      <c r="O948" s="413"/>
      <c r="P948" s="412"/>
      <c r="Q948" s="414"/>
      <c r="R948" s="414"/>
    </row>
    <row r="949">
      <c r="B949" s="374"/>
      <c r="C949" s="374"/>
      <c r="D949" s="412"/>
      <c r="E949" s="412"/>
      <c r="F949" s="412"/>
      <c r="G949" s="412"/>
      <c r="H949" s="412"/>
      <c r="I949" s="412"/>
      <c r="J949" s="412"/>
      <c r="K949" s="412"/>
      <c r="L949" s="413"/>
      <c r="M949" s="412"/>
      <c r="N949" s="413"/>
      <c r="O949" s="413"/>
      <c r="P949" s="412"/>
      <c r="Q949" s="414"/>
      <c r="R949" s="414"/>
    </row>
    <row r="950">
      <c r="B950" s="374"/>
      <c r="C950" s="374"/>
      <c r="D950" s="412"/>
      <c r="E950" s="412"/>
      <c r="F950" s="412"/>
      <c r="G950" s="412"/>
      <c r="H950" s="412"/>
      <c r="I950" s="412"/>
      <c r="J950" s="412"/>
      <c r="K950" s="412"/>
      <c r="L950" s="413"/>
      <c r="M950" s="412"/>
      <c r="N950" s="413"/>
      <c r="O950" s="413"/>
      <c r="P950" s="412"/>
      <c r="Q950" s="414"/>
      <c r="R950" s="414"/>
    </row>
    <row r="951">
      <c r="B951" s="374"/>
      <c r="C951" s="374"/>
      <c r="D951" s="412"/>
      <c r="E951" s="412"/>
      <c r="F951" s="412"/>
      <c r="G951" s="412"/>
      <c r="H951" s="412"/>
      <c r="I951" s="412"/>
      <c r="J951" s="412"/>
      <c r="K951" s="412"/>
      <c r="L951" s="413"/>
      <c r="M951" s="412"/>
      <c r="N951" s="413"/>
      <c r="O951" s="413"/>
      <c r="P951" s="412"/>
      <c r="Q951" s="414"/>
      <c r="R951" s="414"/>
    </row>
    <row r="952">
      <c r="B952" s="374"/>
      <c r="C952" s="374"/>
      <c r="D952" s="412"/>
      <c r="E952" s="412"/>
      <c r="F952" s="412"/>
      <c r="G952" s="412"/>
      <c r="H952" s="412"/>
      <c r="I952" s="412"/>
      <c r="J952" s="412"/>
      <c r="K952" s="412"/>
      <c r="L952" s="413"/>
      <c r="M952" s="412"/>
      <c r="N952" s="413"/>
      <c r="O952" s="413"/>
      <c r="P952" s="412"/>
      <c r="Q952" s="414"/>
      <c r="R952" s="414"/>
    </row>
    <row r="953">
      <c r="B953" s="374"/>
      <c r="C953" s="374"/>
      <c r="D953" s="412"/>
      <c r="E953" s="412"/>
      <c r="F953" s="412"/>
      <c r="G953" s="412"/>
      <c r="H953" s="412"/>
      <c r="I953" s="412"/>
      <c r="J953" s="412"/>
      <c r="K953" s="412"/>
      <c r="L953" s="413"/>
      <c r="M953" s="412"/>
      <c r="N953" s="413"/>
      <c r="O953" s="413"/>
      <c r="P953" s="412"/>
      <c r="Q953" s="414"/>
      <c r="R953" s="414"/>
    </row>
    <row r="954">
      <c r="B954" s="374"/>
      <c r="C954" s="374"/>
      <c r="D954" s="412"/>
      <c r="E954" s="412"/>
      <c r="F954" s="412"/>
      <c r="G954" s="412"/>
      <c r="H954" s="412"/>
      <c r="I954" s="412"/>
      <c r="J954" s="412"/>
      <c r="K954" s="412"/>
      <c r="L954" s="413"/>
      <c r="M954" s="412"/>
      <c r="N954" s="413"/>
      <c r="O954" s="413"/>
      <c r="P954" s="412"/>
      <c r="Q954" s="414"/>
      <c r="R954" s="414"/>
    </row>
    <row r="955">
      <c r="B955" s="374"/>
      <c r="C955" s="374"/>
      <c r="D955" s="412"/>
      <c r="E955" s="412"/>
      <c r="F955" s="412"/>
      <c r="G955" s="412"/>
      <c r="H955" s="412"/>
      <c r="I955" s="412"/>
      <c r="J955" s="412"/>
      <c r="K955" s="412"/>
      <c r="L955" s="413"/>
      <c r="M955" s="412"/>
      <c r="N955" s="413"/>
      <c r="O955" s="413"/>
      <c r="P955" s="412"/>
      <c r="Q955" s="414"/>
      <c r="R955" s="414"/>
    </row>
    <row r="956">
      <c r="B956" s="374"/>
      <c r="C956" s="374"/>
      <c r="D956" s="412"/>
      <c r="E956" s="412"/>
      <c r="F956" s="412"/>
      <c r="G956" s="412"/>
      <c r="H956" s="412"/>
      <c r="I956" s="412"/>
      <c r="J956" s="412"/>
      <c r="K956" s="412"/>
      <c r="L956" s="413"/>
      <c r="M956" s="412"/>
      <c r="N956" s="413"/>
      <c r="O956" s="413"/>
      <c r="P956" s="412"/>
      <c r="Q956" s="414"/>
      <c r="R956" s="414"/>
    </row>
    <row r="957">
      <c r="B957" s="374"/>
      <c r="C957" s="374"/>
      <c r="D957" s="412"/>
      <c r="E957" s="412"/>
      <c r="F957" s="412"/>
      <c r="G957" s="412"/>
      <c r="H957" s="412"/>
      <c r="I957" s="412"/>
      <c r="J957" s="412"/>
      <c r="K957" s="412"/>
      <c r="L957" s="413"/>
      <c r="M957" s="412"/>
      <c r="N957" s="413"/>
      <c r="O957" s="413"/>
      <c r="P957" s="412"/>
      <c r="Q957" s="414"/>
      <c r="R957" s="414"/>
    </row>
    <row r="958">
      <c r="B958" s="374"/>
      <c r="C958" s="374"/>
      <c r="D958" s="412"/>
      <c r="E958" s="412"/>
      <c r="F958" s="412"/>
      <c r="G958" s="412"/>
      <c r="H958" s="412"/>
      <c r="I958" s="412"/>
      <c r="J958" s="412"/>
      <c r="K958" s="412"/>
      <c r="L958" s="413"/>
      <c r="M958" s="412"/>
      <c r="N958" s="413"/>
      <c r="O958" s="413"/>
      <c r="P958" s="412"/>
      <c r="Q958" s="414"/>
      <c r="R958" s="414"/>
    </row>
    <row r="959">
      <c r="B959" s="374"/>
      <c r="C959" s="374"/>
      <c r="D959" s="412"/>
      <c r="E959" s="412"/>
      <c r="F959" s="412"/>
      <c r="G959" s="412"/>
      <c r="H959" s="412"/>
      <c r="I959" s="412"/>
      <c r="J959" s="412"/>
      <c r="K959" s="412"/>
      <c r="L959" s="413"/>
      <c r="M959" s="412"/>
      <c r="N959" s="413"/>
      <c r="O959" s="413"/>
      <c r="P959" s="412"/>
      <c r="Q959" s="414"/>
      <c r="R959" s="414"/>
    </row>
    <row r="960">
      <c r="B960" s="374"/>
      <c r="C960" s="374"/>
      <c r="D960" s="412"/>
      <c r="E960" s="412"/>
      <c r="F960" s="412"/>
      <c r="G960" s="412"/>
      <c r="H960" s="412"/>
      <c r="I960" s="412"/>
      <c r="J960" s="412"/>
      <c r="K960" s="412"/>
      <c r="L960" s="413"/>
      <c r="M960" s="412"/>
      <c r="N960" s="413"/>
      <c r="O960" s="413"/>
      <c r="P960" s="412"/>
      <c r="Q960" s="414"/>
      <c r="R960" s="414"/>
    </row>
    <row r="961">
      <c r="B961" s="374"/>
      <c r="C961" s="374"/>
      <c r="D961" s="412"/>
      <c r="E961" s="412"/>
      <c r="F961" s="412"/>
      <c r="G961" s="412"/>
      <c r="H961" s="412"/>
      <c r="I961" s="412"/>
      <c r="J961" s="412"/>
      <c r="K961" s="412"/>
      <c r="L961" s="413"/>
      <c r="M961" s="412"/>
      <c r="N961" s="413"/>
      <c r="O961" s="413"/>
      <c r="P961" s="412"/>
      <c r="Q961" s="414"/>
      <c r="R961" s="414"/>
    </row>
    <row r="962">
      <c r="B962" s="374"/>
      <c r="C962" s="374"/>
      <c r="D962" s="412"/>
      <c r="E962" s="412"/>
      <c r="F962" s="412"/>
      <c r="G962" s="412"/>
      <c r="H962" s="412"/>
      <c r="I962" s="412"/>
      <c r="J962" s="412"/>
      <c r="K962" s="412"/>
      <c r="L962" s="413"/>
      <c r="M962" s="412"/>
      <c r="N962" s="413"/>
      <c r="O962" s="413"/>
      <c r="P962" s="412"/>
      <c r="Q962" s="414"/>
      <c r="R962" s="414"/>
    </row>
    <row r="963">
      <c r="B963" s="374"/>
      <c r="C963" s="374"/>
      <c r="D963" s="412"/>
      <c r="E963" s="412"/>
      <c r="F963" s="412"/>
      <c r="G963" s="412"/>
      <c r="H963" s="412"/>
      <c r="I963" s="412"/>
      <c r="J963" s="412"/>
      <c r="K963" s="412"/>
      <c r="L963" s="413"/>
      <c r="M963" s="412"/>
      <c r="N963" s="413"/>
      <c r="O963" s="413"/>
      <c r="P963" s="412"/>
      <c r="Q963" s="414"/>
      <c r="R963" s="414"/>
    </row>
    <row r="964">
      <c r="B964" s="374"/>
      <c r="C964" s="374"/>
      <c r="D964" s="412"/>
      <c r="E964" s="412"/>
      <c r="F964" s="412"/>
      <c r="G964" s="412"/>
      <c r="H964" s="412"/>
      <c r="I964" s="412"/>
      <c r="J964" s="412"/>
      <c r="K964" s="412"/>
      <c r="L964" s="413"/>
      <c r="M964" s="412"/>
      <c r="N964" s="413"/>
      <c r="O964" s="413"/>
      <c r="P964" s="412"/>
      <c r="Q964" s="414"/>
      <c r="R964" s="414"/>
    </row>
    <row r="965">
      <c r="B965" s="374"/>
      <c r="C965" s="374"/>
      <c r="D965" s="412"/>
      <c r="E965" s="412"/>
      <c r="F965" s="412"/>
      <c r="G965" s="412"/>
      <c r="H965" s="412"/>
      <c r="I965" s="412"/>
      <c r="J965" s="412"/>
      <c r="K965" s="412"/>
      <c r="L965" s="413"/>
      <c r="M965" s="412"/>
      <c r="N965" s="413"/>
      <c r="O965" s="413"/>
      <c r="P965" s="412"/>
      <c r="Q965" s="414"/>
      <c r="R965" s="414"/>
    </row>
    <row r="966">
      <c r="B966" s="374"/>
      <c r="C966" s="374"/>
      <c r="D966" s="412"/>
      <c r="E966" s="412"/>
      <c r="F966" s="412"/>
      <c r="G966" s="412"/>
      <c r="H966" s="412"/>
      <c r="I966" s="412"/>
      <c r="J966" s="412"/>
      <c r="K966" s="412"/>
      <c r="L966" s="413"/>
      <c r="M966" s="412"/>
      <c r="N966" s="413"/>
      <c r="O966" s="413"/>
      <c r="P966" s="412"/>
      <c r="Q966" s="414"/>
      <c r="R966" s="414"/>
    </row>
    <row r="967">
      <c r="B967" s="374"/>
      <c r="C967" s="374"/>
      <c r="D967" s="412"/>
      <c r="E967" s="412"/>
      <c r="F967" s="412"/>
      <c r="G967" s="412"/>
      <c r="H967" s="412"/>
      <c r="I967" s="412"/>
      <c r="J967" s="412"/>
      <c r="K967" s="412"/>
      <c r="L967" s="413"/>
      <c r="M967" s="412"/>
      <c r="N967" s="413"/>
      <c r="O967" s="413"/>
      <c r="P967" s="412"/>
      <c r="Q967" s="414"/>
      <c r="R967" s="414"/>
    </row>
    <row r="968">
      <c r="B968" s="374"/>
      <c r="C968" s="374"/>
      <c r="D968" s="412"/>
      <c r="E968" s="412"/>
      <c r="F968" s="412"/>
      <c r="G968" s="412"/>
      <c r="H968" s="412"/>
      <c r="I968" s="412"/>
      <c r="J968" s="412"/>
      <c r="K968" s="412"/>
      <c r="L968" s="413"/>
      <c r="M968" s="412"/>
      <c r="N968" s="413"/>
      <c r="O968" s="413"/>
      <c r="P968" s="412"/>
      <c r="Q968" s="414"/>
      <c r="R968" s="414"/>
    </row>
    <row r="969">
      <c r="B969" s="374"/>
      <c r="C969" s="374"/>
      <c r="D969" s="412"/>
      <c r="E969" s="412"/>
      <c r="F969" s="412"/>
      <c r="G969" s="412"/>
      <c r="H969" s="412"/>
      <c r="I969" s="412"/>
      <c r="J969" s="412"/>
      <c r="K969" s="412"/>
      <c r="L969" s="413"/>
      <c r="M969" s="412"/>
      <c r="N969" s="413"/>
      <c r="O969" s="413"/>
      <c r="P969" s="412"/>
      <c r="Q969" s="414"/>
      <c r="R969" s="414"/>
    </row>
    <row r="970">
      <c r="B970" s="374"/>
      <c r="C970" s="374"/>
      <c r="D970" s="412"/>
      <c r="E970" s="412"/>
      <c r="F970" s="412"/>
      <c r="G970" s="412"/>
      <c r="H970" s="412"/>
      <c r="I970" s="412"/>
      <c r="J970" s="412"/>
      <c r="K970" s="412"/>
      <c r="L970" s="413"/>
      <c r="M970" s="412"/>
      <c r="N970" s="413"/>
      <c r="O970" s="413"/>
      <c r="P970" s="412"/>
      <c r="Q970" s="414"/>
      <c r="R970" s="414"/>
    </row>
    <row r="971">
      <c r="B971" s="374"/>
      <c r="C971" s="374"/>
      <c r="D971" s="412"/>
      <c r="E971" s="412"/>
      <c r="F971" s="412"/>
      <c r="G971" s="412"/>
      <c r="H971" s="412"/>
      <c r="I971" s="412"/>
      <c r="J971" s="412"/>
      <c r="K971" s="412"/>
      <c r="L971" s="413"/>
      <c r="M971" s="412"/>
      <c r="N971" s="413"/>
      <c r="O971" s="413"/>
      <c r="P971" s="412"/>
      <c r="Q971" s="414"/>
      <c r="R971" s="414"/>
    </row>
    <row r="972">
      <c r="B972" s="374"/>
      <c r="C972" s="374"/>
      <c r="D972" s="412"/>
      <c r="E972" s="412"/>
      <c r="F972" s="412"/>
      <c r="G972" s="412"/>
      <c r="H972" s="412"/>
      <c r="I972" s="412"/>
      <c r="J972" s="412"/>
      <c r="K972" s="412"/>
      <c r="L972" s="413"/>
      <c r="M972" s="412"/>
      <c r="N972" s="413"/>
      <c r="O972" s="413"/>
      <c r="P972" s="412"/>
      <c r="Q972" s="414"/>
      <c r="R972" s="414"/>
    </row>
    <row r="973">
      <c r="B973" s="374"/>
      <c r="C973" s="374"/>
      <c r="D973" s="412"/>
      <c r="E973" s="412"/>
      <c r="F973" s="412"/>
      <c r="G973" s="412"/>
      <c r="H973" s="412"/>
      <c r="I973" s="412"/>
      <c r="J973" s="412"/>
      <c r="K973" s="412"/>
      <c r="L973" s="413"/>
      <c r="M973" s="412"/>
      <c r="N973" s="413"/>
      <c r="O973" s="413"/>
      <c r="P973" s="412"/>
      <c r="Q973" s="414"/>
      <c r="R973" s="414"/>
    </row>
    <row r="974">
      <c r="B974" s="374"/>
      <c r="C974" s="374"/>
      <c r="D974" s="412"/>
      <c r="E974" s="412"/>
      <c r="F974" s="412"/>
      <c r="G974" s="412"/>
      <c r="H974" s="412"/>
      <c r="I974" s="412"/>
      <c r="J974" s="412"/>
      <c r="K974" s="412"/>
      <c r="L974" s="413"/>
      <c r="M974" s="412"/>
      <c r="N974" s="413"/>
      <c r="O974" s="413"/>
      <c r="P974" s="412"/>
      <c r="Q974" s="414"/>
      <c r="R974" s="414"/>
    </row>
    <row r="975">
      <c r="B975" s="374"/>
      <c r="C975" s="374"/>
      <c r="D975" s="412"/>
      <c r="E975" s="412"/>
      <c r="F975" s="412"/>
      <c r="G975" s="412"/>
      <c r="H975" s="412"/>
      <c r="I975" s="412"/>
      <c r="J975" s="412"/>
      <c r="K975" s="412"/>
      <c r="L975" s="413"/>
      <c r="M975" s="412"/>
      <c r="N975" s="413"/>
      <c r="O975" s="413"/>
      <c r="P975" s="412"/>
      <c r="Q975" s="414"/>
      <c r="R975" s="414"/>
    </row>
    <row r="976">
      <c r="B976" s="374"/>
      <c r="C976" s="374"/>
      <c r="D976" s="412"/>
      <c r="E976" s="412"/>
      <c r="F976" s="412"/>
      <c r="G976" s="412"/>
      <c r="H976" s="412"/>
      <c r="I976" s="412"/>
      <c r="J976" s="412"/>
      <c r="K976" s="412"/>
      <c r="L976" s="413"/>
      <c r="M976" s="412"/>
      <c r="N976" s="413"/>
      <c r="O976" s="413"/>
      <c r="P976" s="412"/>
      <c r="Q976" s="414"/>
      <c r="R976" s="414"/>
    </row>
    <row r="977">
      <c r="B977" s="374"/>
      <c r="C977" s="374"/>
      <c r="D977" s="412"/>
      <c r="E977" s="412"/>
      <c r="F977" s="412"/>
      <c r="G977" s="412"/>
      <c r="H977" s="412"/>
      <c r="I977" s="412"/>
      <c r="J977" s="412"/>
      <c r="K977" s="412"/>
      <c r="L977" s="413"/>
      <c r="M977" s="412"/>
      <c r="N977" s="413"/>
      <c r="O977" s="413"/>
      <c r="P977" s="412"/>
      <c r="Q977" s="414"/>
      <c r="R977" s="414"/>
    </row>
    <row r="978">
      <c r="B978" s="374"/>
      <c r="C978" s="374"/>
      <c r="D978" s="412"/>
      <c r="E978" s="412"/>
      <c r="F978" s="412"/>
      <c r="G978" s="412"/>
      <c r="H978" s="412"/>
      <c r="I978" s="412"/>
      <c r="J978" s="412"/>
      <c r="K978" s="412"/>
      <c r="L978" s="413"/>
      <c r="M978" s="412"/>
      <c r="N978" s="413"/>
      <c r="O978" s="413"/>
      <c r="P978" s="412"/>
      <c r="Q978" s="414"/>
      <c r="R978" s="414"/>
    </row>
    <row r="979">
      <c r="B979" s="374"/>
      <c r="C979" s="374"/>
      <c r="D979" s="412"/>
      <c r="E979" s="412"/>
      <c r="F979" s="412"/>
      <c r="G979" s="412"/>
      <c r="H979" s="412"/>
      <c r="I979" s="412"/>
      <c r="J979" s="412"/>
      <c r="K979" s="412"/>
      <c r="L979" s="413"/>
      <c r="M979" s="412"/>
      <c r="N979" s="413"/>
      <c r="O979" s="413"/>
      <c r="P979" s="412"/>
      <c r="Q979" s="414"/>
      <c r="R979" s="414"/>
    </row>
    <row r="980">
      <c r="B980" s="374"/>
      <c r="C980" s="374"/>
      <c r="D980" s="412"/>
      <c r="E980" s="412"/>
      <c r="F980" s="412"/>
      <c r="G980" s="412"/>
      <c r="H980" s="412"/>
      <c r="I980" s="412"/>
      <c r="J980" s="412"/>
      <c r="K980" s="412"/>
      <c r="L980" s="413"/>
      <c r="M980" s="412"/>
      <c r="N980" s="413"/>
      <c r="O980" s="413"/>
      <c r="P980" s="412"/>
      <c r="Q980" s="414"/>
      <c r="R980" s="414"/>
    </row>
    <row r="981">
      <c r="B981" s="374"/>
      <c r="C981" s="374"/>
      <c r="D981" s="412"/>
      <c r="E981" s="412"/>
      <c r="F981" s="412"/>
      <c r="G981" s="412"/>
      <c r="H981" s="412"/>
      <c r="I981" s="412"/>
      <c r="J981" s="412"/>
      <c r="K981" s="412"/>
      <c r="L981" s="413"/>
      <c r="M981" s="412"/>
      <c r="N981" s="413"/>
      <c r="O981" s="413"/>
      <c r="P981" s="412"/>
      <c r="Q981" s="414"/>
      <c r="R981" s="414"/>
    </row>
    <row r="982">
      <c r="B982" s="374"/>
      <c r="C982" s="374"/>
      <c r="D982" s="412"/>
      <c r="E982" s="412"/>
      <c r="F982" s="412"/>
      <c r="G982" s="412"/>
      <c r="H982" s="412"/>
      <c r="I982" s="412"/>
      <c r="J982" s="412"/>
      <c r="K982" s="412"/>
      <c r="L982" s="413"/>
      <c r="M982" s="412"/>
      <c r="N982" s="413"/>
      <c r="O982" s="413"/>
      <c r="P982" s="412"/>
      <c r="Q982" s="414"/>
      <c r="R982" s="414"/>
    </row>
    <row r="983">
      <c r="B983" s="374"/>
      <c r="C983" s="374"/>
      <c r="D983" s="412"/>
      <c r="E983" s="412"/>
      <c r="F983" s="412"/>
      <c r="G983" s="412"/>
      <c r="H983" s="412"/>
      <c r="I983" s="412"/>
      <c r="J983" s="412"/>
      <c r="K983" s="412"/>
      <c r="L983" s="413"/>
      <c r="M983" s="412"/>
      <c r="N983" s="413"/>
      <c r="O983" s="413"/>
      <c r="P983" s="412"/>
      <c r="Q983" s="414"/>
      <c r="R983" s="414"/>
    </row>
    <row r="984">
      <c r="B984" s="374"/>
      <c r="C984" s="374"/>
      <c r="D984" s="412"/>
      <c r="E984" s="412"/>
      <c r="F984" s="412"/>
      <c r="G984" s="412"/>
      <c r="H984" s="412"/>
      <c r="I984" s="412"/>
      <c r="J984" s="412"/>
      <c r="K984" s="412"/>
      <c r="L984" s="413"/>
      <c r="M984" s="412"/>
      <c r="N984" s="413"/>
      <c r="O984" s="413"/>
      <c r="P984" s="412"/>
      <c r="Q984" s="414"/>
      <c r="R984" s="414"/>
    </row>
    <row r="985">
      <c r="B985" s="374"/>
      <c r="C985" s="374"/>
      <c r="D985" s="412"/>
      <c r="E985" s="412"/>
      <c r="F985" s="412"/>
      <c r="G985" s="412"/>
      <c r="H985" s="412"/>
      <c r="I985" s="412"/>
      <c r="J985" s="412"/>
      <c r="K985" s="412"/>
      <c r="L985" s="413"/>
      <c r="M985" s="412"/>
      <c r="N985" s="413"/>
      <c r="O985" s="413"/>
      <c r="P985" s="412"/>
      <c r="Q985" s="414"/>
      <c r="R985" s="414"/>
    </row>
    <row r="986">
      <c r="B986" s="374"/>
      <c r="C986" s="374"/>
      <c r="D986" s="412"/>
      <c r="E986" s="412"/>
      <c r="F986" s="412"/>
      <c r="G986" s="412"/>
      <c r="H986" s="412"/>
      <c r="I986" s="412"/>
      <c r="J986" s="412"/>
      <c r="K986" s="412"/>
      <c r="L986" s="413"/>
      <c r="M986" s="412"/>
      <c r="N986" s="413"/>
      <c r="O986" s="413"/>
      <c r="P986" s="412"/>
      <c r="Q986" s="414"/>
      <c r="R986" s="414"/>
    </row>
    <row r="987">
      <c r="B987" s="374"/>
      <c r="C987" s="374"/>
      <c r="D987" s="412"/>
      <c r="E987" s="412"/>
      <c r="F987" s="412"/>
      <c r="G987" s="412"/>
      <c r="H987" s="412"/>
      <c r="I987" s="412"/>
      <c r="J987" s="412"/>
      <c r="K987" s="412"/>
      <c r="L987" s="413"/>
      <c r="M987" s="412"/>
      <c r="N987" s="413"/>
      <c r="O987" s="413"/>
      <c r="P987" s="412"/>
      <c r="Q987" s="414"/>
      <c r="R987" s="414"/>
    </row>
    <row r="988">
      <c r="B988" s="374"/>
      <c r="C988" s="374"/>
      <c r="D988" s="412"/>
      <c r="E988" s="412"/>
      <c r="F988" s="412"/>
      <c r="G988" s="412"/>
      <c r="H988" s="412"/>
      <c r="I988" s="412"/>
      <c r="J988" s="412"/>
      <c r="K988" s="412"/>
      <c r="L988" s="413"/>
      <c r="M988" s="412"/>
      <c r="N988" s="413"/>
      <c r="O988" s="413"/>
      <c r="P988" s="412"/>
      <c r="Q988" s="414"/>
      <c r="R988" s="414"/>
    </row>
    <row r="989">
      <c r="B989" s="374"/>
      <c r="C989" s="374"/>
      <c r="D989" s="412"/>
      <c r="E989" s="412"/>
      <c r="F989" s="412"/>
      <c r="G989" s="412"/>
      <c r="H989" s="412"/>
      <c r="I989" s="412"/>
      <c r="J989" s="412"/>
      <c r="K989" s="412"/>
      <c r="L989" s="413"/>
      <c r="M989" s="412"/>
      <c r="N989" s="413"/>
      <c r="O989" s="413"/>
      <c r="P989" s="412"/>
      <c r="Q989" s="414"/>
      <c r="R989" s="414"/>
    </row>
    <row r="990">
      <c r="B990" s="374"/>
      <c r="C990" s="374"/>
      <c r="D990" s="412"/>
      <c r="E990" s="412"/>
      <c r="F990" s="412"/>
      <c r="G990" s="412"/>
      <c r="H990" s="412"/>
      <c r="I990" s="412"/>
      <c r="J990" s="412"/>
      <c r="K990" s="412"/>
      <c r="L990" s="413"/>
      <c r="M990" s="412"/>
      <c r="N990" s="413"/>
      <c r="O990" s="413"/>
      <c r="P990" s="412"/>
      <c r="Q990" s="414"/>
      <c r="R990" s="414"/>
    </row>
    <row r="991">
      <c r="B991" s="374"/>
      <c r="C991" s="374"/>
      <c r="D991" s="412"/>
      <c r="E991" s="412"/>
      <c r="F991" s="412"/>
      <c r="G991" s="412"/>
      <c r="H991" s="412"/>
      <c r="I991" s="412"/>
      <c r="J991" s="412"/>
      <c r="K991" s="412"/>
      <c r="L991" s="413"/>
      <c r="M991" s="412"/>
      <c r="N991" s="413"/>
      <c r="O991" s="413"/>
      <c r="P991" s="412"/>
      <c r="Q991" s="414"/>
      <c r="R991" s="414"/>
    </row>
    <row r="992">
      <c r="B992" s="374"/>
      <c r="C992" s="374"/>
      <c r="D992" s="412"/>
      <c r="E992" s="412"/>
      <c r="F992" s="412"/>
      <c r="G992" s="412"/>
      <c r="H992" s="412"/>
      <c r="I992" s="412"/>
      <c r="J992" s="412"/>
      <c r="K992" s="412"/>
      <c r="L992" s="413"/>
      <c r="M992" s="412"/>
      <c r="N992" s="413"/>
      <c r="O992" s="413"/>
      <c r="P992" s="412"/>
      <c r="Q992" s="414"/>
      <c r="R992" s="414"/>
    </row>
    <row r="993">
      <c r="B993" s="374"/>
      <c r="C993" s="374"/>
      <c r="D993" s="412"/>
      <c r="E993" s="412"/>
      <c r="F993" s="412"/>
      <c r="G993" s="412"/>
      <c r="H993" s="412"/>
      <c r="I993" s="412"/>
      <c r="J993" s="412"/>
      <c r="K993" s="412"/>
      <c r="L993" s="413"/>
      <c r="M993" s="412"/>
      <c r="N993" s="413"/>
      <c r="O993" s="413"/>
      <c r="P993" s="412"/>
      <c r="Q993" s="414"/>
      <c r="R993" s="414"/>
    </row>
    <row r="994">
      <c r="B994" s="374"/>
      <c r="C994" s="374"/>
      <c r="D994" s="412"/>
      <c r="E994" s="412"/>
      <c r="F994" s="412"/>
      <c r="G994" s="412"/>
      <c r="H994" s="412"/>
      <c r="I994" s="412"/>
      <c r="J994" s="412"/>
      <c r="K994" s="412"/>
      <c r="L994" s="413"/>
      <c r="M994" s="412"/>
      <c r="N994" s="413"/>
      <c r="O994" s="413"/>
      <c r="P994" s="412"/>
      <c r="Q994" s="414"/>
      <c r="R994" s="414"/>
    </row>
    <row r="995">
      <c r="B995" s="374"/>
      <c r="C995" s="374"/>
      <c r="D995" s="412"/>
      <c r="E995" s="412"/>
      <c r="F995" s="412"/>
      <c r="G995" s="412"/>
      <c r="H995" s="412"/>
      <c r="I995" s="412"/>
      <c r="J995" s="412"/>
      <c r="K995" s="412"/>
      <c r="L995" s="413"/>
      <c r="M995" s="412"/>
      <c r="N995" s="413"/>
      <c r="O995" s="413"/>
      <c r="P995" s="412"/>
      <c r="Q995" s="414"/>
      <c r="R995" s="414"/>
    </row>
    <row r="996">
      <c r="B996" s="374"/>
      <c r="C996" s="374"/>
      <c r="D996" s="412"/>
      <c r="E996" s="412"/>
      <c r="F996" s="412"/>
      <c r="G996" s="412"/>
      <c r="H996" s="412"/>
      <c r="I996" s="412"/>
      <c r="J996" s="412"/>
      <c r="K996" s="412"/>
      <c r="L996" s="413"/>
      <c r="M996" s="412"/>
      <c r="N996" s="413"/>
      <c r="O996" s="413"/>
      <c r="P996" s="412"/>
      <c r="Q996" s="414"/>
      <c r="R996" s="414"/>
    </row>
    <row r="997">
      <c r="B997" s="374"/>
      <c r="C997" s="374"/>
      <c r="D997" s="412"/>
      <c r="E997" s="412"/>
      <c r="F997" s="412"/>
      <c r="G997" s="412"/>
      <c r="H997" s="412"/>
      <c r="I997" s="412"/>
      <c r="J997" s="412"/>
      <c r="K997" s="412"/>
      <c r="L997" s="413"/>
      <c r="M997" s="412"/>
      <c r="N997" s="413"/>
      <c r="O997" s="413"/>
      <c r="P997" s="412"/>
      <c r="Q997" s="414"/>
      <c r="R997" s="414"/>
    </row>
    <row r="998">
      <c r="B998" s="374"/>
      <c r="C998" s="374"/>
      <c r="D998" s="412"/>
      <c r="E998" s="412"/>
      <c r="F998" s="412"/>
      <c r="G998" s="412"/>
      <c r="H998" s="412"/>
      <c r="I998" s="412"/>
      <c r="J998" s="412"/>
      <c r="K998" s="412"/>
      <c r="L998" s="413"/>
      <c r="M998" s="412"/>
      <c r="N998" s="413"/>
      <c r="O998" s="413"/>
      <c r="P998" s="412"/>
      <c r="Q998" s="414"/>
      <c r="R998" s="414"/>
    </row>
    <row r="999">
      <c r="B999" s="374"/>
      <c r="C999" s="374"/>
      <c r="D999" s="412"/>
      <c r="E999" s="412"/>
      <c r="F999" s="412"/>
      <c r="G999" s="412"/>
      <c r="H999" s="412"/>
      <c r="I999" s="412"/>
      <c r="J999" s="412"/>
      <c r="K999" s="412"/>
      <c r="L999" s="413"/>
      <c r="M999" s="412"/>
      <c r="N999" s="413"/>
      <c r="O999" s="413"/>
      <c r="P999" s="412"/>
      <c r="Q999" s="414"/>
      <c r="R999" s="414"/>
    </row>
    <row r="1000">
      <c r="B1000" s="374"/>
      <c r="C1000" s="374"/>
      <c r="D1000" s="412"/>
      <c r="E1000" s="412"/>
      <c r="F1000" s="412"/>
      <c r="G1000" s="412"/>
      <c r="H1000" s="412"/>
      <c r="I1000" s="412"/>
      <c r="J1000" s="412"/>
      <c r="K1000" s="412"/>
      <c r="L1000" s="413"/>
      <c r="M1000" s="412"/>
      <c r="N1000" s="413"/>
      <c r="O1000" s="413"/>
      <c r="P1000" s="412"/>
      <c r="Q1000" s="414"/>
      <c r="R1000" s="414"/>
    </row>
    <row r="1001">
      <c r="B1001" s="374"/>
      <c r="C1001" s="374"/>
      <c r="D1001" s="412"/>
      <c r="E1001" s="412"/>
      <c r="F1001" s="412"/>
      <c r="G1001" s="412"/>
      <c r="H1001" s="412"/>
      <c r="I1001" s="412"/>
      <c r="J1001" s="412"/>
      <c r="K1001" s="412"/>
      <c r="L1001" s="413"/>
      <c r="M1001" s="412"/>
      <c r="N1001" s="413"/>
      <c r="O1001" s="413"/>
      <c r="P1001" s="412"/>
      <c r="Q1001" s="414"/>
      <c r="R1001" s="414"/>
    </row>
    <row r="1002">
      <c r="B1002" s="374"/>
      <c r="C1002" s="374"/>
      <c r="D1002" s="412"/>
      <c r="E1002" s="412"/>
      <c r="F1002" s="412"/>
      <c r="G1002" s="412"/>
      <c r="H1002" s="412"/>
      <c r="I1002" s="412"/>
      <c r="J1002" s="412"/>
      <c r="K1002" s="412"/>
      <c r="L1002" s="413"/>
      <c r="M1002" s="412"/>
      <c r="N1002" s="413"/>
      <c r="O1002" s="413"/>
      <c r="P1002" s="412"/>
      <c r="Q1002" s="414"/>
      <c r="R1002" s="414"/>
    </row>
    <row r="1003">
      <c r="B1003" s="374"/>
      <c r="C1003" s="374"/>
      <c r="D1003" s="412"/>
      <c r="E1003" s="412"/>
      <c r="F1003" s="412"/>
      <c r="G1003" s="412"/>
      <c r="H1003" s="412"/>
      <c r="I1003" s="412"/>
      <c r="J1003" s="412"/>
      <c r="K1003" s="412"/>
      <c r="L1003" s="413"/>
      <c r="M1003" s="412"/>
      <c r="N1003" s="413"/>
      <c r="O1003" s="413"/>
      <c r="P1003" s="412"/>
      <c r="Q1003" s="414"/>
      <c r="R1003" s="414"/>
    </row>
    <row r="1004">
      <c r="B1004" s="374"/>
      <c r="C1004" s="374"/>
      <c r="D1004" s="412"/>
      <c r="E1004" s="412"/>
      <c r="F1004" s="412"/>
      <c r="G1004" s="412"/>
      <c r="H1004" s="412"/>
      <c r="I1004" s="412"/>
      <c r="J1004" s="412"/>
      <c r="K1004" s="412"/>
      <c r="L1004" s="413"/>
      <c r="M1004" s="412"/>
      <c r="N1004" s="413"/>
      <c r="O1004" s="413"/>
      <c r="P1004" s="412"/>
      <c r="Q1004" s="414"/>
      <c r="R1004" s="414"/>
    </row>
    <row r="1005">
      <c r="B1005" s="374"/>
      <c r="C1005" s="374"/>
      <c r="D1005" s="412"/>
      <c r="E1005" s="412"/>
      <c r="F1005" s="412"/>
      <c r="G1005" s="412"/>
      <c r="H1005" s="412"/>
      <c r="I1005" s="412"/>
      <c r="J1005" s="412"/>
      <c r="K1005" s="412"/>
      <c r="L1005" s="413"/>
      <c r="M1005" s="412"/>
      <c r="N1005" s="413"/>
      <c r="O1005" s="413"/>
      <c r="P1005" s="412"/>
      <c r="Q1005" s="414"/>
      <c r="R1005" s="414"/>
    </row>
    <row r="1006">
      <c r="B1006" s="374"/>
      <c r="C1006" s="374"/>
      <c r="D1006" s="412"/>
      <c r="E1006" s="412"/>
      <c r="F1006" s="412"/>
      <c r="G1006" s="412"/>
      <c r="H1006" s="412"/>
      <c r="I1006" s="412"/>
      <c r="J1006" s="412"/>
      <c r="K1006" s="412"/>
      <c r="L1006" s="413"/>
      <c r="M1006" s="412"/>
      <c r="N1006" s="413"/>
      <c r="O1006" s="413"/>
      <c r="P1006" s="412"/>
      <c r="Q1006" s="414"/>
      <c r="R1006" s="414"/>
    </row>
    <row r="1007">
      <c r="B1007" s="374"/>
      <c r="C1007" s="374"/>
      <c r="D1007" s="412"/>
      <c r="E1007" s="412"/>
      <c r="F1007" s="412"/>
      <c r="G1007" s="412"/>
      <c r="H1007" s="412"/>
      <c r="I1007" s="412"/>
      <c r="J1007" s="412"/>
      <c r="K1007" s="412"/>
      <c r="L1007" s="413"/>
      <c r="M1007" s="412"/>
      <c r="N1007" s="413"/>
      <c r="O1007" s="413"/>
      <c r="P1007" s="412"/>
      <c r="Q1007" s="414"/>
      <c r="R1007" s="414"/>
    </row>
    <row r="1008">
      <c r="B1008" s="374"/>
      <c r="C1008" s="374"/>
      <c r="D1008" s="412"/>
      <c r="E1008" s="412"/>
      <c r="F1008" s="412"/>
      <c r="G1008" s="412"/>
      <c r="H1008" s="412"/>
      <c r="I1008" s="412"/>
      <c r="J1008" s="412"/>
      <c r="K1008" s="412"/>
      <c r="L1008" s="413"/>
      <c r="M1008" s="412"/>
      <c r="N1008" s="413"/>
      <c r="O1008" s="413"/>
      <c r="P1008" s="412"/>
      <c r="Q1008" s="414"/>
      <c r="R1008" s="414"/>
    </row>
    <row r="1009">
      <c r="B1009" s="374"/>
      <c r="C1009" s="374"/>
      <c r="D1009" s="412"/>
      <c r="E1009" s="412"/>
      <c r="F1009" s="412"/>
      <c r="G1009" s="412"/>
      <c r="H1009" s="412"/>
      <c r="I1009" s="412"/>
      <c r="J1009" s="412"/>
      <c r="K1009" s="412"/>
      <c r="L1009" s="413"/>
      <c r="M1009" s="412"/>
      <c r="N1009" s="413"/>
      <c r="O1009" s="413"/>
      <c r="P1009" s="412"/>
      <c r="Q1009" s="414"/>
      <c r="R1009" s="414"/>
    </row>
    <row r="1010">
      <c r="B1010" s="374"/>
      <c r="C1010" s="374"/>
      <c r="D1010" s="412"/>
      <c r="E1010" s="412"/>
      <c r="F1010" s="412"/>
      <c r="G1010" s="412"/>
      <c r="H1010" s="412"/>
      <c r="I1010" s="412"/>
      <c r="J1010" s="412"/>
      <c r="K1010" s="412"/>
      <c r="L1010" s="413"/>
      <c r="M1010" s="412"/>
      <c r="N1010" s="413"/>
      <c r="O1010" s="413"/>
      <c r="P1010" s="412"/>
      <c r="Q1010" s="414"/>
      <c r="R1010" s="414"/>
    </row>
    <row r="1011">
      <c r="B1011" s="374"/>
      <c r="C1011" s="374"/>
      <c r="D1011" s="412"/>
      <c r="E1011" s="412"/>
      <c r="F1011" s="412"/>
      <c r="G1011" s="412"/>
      <c r="H1011" s="412"/>
      <c r="I1011" s="412"/>
      <c r="J1011" s="412"/>
      <c r="K1011" s="412"/>
      <c r="L1011" s="413"/>
      <c r="M1011" s="412"/>
      <c r="N1011" s="413"/>
      <c r="O1011" s="413"/>
      <c r="P1011" s="412"/>
      <c r="Q1011" s="414"/>
      <c r="R1011" s="414"/>
    </row>
    <row r="1012">
      <c r="B1012" s="374"/>
      <c r="C1012" s="374"/>
      <c r="D1012" s="412"/>
      <c r="E1012" s="412"/>
      <c r="F1012" s="412"/>
      <c r="G1012" s="412"/>
      <c r="H1012" s="412"/>
      <c r="I1012" s="412"/>
      <c r="J1012" s="412"/>
      <c r="K1012" s="412"/>
      <c r="L1012" s="413"/>
      <c r="M1012" s="412"/>
      <c r="N1012" s="413"/>
      <c r="O1012" s="413"/>
      <c r="P1012" s="412"/>
      <c r="Q1012" s="414"/>
      <c r="R1012" s="414"/>
    </row>
    <row r="1013">
      <c r="B1013" s="374"/>
      <c r="C1013" s="374"/>
      <c r="D1013" s="412"/>
      <c r="E1013" s="412"/>
      <c r="F1013" s="412"/>
      <c r="G1013" s="412"/>
      <c r="H1013" s="412"/>
      <c r="I1013" s="412"/>
      <c r="J1013" s="412"/>
      <c r="K1013" s="412"/>
      <c r="L1013" s="413"/>
      <c r="M1013" s="412"/>
      <c r="N1013" s="413"/>
      <c r="O1013" s="413"/>
      <c r="P1013" s="412"/>
      <c r="Q1013" s="414"/>
      <c r="R1013" s="414"/>
    </row>
    <row r="1014">
      <c r="B1014" s="374"/>
      <c r="C1014" s="374"/>
      <c r="D1014" s="412"/>
      <c r="E1014" s="412"/>
      <c r="F1014" s="412"/>
      <c r="G1014" s="412"/>
      <c r="H1014" s="412"/>
      <c r="I1014" s="412"/>
      <c r="J1014" s="412"/>
      <c r="K1014" s="412"/>
      <c r="L1014" s="413"/>
      <c r="M1014" s="412"/>
      <c r="N1014" s="413"/>
      <c r="O1014" s="413"/>
      <c r="P1014" s="412"/>
      <c r="Q1014" s="414"/>
      <c r="R1014" s="414"/>
    </row>
    <row r="1015">
      <c r="B1015" s="374"/>
      <c r="C1015" s="374"/>
      <c r="D1015" s="412"/>
      <c r="E1015" s="412"/>
      <c r="F1015" s="412"/>
      <c r="G1015" s="412"/>
      <c r="H1015" s="412"/>
      <c r="I1015" s="412"/>
      <c r="J1015" s="412"/>
      <c r="K1015" s="412"/>
      <c r="L1015" s="413"/>
      <c r="M1015" s="412"/>
      <c r="N1015" s="413"/>
      <c r="O1015" s="413"/>
      <c r="P1015" s="412"/>
      <c r="Q1015" s="414"/>
      <c r="R1015" s="414"/>
    </row>
    <row r="1016">
      <c r="B1016" s="374"/>
      <c r="C1016" s="374"/>
      <c r="D1016" s="412"/>
      <c r="E1016" s="412"/>
      <c r="F1016" s="412"/>
      <c r="G1016" s="412"/>
      <c r="H1016" s="412"/>
      <c r="I1016" s="412"/>
      <c r="J1016" s="412"/>
      <c r="K1016" s="412"/>
      <c r="L1016" s="413"/>
      <c r="M1016" s="412"/>
      <c r="N1016" s="413"/>
      <c r="O1016" s="413"/>
      <c r="P1016" s="412"/>
      <c r="Q1016" s="414"/>
      <c r="R1016" s="414"/>
    </row>
    <row r="1017">
      <c r="B1017" s="374"/>
      <c r="C1017" s="374"/>
      <c r="D1017" s="412"/>
      <c r="E1017" s="412"/>
      <c r="F1017" s="412"/>
      <c r="G1017" s="412"/>
      <c r="H1017" s="412"/>
      <c r="I1017" s="412"/>
      <c r="J1017" s="412"/>
      <c r="K1017" s="412"/>
      <c r="L1017" s="413"/>
      <c r="M1017" s="412"/>
      <c r="N1017" s="413"/>
      <c r="O1017" s="413"/>
      <c r="P1017" s="412"/>
      <c r="Q1017" s="414"/>
      <c r="R1017" s="414"/>
    </row>
    <row r="1018">
      <c r="B1018" s="374"/>
      <c r="C1018" s="374"/>
      <c r="D1018" s="412"/>
      <c r="E1018" s="412"/>
      <c r="F1018" s="412"/>
      <c r="G1018" s="412"/>
      <c r="H1018" s="412"/>
      <c r="I1018" s="412"/>
      <c r="J1018" s="412"/>
      <c r="K1018" s="412"/>
      <c r="L1018" s="413"/>
      <c r="M1018" s="412"/>
      <c r="N1018" s="413"/>
      <c r="O1018" s="413"/>
      <c r="P1018" s="412"/>
      <c r="Q1018" s="414"/>
      <c r="R1018" s="414"/>
    </row>
    <row r="1019">
      <c r="B1019" s="374"/>
      <c r="C1019" s="374"/>
      <c r="D1019" s="412"/>
      <c r="E1019" s="412"/>
      <c r="F1019" s="412"/>
      <c r="G1019" s="412"/>
      <c r="H1019" s="412"/>
      <c r="I1019" s="412"/>
      <c r="J1019" s="412"/>
      <c r="K1019" s="412"/>
      <c r="L1019" s="413"/>
      <c r="M1019" s="412"/>
      <c r="N1019" s="413"/>
      <c r="O1019" s="413"/>
      <c r="P1019" s="412"/>
      <c r="Q1019" s="414"/>
      <c r="R1019" s="414"/>
    </row>
    <row r="1020">
      <c r="B1020" s="374"/>
      <c r="C1020" s="374"/>
      <c r="D1020" s="412"/>
      <c r="E1020" s="412"/>
      <c r="F1020" s="412"/>
      <c r="G1020" s="412"/>
      <c r="H1020" s="412"/>
      <c r="I1020" s="412"/>
      <c r="J1020" s="412"/>
      <c r="K1020" s="412"/>
      <c r="L1020" s="413"/>
      <c r="M1020" s="412"/>
      <c r="N1020" s="413"/>
      <c r="O1020" s="413"/>
      <c r="P1020" s="412"/>
      <c r="Q1020" s="414"/>
      <c r="R1020" s="414"/>
    </row>
    <row r="1021">
      <c r="B1021" s="374"/>
      <c r="C1021" s="374"/>
      <c r="D1021" s="412"/>
      <c r="E1021" s="412"/>
      <c r="F1021" s="412"/>
      <c r="G1021" s="412"/>
      <c r="H1021" s="412"/>
      <c r="I1021" s="412"/>
      <c r="J1021" s="412"/>
      <c r="K1021" s="412"/>
      <c r="L1021" s="413"/>
      <c r="M1021" s="412"/>
      <c r="N1021" s="413"/>
      <c r="O1021" s="413"/>
      <c r="P1021" s="412"/>
      <c r="Q1021" s="414"/>
      <c r="R1021" s="414"/>
    </row>
    <row r="1022">
      <c r="B1022" s="374"/>
      <c r="C1022" s="374"/>
      <c r="D1022" s="412"/>
      <c r="E1022" s="412"/>
      <c r="F1022" s="412"/>
      <c r="G1022" s="412"/>
      <c r="H1022" s="412"/>
      <c r="I1022" s="412"/>
      <c r="J1022" s="412"/>
      <c r="K1022" s="412"/>
      <c r="L1022" s="413"/>
      <c r="M1022" s="412"/>
      <c r="N1022" s="413"/>
      <c r="O1022" s="413"/>
      <c r="P1022" s="412"/>
      <c r="Q1022" s="414"/>
      <c r="R1022" s="41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14.13"/>
    <col customWidth="1" min="4" max="4" width="13.0"/>
    <col customWidth="1" min="5" max="5" width="13.63"/>
    <col customWidth="1" min="6" max="6" width="14.25"/>
    <col customWidth="1" min="9" max="9" width="17.75"/>
    <col customWidth="1" min="10" max="11" width="14.88"/>
  </cols>
  <sheetData>
    <row r="1">
      <c r="A1" s="416" t="s">
        <v>107</v>
      </c>
      <c r="B1" s="416" t="s">
        <v>458</v>
      </c>
      <c r="C1" s="417" t="s">
        <v>589</v>
      </c>
      <c r="D1" s="418" t="s">
        <v>614</v>
      </c>
      <c r="E1" s="417" t="s">
        <v>1366</v>
      </c>
      <c r="F1" s="417" t="s">
        <v>1367</v>
      </c>
      <c r="G1" s="416" t="s">
        <v>1368</v>
      </c>
      <c r="H1" s="416" t="s">
        <v>1369</v>
      </c>
      <c r="I1" s="419" t="s">
        <v>1370</v>
      </c>
      <c r="J1" s="420" t="s">
        <v>1371</v>
      </c>
      <c r="K1" s="420" t="s">
        <v>470</v>
      </c>
    </row>
    <row r="2">
      <c r="A2" s="421">
        <v>20.0</v>
      </c>
      <c r="B2" s="21">
        <f t="shared" ref="B2:B82" si="1">Max(0,((max(A2-20,0)*((A2-20)+1))/2)/100)*(2+Max(0,(A2-35)*0.2))</f>
        <v>0</v>
      </c>
      <c r="C2" s="422">
        <f t="shared" ref="C2:C82" si="2">1/Max(1,B2*0.2)</f>
        <v>1</v>
      </c>
      <c r="D2" s="423">
        <f t="shared" ref="D2:D82" si="3">1/(1+B2*1)</f>
        <v>1</v>
      </c>
      <c r="E2" s="422">
        <f t="shared" ref="E2:E82" si="4">1/max(1,B2)</f>
        <v>1</v>
      </c>
      <c r="F2" s="422">
        <f t="shared" ref="F2:F82" si="5">(1+B2)</f>
        <v>1</v>
      </c>
      <c r="G2" s="422">
        <f t="shared" ref="G2:G66" si="6">(1+B2*2.25)</f>
        <v>1</v>
      </c>
      <c r="H2" s="422">
        <f t="shared" ref="H2:H82" si="7">Min(1+B2/13.33,2.75)</f>
        <v>1</v>
      </c>
      <c r="I2" s="424">
        <f t="shared" ref="I2:I82" si="8">B2/5</f>
        <v>0</v>
      </c>
      <c r="J2" s="425">
        <f t="shared" ref="J2:J82" si="9">Rounddown(max(1,0.4*A2*POW(1+B2,0.5)),0)-Rounddown(max(1,0.4*A2),0)</f>
        <v>0</v>
      </c>
      <c r="K2" s="425">
        <f t="shared" ref="K2:K82" si="10">A2+Rounddown(max(1,0.4*A2*(1+B2)^0.5),0)</f>
        <v>28</v>
      </c>
      <c r="L2" s="425"/>
    </row>
    <row r="3">
      <c r="A3" s="421">
        <v>21.0</v>
      </c>
      <c r="B3" s="21">
        <f t="shared" si="1"/>
        <v>0.02</v>
      </c>
      <c r="C3" s="422">
        <f t="shared" si="2"/>
        <v>1</v>
      </c>
      <c r="D3" s="423">
        <f t="shared" si="3"/>
        <v>0.9803921569</v>
      </c>
      <c r="E3" s="422">
        <f t="shared" si="4"/>
        <v>1</v>
      </c>
      <c r="F3" s="422">
        <f t="shared" si="5"/>
        <v>1.02</v>
      </c>
      <c r="G3" s="422">
        <f t="shared" si="6"/>
        <v>1.045</v>
      </c>
      <c r="H3" s="422">
        <f t="shared" si="7"/>
        <v>1.001500375</v>
      </c>
      <c r="I3" s="424">
        <f t="shared" si="8"/>
        <v>0.004</v>
      </c>
      <c r="J3" s="425">
        <f t="shared" si="9"/>
        <v>0</v>
      </c>
      <c r="K3" s="425">
        <f t="shared" si="10"/>
        <v>29</v>
      </c>
    </row>
    <row r="4">
      <c r="A4" s="421">
        <v>22.0</v>
      </c>
      <c r="B4" s="21">
        <f t="shared" si="1"/>
        <v>0.06</v>
      </c>
      <c r="C4" s="422">
        <f t="shared" si="2"/>
        <v>1</v>
      </c>
      <c r="D4" s="423">
        <f t="shared" si="3"/>
        <v>0.9433962264</v>
      </c>
      <c r="E4" s="422">
        <f t="shared" si="4"/>
        <v>1</v>
      </c>
      <c r="F4" s="422">
        <f t="shared" si="5"/>
        <v>1.06</v>
      </c>
      <c r="G4" s="422">
        <f t="shared" si="6"/>
        <v>1.135</v>
      </c>
      <c r="H4" s="422">
        <f t="shared" si="7"/>
        <v>1.004501125</v>
      </c>
      <c r="I4" s="424">
        <f t="shared" si="8"/>
        <v>0.012</v>
      </c>
      <c r="J4" s="425">
        <f t="shared" si="9"/>
        <v>1</v>
      </c>
      <c r="K4" s="425">
        <f t="shared" si="10"/>
        <v>31</v>
      </c>
    </row>
    <row r="5">
      <c r="A5" s="421">
        <v>23.0</v>
      </c>
      <c r="B5" s="21">
        <f t="shared" si="1"/>
        <v>0.12</v>
      </c>
      <c r="C5" s="422">
        <f t="shared" si="2"/>
        <v>1</v>
      </c>
      <c r="D5" s="423">
        <f t="shared" si="3"/>
        <v>0.8928571429</v>
      </c>
      <c r="E5" s="422">
        <f t="shared" si="4"/>
        <v>1</v>
      </c>
      <c r="F5" s="422">
        <f t="shared" si="5"/>
        <v>1.12</v>
      </c>
      <c r="G5" s="422">
        <f t="shared" si="6"/>
        <v>1.27</v>
      </c>
      <c r="H5" s="422">
        <f t="shared" si="7"/>
        <v>1.009002251</v>
      </c>
      <c r="I5" s="424">
        <f t="shared" si="8"/>
        <v>0.024</v>
      </c>
      <c r="J5" s="425">
        <f t="shared" si="9"/>
        <v>0</v>
      </c>
      <c r="K5" s="425">
        <f t="shared" si="10"/>
        <v>32</v>
      </c>
    </row>
    <row r="6">
      <c r="A6" s="421">
        <v>24.0</v>
      </c>
      <c r="B6" s="21">
        <f t="shared" si="1"/>
        <v>0.2</v>
      </c>
      <c r="C6" s="422">
        <f t="shared" si="2"/>
        <v>1</v>
      </c>
      <c r="D6" s="423">
        <f t="shared" si="3"/>
        <v>0.8333333333</v>
      </c>
      <c r="E6" s="422">
        <f t="shared" si="4"/>
        <v>1</v>
      </c>
      <c r="F6" s="422">
        <f t="shared" si="5"/>
        <v>1.2</v>
      </c>
      <c r="G6" s="422">
        <f t="shared" si="6"/>
        <v>1.45</v>
      </c>
      <c r="H6" s="422">
        <f t="shared" si="7"/>
        <v>1.015003751</v>
      </c>
      <c r="I6" s="424">
        <f t="shared" si="8"/>
        <v>0.04</v>
      </c>
      <c r="J6" s="425">
        <f t="shared" si="9"/>
        <v>1</v>
      </c>
      <c r="K6" s="425">
        <f t="shared" si="10"/>
        <v>34</v>
      </c>
    </row>
    <row r="7">
      <c r="A7" s="421">
        <v>25.0</v>
      </c>
      <c r="B7" s="21">
        <f t="shared" si="1"/>
        <v>0.3</v>
      </c>
      <c r="C7" s="422">
        <f t="shared" si="2"/>
        <v>1</v>
      </c>
      <c r="D7" s="423">
        <f t="shared" si="3"/>
        <v>0.7692307692</v>
      </c>
      <c r="E7" s="422">
        <f t="shared" si="4"/>
        <v>1</v>
      </c>
      <c r="F7" s="422">
        <f t="shared" si="5"/>
        <v>1.3</v>
      </c>
      <c r="G7" s="422">
        <f t="shared" si="6"/>
        <v>1.675</v>
      </c>
      <c r="H7" s="422">
        <f t="shared" si="7"/>
        <v>1.022505626</v>
      </c>
      <c r="I7" s="424">
        <f t="shared" si="8"/>
        <v>0.06</v>
      </c>
      <c r="J7" s="425">
        <f t="shared" si="9"/>
        <v>1</v>
      </c>
      <c r="K7" s="425">
        <f t="shared" si="10"/>
        <v>36</v>
      </c>
    </row>
    <row r="8">
      <c r="A8" s="421">
        <v>26.0</v>
      </c>
      <c r="B8" s="21">
        <f t="shared" si="1"/>
        <v>0.42</v>
      </c>
      <c r="C8" s="422">
        <f t="shared" si="2"/>
        <v>1</v>
      </c>
      <c r="D8" s="423">
        <f t="shared" si="3"/>
        <v>0.7042253521</v>
      </c>
      <c r="E8" s="422">
        <f t="shared" si="4"/>
        <v>1</v>
      </c>
      <c r="F8" s="422">
        <f t="shared" si="5"/>
        <v>1.42</v>
      </c>
      <c r="G8" s="422">
        <f t="shared" si="6"/>
        <v>1.945</v>
      </c>
      <c r="H8" s="422">
        <f t="shared" si="7"/>
        <v>1.031507877</v>
      </c>
      <c r="I8" s="424">
        <f t="shared" si="8"/>
        <v>0.084</v>
      </c>
      <c r="J8" s="425">
        <f t="shared" si="9"/>
        <v>2</v>
      </c>
      <c r="K8" s="425">
        <f t="shared" si="10"/>
        <v>38</v>
      </c>
    </row>
    <row r="9">
      <c r="A9" s="421">
        <v>27.0</v>
      </c>
      <c r="B9" s="21">
        <f t="shared" si="1"/>
        <v>0.56</v>
      </c>
      <c r="C9" s="422">
        <f t="shared" si="2"/>
        <v>1</v>
      </c>
      <c r="D9" s="423">
        <f t="shared" si="3"/>
        <v>0.641025641</v>
      </c>
      <c r="E9" s="422">
        <f t="shared" si="4"/>
        <v>1</v>
      </c>
      <c r="F9" s="422">
        <f t="shared" si="5"/>
        <v>1.56</v>
      </c>
      <c r="G9" s="422">
        <f t="shared" si="6"/>
        <v>2.26</v>
      </c>
      <c r="H9" s="422">
        <f t="shared" si="7"/>
        <v>1.042010503</v>
      </c>
      <c r="I9" s="424">
        <f t="shared" si="8"/>
        <v>0.112</v>
      </c>
      <c r="J9" s="425">
        <f t="shared" si="9"/>
        <v>3</v>
      </c>
      <c r="K9" s="425">
        <f t="shared" si="10"/>
        <v>40</v>
      </c>
    </row>
    <row r="10">
      <c r="A10" s="421">
        <v>28.0</v>
      </c>
      <c r="B10" s="21">
        <f t="shared" si="1"/>
        <v>0.72</v>
      </c>
      <c r="C10" s="422">
        <f t="shared" si="2"/>
        <v>1</v>
      </c>
      <c r="D10" s="423">
        <f t="shared" si="3"/>
        <v>0.5813953488</v>
      </c>
      <c r="E10" s="422">
        <f t="shared" si="4"/>
        <v>1</v>
      </c>
      <c r="F10" s="422">
        <f t="shared" si="5"/>
        <v>1.72</v>
      </c>
      <c r="G10" s="422">
        <f t="shared" si="6"/>
        <v>2.62</v>
      </c>
      <c r="H10" s="422">
        <f t="shared" si="7"/>
        <v>1.054013503</v>
      </c>
      <c r="I10" s="424">
        <f t="shared" si="8"/>
        <v>0.144</v>
      </c>
      <c r="J10" s="425">
        <f t="shared" si="9"/>
        <v>3</v>
      </c>
      <c r="K10" s="425">
        <f t="shared" si="10"/>
        <v>42</v>
      </c>
    </row>
    <row r="11">
      <c r="A11" s="421">
        <v>29.0</v>
      </c>
      <c r="B11" s="21">
        <f t="shared" si="1"/>
        <v>0.9</v>
      </c>
      <c r="C11" s="422">
        <f t="shared" si="2"/>
        <v>1</v>
      </c>
      <c r="D11" s="423">
        <f t="shared" si="3"/>
        <v>0.5263157895</v>
      </c>
      <c r="E11" s="422">
        <f t="shared" si="4"/>
        <v>1</v>
      </c>
      <c r="F11" s="422">
        <f t="shared" si="5"/>
        <v>1.9</v>
      </c>
      <c r="G11" s="422">
        <f t="shared" si="6"/>
        <v>3.025</v>
      </c>
      <c r="H11" s="422">
        <f t="shared" si="7"/>
        <v>1.067516879</v>
      </c>
      <c r="I11" s="424">
        <f t="shared" si="8"/>
        <v>0.18</v>
      </c>
      <c r="J11" s="425">
        <f t="shared" si="9"/>
        <v>4</v>
      </c>
      <c r="K11" s="425">
        <f t="shared" si="10"/>
        <v>44</v>
      </c>
    </row>
    <row r="12">
      <c r="A12" s="421">
        <v>30.0</v>
      </c>
      <c r="B12" s="21">
        <f t="shared" si="1"/>
        <v>1.1</v>
      </c>
      <c r="C12" s="422">
        <f t="shared" si="2"/>
        <v>1</v>
      </c>
      <c r="D12" s="423">
        <f t="shared" si="3"/>
        <v>0.4761904762</v>
      </c>
      <c r="E12" s="422">
        <f t="shared" si="4"/>
        <v>0.9090909091</v>
      </c>
      <c r="F12" s="422">
        <f t="shared" si="5"/>
        <v>2.1</v>
      </c>
      <c r="G12" s="422">
        <f t="shared" si="6"/>
        <v>3.475</v>
      </c>
      <c r="H12" s="422">
        <f t="shared" si="7"/>
        <v>1.08252063</v>
      </c>
      <c r="I12" s="424">
        <f t="shared" si="8"/>
        <v>0.22</v>
      </c>
      <c r="J12" s="425">
        <f t="shared" si="9"/>
        <v>5</v>
      </c>
      <c r="K12" s="425">
        <f t="shared" si="10"/>
        <v>47</v>
      </c>
    </row>
    <row r="13">
      <c r="A13" s="421">
        <v>31.0</v>
      </c>
      <c r="B13" s="21">
        <f t="shared" si="1"/>
        <v>1.32</v>
      </c>
      <c r="C13" s="422">
        <f t="shared" si="2"/>
        <v>1</v>
      </c>
      <c r="D13" s="423">
        <f t="shared" si="3"/>
        <v>0.4310344828</v>
      </c>
      <c r="E13" s="422">
        <f t="shared" si="4"/>
        <v>0.7575757576</v>
      </c>
      <c r="F13" s="422">
        <f t="shared" si="5"/>
        <v>2.32</v>
      </c>
      <c r="G13" s="422">
        <f t="shared" si="6"/>
        <v>3.97</v>
      </c>
      <c r="H13" s="422">
        <f t="shared" si="7"/>
        <v>1.099024756</v>
      </c>
      <c r="I13" s="424">
        <f t="shared" si="8"/>
        <v>0.264</v>
      </c>
      <c r="J13" s="425">
        <f t="shared" si="9"/>
        <v>6</v>
      </c>
      <c r="K13" s="425">
        <f t="shared" si="10"/>
        <v>49</v>
      </c>
    </row>
    <row r="14">
      <c r="A14" s="421">
        <v>32.0</v>
      </c>
      <c r="B14" s="21">
        <f t="shared" si="1"/>
        <v>1.56</v>
      </c>
      <c r="C14" s="422">
        <f t="shared" si="2"/>
        <v>1</v>
      </c>
      <c r="D14" s="423">
        <f t="shared" si="3"/>
        <v>0.390625</v>
      </c>
      <c r="E14" s="422">
        <f t="shared" si="4"/>
        <v>0.641025641</v>
      </c>
      <c r="F14" s="422">
        <f t="shared" si="5"/>
        <v>2.56</v>
      </c>
      <c r="G14" s="422">
        <f t="shared" si="6"/>
        <v>4.51</v>
      </c>
      <c r="H14" s="422">
        <f t="shared" si="7"/>
        <v>1.117029257</v>
      </c>
      <c r="I14" s="424">
        <f t="shared" si="8"/>
        <v>0.312</v>
      </c>
      <c r="J14" s="425">
        <f t="shared" si="9"/>
        <v>8</v>
      </c>
      <c r="K14" s="425">
        <f t="shared" si="10"/>
        <v>52</v>
      </c>
    </row>
    <row r="15">
      <c r="A15" s="421">
        <v>33.0</v>
      </c>
      <c r="B15" s="21">
        <f t="shared" si="1"/>
        <v>1.82</v>
      </c>
      <c r="C15" s="422">
        <f t="shared" si="2"/>
        <v>1</v>
      </c>
      <c r="D15" s="423">
        <f t="shared" si="3"/>
        <v>0.3546099291</v>
      </c>
      <c r="E15" s="422">
        <f t="shared" si="4"/>
        <v>0.5494505495</v>
      </c>
      <c r="F15" s="422">
        <f t="shared" si="5"/>
        <v>2.82</v>
      </c>
      <c r="G15" s="422">
        <f t="shared" si="6"/>
        <v>5.095</v>
      </c>
      <c r="H15" s="422">
        <f t="shared" si="7"/>
        <v>1.136534134</v>
      </c>
      <c r="I15" s="424">
        <f t="shared" si="8"/>
        <v>0.364</v>
      </c>
      <c r="J15" s="425">
        <f t="shared" si="9"/>
        <v>9</v>
      </c>
      <c r="K15" s="425">
        <f t="shared" si="10"/>
        <v>55</v>
      </c>
    </row>
    <row r="16">
      <c r="A16" s="421">
        <v>34.0</v>
      </c>
      <c r="B16" s="21">
        <f t="shared" si="1"/>
        <v>2.1</v>
      </c>
      <c r="C16" s="422">
        <f t="shared" si="2"/>
        <v>1</v>
      </c>
      <c r="D16" s="423">
        <f t="shared" si="3"/>
        <v>0.3225806452</v>
      </c>
      <c r="E16" s="422">
        <f t="shared" si="4"/>
        <v>0.4761904762</v>
      </c>
      <c r="F16" s="422">
        <f t="shared" si="5"/>
        <v>3.1</v>
      </c>
      <c r="G16" s="422">
        <f t="shared" si="6"/>
        <v>5.725</v>
      </c>
      <c r="H16" s="422">
        <f t="shared" si="7"/>
        <v>1.157539385</v>
      </c>
      <c r="I16" s="424">
        <f t="shared" si="8"/>
        <v>0.42</v>
      </c>
      <c r="J16" s="425">
        <f t="shared" si="9"/>
        <v>10</v>
      </c>
      <c r="K16" s="425">
        <f t="shared" si="10"/>
        <v>57</v>
      </c>
    </row>
    <row r="17">
      <c r="A17" s="421">
        <v>35.0</v>
      </c>
      <c r="B17" s="21">
        <f t="shared" si="1"/>
        <v>2.4</v>
      </c>
      <c r="C17" s="422">
        <f t="shared" si="2"/>
        <v>1</v>
      </c>
      <c r="D17" s="423">
        <f t="shared" si="3"/>
        <v>0.2941176471</v>
      </c>
      <c r="E17" s="422">
        <f t="shared" si="4"/>
        <v>0.4166666667</v>
      </c>
      <c r="F17" s="422">
        <f t="shared" si="5"/>
        <v>3.4</v>
      </c>
      <c r="G17" s="422">
        <f t="shared" si="6"/>
        <v>6.4</v>
      </c>
      <c r="H17" s="422">
        <f t="shared" si="7"/>
        <v>1.180045011</v>
      </c>
      <c r="I17" s="424">
        <f t="shared" si="8"/>
        <v>0.48</v>
      </c>
      <c r="J17" s="425">
        <f t="shared" si="9"/>
        <v>11</v>
      </c>
      <c r="K17" s="425">
        <f t="shared" si="10"/>
        <v>60</v>
      </c>
    </row>
    <row r="18">
      <c r="A18" s="421">
        <v>36.0</v>
      </c>
      <c r="B18" s="21">
        <f t="shared" si="1"/>
        <v>2.992</v>
      </c>
      <c r="C18" s="422">
        <f t="shared" si="2"/>
        <v>1</v>
      </c>
      <c r="D18" s="423">
        <f t="shared" si="3"/>
        <v>0.250501002</v>
      </c>
      <c r="E18" s="422">
        <f t="shared" si="4"/>
        <v>0.3342245989</v>
      </c>
      <c r="F18" s="422">
        <f t="shared" si="5"/>
        <v>3.992</v>
      </c>
      <c r="G18" s="422">
        <f t="shared" si="6"/>
        <v>7.732</v>
      </c>
      <c r="H18" s="422">
        <f t="shared" si="7"/>
        <v>1.224456114</v>
      </c>
      <c r="I18" s="424">
        <f t="shared" si="8"/>
        <v>0.5984</v>
      </c>
      <c r="J18" s="425">
        <f t="shared" si="9"/>
        <v>14</v>
      </c>
      <c r="K18" s="425">
        <f t="shared" si="10"/>
        <v>64</v>
      </c>
    </row>
    <row r="19">
      <c r="A19" s="421">
        <v>37.0</v>
      </c>
      <c r="B19" s="21">
        <f t="shared" si="1"/>
        <v>3.672</v>
      </c>
      <c r="C19" s="422">
        <f t="shared" si="2"/>
        <v>1</v>
      </c>
      <c r="D19" s="423">
        <f t="shared" si="3"/>
        <v>0.2140410959</v>
      </c>
      <c r="E19" s="422">
        <f t="shared" si="4"/>
        <v>0.2723311547</v>
      </c>
      <c r="F19" s="422">
        <f t="shared" si="5"/>
        <v>4.672</v>
      </c>
      <c r="G19" s="422">
        <f t="shared" si="6"/>
        <v>9.262</v>
      </c>
      <c r="H19" s="422">
        <f t="shared" si="7"/>
        <v>1.275468867</v>
      </c>
      <c r="I19" s="424">
        <f t="shared" si="8"/>
        <v>0.7344</v>
      </c>
      <c r="J19" s="425">
        <f t="shared" si="9"/>
        <v>17</v>
      </c>
      <c r="K19" s="425">
        <f t="shared" si="10"/>
        <v>68</v>
      </c>
    </row>
    <row r="20">
      <c r="A20" s="421">
        <v>38.0</v>
      </c>
      <c r="B20" s="21">
        <f t="shared" si="1"/>
        <v>4.446</v>
      </c>
      <c r="C20" s="422">
        <f t="shared" si="2"/>
        <v>1</v>
      </c>
      <c r="D20" s="423">
        <f t="shared" si="3"/>
        <v>0.1836210062</v>
      </c>
      <c r="E20" s="422">
        <f t="shared" si="4"/>
        <v>0.2249212776</v>
      </c>
      <c r="F20" s="422">
        <f t="shared" si="5"/>
        <v>5.446</v>
      </c>
      <c r="G20" s="422">
        <f t="shared" si="6"/>
        <v>11.0035</v>
      </c>
      <c r="H20" s="422">
        <f t="shared" si="7"/>
        <v>1.333533383</v>
      </c>
      <c r="I20" s="424">
        <f t="shared" si="8"/>
        <v>0.8892</v>
      </c>
      <c r="J20" s="425">
        <f t="shared" si="9"/>
        <v>20</v>
      </c>
      <c r="K20" s="425">
        <f t="shared" si="10"/>
        <v>73</v>
      </c>
    </row>
    <row r="21">
      <c r="A21" s="421">
        <v>39.0</v>
      </c>
      <c r="B21" s="21">
        <f t="shared" si="1"/>
        <v>5.32</v>
      </c>
      <c r="C21" s="422">
        <f t="shared" si="2"/>
        <v>0.9398496241</v>
      </c>
      <c r="D21" s="423">
        <f t="shared" si="3"/>
        <v>0.1582278481</v>
      </c>
      <c r="E21" s="422">
        <f t="shared" si="4"/>
        <v>0.1879699248</v>
      </c>
      <c r="F21" s="422">
        <f t="shared" si="5"/>
        <v>6.32</v>
      </c>
      <c r="G21" s="422">
        <f t="shared" si="6"/>
        <v>12.97</v>
      </c>
      <c r="H21" s="422">
        <f t="shared" si="7"/>
        <v>1.399099775</v>
      </c>
      <c r="I21" s="424">
        <f t="shared" si="8"/>
        <v>1.064</v>
      </c>
      <c r="J21" s="425">
        <f t="shared" si="9"/>
        <v>24</v>
      </c>
      <c r="K21" s="425">
        <f t="shared" si="10"/>
        <v>78</v>
      </c>
    </row>
    <row r="22">
      <c r="A22" s="421">
        <v>40.0</v>
      </c>
      <c r="B22" s="21">
        <f t="shared" si="1"/>
        <v>6.3</v>
      </c>
      <c r="C22" s="422">
        <f t="shared" si="2"/>
        <v>0.7936507937</v>
      </c>
      <c r="D22" s="423">
        <f t="shared" si="3"/>
        <v>0.1369863014</v>
      </c>
      <c r="E22" s="422">
        <f t="shared" si="4"/>
        <v>0.1587301587</v>
      </c>
      <c r="F22" s="422">
        <f t="shared" si="5"/>
        <v>7.3</v>
      </c>
      <c r="G22" s="422">
        <f t="shared" si="6"/>
        <v>15.175</v>
      </c>
      <c r="H22" s="422">
        <f t="shared" si="7"/>
        <v>1.472618155</v>
      </c>
      <c r="I22" s="424">
        <f t="shared" si="8"/>
        <v>1.26</v>
      </c>
      <c r="J22" s="425">
        <f t="shared" si="9"/>
        <v>27</v>
      </c>
      <c r="K22" s="425">
        <f t="shared" si="10"/>
        <v>83</v>
      </c>
    </row>
    <row r="23">
      <c r="A23" s="421">
        <v>41.0</v>
      </c>
      <c r="B23" s="21">
        <f t="shared" si="1"/>
        <v>7.392</v>
      </c>
      <c r="C23" s="422">
        <f t="shared" si="2"/>
        <v>0.6764069264</v>
      </c>
      <c r="D23" s="423">
        <f t="shared" si="3"/>
        <v>0.1191611058</v>
      </c>
      <c r="E23" s="422">
        <f t="shared" si="4"/>
        <v>0.1352813853</v>
      </c>
      <c r="F23" s="422">
        <f t="shared" si="5"/>
        <v>8.392</v>
      </c>
      <c r="G23" s="422">
        <f t="shared" si="6"/>
        <v>17.632</v>
      </c>
      <c r="H23" s="422">
        <f t="shared" si="7"/>
        <v>1.554538635</v>
      </c>
      <c r="I23" s="424">
        <f t="shared" si="8"/>
        <v>1.4784</v>
      </c>
      <c r="J23" s="425">
        <f t="shared" si="9"/>
        <v>31</v>
      </c>
      <c r="K23" s="425">
        <f t="shared" si="10"/>
        <v>88</v>
      </c>
    </row>
    <row r="24">
      <c r="A24" s="421">
        <v>42.0</v>
      </c>
      <c r="B24" s="21">
        <f t="shared" si="1"/>
        <v>8.602</v>
      </c>
      <c r="C24" s="422">
        <f t="shared" si="2"/>
        <v>0.5812601721</v>
      </c>
      <c r="D24" s="423">
        <f t="shared" si="3"/>
        <v>0.1041449698</v>
      </c>
      <c r="E24" s="422">
        <f t="shared" si="4"/>
        <v>0.1162520344</v>
      </c>
      <c r="F24" s="422">
        <f t="shared" si="5"/>
        <v>9.602</v>
      </c>
      <c r="G24" s="422">
        <f t="shared" si="6"/>
        <v>20.3545</v>
      </c>
      <c r="H24" s="422">
        <f t="shared" si="7"/>
        <v>1.645311328</v>
      </c>
      <c r="I24" s="424">
        <f t="shared" si="8"/>
        <v>1.7204</v>
      </c>
      <c r="J24" s="425">
        <f t="shared" si="9"/>
        <v>36</v>
      </c>
      <c r="K24" s="425">
        <f t="shared" si="10"/>
        <v>94</v>
      </c>
    </row>
    <row r="25">
      <c r="A25" s="421">
        <v>43.0</v>
      </c>
      <c r="B25" s="21">
        <f t="shared" si="1"/>
        <v>9.936</v>
      </c>
      <c r="C25" s="422">
        <f t="shared" si="2"/>
        <v>0.5032206119</v>
      </c>
      <c r="D25" s="423">
        <f t="shared" si="3"/>
        <v>0.09144111192</v>
      </c>
      <c r="E25" s="422">
        <f t="shared" si="4"/>
        <v>0.1006441224</v>
      </c>
      <c r="F25" s="422">
        <f t="shared" si="5"/>
        <v>10.936</v>
      </c>
      <c r="G25" s="422">
        <f t="shared" si="6"/>
        <v>23.356</v>
      </c>
      <c r="H25" s="422">
        <f t="shared" si="7"/>
        <v>1.745386347</v>
      </c>
      <c r="I25" s="424">
        <f t="shared" si="8"/>
        <v>1.9872</v>
      </c>
      <c r="J25" s="425">
        <f t="shared" si="9"/>
        <v>39</v>
      </c>
      <c r="K25" s="425">
        <f t="shared" si="10"/>
        <v>99</v>
      </c>
    </row>
    <row r="26">
      <c r="A26" s="421">
        <v>44.0</v>
      </c>
      <c r="B26" s="21">
        <f t="shared" si="1"/>
        <v>11.4</v>
      </c>
      <c r="C26" s="422">
        <f t="shared" si="2"/>
        <v>0.4385964912</v>
      </c>
      <c r="D26" s="423">
        <f t="shared" si="3"/>
        <v>0.08064516129</v>
      </c>
      <c r="E26" s="422">
        <f t="shared" si="4"/>
        <v>0.08771929825</v>
      </c>
      <c r="F26" s="422">
        <f t="shared" si="5"/>
        <v>12.4</v>
      </c>
      <c r="G26" s="422">
        <f t="shared" si="6"/>
        <v>26.65</v>
      </c>
      <c r="H26" s="422">
        <f t="shared" si="7"/>
        <v>1.855213803</v>
      </c>
      <c r="I26" s="424">
        <f t="shared" si="8"/>
        <v>2.28</v>
      </c>
      <c r="J26" s="425">
        <f t="shared" si="9"/>
        <v>44</v>
      </c>
      <c r="K26" s="425">
        <f t="shared" si="10"/>
        <v>105</v>
      </c>
    </row>
    <row r="27">
      <c r="A27" s="421">
        <v>45.0</v>
      </c>
      <c r="B27" s="21">
        <f t="shared" si="1"/>
        <v>13</v>
      </c>
      <c r="C27" s="422">
        <f t="shared" si="2"/>
        <v>0.3846153846</v>
      </c>
      <c r="D27" s="423">
        <f t="shared" si="3"/>
        <v>0.07142857143</v>
      </c>
      <c r="E27" s="422">
        <f t="shared" si="4"/>
        <v>0.07692307692</v>
      </c>
      <c r="F27" s="422">
        <f t="shared" si="5"/>
        <v>14</v>
      </c>
      <c r="G27" s="422">
        <f t="shared" si="6"/>
        <v>30.25</v>
      </c>
      <c r="H27" s="422">
        <f t="shared" si="7"/>
        <v>1.975243811</v>
      </c>
      <c r="I27" s="424">
        <f t="shared" si="8"/>
        <v>2.6</v>
      </c>
      <c r="J27" s="425">
        <f t="shared" si="9"/>
        <v>49</v>
      </c>
      <c r="K27" s="425">
        <f t="shared" si="10"/>
        <v>112</v>
      </c>
    </row>
    <row r="28">
      <c r="A28" s="421">
        <v>46.0</v>
      </c>
      <c r="B28" s="21">
        <f t="shared" si="1"/>
        <v>14.742</v>
      </c>
      <c r="C28" s="422">
        <f t="shared" si="2"/>
        <v>0.3391670058</v>
      </c>
      <c r="D28" s="423">
        <f t="shared" si="3"/>
        <v>0.06352432982</v>
      </c>
      <c r="E28" s="422">
        <f t="shared" si="4"/>
        <v>0.06783340117</v>
      </c>
      <c r="F28" s="422">
        <f t="shared" si="5"/>
        <v>15.742</v>
      </c>
      <c r="G28" s="422">
        <f t="shared" si="6"/>
        <v>34.1695</v>
      </c>
      <c r="H28" s="422">
        <f t="shared" si="7"/>
        <v>2.105926482</v>
      </c>
      <c r="I28" s="424">
        <f t="shared" si="8"/>
        <v>2.9484</v>
      </c>
      <c r="J28" s="425">
        <f t="shared" si="9"/>
        <v>55</v>
      </c>
      <c r="K28" s="425">
        <f t="shared" si="10"/>
        <v>119</v>
      </c>
    </row>
    <row r="29">
      <c r="A29" s="421">
        <v>47.0</v>
      </c>
      <c r="B29" s="21">
        <f t="shared" si="1"/>
        <v>16.632</v>
      </c>
      <c r="C29" s="422">
        <f t="shared" si="2"/>
        <v>0.3006253006</v>
      </c>
      <c r="D29" s="423">
        <f t="shared" si="3"/>
        <v>0.05671506352</v>
      </c>
      <c r="E29" s="422">
        <f t="shared" si="4"/>
        <v>0.06012506013</v>
      </c>
      <c r="F29" s="422">
        <f t="shared" si="5"/>
        <v>17.632</v>
      </c>
      <c r="G29" s="422">
        <f t="shared" si="6"/>
        <v>38.422</v>
      </c>
      <c r="H29" s="422">
        <f t="shared" si="7"/>
        <v>2.247711928</v>
      </c>
      <c r="I29" s="424">
        <f t="shared" si="8"/>
        <v>3.3264</v>
      </c>
      <c r="J29" s="425">
        <f t="shared" si="9"/>
        <v>60</v>
      </c>
      <c r="K29" s="425">
        <f t="shared" si="10"/>
        <v>125</v>
      </c>
    </row>
    <row r="30">
      <c r="A30" s="421">
        <v>48.0</v>
      </c>
      <c r="B30" s="21">
        <f t="shared" si="1"/>
        <v>18.676</v>
      </c>
      <c r="C30" s="422">
        <f t="shared" si="2"/>
        <v>0.2677232812</v>
      </c>
      <c r="D30" s="423">
        <f t="shared" si="3"/>
        <v>0.05082333808</v>
      </c>
      <c r="E30" s="422">
        <f t="shared" si="4"/>
        <v>0.05354465624</v>
      </c>
      <c r="F30" s="422">
        <f t="shared" si="5"/>
        <v>19.676</v>
      </c>
      <c r="G30" s="422">
        <f t="shared" si="6"/>
        <v>43.021</v>
      </c>
      <c r="H30" s="422">
        <f t="shared" si="7"/>
        <v>2.401050263</v>
      </c>
      <c r="I30" s="424">
        <f t="shared" si="8"/>
        <v>3.7352</v>
      </c>
      <c r="J30" s="425">
        <f t="shared" si="9"/>
        <v>66</v>
      </c>
      <c r="K30" s="425">
        <f t="shared" si="10"/>
        <v>133</v>
      </c>
    </row>
    <row r="31">
      <c r="A31" s="421">
        <v>49.0</v>
      </c>
      <c r="B31" s="21">
        <f t="shared" si="1"/>
        <v>20.88</v>
      </c>
      <c r="C31" s="422">
        <f t="shared" si="2"/>
        <v>0.2394636015</v>
      </c>
      <c r="D31" s="423">
        <f t="shared" si="3"/>
        <v>0.04570383912</v>
      </c>
      <c r="E31" s="422">
        <f t="shared" si="4"/>
        <v>0.04789272031</v>
      </c>
      <c r="F31" s="422">
        <f t="shared" si="5"/>
        <v>21.88</v>
      </c>
      <c r="G31" s="422">
        <f t="shared" si="6"/>
        <v>47.98</v>
      </c>
      <c r="H31" s="422">
        <f t="shared" si="7"/>
        <v>2.566391598</v>
      </c>
      <c r="I31" s="424">
        <f t="shared" si="8"/>
        <v>4.176</v>
      </c>
      <c r="J31" s="425">
        <f t="shared" si="9"/>
        <v>72</v>
      </c>
      <c r="K31" s="425">
        <f t="shared" si="10"/>
        <v>140</v>
      </c>
    </row>
    <row r="32">
      <c r="A32" s="421">
        <v>50.0</v>
      </c>
      <c r="B32" s="21">
        <f t="shared" si="1"/>
        <v>23.25</v>
      </c>
      <c r="C32" s="422">
        <f t="shared" si="2"/>
        <v>0.2150537634</v>
      </c>
      <c r="D32" s="423">
        <f t="shared" si="3"/>
        <v>0.0412371134</v>
      </c>
      <c r="E32" s="422">
        <f t="shared" si="4"/>
        <v>0.04301075269</v>
      </c>
      <c r="F32" s="422">
        <f t="shared" si="5"/>
        <v>24.25</v>
      </c>
      <c r="G32" s="422">
        <f t="shared" si="6"/>
        <v>53.3125</v>
      </c>
      <c r="H32" s="422">
        <f t="shared" si="7"/>
        <v>2.744186047</v>
      </c>
      <c r="I32" s="424">
        <f t="shared" si="8"/>
        <v>4.65</v>
      </c>
      <c r="J32" s="425">
        <f t="shared" si="9"/>
        <v>78</v>
      </c>
      <c r="K32" s="425">
        <f t="shared" si="10"/>
        <v>148</v>
      </c>
    </row>
    <row r="33">
      <c r="A33" s="421">
        <v>55.0</v>
      </c>
      <c r="B33" s="21">
        <f t="shared" si="1"/>
        <v>37.8</v>
      </c>
      <c r="C33" s="422">
        <f t="shared" si="2"/>
        <v>0.1322751323</v>
      </c>
      <c r="D33" s="423">
        <f t="shared" si="3"/>
        <v>0.02577319588</v>
      </c>
      <c r="E33" s="422">
        <f t="shared" si="4"/>
        <v>0.02645502646</v>
      </c>
      <c r="F33" s="422">
        <f t="shared" si="5"/>
        <v>38.8</v>
      </c>
      <c r="G33" s="422">
        <f t="shared" si="6"/>
        <v>86.05</v>
      </c>
      <c r="H33" s="422">
        <f t="shared" si="7"/>
        <v>2.75</v>
      </c>
      <c r="I33" s="424">
        <f t="shared" si="8"/>
        <v>7.56</v>
      </c>
      <c r="J33" s="425">
        <f t="shared" si="9"/>
        <v>115</v>
      </c>
      <c r="K33" s="425">
        <f t="shared" si="10"/>
        <v>192</v>
      </c>
    </row>
    <row r="34">
      <c r="A34" s="421">
        <v>60.0</v>
      </c>
      <c r="B34" s="21">
        <f t="shared" si="1"/>
        <v>57.4</v>
      </c>
      <c r="C34" s="422">
        <f t="shared" si="2"/>
        <v>0.08710801394</v>
      </c>
      <c r="D34" s="423">
        <f t="shared" si="3"/>
        <v>0.01712328767</v>
      </c>
      <c r="E34" s="422">
        <f t="shared" si="4"/>
        <v>0.01742160279</v>
      </c>
      <c r="F34" s="422">
        <f t="shared" si="5"/>
        <v>58.4</v>
      </c>
      <c r="G34" s="422">
        <f t="shared" si="6"/>
        <v>130.15</v>
      </c>
      <c r="H34" s="422">
        <f t="shared" si="7"/>
        <v>2.75</v>
      </c>
      <c r="I34" s="424">
        <f t="shared" si="8"/>
        <v>11.48</v>
      </c>
      <c r="J34" s="425">
        <f t="shared" si="9"/>
        <v>159</v>
      </c>
      <c r="K34" s="425">
        <f t="shared" si="10"/>
        <v>243</v>
      </c>
    </row>
    <row r="35">
      <c r="A35" s="421">
        <v>65.0</v>
      </c>
      <c r="B35" s="21">
        <f t="shared" si="1"/>
        <v>82.8</v>
      </c>
      <c r="C35" s="422">
        <f t="shared" si="2"/>
        <v>0.06038647343</v>
      </c>
      <c r="D35" s="423">
        <f t="shared" si="3"/>
        <v>0.01193317422</v>
      </c>
      <c r="E35" s="422">
        <f t="shared" si="4"/>
        <v>0.01207729469</v>
      </c>
      <c r="F35" s="422">
        <f t="shared" si="5"/>
        <v>83.8</v>
      </c>
      <c r="G35" s="422">
        <f t="shared" si="6"/>
        <v>187.3</v>
      </c>
      <c r="H35" s="422">
        <f t="shared" si="7"/>
        <v>2.75</v>
      </c>
      <c r="I35" s="424">
        <f t="shared" si="8"/>
        <v>16.56</v>
      </c>
      <c r="J35" s="425">
        <f t="shared" si="9"/>
        <v>212</v>
      </c>
      <c r="K35" s="425">
        <f t="shared" si="10"/>
        <v>303</v>
      </c>
    </row>
    <row r="36">
      <c r="A36" s="421">
        <v>70.0</v>
      </c>
      <c r="B36" s="21">
        <f t="shared" si="1"/>
        <v>114.75</v>
      </c>
      <c r="C36" s="422">
        <f t="shared" si="2"/>
        <v>0.04357298475</v>
      </c>
      <c r="D36" s="423">
        <f t="shared" si="3"/>
        <v>0.008639308855</v>
      </c>
      <c r="E36" s="422">
        <f t="shared" si="4"/>
        <v>0.00871459695</v>
      </c>
      <c r="F36" s="422">
        <f t="shared" si="5"/>
        <v>115.75</v>
      </c>
      <c r="G36" s="422">
        <f t="shared" si="6"/>
        <v>259.1875</v>
      </c>
      <c r="H36" s="422">
        <f t="shared" si="7"/>
        <v>2.75</v>
      </c>
      <c r="I36" s="424">
        <f t="shared" si="8"/>
        <v>22.95</v>
      </c>
      <c r="J36" s="425">
        <f t="shared" si="9"/>
        <v>273</v>
      </c>
      <c r="K36" s="425">
        <f t="shared" si="10"/>
        <v>371</v>
      </c>
    </row>
    <row r="37">
      <c r="A37" s="421">
        <v>75.0</v>
      </c>
      <c r="B37" s="21">
        <f t="shared" si="1"/>
        <v>154</v>
      </c>
      <c r="C37" s="422">
        <f t="shared" si="2"/>
        <v>0.03246753247</v>
      </c>
      <c r="D37" s="423">
        <f t="shared" si="3"/>
        <v>0.006451612903</v>
      </c>
      <c r="E37" s="422">
        <f t="shared" si="4"/>
        <v>0.006493506494</v>
      </c>
      <c r="F37" s="422">
        <f t="shared" si="5"/>
        <v>155</v>
      </c>
      <c r="G37" s="422">
        <f t="shared" si="6"/>
        <v>347.5</v>
      </c>
      <c r="H37" s="422">
        <f t="shared" si="7"/>
        <v>2.75</v>
      </c>
      <c r="I37" s="424">
        <f t="shared" si="8"/>
        <v>30.8</v>
      </c>
      <c r="J37" s="425">
        <f t="shared" si="9"/>
        <v>343</v>
      </c>
      <c r="K37" s="425">
        <f t="shared" si="10"/>
        <v>448</v>
      </c>
    </row>
    <row r="38">
      <c r="A38" s="421">
        <v>80.0</v>
      </c>
      <c r="B38" s="21">
        <f t="shared" si="1"/>
        <v>201.3</v>
      </c>
      <c r="C38" s="422">
        <f t="shared" si="2"/>
        <v>0.02483854943</v>
      </c>
      <c r="D38" s="423">
        <f t="shared" si="3"/>
        <v>0.004943153732</v>
      </c>
      <c r="E38" s="422">
        <f t="shared" si="4"/>
        <v>0.004967709886</v>
      </c>
      <c r="F38" s="422">
        <f t="shared" si="5"/>
        <v>202.3</v>
      </c>
      <c r="G38" s="422">
        <f t="shared" si="6"/>
        <v>453.925</v>
      </c>
      <c r="H38" s="422">
        <f t="shared" si="7"/>
        <v>2.75</v>
      </c>
      <c r="I38" s="424">
        <f t="shared" si="8"/>
        <v>40.26</v>
      </c>
      <c r="J38" s="425">
        <f t="shared" si="9"/>
        <v>423</v>
      </c>
      <c r="K38" s="425">
        <f t="shared" si="10"/>
        <v>535</v>
      </c>
    </row>
    <row r="39">
      <c r="A39" s="421">
        <v>85.0</v>
      </c>
      <c r="B39" s="21">
        <f t="shared" si="1"/>
        <v>257.4</v>
      </c>
      <c r="C39" s="422">
        <f t="shared" si="2"/>
        <v>0.01942501943</v>
      </c>
      <c r="D39" s="423">
        <f t="shared" si="3"/>
        <v>0.00386996904</v>
      </c>
      <c r="E39" s="422">
        <f t="shared" si="4"/>
        <v>0.003885003885</v>
      </c>
      <c r="F39" s="422">
        <f t="shared" si="5"/>
        <v>258.4</v>
      </c>
      <c r="G39" s="422">
        <f t="shared" si="6"/>
        <v>580.15</v>
      </c>
      <c r="H39" s="422">
        <f t="shared" si="7"/>
        <v>2.75</v>
      </c>
      <c r="I39" s="424">
        <f t="shared" si="8"/>
        <v>51.48</v>
      </c>
      <c r="J39" s="425">
        <f t="shared" si="9"/>
        <v>512</v>
      </c>
      <c r="K39" s="425">
        <f t="shared" si="10"/>
        <v>631</v>
      </c>
    </row>
    <row r="40">
      <c r="A40" s="421">
        <v>90.0</v>
      </c>
      <c r="B40" s="21">
        <f t="shared" si="1"/>
        <v>323.05</v>
      </c>
      <c r="C40" s="422">
        <f t="shared" si="2"/>
        <v>0.01547748027</v>
      </c>
      <c r="D40" s="423">
        <f t="shared" si="3"/>
        <v>0.003085943527</v>
      </c>
      <c r="E40" s="422">
        <f t="shared" si="4"/>
        <v>0.003095496053</v>
      </c>
      <c r="F40" s="422">
        <f t="shared" si="5"/>
        <v>324.05</v>
      </c>
      <c r="G40" s="422">
        <f t="shared" si="6"/>
        <v>727.8625</v>
      </c>
      <c r="H40" s="422">
        <f t="shared" si="7"/>
        <v>2.75</v>
      </c>
      <c r="I40" s="424">
        <f t="shared" si="8"/>
        <v>64.61</v>
      </c>
      <c r="J40" s="425">
        <f t="shared" si="9"/>
        <v>612</v>
      </c>
      <c r="K40" s="425">
        <f t="shared" si="10"/>
        <v>738</v>
      </c>
    </row>
    <row r="41">
      <c r="A41" s="421">
        <v>95.0</v>
      </c>
      <c r="B41" s="21">
        <f t="shared" si="1"/>
        <v>399</v>
      </c>
      <c r="C41" s="422">
        <f t="shared" si="2"/>
        <v>0.01253132832</v>
      </c>
      <c r="D41" s="423">
        <f t="shared" si="3"/>
        <v>0.0025</v>
      </c>
      <c r="E41" s="422">
        <f t="shared" si="4"/>
        <v>0.002506265664</v>
      </c>
      <c r="F41" s="422">
        <f t="shared" si="5"/>
        <v>400</v>
      </c>
      <c r="G41" s="422">
        <f t="shared" si="6"/>
        <v>898.75</v>
      </c>
      <c r="H41" s="422">
        <f t="shared" si="7"/>
        <v>2.75</v>
      </c>
      <c r="I41" s="424">
        <f t="shared" si="8"/>
        <v>79.8</v>
      </c>
      <c r="J41" s="425">
        <f t="shared" si="9"/>
        <v>722</v>
      </c>
      <c r="K41" s="425">
        <f t="shared" si="10"/>
        <v>855</v>
      </c>
    </row>
    <row r="42">
      <c r="A42" s="421">
        <v>100.0</v>
      </c>
      <c r="B42" s="21">
        <f t="shared" si="1"/>
        <v>486</v>
      </c>
      <c r="C42" s="422">
        <f t="shared" si="2"/>
        <v>0.01028806584</v>
      </c>
      <c r="D42" s="423">
        <f t="shared" si="3"/>
        <v>0.00205338809</v>
      </c>
      <c r="E42" s="422">
        <f t="shared" si="4"/>
        <v>0.002057613169</v>
      </c>
      <c r="F42" s="422">
        <f t="shared" si="5"/>
        <v>487</v>
      </c>
      <c r="G42" s="422">
        <f t="shared" si="6"/>
        <v>1094.5</v>
      </c>
      <c r="H42" s="422">
        <f t="shared" si="7"/>
        <v>2.75</v>
      </c>
      <c r="I42" s="424">
        <f t="shared" si="8"/>
        <v>97.2</v>
      </c>
      <c r="J42" s="425">
        <f t="shared" si="9"/>
        <v>842</v>
      </c>
      <c r="K42" s="425">
        <f t="shared" si="10"/>
        <v>982</v>
      </c>
    </row>
    <row r="43">
      <c r="A43" s="421">
        <v>110.0</v>
      </c>
      <c r="B43" s="21">
        <f t="shared" si="1"/>
        <v>696.15</v>
      </c>
      <c r="C43" s="422">
        <f t="shared" si="2"/>
        <v>0.007182360124</v>
      </c>
      <c r="D43" s="423">
        <f t="shared" si="3"/>
        <v>0.001434411533</v>
      </c>
      <c r="E43" s="422">
        <f t="shared" si="4"/>
        <v>0.001436472025</v>
      </c>
      <c r="F43" s="422">
        <f t="shared" si="5"/>
        <v>697.15</v>
      </c>
      <c r="G43" s="422">
        <f t="shared" si="6"/>
        <v>1567.3375</v>
      </c>
      <c r="H43" s="422">
        <f t="shared" si="7"/>
        <v>2.75</v>
      </c>
      <c r="I43" s="424">
        <f t="shared" si="8"/>
        <v>139.23</v>
      </c>
      <c r="J43" s="425">
        <f t="shared" si="9"/>
        <v>1117</v>
      </c>
      <c r="K43" s="425">
        <f t="shared" si="10"/>
        <v>1271</v>
      </c>
    </row>
    <row r="44">
      <c r="A44" s="421">
        <v>120.0</v>
      </c>
      <c r="B44" s="21">
        <f t="shared" si="1"/>
        <v>959.5</v>
      </c>
      <c r="C44" s="422">
        <f t="shared" si="2"/>
        <v>0.005211047421</v>
      </c>
      <c r="D44" s="423">
        <f t="shared" si="3"/>
        <v>0.001041124414</v>
      </c>
      <c r="E44" s="422">
        <f t="shared" si="4"/>
        <v>0.001042209484</v>
      </c>
      <c r="F44" s="422">
        <f t="shared" si="5"/>
        <v>960.5</v>
      </c>
      <c r="G44" s="422">
        <f t="shared" si="6"/>
        <v>2159.875</v>
      </c>
      <c r="H44" s="422">
        <f t="shared" si="7"/>
        <v>2.75</v>
      </c>
      <c r="I44" s="424">
        <f t="shared" si="8"/>
        <v>191.9</v>
      </c>
      <c r="J44" s="425">
        <f t="shared" si="9"/>
        <v>1439</v>
      </c>
      <c r="K44" s="425">
        <f t="shared" si="10"/>
        <v>1607</v>
      </c>
    </row>
    <row r="45">
      <c r="A45" s="421">
        <v>130.0</v>
      </c>
      <c r="B45" s="21">
        <f t="shared" si="1"/>
        <v>1282.05</v>
      </c>
      <c r="C45" s="422">
        <f t="shared" si="2"/>
        <v>0.0039000039</v>
      </c>
      <c r="D45" s="423">
        <f t="shared" si="3"/>
        <v>0.000779392853</v>
      </c>
      <c r="E45" s="422">
        <f t="shared" si="4"/>
        <v>0.00078000078</v>
      </c>
      <c r="F45" s="422">
        <f t="shared" si="5"/>
        <v>1283.05</v>
      </c>
      <c r="G45" s="422">
        <f t="shared" si="6"/>
        <v>2885.6125</v>
      </c>
      <c r="H45" s="422">
        <f t="shared" si="7"/>
        <v>2.75</v>
      </c>
      <c r="I45" s="424">
        <f t="shared" si="8"/>
        <v>256.41</v>
      </c>
      <c r="J45" s="425">
        <f t="shared" si="9"/>
        <v>1810</v>
      </c>
      <c r="K45" s="425">
        <f t="shared" si="10"/>
        <v>1992</v>
      </c>
    </row>
    <row r="46">
      <c r="A46" s="421">
        <v>140.0</v>
      </c>
      <c r="B46" s="21">
        <f t="shared" si="1"/>
        <v>1669.8</v>
      </c>
      <c r="C46" s="422">
        <f t="shared" si="2"/>
        <v>0.002994370583</v>
      </c>
      <c r="D46" s="423">
        <f t="shared" si="3"/>
        <v>0.0005985156811</v>
      </c>
      <c r="E46" s="422">
        <f t="shared" si="4"/>
        <v>0.0005988741167</v>
      </c>
      <c r="F46" s="422">
        <f t="shared" si="5"/>
        <v>1670.8</v>
      </c>
      <c r="G46" s="422">
        <f t="shared" si="6"/>
        <v>3758.05</v>
      </c>
      <c r="H46" s="422">
        <f t="shared" si="7"/>
        <v>2.75</v>
      </c>
      <c r="I46" s="424">
        <f t="shared" si="8"/>
        <v>333.96</v>
      </c>
      <c r="J46" s="425">
        <f t="shared" si="9"/>
        <v>2233</v>
      </c>
      <c r="K46" s="425">
        <f t="shared" si="10"/>
        <v>2429</v>
      </c>
    </row>
    <row r="47">
      <c r="A47" s="421">
        <v>150.0</v>
      </c>
      <c r="B47" s="21">
        <f t="shared" si="1"/>
        <v>2128.75</v>
      </c>
      <c r="C47" s="422">
        <f t="shared" si="2"/>
        <v>0.002348796242</v>
      </c>
      <c r="D47" s="423">
        <f t="shared" si="3"/>
        <v>0.0004695386782</v>
      </c>
      <c r="E47" s="422">
        <f t="shared" si="4"/>
        <v>0.0004697592484</v>
      </c>
      <c r="F47" s="422">
        <f t="shared" si="5"/>
        <v>2129.75</v>
      </c>
      <c r="G47" s="422">
        <f t="shared" si="6"/>
        <v>4790.6875</v>
      </c>
      <c r="H47" s="422">
        <f t="shared" si="7"/>
        <v>2.75</v>
      </c>
      <c r="I47" s="424">
        <f t="shared" si="8"/>
        <v>425.75</v>
      </c>
      <c r="J47" s="425">
        <f t="shared" si="9"/>
        <v>2708</v>
      </c>
      <c r="K47" s="425">
        <f t="shared" si="10"/>
        <v>2918</v>
      </c>
    </row>
    <row r="48">
      <c r="A48" s="421">
        <v>160.0</v>
      </c>
      <c r="B48" s="21">
        <f t="shared" si="1"/>
        <v>2664.9</v>
      </c>
      <c r="C48" s="422">
        <f t="shared" si="2"/>
        <v>0.001876243011</v>
      </c>
      <c r="D48" s="423">
        <f t="shared" si="3"/>
        <v>0.0003751078435</v>
      </c>
      <c r="E48" s="422">
        <f t="shared" si="4"/>
        <v>0.0003752486022</v>
      </c>
      <c r="F48" s="422">
        <f t="shared" si="5"/>
        <v>2665.9</v>
      </c>
      <c r="G48" s="422">
        <f t="shared" si="6"/>
        <v>5997.025</v>
      </c>
      <c r="H48" s="422">
        <f t="shared" si="7"/>
        <v>2.75</v>
      </c>
      <c r="I48" s="424">
        <f t="shared" si="8"/>
        <v>532.98</v>
      </c>
      <c r="J48" s="425">
        <f t="shared" si="9"/>
        <v>3240</v>
      </c>
      <c r="K48" s="425">
        <f t="shared" si="10"/>
        <v>3464</v>
      </c>
    </row>
    <row r="49">
      <c r="A49" s="421">
        <v>170.0</v>
      </c>
      <c r="B49" s="21">
        <f t="shared" si="1"/>
        <v>3284.25</v>
      </c>
      <c r="C49" s="422">
        <f t="shared" si="2"/>
        <v>0.001522417599</v>
      </c>
      <c r="D49" s="423">
        <f t="shared" si="3"/>
        <v>0.0003043908378</v>
      </c>
      <c r="E49" s="422">
        <f t="shared" si="4"/>
        <v>0.0003044835198</v>
      </c>
      <c r="F49" s="422">
        <f t="shared" si="5"/>
        <v>3285.25</v>
      </c>
      <c r="G49" s="422">
        <f t="shared" si="6"/>
        <v>7390.5625</v>
      </c>
      <c r="H49" s="422">
        <f t="shared" si="7"/>
        <v>2.75</v>
      </c>
      <c r="I49" s="424">
        <f t="shared" si="8"/>
        <v>656.85</v>
      </c>
      <c r="J49" s="425">
        <f t="shared" si="9"/>
        <v>3829</v>
      </c>
      <c r="K49" s="425">
        <f t="shared" si="10"/>
        <v>4067</v>
      </c>
    </row>
    <row r="50">
      <c r="A50" s="421">
        <v>180.0</v>
      </c>
      <c r="B50" s="21">
        <f t="shared" si="1"/>
        <v>3992.8</v>
      </c>
      <c r="C50" s="422">
        <f t="shared" si="2"/>
        <v>0.001252254057</v>
      </c>
      <c r="D50" s="423">
        <f t="shared" si="3"/>
        <v>0.0002503881016</v>
      </c>
      <c r="E50" s="422">
        <f t="shared" si="4"/>
        <v>0.0002504508115</v>
      </c>
      <c r="F50" s="422">
        <f t="shared" si="5"/>
        <v>3993.8</v>
      </c>
      <c r="G50" s="422">
        <f t="shared" si="6"/>
        <v>8984.8</v>
      </c>
      <c r="H50" s="422">
        <f t="shared" si="7"/>
        <v>2.75</v>
      </c>
      <c r="I50" s="424">
        <f t="shared" si="8"/>
        <v>798.56</v>
      </c>
      <c r="J50" s="425">
        <f t="shared" si="9"/>
        <v>4478</v>
      </c>
      <c r="K50" s="425">
        <f t="shared" si="10"/>
        <v>4730</v>
      </c>
    </row>
    <row r="51">
      <c r="A51" s="421">
        <v>190.0</v>
      </c>
      <c r="B51" s="21">
        <f t="shared" si="1"/>
        <v>4796.55</v>
      </c>
      <c r="C51" s="422">
        <f t="shared" si="2"/>
        <v>0.001042415903</v>
      </c>
      <c r="D51" s="423">
        <f t="shared" si="3"/>
        <v>0.0002084397244</v>
      </c>
      <c r="E51" s="422">
        <f t="shared" si="4"/>
        <v>0.0002084831806</v>
      </c>
      <c r="F51" s="422">
        <f t="shared" si="5"/>
        <v>4797.55</v>
      </c>
      <c r="G51" s="422">
        <f t="shared" si="6"/>
        <v>10793.2375</v>
      </c>
      <c r="H51" s="422">
        <f t="shared" si="7"/>
        <v>2.75</v>
      </c>
      <c r="I51" s="424">
        <f t="shared" si="8"/>
        <v>959.31</v>
      </c>
      <c r="J51" s="425">
        <f t="shared" si="9"/>
        <v>5188</v>
      </c>
      <c r="K51" s="425">
        <f t="shared" si="10"/>
        <v>5454</v>
      </c>
    </row>
    <row r="52">
      <c r="A52" s="421">
        <v>200.0</v>
      </c>
      <c r="B52" s="21">
        <f t="shared" si="1"/>
        <v>5701.5</v>
      </c>
      <c r="C52" s="422">
        <f t="shared" si="2"/>
        <v>0.0008769622029</v>
      </c>
      <c r="D52" s="423">
        <f t="shared" si="3"/>
        <v>0.0001753616835</v>
      </c>
      <c r="E52" s="422">
        <f t="shared" si="4"/>
        <v>0.0001753924406</v>
      </c>
      <c r="F52" s="422">
        <f t="shared" si="5"/>
        <v>5702.5</v>
      </c>
      <c r="G52" s="422">
        <f t="shared" si="6"/>
        <v>12829.375</v>
      </c>
      <c r="H52" s="422">
        <f t="shared" si="7"/>
        <v>2.75</v>
      </c>
      <c r="I52" s="424">
        <f t="shared" si="8"/>
        <v>1140.3</v>
      </c>
      <c r="J52" s="425">
        <f t="shared" si="9"/>
        <v>5961</v>
      </c>
      <c r="K52" s="425">
        <f t="shared" si="10"/>
        <v>6241</v>
      </c>
    </row>
    <row r="53">
      <c r="A53" s="421">
        <v>225.0</v>
      </c>
      <c r="B53" s="21">
        <f t="shared" si="1"/>
        <v>8446</v>
      </c>
      <c r="C53" s="422">
        <f t="shared" si="2"/>
        <v>0.0005919962112</v>
      </c>
      <c r="D53" s="423">
        <f t="shared" si="3"/>
        <v>0.0001183852255</v>
      </c>
      <c r="E53" s="422">
        <f t="shared" si="4"/>
        <v>0.0001183992422</v>
      </c>
      <c r="F53" s="422">
        <f t="shared" si="5"/>
        <v>8447</v>
      </c>
      <c r="G53" s="422">
        <f t="shared" si="6"/>
        <v>19004.5</v>
      </c>
      <c r="H53" s="422">
        <f t="shared" si="7"/>
        <v>2.75</v>
      </c>
      <c r="I53" s="424">
        <f t="shared" si="8"/>
        <v>1689.2</v>
      </c>
      <c r="J53" s="425">
        <f t="shared" si="9"/>
        <v>8181</v>
      </c>
      <c r="K53" s="425">
        <f t="shared" si="10"/>
        <v>8496</v>
      </c>
    </row>
    <row r="54">
      <c r="A54" s="421">
        <v>250.0</v>
      </c>
      <c r="B54" s="21">
        <f t="shared" si="1"/>
        <v>11954.25</v>
      </c>
      <c r="C54" s="422">
        <f t="shared" si="2"/>
        <v>0.0004182612878</v>
      </c>
      <c r="D54" s="423">
        <f t="shared" si="3"/>
        <v>0.00008364526045</v>
      </c>
      <c r="E54" s="422">
        <f t="shared" si="4"/>
        <v>0.00008365225757</v>
      </c>
      <c r="F54" s="422">
        <f t="shared" si="5"/>
        <v>11955.25</v>
      </c>
      <c r="G54" s="422">
        <f t="shared" si="6"/>
        <v>26898.0625</v>
      </c>
      <c r="H54" s="422">
        <f t="shared" si="7"/>
        <v>2.75</v>
      </c>
      <c r="I54" s="424">
        <f t="shared" si="8"/>
        <v>2390.85</v>
      </c>
      <c r="J54" s="425">
        <f t="shared" si="9"/>
        <v>10834</v>
      </c>
      <c r="K54" s="425">
        <f t="shared" si="10"/>
        <v>11184</v>
      </c>
    </row>
    <row r="55">
      <c r="A55" s="421">
        <v>275.0</v>
      </c>
      <c r="B55" s="21">
        <f t="shared" si="1"/>
        <v>16320</v>
      </c>
      <c r="C55" s="422">
        <f t="shared" si="2"/>
        <v>0.000306372549</v>
      </c>
      <c r="D55" s="423">
        <f t="shared" si="3"/>
        <v>0.00006127075547</v>
      </c>
      <c r="E55" s="422">
        <f t="shared" si="4"/>
        <v>0.0000612745098</v>
      </c>
      <c r="F55" s="422">
        <f t="shared" si="5"/>
        <v>16321</v>
      </c>
      <c r="G55" s="422">
        <f t="shared" si="6"/>
        <v>36721</v>
      </c>
      <c r="H55" s="422">
        <f t="shared" si="7"/>
        <v>2.75</v>
      </c>
      <c r="I55" s="424">
        <f t="shared" si="8"/>
        <v>3264</v>
      </c>
      <c r="J55" s="425">
        <f t="shared" si="9"/>
        <v>13942</v>
      </c>
      <c r="K55" s="425">
        <f t="shared" si="10"/>
        <v>14327</v>
      </c>
    </row>
    <row r="56">
      <c r="A56" s="421">
        <v>300.0</v>
      </c>
      <c r="B56" s="21">
        <f t="shared" si="1"/>
        <v>21637</v>
      </c>
      <c r="C56" s="422">
        <f t="shared" si="2"/>
        <v>0.0002310856403</v>
      </c>
      <c r="D56" s="423">
        <f t="shared" si="3"/>
        <v>0.00004621499214</v>
      </c>
      <c r="E56" s="422">
        <f t="shared" si="4"/>
        <v>0.00004621712807</v>
      </c>
      <c r="F56" s="422">
        <f t="shared" si="5"/>
        <v>21638</v>
      </c>
      <c r="G56" s="422">
        <f t="shared" si="6"/>
        <v>48684.25</v>
      </c>
      <c r="H56" s="422">
        <f t="shared" si="7"/>
        <v>2.75</v>
      </c>
      <c r="I56" s="424">
        <f t="shared" si="8"/>
        <v>4327.4</v>
      </c>
      <c r="J56" s="425">
        <f t="shared" si="9"/>
        <v>17531</v>
      </c>
      <c r="K56" s="425">
        <f t="shared" si="10"/>
        <v>17951</v>
      </c>
    </row>
    <row r="57">
      <c r="A57" s="421">
        <v>325.0</v>
      </c>
      <c r="B57" s="21">
        <f t="shared" si="1"/>
        <v>27999</v>
      </c>
      <c r="C57" s="422">
        <f t="shared" si="2"/>
        <v>0.0001785778064</v>
      </c>
      <c r="D57" s="423">
        <f t="shared" si="3"/>
        <v>0.00003571428571</v>
      </c>
      <c r="E57" s="422">
        <f t="shared" si="4"/>
        <v>0.00003571556127</v>
      </c>
      <c r="F57" s="422">
        <f t="shared" si="5"/>
        <v>28000</v>
      </c>
      <c r="G57" s="422">
        <f t="shared" si="6"/>
        <v>62998.75</v>
      </c>
      <c r="H57" s="422">
        <f t="shared" si="7"/>
        <v>2.75</v>
      </c>
      <c r="I57" s="424">
        <f t="shared" si="8"/>
        <v>5599.8</v>
      </c>
      <c r="J57" s="425">
        <f t="shared" si="9"/>
        <v>21623</v>
      </c>
      <c r="K57" s="425">
        <f t="shared" si="10"/>
        <v>22078</v>
      </c>
    </row>
    <row r="58">
      <c r="A58" s="421">
        <v>350.0</v>
      </c>
      <c r="B58" s="21">
        <f t="shared" si="1"/>
        <v>35499.75</v>
      </c>
      <c r="C58" s="422">
        <f t="shared" si="2"/>
        <v>0.0001408460623</v>
      </c>
      <c r="D58" s="423">
        <f t="shared" si="3"/>
        <v>0.00002816841898</v>
      </c>
      <c r="E58" s="422">
        <f t="shared" si="4"/>
        <v>0.00002816921246</v>
      </c>
      <c r="F58" s="422">
        <f t="shared" si="5"/>
        <v>35500.75</v>
      </c>
      <c r="G58" s="422">
        <f t="shared" si="6"/>
        <v>79875.4375</v>
      </c>
      <c r="H58" s="422">
        <f t="shared" si="7"/>
        <v>2.75</v>
      </c>
      <c r="I58" s="424">
        <f t="shared" si="8"/>
        <v>7099.95</v>
      </c>
      <c r="J58" s="425">
        <f t="shared" si="9"/>
        <v>26238</v>
      </c>
      <c r="K58" s="425">
        <f t="shared" si="10"/>
        <v>26728</v>
      </c>
    </row>
    <row r="59">
      <c r="A59" s="421">
        <v>375.0</v>
      </c>
      <c r="B59" s="21">
        <f t="shared" si="1"/>
        <v>44233</v>
      </c>
      <c r="C59" s="422">
        <f t="shared" si="2"/>
        <v>0.0001130377772</v>
      </c>
      <c r="D59" s="423">
        <f t="shared" si="3"/>
        <v>0.00002260704436</v>
      </c>
      <c r="E59" s="422">
        <f t="shared" si="4"/>
        <v>0.00002260755545</v>
      </c>
      <c r="F59" s="422">
        <f t="shared" si="5"/>
        <v>44234</v>
      </c>
      <c r="G59" s="422">
        <f t="shared" si="6"/>
        <v>99525.25</v>
      </c>
      <c r="H59" s="422">
        <f t="shared" si="7"/>
        <v>2.75</v>
      </c>
      <c r="I59" s="424">
        <f t="shared" si="8"/>
        <v>8846.6</v>
      </c>
      <c r="J59" s="425">
        <f t="shared" si="9"/>
        <v>31397</v>
      </c>
      <c r="K59" s="425">
        <f t="shared" si="10"/>
        <v>31922</v>
      </c>
    </row>
    <row r="60">
      <c r="A60" s="421">
        <v>400.0</v>
      </c>
      <c r="B60" s="21">
        <f t="shared" si="1"/>
        <v>54292.5</v>
      </c>
      <c r="C60" s="422">
        <f t="shared" si="2"/>
        <v>0.00009209375144</v>
      </c>
      <c r="D60" s="423">
        <f t="shared" si="3"/>
        <v>0.00001841841104</v>
      </c>
      <c r="E60" s="422">
        <f t="shared" si="4"/>
        <v>0.00001841875029</v>
      </c>
      <c r="F60" s="422">
        <f t="shared" si="5"/>
        <v>54293.5</v>
      </c>
      <c r="G60" s="422">
        <f t="shared" si="6"/>
        <v>122159.125</v>
      </c>
      <c r="H60" s="422">
        <f t="shared" si="7"/>
        <v>2.75</v>
      </c>
      <c r="I60" s="424">
        <f t="shared" si="8"/>
        <v>10858.5</v>
      </c>
      <c r="J60" s="425">
        <f t="shared" si="9"/>
        <v>37121</v>
      </c>
      <c r="K60" s="425">
        <f t="shared" si="10"/>
        <v>37681</v>
      </c>
    </row>
    <row r="61">
      <c r="A61" s="421">
        <v>500.0</v>
      </c>
      <c r="B61" s="21">
        <f t="shared" si="1"/>
        <v>109668</v>
      </c>
      <c r="C61" s="422">
        <f t="shared" si="2"/>
        <v>0.00004559215086</v>
      </c>
      <c r="D61" s="423">
        <f t="shared" si="3"/>
        <v>0.000009118347026</v>
      </c>
      <c r="E61" s="422">
        <f t="shared" si="4"/>
        <v>0.000009118430171</v>
      </c>
      <c r="F61" s="422">
        <f t="shared" si="5"/>
        <v>109669</v>
      </c>
      <c r="G61" s="422">
        <f t="shared" si="6"/>
        <v>246754</v>
      </c>
      <c r="H61" s="422">
        <f t="shared" si="7"/>
        <v>2.75</v>
      </c>
      <c r="I61" s="424">
        <f t="shared" si="8"/>
        <v>21933.6</v>
      </c>
      <c r="J61" s="425">
        <f t="shared" si="9"/>
        <v>66032</v>
      </c>
      <c r="K61" s="425">
        <f t="shared" si="10"/>
        <v>66732</v>
      </c>
    </row>
    <row r="62">
      <c r="A62" s="421">
        <v>600.0</v>
      </c>
      <c r="B62" s="21">
        <f t="shared" si="1"/>
        <v>193763.5</v>
      </c>
      <c r="C62" s="422">
        <f t="shared" si="2"/>
        <v>0.00002580465361</v>
      </c>
      <c r="D62" s="423">
        <f t="shared" si="3"/>
        <v>0.000005160904087</v>
      </c>
      <c r="E62" s="422">
        <f t="shared" si="4"/>
        <v>0.000005160930722</v>
      </c>
      <c r="F62" s="422">
        <f t="shared" si="5"/>
        <v>193764.5</v>
      </c>
      <c r="G62" s="422">
        <f t="shared" si="6"/>
        <v>435968.875</v>
      </c>
      <c r="H62" s="422">
        <f t="shared" si="7"/>
        <v>2.75</v>
      </c>
      <c r="I62" s="424">
        <f t="shared" si="8"/>
        <v>38752.7</v>
      </c>
      <c r="J62" s="425">
        <f t="shared" si="9"/>
        <v>105404</v>
      </c>
      <c r="K62" s="425">
        <f t="shared" si="10"/>
        <v>106244</v>
      </c>
    </row>
    <row r="63">
      <c r="A63" s="421">
        <v>700.0</v>
      </c>
      <c r="B63" s="21">
        <f t="shared" si="1"/>
        <v>312579</v>
      </c>
      <c r="C63" s="422">
        <f t="shared" si="2"/>
        <v>0.00001599595622</v>
      </c>
      <c r="D63" s="423">
        <f t="shared" si="3"/>
        <v>0.00000319918101</v>
      </c>
      <c r="E63" s="422">
        <f t="shared" si="4"/>
        <v>0.000003199191244</v>
      </c>
      <c r="F63" s="422">
        <f t="shared" si="5"/>
        <v>312580</v>
      </c>
      <c r="G63" s="422">
        <f t="shared" si="6"/>
        <v>703303.75</v>
      </c>
      <c r="H63" s="422">
        <f t="shared" si="7"/>
        <v>2.75</v>
      </c>
      <c r="I63" s="424">
        <f t="shared" si="8"/>
        <v>62515.8</v>
      </c>
      <c r="J63" s="425">
        <f t="shared" si="9"/>
        <v>156264</v>
      </c>
      <c r="K63" s="425">
        <f t="shared" si="10"/>
        <v>157244</v>
      </c>
    </row>
    <row r="64">
      <c r="A64" s="421">
        <v>800.0</v>
      </c>
      <c r="B64" s="21">
        <f t="shared" si="1"/>
        <v>472114.5</v>
      </c>
      <c r="C64" s="422">
        <f t="shared" si="2"/>
        <v>0.00001059065121</v>
      </c>
      <c r="D64" s="423">
        <f t="shared" si="3"/>
        <v>0.000002118125755</v>
      </c>
      <c r="E64" s="422">
        <f t="shared" si="4"/>
        <v>0.000002118130242</v>
      </c>
      <c r="F64" s="422">
        <f t="shared" si="5"/>
        <v>472115.5</v>
      </c>
      <c r="G64" s="422">
        <f t="shared" si="6"/>
        <v>1062258.625</v>
      </c>
      <c r="H64" s="422">
        <f t="shared" si="7"/>
        <v>2.75</v>
      </c>
      <c r="I64" s="424">
        <f t="shared" si="8"/>
        <v>94422.9</v>
      </c>
      <c r="J64" s="425">
        <f t="shared" si="9"/>
        <v>219554</v>
      </c>
      <c r="K64" s="425">
        <f t="shared" si="10"/>
        <v>220674</v>
      </c>
    </row>
    <row r="65">
      <c r="A65" s="421">
        <v>900.0</v>
      </c>
      <c r="B65" s="21">
        <f t="shared" si="1"/>
        <v>678370</v>
      </c>
      <c r="C65" s="422">
        <f t="shared" si="2"/>
        <v>0.00000737060896</v>
      </c>
      <c r="D65" s="423">
        <f t="shared" si="3"/>
        <v>0.000001474119619</v>
      </c>
      <c r="E65" s="422">
        <f t="shared" si="4"/>
        <v>0.000001474121792</v>
      </c>
      <c r="F65" s="422">
        <f t="shared" si="5"/>
        <v>678371</v>
      </c>
      <c r="G65" s="422">
        <f t="shared" si="6"/>
        <v>1526333.5</v>
      </c>
      <c r="H65" s="422">
        <f t="shared" si="7"/>
        <v>2.75</v>
      </c>
      <c r="I65" s="424">
        <f t="shared" si="8"/>
        <v>135674</v>
      </c>
      <c r="J65" s="425">
        <f t="shared" si="9"/>
        <v>296147</v>
      </c>
      <c r="K65" s="425">
        <f t="shared" si="10"/>
        <v>297407</v>
      </c>
    </row>
    <row r="66">
      <c r="A66" s="421">
        <v>1000.0</v>
      </c>
      <c r="B66" s="21">
        <f t="shared" si="1"/>
        <v>937345.5</v>
      </c>
      <c r="C66" s="422">
        <f t="shared" si="2"/>
        <v>0.000005334212412</v>
      </c>
      <c r="D66" s="423">
        <f t="shared" si="3"/>
        <v>0.000001066841344</v>
      </c>
      <c r="E66" s="422">
        <f t="shared" si="4"/>
        <v>0.000001066842482</v>
      </c>
      <c r="F66" s="422">
        <f t="shared" si="5"/>
        <v>937346.5</v>
      </c>
      <c r="G66" s="422">
        <f t="shared" si="6"/>
        <v>2109028.375</v>
      </c>
      <c r="H66" s="422">
        <f t="shared" si="7"/>
        <v>2.75</v>
      </c>
      <c r="I66" s="424">
        <f t="shared" si="8"/>
        <v>187469.1</v>
      </c>
      <c r="J66" s="425">
        <f t="shared" si="9"/>
        <v>386866</v>
      </c>
      <c r="K66" s="425">
        <f t="shared" si="10"/>
        <v>388266</v>
      </c>
    </row>
    <row r="67">
      <c r="A67" s="421">
        <v>40.0</v>
      </c>
      <c r="B67" s="21">
        <f t="shared" si="1"/>
        <v>6.3</v>
      </c>
      <c r="C67" s="422">
        <f t="shared" si="2"/>
        <v>0.7936507937</v>
      </c>
      <c r="D67" s="426">
        <f t="shared" si="3"/>
        <v>0.1369863014</v>
      </c>
      <c r="E67" s="422">
        <f t="shared" si="4"/>
        <v>0.1587301587</v>
      </c>
      <c r="F67" s="422">
        <f t="shared" si="5"/>
        <v>7.3</v>
      </c>
      <c r="G67" s="422">
        <f t="shared" ref="G67:G82" si="11">(1+B67*2.25)-1</f>
        <v>14.175</v>
      </c>
      <c r="H67" s="422">
        <f t="shared" si="7"/>
        <v>1.472618155</v>
      </c>
      <c r="I67" s="424">
        <f t="shared" si="8"/>
        <v>1.26</v>
      </c>
      <c r="J67" s="425">
        <f t="shared" si="9"/>
        <v>27</v>
      </c>
      <c r="K67" s="425">
        <f t="shared" si="10"/>
        <v>83</v>
      </c>
    </row>
    <row r="68">
      <c r="A68" s="421">
        <v>45.0</v>
      </c>
      <c r="B68" s="21">
        <f t="shared" si="1"/>
        <v>13</v>
      </c>
      <c r="C68" s="422">
        <f t="shared" si="2"/>
        <v>0.3846153846</v>
      </c>
      <c r="D68" s="426">
        <f t="shared" si="3"/>
        <v>0.07142857143</v>
      </c>
      <c r="E68" s="422">
        <f t="shared" si="4"/>
        <v>0.07692307692</v>
      </c>
      <c r="F68" s="422">
        <f t="shared" si="5"/>
        <v>14</v>
      </c>
      <c r="G68" s="422">
        <f t="shared" si="11"/>
        <v>29.25</v>
      </c>
      <c r="H68" s="422">
        <f t="shared" si="7"/>
        <v>1.975243811</v>
      </c>
      <c r="I68" s="424">
        <f t="shared" si="8"/>
        <v>2.6</v>
      </c>
      <c r="J68" s="425">
        <f t="shared" si="9"/>
        <v>49</v>
      </c>
      <c r="K68" s="425">
        <f t="shared" si="10"/>
        <v>112</v>
      </c>
    </row>
    <row r="69">
      <c r="A69" s="421">
        <v>50.0</v>
      </c>
      <c r="B69" s="21">
        <f t="shared" si="1"/>
        <v>23.25</v>
      </c>
      <c r="C69" s="422">
        <f t="shared" si="2"/>
        <v>0.2150537634</v>
      </c>
      <c r="D69" s="426">
        <f t="shared" si="3"/>
        <v>0.0412371134</v>
      </c>
      <c r="E69" s="422">
        <f t="shared" si="4"/>
        <v>0.04301075269</v>
      </c>
      <c r="F69" s="422">
        <f t="shared" si="5"/>
        <v>24.25</v>
      </c>
      <c r="G69" s="422">
        <f t="shared" si="11"/>
        <v>52.3125</v>
      </c>
      <c r="H69" s="422">
        <f t="shared" si="7"/>
        <v>2.744186047</v>
      </c>
      <c r="I69" s="424">
        <f t="shared" si="8"/>
        <v>4.65</v>
      </c>
      <c r="J69" s="425">
        <f t="shared" si="9"/>
        <v>78</v>
      </c>
      <c r="K69" s="425">
        <f t="shared" si="10"/>
        <v>148</v>
      </c>
    </row>
    <row r="70">
      <c r="A70" s="421">
        <v>60.0</v>
      </c>
      <c r="B70" s="21">
        <f t="shared" si="1"/>
        <v>57.4</v>
      </c>
      <c r="C70" s="422">
        <f t="shared" si="2"/>
        <v>0.08710801394</v>
      </c>
      <c r="D70" s="426">
        <f t="shared" si="3"/>
        <v>0.01712328767</v>
      </c>
      <c r="E70" s="422">
        <f t="shared" si="4"/>
        <v>0.01742160279</v>
      </c>
      <c r="F70" s="422">
        <f t="shared" si="5"/>
        <v>58.4</v>
      </c>
      <c r="G70" s="422">
        <f t="shared" si="11"/>
        <v>129.15</v>
      </c>
      <c r="H70" s="422">
        <f t="shared" si="7"/>
        <v>2.75</v>
      </c>
      <c r="I70" s="424">
        <f t="shared" si="8"/>
        <v>11.48</v>
      </c>
      <c r="J70" s="425">
        <f t="shared" si="9"/>
        <v>159</v>
      </c>
      <c r="K70" s="425">
        <f t="shared" si="10"/>
        <v>243</v>
      </c>
    </row>
    <row r="71">
      <c r="A71" s="421">
        <v>70.0</v>
      </c>
      <c r="B71" s="21">
        <f t="shared" si="1"/>
        <v>114.75</v>
      </c>
      <c r="C71" s="422">
        <f t="shared" si="2"/>
        <v>0.04357298475</v>
      </c>
      <c r="D71" s="426">
        <f t="shared" si="3"/>
        <v>0.008639308855</v>
      </c>
      <c r="E71" s="422">
        <f t="shared" si="4"/>
        <v>0.00871459695</v>
      </c>
      <c r="F71" s="422">
        <f t="shared" si="5"/>
        <v>115.75</v>
      </c>
      <c r="G71" s="422">
        <f t="shared" si="11"/>
        <v>258.1875</v>
      </c>
      <c r="H71" s="422">
        <f t="shared" si="7"/>
        <v>2.75</v>
      </c>
      <c r="I71" s="424">
        <f t="shared" si="8"/>
        <v>22.95</v>
      </c>
      <c r="J71" s="425">
        <f t="shared" si="9"/>
        <v>273</v>
      </c>
      <c r="K71" s="425">
        <f t="shared" si="10"/>
        <v>371</v>
      </c>
    </row>
    <row r="72">
      <c r="A72" s="421">
        <v>80.0</v>
      </c>
      <c r="B72" s="21">
        <f t="shared" si="1"/>
        <v>201.3</v>
      </c>
      <c r="C72" s="422">
        <f t="shared" si="2"/>
        <v>0.02483854943</v>
      </c>
      <c r="D72" s="426">
        <f t="shared" si="3"/>
        <v>0.004943153732</v>
      </c>
      <c r="E72" s="422">
        <f t="shared" si="4"/>
        <v>0.004967709886</v>
      </c>
      <c r="F72" s="422">
        <f t="shared" si="5"/>
        <v>202.3</v>
      </c>
      <c r="G72" s="422">
        <f t="shared" si="11"/>
        <v>452.925</v>
      </c>
      <c r="H72" s="422">
        <f t="shared" si="7"/>
        <v>2.75</v>
      </c>
      <c r="I72" s="424">
        <f t="shared" si="8"/>
        <v>40.26</v>
      </c>
      <c r="J72" s="425">
        <f t="shared" si="9"/>
        <v>423</v>
      </c>
      <c r="K72" s="425">
        <f t="shared" si="10"/>
        <v>535</v>
      </c>
    </row>
    <row r="73">
      <c r="A73" s="421">
        <v>90.0</v>
      </c>
      <c r="B73" s="21">
        <f t="shared" si="1"/>
        <v>323.05</v>
      </c>
      <c r="C73" s="422">
        <f t="shared" si="2"/>
        <v>0.01547748027</v>
      </c>
      <c r="D73" s="426">
        <f t="shared" si="3"/>
        <v>0.003085943527</v>
      </c>
      <c r="E73" s="422">
        <f t="shared" si="4"/>
        <v>0.003095496053</v>
      </c>
      <c r="F73" s="422">
        <f t="shared" si="5"/>
        <v>324.05</v>
      </c>
      <c r="G73" s="422">
        <f t="shared" si="11"/>
        <v>726.8625</v>
      </c>
      <c r="H73" s="422">
        <f t="shared" si="7"/>
        <v>2.75</v>
      </c>
      <c r="I73" s="424">
        <f t="shared" si="8"/>
        <v>64.61</v>
      </c>
      <c r="J73" s="425">
        <f t="shared" si="9"/>
        <v>612</v>
      </c>
      <c r="K73" s="425">
        <f t="shared" si="10"/>
        <v>738</v>
      </c>
    </row>
    <row r="74">
      <c r="A74" s="421">
        <v>100.0</v>
      </c>
      <c r="B74" s="21">
        <f t="shared" si="1"/>
        <v>486</v>
      </c>
      <c r="C74" s="422">
        <f t="shared" si="2"/>
        <v>0.01028806584</v>
      </c>
      <c r="D74" s="426">
        <f t="shared" si="3"/>
        <v>0.00205338809</v>
      </c>
      <c r="E74" s="422">
        <f t="shared" si="4"/>
        <v>0.002057613169</v>
      </c>
      <c r="F74" s="422">
        <f t="shared" si="5"/>
        <v>487</v>
      </c>
      <c r="G74" s="426">
        <f t="shared" si="11"/>
        <v>1093.5</v>
      </c>
      <c r="H74" s="422">
        <f t="shared" si="7"/>
        <v>2.75</v>
      </c>
      <c r="I74" s="424">
        <f t="shared" si="8"/>
        <v>97.2</v>
      </c>
      <c r="J74" s="425">
        <f t="shared" si="9"/>
        <v>842</v>
      </c>
      <c r="K74" s="425">
        <f t="shared" si="10"/>
        <v>982</v>
      </c>
    </row>
    <row r="75">
      <c r="A75" s="421">
        <v>150.0</v>
      </c>
      <c r="B75" s="21">
        <f t="shared" si="1"/>
        <v>2128.75</v>
      </c>
      <c r="C75" s="422">
        <f t="shared" si="2"/>
        <v>0.002348796242</v>
      </c>
      <c r="D75" s="426">
        <f t="shared" si="3"/>
        <v>0.0004695386782</v>
      </c>
      <c r="E75" s="422">
        <f t="shared" si="4"/>
        <v>0.0004697592484</v>
      </c>
      <c r="F75" s="422">
        <f t="shared" si="5"/>
        <v>2129.75</v>
      </c>
      <c r="G75" s="426">
        <f t="shared" si="11"/>
        <v>4789.6875</v>
      </c>
      <c r="H75" s="422">
        <f t="shared" si="7"/>
        <v>2.75</v>
      </c>
      <c r="I75" s="426">
        <f t="shared" si="8"/>
        <v>425.75</v>
      </c>
      <c r="J75" s="425">
        <f t="shared" si="9"/>
        <v>2708</v>
      </c>
      <c r="K75" s="425">
        <f t="shared" si="10"/>
        <v>2918</v>
      </c>
    </row>
    <row r="76">
      <c r="A76" s="421">
        <v>200.0</v>
      </c>
      <c r="B76" s="21">
        <f t="shared" si="1"/>
        <v>5701.5</v>
      </c>
      <c r="C76" s="422">
        <f t="shared" si="2"/>
        <v>0.0008769622029</v>
      </c>
      <c r="D76" s="426">
        <f t="shared" si="3"/>
        <v>0.0001753616835</v>
      </c>
      <c r="E76" s="422">
        <f t="shared" si="4"/>
        <v>0.0001753924406</v>
      </c>
      <c r="F76" s="422">
        <f t="shared" si="5"/>
        <v>5702.5</v>
      </c>
      <c r="G76" s="426">
        <f t="shared" si="11"/>
        <v>12828.375</v>
      </c>
      <c r="H76" s="422">
        <f t="shared" si="7"/>
        <v>2.75</v>
      </c>
      <c r="I76" s="426">
        <f t="shared" si="8"/>
        <v>1140.3</v>
      </c>
      <c r="J76" s="425">
        <f t="shared" si="9"/>
        <v>5961</v>
      </c>
      <c r="K76" s="425">
        <f t="shared" si="10"/>
        <v>6241</v>
      </c>
    </row>
    <row r="77">
      <c r="A77" s="421">
        <v>250.0</v>
      </c>
      <c r="B77" s="21">
        <f t="shared" si="1"/>
        <v>11954.25</v>
      </c>
      <c r="C77" s="422">
        <f t="shared" si="2"/>
        <v>0.0004182612878</v>
      </c>
      <c r="D77" s="426">
        <f t="shared" si="3"/>
        <v>0.00008364526045</v>
      </c>
      <c r="E77" s="422">
        <f t="shared" si="4"/>
        <v>0.00008365225757</v>
      </c>
      <c r="F77" s="422">
        <f t="shared" si="5"/>
        <v>11955.25</v>
      </c>
      <c r="G77" s="426">
        <f t="shared" si="11"/>
        <v>26897.0625</v>
      </c>
      <c r="H77" s="422">
        <f t="shared" si="7"/>
        <v>2.75</v>
      </c>
      <c r="I77" s="426">
        <f t="shared" si="8"/>
        <v>2390.85</v>
      </c>
      <c r="J77" s="425">
        <f t="shared" si="9"/>
        <v>10834</v>
      </c>
      <c r="K77" s="425">
        <f t="shared" si="10"/>
        <v>11184</v>
      </c>
    </row>
    <row r="78">
      <c r="A78" s="421">
        <v>300.0</v>
      </c>
      <c r="B78" s="21">
        <f t="shared" si="1"/>
        <v>21637</v>
      </c>
      <c r="C78" s="422">
        <f t="shared" si="2"/>
        <v>0.0002310856403</v>
      </c>
      <c r="D78" s="426">
        <f t="shared" si="3"/>
        <v>0.00004621499214</v>
      </c>
      <c r="E78" s="422">
        <f t="shared" si="4"/>
        <v>0.00004621712807</v>
      </c>
      <c r="F78" s="422">
        <f t="shared" si="5"/>
        <v>21638</v>
      </c>
      <c r="G78" s="426">
        <f t="shared" si="11"/>
        <v>48683.25</v>
      </c>
      <c r="H78" s="422">
        <f t="shared" si="7"/>
        <v>2.75</v>
      </c>
      <c r="I78" s="426">
        <f t="shared" si="8"/>
        <v>4327.4</v>
      </c>
      <c r="J78" s="425">
        <f t="shared" si="9"/>
        <v>17531</v>
      </c>
      <c r="K78" s="425">
        <f t="shared" si="10"/>
        <v>17951</v>
      </c>
    </row>
    <row r="79">
      <c r="A79" s="421">
        <v>400.0</v>
      </c>
      <c r="B79" s="21">
        <f t="shared" si="1"/>
        <v>54292.5</v>
      </c>
      <c r="C79" s="422">
        <f t="shared" si="2"/>
        <v>0.00009209375144</v>
      </c>
      <c r="D79" s="426">
        <f t="shared" si="3"/>
        <v>0.00001841841104</v>
      </c>
      <c r="E79" s="422">
        <f t="shared" si="4"/>
        <v>0.00001841875029</v>
      </c>
      <c r="F79" s="422">
        <f t="shared" si="5"/>
        <v>54293.5</v>
      </c>
      <c r="G79" s="426">
        <f t="shared" si="11"/>
        <v>122158.125</v>
      </c>
      <c r="H79" s="422">
        <f t="shared" si="7"/>
        <v>2.75</v>
      </c>
      <c r="I79" s="426">
        <f t="shared" si="8"/>
        <v>10858.5</v>
      </c>
      <c r="J79" s="425">
        <f t="shared" si="9"/>
        <v>37121</v>
      </c>
      <c r="K79" s="425">
        <f t="shared" si="10"/>
        <v>37681</v>
      </c>
    </row>
    <row r="80">
      <c r="A80" s="83">
        <v>500.0</v>
      </c>
      <c r="B80" s="21">
        <f t="shared" si="1"/>
        <v>109668</v>
      </c>
      <c r="C80" s="422">
        <f t="shared" si="2"/>
        <v>0.00004559215086</v>
      </c>
      <c r="D80" s="426">
        <f t="shared" si="3"/>
        <v>0.000009118347026</v>
      </c>
      <c r="E80" s="422">
        <f t="shared" si="4"/>
        <v>0.000009118430171</v>
      </c>
      <c r="F80" s="422">
        <f t="shared" si="5"/>
        <v>109669</v>
      </c>
      <c r="G80" s="426">
        <f t="shared" si="11"/>
        <v>246753</v>
      </c>
      <c r="H80" s="422">
        <f t="shared" si="7"/>
        <v>2.75</v>
      </c>
      <c r="I80" s="426">
        <f t="shared" si="8"/>
        <v>21933.6</v>
      </c>
      <c r="J80" s="425">
        <f t="shared" si="9"/>
        <v>66032</v>
      </c>
      <c r="K80" s="425">
        <f t="shared" si="10"/>
        <v>66732</v>
      </c>
    </row>
    <row r="81">
      <c r="A81" s="83">
        <v>750.0</v>
      </c>
      <c r="B81" s="21">
        <f t="shared" si="1"/>
        <v>386881.75</v>
      </c>
      <c r="C81" s="422">
        <f t="shared" si="2"/>
        <v>0.00001292384559</v>
      </c>
      <c r="D81" s="426">
        <f t="shared" si="3"/>
        <v>0.000002584762438</v>
      </c>
      <c r="E81" s="422">
        <f t="shared" si="4"/>
        <v>0.000002584769119</v>
      </c>
      <c r="F81" s="422">
        <f t="shared" si="5"/>
        <v>386882.75</v>
      </c>
      <c r="G81" s="426">
        <f t="shared" si="11"/>
        <v>870483.9375</v>
      </c>
      <c r="H81" s="422">
        <f t="shared" si="7"/>
        <v>2.75</v>
      </c>
      <c r="I81" s="426">
        <f t="shared" si="8"/>
        <v>77376.35</v>
      </c>
      <c r="J81" s="425">
        <f t="shared" si="9"/>
        <v>186299</v>
      </c>
      <c r="K81" s="425">
        <f t="shared" si="10"/>
        <v>187349</v>
      </c>
    </row>
    <row r="82">
      <c r="A82" s="83">
        <v>1000.0</v>
      </c>
      <c r="B82" s="21">
        <f t="shared" si="1"/>
        <v>937345.5</v>
      </c>
      <c r="C82" s="422">
        <f t="shared" si="2"/>
        <v>0.000005334212412</v>
      </c>
      <c r="D82" s="426">
        <f t="shared" si="3"/>
        <v>0.000001066841344</v>
      </c>
      <c r="E82" s="422">
        <f t="shared" si="4"/>
        <v>0.000001066842482</v>
      </c>
      <c r="F82" s="422">
        <f t="shared" si="5"/>
        <v>937346.5</v>
      </c>
      <c r="G82" s="426">
        <f t="shared" si="11"/>
        <v>2109027.375</v>
      </c>
      <c r="H82" s="422">
        <f t="shared" si="7"/>
        <v>2.75</v>
      </c>
      <c r="I82" s="426">
        <f t="shared" si="8"/>
        <v>187469.1</v>
      </c>
      <c r="J82" s="425">
        <f t="shared" si="9"/>
        <v>386866</v>
      </c>
      <c r="K82" s="425">
        <f t="shared" si="10"/>
        <v>388266</v>
      </c>
    </row>
    <row r="83">
      <c r="C83" s="269"/>
      <c r="D83" s="427"/>
      <c r="E83" s="269"/>
      <c r="F83" s="269"/>
      <c r="I83" s="353"/>
      <c r="J83" s="428"/>
      <c r="K83" s="428"/>
    </row>
    <row r="84">
      <c r="C84" s="269"/>
      <c r="D84" s="427"/>
      <c r="E84" s="269"/>
      <c r="F84" s="269"/>
      <c r="I84" s="353"/>
      <c r="J84" s="428"/>
      <c r="K84" s="428"/>
    </row>
    <row r="85">
      <c r="C85" s="269"/>
      <c r="D85" s="427"/>
      <c r="E85" s="269"/>
      <c r="F85" s="269"/>
      <c r="I85" s="353"/>
      <c r="J85" s="428"/>
      <c r="K85" s="428"/>
    </row>
    <row r="86">
      <c r="C86" s="269"/>
      <c r="D86" s="427"/>
      <c r="E86" s="269"/>
      <c r="F86" s="269"/>
      <c r="I86" s="353"/>
      <c r="J86" s="428"/>
      <c r="K86" s="428"/>
    </row>
    <row r="87">
      <c r="C87" s="269"/>
      <c r="D87" s="427"/>
      <c r="E87" s="269"/>
      <c r="F87" s="269"/>
      <c r="I87" s="353"/>
      <c r="J87" s="428"/>
      <c r="K87" s="428"/>
    </row>
    <row r="88">
      <c r="C88" s="269"/>
      <c r="D88" s="427"/>
      <c r="E88" s="269"/>
      <c r="F88" s="269"/>
      <c r="I88" s="353"/>
      <c r="J88" s="428"/>
      <c r="K88" s="428"/>
    </row>
    <row r="89">
      <c r="C89" s="269"/>
      <c r="D89" s="427"/>
      <c r="E89" s="269"/>
      <c r="F89" s="269"/>
      <c r="I89" s="353"/>
      <c r="J89" s="428"/>
      <c r="K89" s="428"/>
    </row>
    <row r="90">
      <c r="C90" s="269"/>
      <c r="D90" s="427"/>
      <c r="E90" s="269"/>
      <c r="F90" s="269"/>
      <c r="I90" s="353"/>
      <c r="J90" s="428"/>
      <c r="K90" s="428"/>
    </row>
    <row r="91">
      <c r="C91" s="269"/>
      <c r="D91" s="427"/>
      <c r="E91" s="269"/>
      <c r="F91" s="269"/>
      <c r="I91" s="353"/>
      <c r="J91" s="428"/>
      <c r="K91" s="428"/>
    </row>
    <row r="92">
      <c r="C92" s="269"/>
      <c r="D92" s="427"/>
      <c r="E92" s="269"/>
      <c r="F92" s="269"/>
      <c r="I92" s="353"/>
      <c r="J92" s="428"/>
      <c r="K92" s="428"/>
    </row>
    <row r="93">
      <c r="C93" s="269"/>
      <c r="D93" s="427"/>
      <c r="E93" s="269"/>
      <c r="F93" s="269"/>
      <c r="I93" s="353"/>
      <c r="J93" s="428"/>
      <c r="K93" s="428"/>
    </row>
    <row r="94">
      <c r="C94" s="269"/>
      <c r="D94" s="427"/>
      <c r="E94" s="269"/>
      <c r="F94" s="269"/>
      <c r="I94" s="353"/>
      <c r="J94" s="428"/>
      <c r="K94" s="428"/>
    </row>
    <row r="95">
      <c r="C95" s="269"/>
      <c r="D95" s="427"/>
      <c r="E95" s="269"/>
      <c r="F95" s="269"/>
      <c r="I95" s="353"/>
      <c r="J95" s="428"/>
      <c r="K95" s="428"/>
    </row>
    <row r="96">
      <c r="C96" s="269"/>
      <c r="D96" s="427"/>
      <c r="E96" s="269"/>
      <c r="F96" s="269"/>
      <c r="I96" s="353"/>
      <c r="J96" s="428"/>
      <c r="K96" s="428"/>
    </row>
    <row r="97">
      <c r="C97" s="269"/>
      <c r="D97" s="427"/>
      <c r="E97" s="269"/>
      <c r="F97" s="269"/>
      <c r="I97" s="353"/>
      <c r="J97" s="428"/>
      <c r="K97" s="428"/>
    </row>
    <row r="98">
      <c r="C98" s="269"/>
      <c r="D98" s="427"/>
      <c r="E98" s="269"/>
      <c r="F98" s="269"/>
      <c r="I98" s="353"/>
      <c r="J98" s="428"/>
      <c r="K98" s="428"/>
    </row>
    <row r="99">
      <c r="C99" s="269"/>
      <c r="D99" s="427"/>
      <c r="E99" s="269"/>
      <c r="F99" s="269"/>
      <c r="I99" s="353"/>
      <c r="J99" s="428"/>
      <c r="K99" s="428"/>
    </row>
    <row r="100">
      <c r="C100" s="269"/>
      <c r="D100" s="427"/>
      <c r="E100" s="269"/>
      <c r="F100" s="269"/>
      <c r="I100" s="353"/>
      <c r="J100" s="428"/>
      <c r="K100" s="428"/>
    </row>
    <row r="101">
      <c r="C101" s="269"/>
      <c r="D101" s="427"/>
      <c r="E101" s="269"/>
      <c r="F101" s="269"/>
      <c r="I101" s="353"/>
      <c r="J101" s="428"/>
      <c r="K101" s="428"/>
    </row>
    <row r="102">
      <c r="C102" s="269"/>
      <c r="D102" s="427"/>
      <c r="E102" s="269"/>
      <c r="F102" s="269"/>
      <c r="I102" s="353"/>
      <c r="J102" s="428"/>
      <c r="K102" s="428"/>
    </row>
    <row r="103">
      <c r="C103" s="269"/>
      <c r="D103" s="427"/>
      <c r="E103" s="269"/>
      <c r="F103" s="269"/>
      <c r="I103" s="353"/>
      <c r="J103" s="428"/>
      <c r="K103" s="428"/>
    </row>
    <row r="104">
      <c r="C104" s="269"/>
      <c r="D104" s="427"/>
      <c r="E104" s="269"/>
      <c r="F104" s="269"/>
      <c r="I104" s="353"/>
      <c r="J104" s="428"/>
      <c r="K104" s="428"/>
    </row>
    <row r="105">
      <c r="C105" s="269"/>
      <c r="D105" s="427"/>
      <c r="E105" s="269"/>
      <c r="F105" s="269"/>
      <c r="I105" s="353"/>
      <c r="J105" s="428"/>
      <c r="K105" s="428"/>
    </row>
    <row r="106">
      <c r="C106" s="269"/>
      <c r="D106" s="427"/>
      <c r="E106" s="269"/>
      <c r="F106" s="269"/>
      <c r="I106" s="353"/>
      <c r="J106" s="428"/>
      <c r="K106" s="428"/>
    </row>
    <row r="107">
      <c r="C107" s="269"/>
      <c r="D107" s="427"/>
      <c r="E107" s="269"/>
      <c r="F107" s="269"/>
      <c r="I107" s="353"/>
      <c r="J107" s="428"/>
      <c r="K107" s="428"/>
    </row>
    <row r="108">
      <c r="C108" s="269"/>
      <c r="D108" s="427"/>
      <c r="E108" s="269"/>
      <c r="F108" s="269"/>
      <c r="I108" s="353"/>
      <c r="J108" s="428"/>
      <c r="K108" s="428"/>
    </row>
    <row r="109">
      <c r="C109" s="269"/>
      <c r="D109" s="427"/>
      <c r="E109" s="269"/>
      <c r="F109" s="269"/>
      <c r="I109" s="353"/>
      <c r="J109" s="428"/>
      <c r="K109" s="428"/>
    </row>
    <row r="110">
      <c r="C110" s="269"/>
      <c r="D110" s="427"/>
      <c r="E110" s="269"/>
      <c r="F110" s="269"/>
      <c r="I110" s="353"/>
      <c r="J110" s="428"/>
      <c r="K110" s="428"/>
    </row>
    <row r="111">
      <c r="C111" s="269"/>
      <c r="D111" s="427"/>
      <c r="E111" s="269"/>
      <c r="F111" s="269"/>
      <c r="I111" s="353"/>
      <c r="J111" s="428"/>
      <c r="K111" s="428"/>
    </row>
    <row r="112">
      <c r="C112" s="269"/>
      <c r="D112" s="427"/>
      <c r="E112" s="269"/>
      <c r="F112" s="269"/>
      <c r="I112" s="353"/>
      <c r="J112" s="428"/>
      <c r="K112" s="428"/>
    </row>
    <row r="113">
      <c r="C113" s="269"/>
      <c r="D113" s="427"/>
      <c r="E113" s="269"/>
      <c r="F113" s="269"/>
      <c r="I113" s="353"/>
      <c r="J113" s="428"/>
      <c r="K113" s="428"/>
    </row>
    <row r="114">
      <c r="C114" s="269"/>
      <c r="D114" s="427"/>
      <c r="E114" s="269"/>
      <c r="F114" s="269"/>
      <c r="I114" s="353"/>
      <c r="J114" s="428"/>
      <c r="K114" s="428"/>
    </row>
    <row r="115">
      <c r="C115" s="269"/>
      <c r="D115" s="427"/>
      <c r="E115" s="269"/>
      <c r="F115" s="269"/>
      <c r="I115" s="353"/>
      <c r="J115" s="428"/>
      <c r="K115" s="428"/>
    </row>
    <row r="116">
      <c r="C116" s="269"/>
      <c r="D116" s="427"/>
      <c r="E116" s="269"/>
      <c r="F116" s="269"/>
      <c r="I116" s="353"/>
      <c r="J116" s="428"/>
      <c r="K116" s="428"/>
    </row>
    <row r="117">
      <c r="C117" s="269"/>
      <c r="D117" s="427"/>
      <c r="E117" s="269"/>
      <c r="F117" s="269"/>
      <c r="I117" s="353"/>
      <c r="J117" s="428"/>
      <c r="K117" s="428"/>
    </row>
    <row r="118">
      <c r="C118" s="269"/>
      <c r="D118" s="427"/>
      <c r="E118" s="269"/>
      <c r="F118" s="269"/>
      <c r="I118" s="353"/>
      <c r="J118" s="428"/>
      <c r="K118" s="428"/>
    </row>
    <row r="119">
      <c r="C119" s="269"/>
      <c r="D119" s="427"/>
      <c r="E119" s="269"/>
      <c r="F119" s="269"/>
      <c r="I119" s="353"/>
      <c r="J119" s="428"/>
      <c r="K119" s="428"/>
    </row>
    <row r="120">
      <c r="C120" s="269"/>
      <c r="D120" s="427"/>
      <c r="E120" s="269"/>
      <c r="F120" s="269"/>
      <c r="I120" s="353"/>
      <c r="J120" s="428"/>
      <c r="K120" s="428"/>
    </row>
    <row r="121">
      <c r="C121" s="269"/>
      <c r="D121" s="427"/>
      <c r="E121" s="269"/>
      <c r="F121" s="269"/>
      <c r="I121" s="353"/>
      <c r="J121" s="428"/>
      <c r="K121" s="428"/>
    </row>
    <row r="122">
      <c r="C122" s="269"/>
      <c r="D122" s="427"/>
      <c r="E122" s="269"/>
      <c r="F122" s="269"/>
      <c r="I122" s="353"/>
      <c r="J122" s="428"/>
      <c r="K122" s="428"/>
    </row>
    <row r="123">
      <c r="C123" s="269"/>
      <c r="D123" s="427"/>
      <c r="E123" s="269"/>
      <c r="F123" s="269"/>
      <c r="I123" s="353"/>
      <c r="J123" s="428"/>
      <c r="K123" s="428"/>
    </row>
    <row r="124">
      <c r="C124" s="269"/>
      <c r="D124" s="427"/>
      <c r="E124" s="269"/>
      <c r="F124" s="269"/>
      <c r="I124" s="353"/>
      <c r="J124" s="428"/>
      <c r="K124" s="428"/>
    </row>
    <row r="125">
      <c r="C125" s="269"/>
      <c r="D125" s="427"/>
      <c r="E125" s="269"/>
      <c r="F125" s="269"/>
      <c r="I125" s="353"/>
      <c r="J125" s="428"/>
      <c r="K125" s="428"/>
    </row>
    <row r="126">
      <c r="C126" s="269"/>
      <c r="D126" s="427"/>
      <c r="E126" s="269"/>
      <c r="F126" s="269"/>
      <c r="I126" s="353"/>
      <c r="J126" s="428"/>
      <c r="K126" s="428"/>
    </row>
    <row r="127">
      <c r="C127" s="269"/>
      <c r="D127" s="427"/>
      <c r="E127" s="269"/>
      <c r="F127" s="269"/>
      <c r="I127" s="353"/>
      <c r="J127" s="428"/>
      <c r="K127" s="428"/>
    </row>
    <row r="128">
      <c r="C128" s="269"/>
      <c r="D128" s="427"/>
      <c r="E128" s="269"/>
      <c r="F128" s="269"/>
      <c r="I128" s="353"/>
      <c r="J128" s="428"/>
      <c r="K128" s="428"/>
    </row>
    <row r="129">
      <c r="C129" s="269"/>
      <c r="D129" s="427"/>
      <c r="E129" s="269"/>
      <c r="F129" s="269"/>
      <c r="I129" s="353"/>
      <c r="J129" s="428"/>
      <c r="K129" s="428"/>
    </row>
    <row r="130">
      <c r="C130" s="269"/>
      <c r="D130" s="427"/>
      <c r="E130" s="269"/>
      <c r="F130" s="269"/>
      <c r="I130" s="353"/>
      <c r="J130" s="428"/>
      <c r="K130" s="428"/>
    </row>
    <row r="131">
      <c r="C131" s="269"/>
      <c r="D131" s="427"/>
      <c r="E131" s="269"/>
      <c r="F131" s="269"/>
      <c r="I131" s="353"/>
      <c r="J131" s="428"/>
      <c r="K131" s="428"/>
    </row>
    <row r="132">
      <c r="C132" s="269"/>
      <c r="D132" s="427"/>
      <c r="E132" s="269"/>
      <c r="F132" s="269"/>
      <c r="I132" s="353"/>
      <c r="J132" s="428"/>
      <c r="K132" s="428"/>
    </row>
    <row r="133">
      <c r="C133" s="269"/>
      <c r="D133" s="427"/>
      <c r="E133" s="269"/>
      <c r="F133" s="269"/>
      <c r="I133" s="353"/>
      <c r="J133" s="428"/>
      <c r="K133" s="428"/>
    </row>
    <row r="134">
      <c r="C134" s="269"/>
      <c r="D134" s="427"/>
      <c r="E134" s="269"/>
      <c r="F134" s="269"/>
      <c r="I134" s="353"/>
      <c r="J134" s="428"/>
      <c r="K134" s="428"/>
    </row>
    <row r="135">
      <c r="C135" s="269"/>
      <c r="D135" s="427"/>
      <c r="E135" s="269"/>
      <c r="F135" s="269"/>
      <c r="I135" s="353"/>
      <c r="J135" s="428"/>
      <c r="K135" s="428"/>
    </row>
    <row r="136">
      <c r="C136" s="269"/>
      <c r="D136" s="427"/>
      <c r="E136" s="269"/>
      <c r="F136" s="269"/>
      <c r="I136" s="353"/>
      <c r="J136" s="428"/>
      <c r="K136" s="428"/>
    </row>
    <row r="137">
      <c r="C137" s="269"/>
      <c r="D137" s="427"/>
      <c r="E137" s="269"/>
      <c r="F137" s="269"/>
      <c r="I137" s="353"/>
      <c r="J137" s="428"/>
      <c r="K137" s="428"/>
    </row>
    <row r="138">
      <c r="C138" s="269"/>
      <c r="D138" s="427"/>
      <c r="E138" s="269"/>
      <c r="F138" s="269"/>
      <c r="I138" s="353"/>
      <c r="J138" s="428"/>
      <c r="K138" s="428"/>
    </row>
    <row r="139">
      <c r="C139" s="269"/>
      <c r="D139" s="427"/>
      <c r="E139" s="269"/>
      <c r="F139" s="269"/>
      <c r="I139" s="353"/>
      <c r="J139" s="428"/>
      <c r="K139" s="428"/>
    </row>
    <row r="140">
      <c r="C140" s="269"/>
      <c r="D140" s="427"/>
      <c r="E140" s="269"/>
      <c r="F140" s="269"/>
      <c r="I140" s="353"/>
      <c r="J140" s="428"/>
      <c r="K140" s="428"/>
    </row>
    <row r="141">
      <c r="C141" s="269"/>
      <c r="D141" s="427"/>
      <c r="E141" s="269"/>
      <c r="F141" s="269"/>
      <c r="I141" s="353"/>
      <c r="J141" s="428"/>
      <c r="K141" s="428"/>
    </row>
    <row r="142">
      <c r="C142" s="269"/>
      <c r="D142" s="427"/>
      <c r="E142" s="269"/>
      <c r="F142" s="269"/>
      <c r="I142" s="353"/>
      <c r="J142" s="428"/>
      <c r="K142" s="428"/>
    </row>
    <row r="143">
      <c r="C143" s="269"/>
      <c r="D143" s="427"/>
      <c r="E143" s="269"/>
      <c r="F143" s="269"/>
      <c r="I143" s="353"/>
      <c r="J143" s="428"/>
      <c r="K143" s="428"/>
    </row>
    <row r="144">
      <c r="C144" s="269"/>
      <c r="D144" s="427"/>
      <c r="E144" s="269"/>
      <c r="F144" s="269"/>
      <c r="I144" s="353"/>
      <c r="J144" s="428"/>
      <c r="K144" s="428"/>
    </row>
    <row r="145">
      <c r="C145" s="269"/>
      <c r="D145" s="427"/>
      <c r="E145" s="269"/>
      <c r="F145" s="269"/>
      <c r="I145" s="353"/>
      <c r="J145" s="428"/>
      <c r="K145" s="428"/>
    </row>
    <row r="146">
      <c r="C146" s="269"/>
      <c r="D146" s="427"/>
      <c r="E146" s="269"/>
      <c r="F146" s="269"/>
      <c r="I146" s="353"/>
      <c r="J146" s="428"/>
      <c r="K146" s="428"/>
    </row>
    <row r="147">
      <c r="C147" s="269"/>
      <c r="D147" s="427"/>
      <c r="E147" s="269"/>
      <c r="F147" s="269"/>
      <c r="I147" s="353"/>
      <c r="J147" s="428"/>
      <c r="K147" s="428"/>
    </row>
    <row r="148">
      <c r="C148" s="269"/>
      <c r="D148" s="427"/>
      <c r="E148" s="269"/>
      <c r="F148" s="269"/>
      <c r="I148" s="353"/>
      <c r="J148" s="428"/>
      <c r="K148" s="428"/>
    </row>
    <row r="149">
      <c r="C149" s="269"/>
      <c r="D149" s="427"/>
      <c r="E149" s="269"/>
      <c r="F149" s="269"/>
      <c r="I149" s="353"/>
      <c r="J149" s="428"/>
      <c r="K149" s="428"/>
    </row>
    <row r="150">
      <c r="C150" s="269"/>
      <c r="D150" s="427"/>
      <c r="E150" s="269"/>
      <c r="F150" s="269"/>
      <c r="I150" s="353"/>
      <c r="J150" s="428"/>
      <c r="K150" s="428"/>
    </row>
    <row r="151">
      <c r="C151" s="269"/>
      <c r="D151" s="427"/>
      <c r="E151" s="269"/>
      <c r="F151" s="269"/>
      <c r="I151" s="353"/>
      <c r="J151" s="428"/>
      <c r="K151" s="428"/>
    </row>
    <row r="152">
      <c r="C152" s="269"/>
      <c r="D152" s="427"/>
      <c r="E152" s="269"/>
      <c r="F152" s="269"/>
      <c r="I152" s="353"/>
      <c r="J152" s="428"/>
      <c r="K152" s="428"/>
    </row>
    <row r="153">
      <c r="C153" s="269"/>
      <c r="D153" s="427"/>
      <c r="E153" s="269"/>
      <c r="F153" s="269"/>
      <c r="I153" s="353"/>
      <c r="J153" s="428"/>
      <c r="K153" s="428"/>
    </row>
    <row r="154">
      <c r="C154" s="269"/>
      <c r="D154" s="427"/>
      <c r="E154" s="269"/>
      <c r="F154" s="269"/>
      <c r="I154" s="353"/>
      <c r="J154" s="428"/>
      <c r="K154" s="428"/>
    </row>
    <row r="155">
      <c r="C155" s="269"/>
      <c r="D155" s="427"/>
      <c r="E155" s="269"/>
      <c r="F155" s="269"/>
      <c r="I155" s="353"/>
      <c r="J155" s="428"/>
      <c r="K155" s="428"/>
    </row>
    <row r="156">
      <c r="C156" s="269"/>
      <c r="D156" s="427"/>
      <c r="E156" s="269"/>
      <c r="F156" s="269"/>
      <c r="I156" s="353"/>
      <c r="J156" s="428"/>
      <c r="K156" s="428"/>
    </row>
    <row r="157">
      <c r="C157" s="269"/>
      <c r="D157" s="427"/>
      <c r="E157" s="269"/>
      <c r="F157" s="269"/>
      <c r="I157" s="353"/>
      <c r="J157" s="428"/>
      <c r="K157" s="428"/>
    </row>
    <row r="158">
      <c r="C158" s="269"/>
      <c r="D158" s="427"/>
      <c r="E158" s="269"/>
      <c r="F158" s="269"/>
      <c r="I158" s="353"/>
      <c r="J158" s="428"/>
      <c r="K158" s="428"/>
    </row>
    <row r="159">
      <c r="C159" s="269"/>
      <c r="D159" s="427"/>
      <c r="E159" s="269"/>
      <c r="F159" s="269"/>
      <c r="I159" s="353"/>
      <c r="J159" s="428"/>
      <c r="K159" s="428"/>
    </row>
    <row r="160">
      <c r="C160" s="269"/>
      <c r="D160" s="427"/>
      <c r="E160" s="269"/>
      <c r="F160" s="269"/>
      <c r="I160" s="353"/>
      <c r="J160" s="428"/>
      <c r="K160" s="428"/>
    </row>
    <row r="161">
      <c r="C161" s="269"/>
      <c r="D161" s="427"/>
      <c r="E161" s="269"/>
      <c r="F161" s="269"/>
      <c r="I161" s="353"/>
      <c r="J161" s="428"/>
      <c r="K161" s="428"/>
    </row>
    <row r="162">
      <c r="C162" s="269"/>
      <c r="D162" s="427"/>
      <c r="E162" s="269"/>
      <c r="F162" s="269"/>
      <c r="I162" s="353"/>
      <c r="J162" s="428"/>
      <c r="K162" s="428"/>
    </row>
    <row r="163">
      <c r="C163" s="269"/>
      <c r="D163" s="427"/>
      <c r="E163" s="269"/>
      <c r="F163" s="269"/>
      <c r="I163" s="353"/>
      <c r="J163" s="428"/>
      <c r="K163" s="428"/>
    </row>
    <row r="164">
      <c r="C164" s="269"/>
      <c r="D164" s="427"/>
      <c r="E164" s="269"/>
      <c r="F164" s="269"/>
      <c r="I164" s="353"/>
      <c r="J164" s="428"/>
      <c r="K164" s="428"/>
    </row>
    <row r="165">
      <c r="C165" s="269"/>
      <c r="D165" s="427"/>
      <c r="E165" s="269"/>
      <c r="F165" s="269"/>
      <c r="I165" s="353"/>
      <c r="J165" s="428"/>
      <c r="K165" s="428"/>
    </row>
    <row r="166">
      <c r="C166" s="269"/>
      <c r="D166" s="427"/>
      <c r="E166" s="269"/>
      <c r="F166" s="269"/>
      <c r="I166" s="353"/>
      <c r="J166" s="428"/>
      <c r="K166" s="428"/>
    </row>
    <row r="167">
      <c r="C167" s="269"/>
      <c r="D167" s="427"/>
      <c r="E167" s="269"/>
      <c r="F167" s="269"/>
      <c r="I167" s="353"/>
      <c r="J167" s="428"/>
      <c r="K167" s="428"/>
    </row>
    <row r="168">
      <c r="C168" s="269"/>
      <c r="D168" s="427"/>
      <c r="E168" s="269"/>
      <c r="F168" s="269"/>
      <c r="I168" s="353"/>
      <c r="J168" s="428"/>
      <c r="K168" s="428"/>
    </row>
    <row r="169">
      <c r="C169" s="269"/>
      <c r="D169" s="427"/>
      <c r="E169" s="269"/>
      <c r="F169" s="269"/>
      <c r="I169" s="353"/>
      <c r="J169" s="428"/>
      <c r="K169" s="428"/>
    </row>
    <row r="170">
      <c r="C170" s="269"/>
      <c r="D170" s="427"/>
      <c r="E170" s="269"/>
      <c r="F170" s="269"/>
      <c r="I170" s="353"/>
      <c r="J170" s="428"/>
      <c r="K170" s="428"/>
    </row>
    <row r="171">
      <c r="C171" s="269"/>
      <c r="D171" s="427"/>
      <c r="E171" s="269"/>
      <c r="F171" s="269"/>
      <c r="I171" s="353"/>
      <c r="J171" s="428"/>
      <c r="K171" s="428"/>
    </row>
    <row r="172">
      <c r="C172" s="269"/>
      <c r="D172" s="427"/>
      <c r="E172" s="269"/>
      <c r="F172" s="269"/>
      <c r="I172" s="353"/>
      <c r="J172" s="428"/>
      <c r="K172" s="428"/>
    </row>
    <row r="173">
      <c r="C173" s="269"/>
      <c r="D173" s="427"/>
      <c r="E173" s="269"/>
      <c r="F173" s="269"/>
      <c r="I173" s="353"/>
      <c r="J173" s="428"/>
      <c r="K173" s="428"/>
    </row>
    <row r="174">
      <c r="C174" s="269"/>
      <c r="D174" s="427"/>
      <c r="E174" s="269"/>
      <c r="F174" s="269"/>
      <c r="I174" s="353"/>
      <c r="J174" s="428"/>
      <c r="K174" s="428"/>
    </row>
    <row r="175">
      <c r="C175" s="269"/>
      <c r="D175" s="427"/>
      <c r="E175" s="269"/>
      <c r="F175" s="269"/>
      <c r="I175" s="353"/>
      <c r="J175" s="428"/>
      <c r="K175" s="428"/>
    </row>
    <row r="176">
      <c r="C176" s="269"/>
      <c r="D176" s="427"/>
      <c r="E176" s="269"/>
      <c r="F176" s="269"/>
      <c r="I176" s="353"/>
      <c r="J176" s="428"/>
      <c r="K176" s="428"/>
    </row>
    <row r="177">
      <c r="C177" s="269"/>
      <c r="D177" s="427"/>
      <c r="E177" s="269"/>
      <c r="F177" s="269"/>
      <c r="I177" s="353"/>
      <c r="J177" s="428"/>
      <c r="K177" s="428"/>
    </row>
    <row r="178">
      <c r="C178" s="269"/>
      <c r="D178" s="427"/>
      <c r="E178" s="269"/>
      <c r="F178" s="269"/>
      <c r="I178" s="353"/>
      <c r="J178" s="428"/>
      <c r="K178" s="428"/>
    </row>
    <row r="179">
      <c r="C179" s="269"/>
      <c r="D179" s="427"/>
      <c r="E179" s="269"/>
      <c r="F179" s="269"/>
      <c r="I179" s="353"/>
      <c r="J179" s="428"/>
      <c r="K179" s="428"/>
    </row>
    <row r="180">
      <c r="C180" s="269"/>
      <c r="D180" s="427"/>
      <c r="E180" s="269"/>
      <c r="F180" s="269"/>
      <c r="I180" s="353"/>
      <c r="J180" s="428"/>
      <c r="K180" s="428"/>
    </row>
    <row r="181">
      <c r="C181" s="269"/>
      <c r="D181" s="427"/>
      <c r="E181" s="269"/>
      <c r="F181" s="269"/>
      <c r="I181" s="353"/>
      <c r="J181" s="428"/>
      <c r="K181" s="428"/>
    </row>
    <row r="182">
      <c r="C182" s="269"/>
      <c r="D182" s="427"/>
      <c r="E182" s="269"/>
      <c r="F182" s="269"/>
      <c r="I182" s="353"/>
      <c r="J182" s="428"/>
      <c r="K182" s="428"/>
    </row>
    <row r="183">
      <c r="C183" s="269"/>
      <c r="D183" s="427"/>
      <c r="E183" s="269"/>
      <c r="F183" s="269"/>
      <c r="I183" s="353"/>
      <c r="J183" s="428"/>
      <c r="K183" s="428"/>
    </row>
    <row r="184">
      <c r="C184" s="269"/>
      <c r="D184" s="427"/>
      <c r="E184" s="269"/>
      <c r="F184" s="269"/>
      <c r="I184" s="353"/>
      <c r="J184" s="428"/>
      <c r="K184" s="428"/>
    </row>
    <row r="185">
      <c r="C185" s="269"/>
      <c r="D185" s="427"/>
      <c r="E185" s="269"/>
      <c r="F185" s="269"/>
      <c r="I185" s="353"/>
      <c r="J185" s="428"/>
      <c r="K185" s="428"/>
    </row>
    <row r="186">
      <c r="C186" s="269"/>
      <c r="D186" s="427"/>
      <c r="E186" s="269"/>
      <c r="F186" s="269"/>
      <c r="I186" s="353"/>
      <c r="J186" s="428"/>
      <c r="K186" s="428"/>
    </row>
    <row r="187">
      <c r="C187" s="269"/>
      <c r="D187" s="427"/>
      <c r="E187" s="269"/>
      <c r="F187" s="269"/>
      <c r="I187" s="353"/>
      <c r="J187" s="428"/>
      <c r="K187" s="428"/>
    </row>
    <row r="188">
      <c r="C188" s="269"/>
      <c r="D188" s="427"/>
      <c r="E188" s="269"/>
      <c r="F188" s="269"/>
      <c r="I188" s="353"/>
      <c r="J188" s="428"/>
      <c r="K188" s="428"/>
    </row>
    <row r="189">
      <c r="C189" s="269"/>
      <c r="D189" s="427"/>
      <c r="E189" s="269"/>
      <c r="F189" s="269"/>
      <c r="I189" s="353"/>
      <c r="J189" s="428"/>
      <c r="K189" s="428"/>
    </row>
    <row r="190">
      <c r="C190" s="269"/>
      <c r="D190" s="427"/>
      <c r="E190" s="269"/>
      <c r="F190" s="269"/>
      <c r="I190" s="353"/>
      <c r="J190" s="428"/>
      <c r="K190" s="428"/>
    </row>
    <row r="191">
      <c r="C191" s="269"/>
      <c r="D191" s="427"/>
      <c r="E191" s="269"/>
      <c r="F191" s="269"/>
      <c r="I191" s="353"/>
      <c r="J191" s="428"/>
      <c r="K191" s="428"/>
    </row>
    <row r="192">
      <c r="C192" s="269"/>
      <c r="D192" s="427"/>
      <c r="E192" s="269"/>
      <c r="F192" s="269"/>
      <c r="I192" s="353"/>
      <c r="J192" s="428"/>
      <c r="K192" s="428"/>
    </row>
    <row r="193">
      <c r="C193" s="269"/>
      <c r="D193" s="427"/>
      <c r="E193" s="269"/>
      <c r="F193" s="269"/>
      <c r="I193" s="353"/>
      <c r="J193" s="428"/>
      <c r="K193" s="428"/>
    </row>
    <row r="194">
      <c r="C194" s="269"/>
      <c r="D194" s="427"/>
      <c r="E194" s="269"/>
      <c r="F194" s="269"/>
      <c r="I194" s="353"/>
      <c r="J194" s="428"/>
      <c r="K194" s="428"/>
    </row>
    <row r="195">
      <c r="C195" s="269"/>
      <c r="D195" s="427"/>
      <c r="E195" s="269"/>
      <c r="F195" s="269"/>
      <c r="I195" s="353"/>
      <c r="J195" s="428"/>
      <c r="K195" s="428"/>
    </row>
    <row r="196">
      <c r="C196" s="269"/>
      <c r="D196" s="427"/>
      <c r="E196" s="269"/>
      <c r="F196" s="269"/>
      <c r="I196" s="353"/>
      <c r="J196" s="428"/>
      <c r="K196" s="428"/>
    </row>
    <row r="197">
      <c r="C197" s="269"/>
      <c r="D197" s="427"/>
      <c r="E197" s="269"/>
      <c r="F197" s="269"/>
      <c r="I197" s="353"/>
      <c r="J197" s="428"/>
      <c r="K197" s="428"/>
    </row>
    <row r="198">
      <c r="C198" s="269"/>
      <c r="D198" s="427"/>
      <c r="E198" s="269"/>
      <c r="F198" s="269"/>
      <c r="I198" s="353"/>
      <c r="J198" s="428"/>
      <c r="K198" s="428"/>
    </row>
    <row r="199">
      <c r="C199" s="269"/>
      <c r="D199" s="427"/>
      <c r="E199" s="269"/>
      <c r="F199" s="269"/>
      <c r="I199" s="353"/>
      <c r="J199" s="428"/>
      <c r="K199" s="428"/>
    </row>
    <row r="200">
      <c r="C200" s="269"/>
      <c r="D200" s="427"/>
      <c r="E200" s="269"/>
      <c r="F200" s="269"/>
      <c r="I200" s="353"/>
      <c r="J200" s="428"/>
      <c r="K200" s="428"/>
    </row>
    <row r="201">
      <c r="C201" s="269"/>
      <c r="D201" s="427"/>
      <c r="E201" s="269"/>
      <c r="F201" s="269"/>
      <c r="I201" s="353"/>
      <c r="J201" s="428"/>
      <c r="K201" s="428"/>
    </row>
    <row r="202">
      <c r="C202" s="269"/>
      <c r="D202" s="427"/>
      <c r="E202" s="269"/>
      <c r="F202" s="269"/>
      <c r="I202" s="353"/>
      <c r="J202" s="428"/>
      <c r="K202" s="428"/>
    </row>
    <row r="203">
      <c r="C203" s="269"/>
      <c r="D203" s="427"/>
      <c r="E203" s="269"/>
      <c r="F203" s="269"/>
      <c r="I203" s="353"/>
      <c r="J203" s="428"/>
      <c r="K203" s="428"/>
    </row>
    <row r="204">
      <c r="C204" s="269"/>
      <c r="D204" s="427"/>
      <c r="E204" s="269"/>
      <c r="F204" s="269"/>
      <c r="I204" s="353"/>
      <c r="J204" s="428"/>
      <c r="K204" s="428"/>
    </row>
    <row r="205">
      <c r="C205" s="269"/>
      <c r="D205" s="427"/>
      <c r="E205" s="269"/>
      <c r="F205" s="269"/>
      <c r="I205" s="353"/>
      <c r="J205" s="428"/>
      <c r="K205" s="428"/>
    </row>
    <row r="206">
      <c r="C206" s="269"/>
      <c r="D206" s="427"/>
      <c r="E206" s="269"/>
      <c r="F206" s="269"/>
      <c r="I206" s="353"/>
      <c r="J206" s="428"/>
      <c r="K206" s="428"/>
    </row>
    <row r="207">
      <c r="C207" s="269"/>
      <c r="D207" s="427"/>
      <c r="E207" s="269"/>
      <c r="F207" s="269"/>
      <c r="I207" s="353"/>
      <c r="J207" s="428"/>
      <c r="K207" s="428"/>
    </row>
    <row r="208">
      <c r="C208" s="269"/>
      <c r="D208" s="427"/>
      <c r="E208" s="269"/>
      <c r="F208" s="269"/>
      <c r="I208" s="353"/>
      <c r="J208" s="428"/>
      <c r="K208" s="428"/>
    </row>
    <row r="209">
      <c r="C209" s="269"/>
      <c r="D209" s="427"/>
      <c r="E209" s="269"/>
      <c r="F209" s="269"/>
      <c r="I209" s="353"/>
      <c r="J209" s="428"/>
      <c r="K209" s="428"/>
    </row>
    <row r="210">
      <c r="C210" s="269"/>
      <c r="D210" s="427"/>
      <c r="E210" s="269"/>
      <c r="F210" s="269"/>
      <c r="I210" s="353"/>
      <c r="J210" s="428"/>
      <c r="K210" s="428"/>
    </row>
    <row r="211">
      <c r="C211" s="269"/>
      <c r="D211" s="427"/>
      <c r="E211" s="269"/>
      <c r="F211" s="269"/>
      <c r="I211" s="353"/>
      <c r="J211" s="428"/>
      <c r="K211" s="428"/>
    </row>
    <row r="212">
      <c r="C212" s="269"/>
      <c r="D212" s="427"/>
      <c r="E212" s="269"/>
      <c r="F212" s="269"/>
      <c r="I212" s="353"/>
      <c r="J212" s="428"/>
      <c r="K212" s="428"/>
    </row>
    <row r="213">
      <c r="C213" s="269"/>
      <c r="D213" s="427"/>
      <c r="E213" s="269"/>
      <c r="F213" s="269"/>
      <c r="I213" s="353"/>
      <c r="J213" s="428"/>
      <c r="K213" s="428"/>
    </row>
    <row r="214">
      <c r="C214" s="269"/>
      <c r="D214" s="427"/>
      <c r="E214" s="269"/>
      <c r="F214" s="269"/>
      <c r="I214" s="353"/>
      <c r="J214" s="428"/>
      <c r="K214" s="428"/>
    </row>
    <row r="215">
      <c r="C215" s="269"/>
      <c r="D215" s="427"/>
      <c r="E215" s="269"/>
      <c r="F215" s="269"/>
      <c r="I215" s="353"/>
      <c r="J215" s="428"/>
      <c r="K215" s="428"/>
    </row>
    <row r="216">
      <c r="C216" s="269"/>
      <c r="D216" s="427"/>
      <c r="E216" s="269"/>
      <c r="F216" s="269"/>
      <c r="I216" s="353"/>
      <c r="J216" s="428"/>
      <c r="K216" s="428"/>
    </row>
    <row r="217">
      <c r="C217" s="269"/>
      <c r="D217" s="427"/>
      <c r="E217" s="269"/>
      <c r="F217" s="269"/>
      <c r="I217" s="353"/>
      <c r="J217" s="428"/>
      <c r="K217" s="428"/>
    </row>
    <row r="218">
      <c r="C218" s="269"/>
      <c r="D218" s="427"/>
      <c r="E218" s="269"/>
      <c r="F218" s="269"/>
      <c r="I218" s="353"/>
      <c r="J218" s="428"/>
      <c r="K218" s="428"/>
    </row>
    <row r="219">
      <c r="C219" s="269"/>
      <c r="D219" s="427"/>
      <c r="E219" s="269"/>
      <c r="F219" s="269"/>
      <c r="I219" s="353"/>
      <c r="J219" s="428"/>
      <c r="K219" s="428"/>
    </row>
    <row r="220">
      <c r="C220" s="269"/>
      <c r="D220" s="427"/>
      <c r="E220" s="269"/>
      <c r="F220" s="269"/>
      <c r="I220" s="353"/>
      <c r="J220" s="428"/>
      <c r="K220" s="428"/>
    </row>
    <row r="221">
      <c r="C221" s="269"/>
      <c r="D221" s="427"/>
      <c r="E221" s="269"/>
      <c r="F221" s="269"/>
      <c r="I221" s="353"/>
      <c r="J221" s="428"/>
      <c r="K221" s="428"/>
    </row>
    <row r="222">
      <c r="C222" s="269"/>
      <c r="D222" s="427"/>
      <c r="E222" s="269"/>
      <c r="F222" s="269"/>
      <c r="I222" s="353"/>
      <c r="J222" s="428"/>
      <c r="K222" s="428"/>
    </row>
    <row r="223">
      <c r="C223" s="269"/>
      <c r="D223" s="427"/>
      <c r="E223" s="269"/>
      <c r="F223" s="269"/>
      <c r="I223" s="353"/>
      <c r="J223" s="428"/>
      <c r="K223" s="428"/>
    </row>
    <row r="224">
      <c r="C224" s="269"/>
      <c r="D224" s="427"/>
      <c r="E224" s="269"/>
      <c r="F224" s="269"/>
      <c r="I224" s="353"/>
      <c r="J224" s="428"/>
      <c r="K224" s="428"/>
    </row>
    <row r="225">
      <c r="C225" s="269"/>
      <c r="D225" s="427"/>
      <c r="E225" s="269"/>
      <c r="F225" s="269"/>
      <c r="I225" s="353"/>
      <c r="J225" s="428"/>
      <c r="K225" s="428"/>
    </row>
    <row r="226">
      <c r="C226" s="269"/>
      <c r="D226" s="427"/>
      <c r="E226" s="269"/>
      <c r="F226" s="269"/>
      <c r="I226" s="353"/>
      <c r="J226" s="428"/>
      <c r="K226" s="428"/>
    </row>
    <row r="227">
      <c r="C227" s="269"/>
      <c r="D227" s="427"/>
      <c r="E227" s="269"/>
      <c r="F227" s="269"/>
      <c r="I227" s="353"/>
      <c r="J227" s="428"/>
      <c r="K227" s="428"/>
    </row>
    <row r="228">
      <c r="C228" s="269"/>
      <c r="D228" s="427"/>
      <c r="E228" s="269"/>
      <c r="F228" s="269"/>
      <c r="I228" s="353"/>
      <c r="J228" s="428"/>
      <c r="K228" s="428"/>
    </row>
    <row r="229">
      <c r="C229" s="269"/>
      <c r="D229" s="427"/>
      <c r="E229" s="269"/>
      <c r="F229" s="269"/>
      <c r="I229" s="353"/>
      <c r="J229" s="428"/>
      <c r="K229" s="428"/>
    </row>
    <row r="230">
      <c r="C230" s="269"/>
      <c r="D230" s="427"/>
      <c r="E230" s="269"/>
      <c r="F230" s="269"/>
      <c r="I230" s="353"/>
      <c r="J230" s="428"/>
      <c r="K230" s="428"/>
    </row>
    <row r="231">
      <c r="C231" s="269"/>
      <c r="D231" s="427"/>
      <c r="E231" s="269"/>
      <c r="F231" s="269"/>
      <c r="I231" s="353"/>
      <c r="J231" s="428"/>
      <c r="K231" s="428"/>
    </row>
    <row r="232">
      <c r="C232" s="269"/>
      <c r="D232" s="427"/>
      <c r="E232" s="269"/>
      <c r="F232" s="269"/>
      <c r="I232" s="353"/>
      <c r="J232" s="428"/>
      <c r="K232" s="428"/>
    </row>
    <row r="233">
      <c r="C233" s="269"/>
      <c r="D233" s="427"/>
      <c r="E233" s="269"/>
      <c r="F233" s="269"/>
      <c r="I233" s="353"/>
      <c r="J233" s="428"/>
      <c r="K233" s="428"/>
    </row>
    <row r="234">
      <c r="C234" s="269"/>
      <c r="D234" s="427"/>
      <c r="E234" s="269"/>
      <c r="F234" s="269"/>
      <c r="I234" s="353"/>
      <c r="J234" s="428"/>
      <c r="K234" s="428"/>
    </row>
    <row r="235">
      <c r="C235" s="269"/>
      <c r="D235" s="427"/>
      <c r="E235" s="269"/>
      <c r="F235" s="269"/>
      <c r="I235" s="353"/>
      <c r="J235" s="428"/>
      <c r="K235" s="428"/>
    </row>
    <row r="236">
      <c r="C236" s="269"/>
      <c r="D236" s="427"/>
      <c r="E236" s="269"/>
      <c r="F236" s="269"/>
      <c r="I236" s="353"/>
      <c r="J236" s="428"/>
      <c r="K236" s="428"/>
    </row>
    <row r="237">
      <c r="C237" s="269"/>
      <c r="D237" s="427"/>
      <c r="E237" s="269"/>
      <c r="F237" s="269"/>
      <c r="I237" s="353"/>
      <c r="J237" s="428"/>
      <c r="K237" s="428"/>
    </row>
    <row r="238">
      <c r="C238" s="269"/>
      <c r="D238" s="427"/>
      <c r="E238" s="269"/>
      <c r="F238" s="269"/>
      <c r="I238" s="353"/>
      <c r="J238" s="428"/>
      <c r="K238" s="428"/>
    </row>
    <row r="239">
      <c r="C239" s="269"/>
      <c r="D239" s="427"/>
      <c r="E239" s="269"/>
      <c r="F239" s="269"/>
      <c r="I239" s="353"/>
      <c r="J239" s="428"/>
      <c r="K239" s="428"/>
    </row>
    <row r="240">
      <c r="C240" s="269"/>
      <c r="D240" s="427"/>
      <c r="E240" s="269"/>
      <c r="F240" s="269"/>
      <c r="I240" s="353"/>
      <c r="J240" s="428"/>
      <c r="K240" s="428"/>
    </row>
    <row r="241">
      <c r="C241" s="269"/>
      <c r="D241" s="427"/>
      <c r="E241" s="269"/>
      <c r="F241" s="269"/>
      <c r="I241" s="353"/>
      <c r="J241" s="428"/>
      <c r="K241" s="428"/>
    </row>
    <row r="242">
      <c r="C242" s="269"/>
      <c r="D242" s="427"/>
      <c r="E242" s="269"/>
      <c r="F242" s="269"/>
      <c r="I242" s="353"/>
      <c r="J242" s="428"/>
      <c r="K242" s="428"/>
    </row>
    <row r="243">
      <c r="C243" s="269"/>
      <c r="D243" s="427"/>
      <c r="E243" s="269"/>
      <c r="F243" s="269"/>
      <c r="I243" s="353"/>
      <c r="J243" s="428"/>
      <c r="K243" s="428"/>
    </row>
    <row r="244">
      <c r="C244" s="269"/>
      <c r="D244" s="427"/>
      <c r="E244" s="269"/>
      <c r="F244" s="269"/>
      <c r="I244" s="353"/>
      <c r="J244" s="428"/>
      <c r="K244" s="428"/>
    </row>
    <row r="245">
      <c r="C245" s="269"/>
      <c r="D245" s="427"/>
      <c r="E245" s="269"/>
      <c r="F245" s="269"/>
      <c r="I245" s="353"/>
      <c r="J245" s="428"/>
      <c r="K245" s="428"/>
    </row>
    <row r="246">
      <c r="C246" s="269"/>
      <c r="D246" s="427"/>
      <c r="E246" s="269"/>
      <c r="F246" s="269"/>
      <c r="I246" s="353"/>
      <c r="J246" s="428"/>
      <c r="K246" s="428"/>
    </row>
    <row r="247">
      <c r="C247" s="269"/>
      <c r="D247" s="427"/>
      <c r="E247" s="269"/>
      <c r="F247" s="269"/>
      <c r="I247" s="353"/>
      <c r="J247" s="428"/>
      <c r="K247" s="428"/>
    </row>
    <row r="248">
      <c r="C248" s="269"/>
      <c r="D248" s="427"/>
      <c r="E248" s="269"/>
      <c r="F248" s="269"/>
      <c r="I248" s="353"/>
      <c r="J248" s="428"/>
      <c r="K248" s="428"/>
    </row>
    <row r="249">
      <c r="C249" s="269"/>
      <c r="D249" s="427"/>
      <c r="E249" s="269"/>
      <c r="F249" s="269"/>
      <c r="I249" s="353"/>
      <c r="J249" s="428"/>
      <c r="K249" s="428"/>
    </row>
    <row r="250">
      <c r="C250" s="269"/>
      <c r="D250" s="427"/>
      <c r="E250" s="269"/>
      <c r="F250" s="269"/>
      <c r="I250" s="353"/>
      <c r="J250" s="428"/>
      <c r="K250" s="428"/>
    </row>
    <row r="251">
      <c r="C251" s="269"/>
      <c r="D251" s="427"/>
      <c r="E251" s="269"/>
      <c r="F251" s="269"/>
      <c r="I251" s="353"/>
      <c r="J251" s="428"/>
      <c r="K251" s="428"/>
    </row>
    <row r="252">
      <c r="C252" s="269"/>
      <c r="D252" s="427"/>
      <c r="E252" s="269"/>
      <c r="F252" s="269"/>
      <c r="I252" s="353"/>
      <c r="J252" s="428"/>
      <c r="K252" s="428"/>
    </row>
    <row r="253">
      <c r="C253" s="269"/>
      <c r="D253" s="427"/>
      <c r="E253" s="269"/>
      <c r="F253" s="269"/>
      <c r="I253" s="353"/>
      <c r="J253" s="428"/>
      <c r="K253" s="428"/>
    </row>
    <row r="254">
      <c r="C254" s="269"/>
      <c r="D254" s="427"/>
      <c r="E254" s="269"/>
      <c r="F254" s="269"/>
      <c r="I254" s="353"/>
      <c r="J254" s="428"/>
      <c r="K254" s="428"/>
    </row>
    <row r="255">
      <c r="C255" s="269"/>
      <c r="D255" s="427"/>
      <c r="E255" s="269"/>
      <c r="F255" s="269"/>
      <c r="I255" s="353"/>
      <c r="J255" s="428"/>
      <c r="K255" s="428"/>
    </row>
    <row r="256">
      <c r="C256" s="269"/>
      <c r="D256" s="427"/>
      <c r="E256" s="269"/>
      <c r="F256" s="269"/>
      <c r="I256" s="353"/>
      <c r="J256" s="428"/>
      <c r="K256" s="428"/>
    </row>
    <row r="257">
      <c r="C257" s="269"/>
      <c r="D257" s="427"/>
      <c r="E257" s="269"/>
      <c r="F257" s="269"/>
      <c r="I257" s="353"/>
      <c r="J257" s="428"/>
      <c r="K257" s="428"/>
    </row>
    <row r="258">
      <c r="C258" s="269"/>
      <c r="D258" s="427"/>
      <c r="E258" s="269"/>
      <c r="F258" s="269"/>
      <c r="I258" s="353"/>
      <c r="J258" s="428"/>
      <c r="K258" s="428"/>
    </row>
    <row r="259">
      <c r="C259" s="269"/>
      <c r="D259" s="427"/>
      <c r="E259" s="269"/>
      <c r="F259" s="269"/>
      <c r="I259" s="353"/>
      <c r="J259" s="428"/>
      <c r="K259" s="428"/>
    </row>
    <row r="260">
      <c r="C260" s="269"/>
      <c r="D260" s="427"/>
      <c r="E260" s="269"/>
      <c r="F260" s="269"/>
      <c r="I260" s="353"/>
      <c r="J260" s="428"/>
      <c r="K260" s="428"/>
    </row>
    <row r="261">
      <c r="C261" s="269"/>
      <c r="D261" s="427"/>
      <c r="E261" s="269"/>
      <c r="F261" s="269"/>
      <c r="I261" s="353"/>
      <c r="J261" s="428"/>
      <c r="K261" s="428"/>
    </row>
    <row r="262">
      <c r="C262" s="269"/>
      <c r="D262" s="427"/>
      <c r="E262" s="269"/>
      <c r="F262" s="269"/>
      <c r="I262" s="353"/>
      <c r="J262" s="428"/>
      <c r="K262" s="428"/>
    </row>
    <row r="263">
      <c r="C263" s="269"/>
      <c r="D263" s="427"/>
      <c r="E263" s="269"/>
      <c r="F263" s="269"/>
      <c r="I263" s="353"/>
      <c r="J263" s="428"/>
      <c r="K263" s="428"/>
    </row>
    <row r="264">
      <c r="C264" s="269"/>
      <c r="D264" s="427"/>
      <c r="E264" s="269"/>
      <c r="F264" s="269"/>
      <c r="I264" s="353"/>
      <c r="J264" s="428"/>
      <c r="K264" s="428"/>
    </row>
    <row r="265">
      <c r="C265" s="269"/>
      <c r="D265" s="427"/>
      <c r="E265" s="269"/>
      <c r="F265" s="269"/>
      <c r="I265" s="353"/>
      <c r="J265" s="428"/>
      <c r="K265" s="428"/>
    </row>
    <row r="266">
      <c r="C266" s="269"/>
      <c r="D266" s="427"/>
      <c r="E266" s="269"/>
      <c r="F266" s="269"/>
      <c r="I266" s="353"/>
      <c r="J266" s="428"/>
      <c r="K266" s="428"/>
    </row>
    <row r="267">
      <c r="C267" s="269"/>
      <c r="D267" s="427"/>
      <c r="E267" s="269"/>
      <c r="F267" s="269"/>
      <c r="I267" s="353"/>
      <c r="J267" s="428"/>
      <c r="K267" s="428"/>
    </row>
    <row r="268">
      <c r="C268" s="269"/>
      <c r="D268" s="427"/>
      <c r="E268" s="269"/>
      <c r="F268" s="269"/>
      <c r="I268" s="353"/>
      <c r="J268" s="428"/>
      <c r="K268" s="428"/>
    </row>
    <row r="269">
      <c r="C269" s="269"/>
      <c r="D269" s="427"/>
      <c r="E269" s="269"/>
      <c r="F269" s="269"/>
      <c r="I269" s="353"/>
      <c r="J269" s="428"/>
      <c r="K269" s="428"/>
    </row>
    <row r="270">
      <c r="C270" s="269"/>
      <c r="D270" s="427"/>
      <c r="E270" s="269"/>
      <c r="F270" s="269"/>
      <c r="I270" s="353"/>
      <c r="J270" s="428"/>
      <c r="K270" s="428"/>
    </row>
    <row r="271">
      <c r="C271" s="269"/>
      <c r="D271" s="427"/>
      <c r="E271" s="269"/>
      <c r="F271" s="269"/>
      <c r="I271" s="353"/>
      <c r="J271" s="428"/>
      <c r="K271" s="428"/>
    </row>
    <row r="272">
      <c r="C272" s="269"/>
      <c r="D272" s="427"/>
      <c r="E272" s="269"/>
      <c r="F272" s="269"/>
      <c r="I272" s="353"/>
      <c r="J272" s="428"/>
      <c r="K272" s="428"/>
    </row>
    <row r="273">
      <c r="C273" s="269"/>
      <c r="D273" s="427"/>
      <c r="E273" s="269"/>
      <c r="F273" s="269"/>
      <c r="I273" s="353"/>
      <c r="J273" s="428"/>
      <c r="K273" s="428"/>
    </row>
    <row r="274">
      <c r="C274" s="269"/>
      <c r="D274" s="427"/>
      <c r="E274" s="269"/>
      <c r="F274" s="269"/>
      <c r="I274" s="353"/>
      <c r="J274" s="428"/>
      <c r="K274" s="428"/>
    </row>
    <row r="275">
      <c r="C275" s="269"/>
      <c r="D275" s="427"/>
      <c r="E275" s="269"/>
      <c r="F275" s="269"/>
      <c r="I275" s="353"/>
      <c r="J275" s="428"/>
      <c r="K275" s="428"/>
    </row>
    <row r="276">
      <c r="C276" s="269"/>
      <c r="D276" s="427"/>
      <c r="E276" s="269"/>
      <c r="F276" s="269"/>
      <c r="I276" s="353"/>
      <c r="J276" s="428"/>
      <c r="K276" s="428"/>
    </row>
    <row r="277">
      <c r="C277" s="269"/>
      <c r="D277" s="427"/>
      <c r="E277" s="269"/>
      <c r="F277" s="269"/>
      <c r="I277" s="353"/>
      <c r="J277" s="428"/>
      <c r="K277" s="428"/>
    </row>
    <row r="278">
      <c r="C278" s="269"/>
      <c r="D278" s="427"/>
      <c r="E278" s="269"/>
      <c r="F278" s="269"/>
      <c r="I278" s="353"/>
      <c r="J278" s="428"/>
      <c r="K278" s="428"/>
    </row>
    <row r="279">
      <c r="C279" s="269"/>
      <c r="D279" s="427"/>
      <c r="E279" s="269"/>
      <c r="F279" s="269"/>
      <c r="I279" s="353"/>
      <c r="J279" s="428"/>
      <c r="K279" s="428"/>
    </row>
    <row r="280">
      <c r="C280" s="269"/>
      <c r="D280" s="427"/>
      <c r="E280" s="269"/>
      <c r="F280" s="269"/>
      <c r="I280" s="353"/>
      <c r="J280" s="428"/>
      <c r="K280" s="428"/>
    </row>
    <row r="281">
      <c r="C281" s="269"/>
      <c r="D281" s="427"/>
      <c r="E281" s="269"/>
      <c r="F281" s="269"/>
      <c r="I281" s="353"/>
      <c r="J281" s="428"/>
      <c r="K281" s="428"/>
    </row>
    <row r="282">
      <c r="C282" s="269"/>
      <c r="D282" s="427"/>
      <c r="E282" s="269"/>
      <c r="F282" s="269"/>
      <c r="I282" s="353"/>
      <c r="J282" s="428"/>
      <c r="K282" s="428"/>
    </row>
    <row r="283">
      <c r="C283" s="269"/>
      <c r="D283" s="427"/>
      <c r="E283" s="269"/>
      <c r="F283" s="269"/>
      <c r="I283" s="353"/>
      <c r="J283" s="428"/>
      <c r="K283" s="428"/>
    </row>
    <row r="284">
      <c r="C284" s="269"/>
      <c r="D284" s="427"/>
      <c r="E284" s="269"/>
      <c r="F284" s="269"/>
      <c r="I284" s="353"/>
      <c r="J284" s="428"/>
      <c r="K284" s="428"/>
    </row>
    <row r="285">
      <c r="C285" s="269"/>
      <c r="D285" s="427"/>
      <c r="E285" s="269"/>
      <c r="F285" s="269"/>
      <c r="I285" s="353"/>
      <c r="J285" s="428"/>
      <c r="K285" s="428"/>
    </row>
    <row r="286">
      <c r="C286" s="269"/>
      <c r="D286" s="427"/>
      <c r="E286" s="269"/>
      <c r="F286" s="269"/>
      <c r="I286" s="353"/>
      <c r="J286" s="428"/>
      <c r="K286" s="428"/>
    </row>
    <row r="287">
      <c r="C287" s="269"/>
      <c r="D287" s="427"/>
      <c r="E287" s="269"/>
      <c r="F287" s="269"/>
      <c r="I287" s="353"/>
      <c r="J287" s="428"/>
      <c r="K287" s="428"/>
    </row>
    <row r="288">
      <c r="C288" s="269"/>
      <c r="D288" s="427"/>
      <c r="E288" s="269"/>
      <c r="F288" s="269"/>
      <c r="I288" s="353"/>
      <c r="J288" s="428"/>
      <c r="K288" s="428"/>
    </row>
    <row r="289">
      <c r="C289" s="269"/>
      <c r="D289" s="427"/>
      <c r="E289" s="269"/>
      <c r="F289" s="269"/>
      <c r="I289" s="353"/>
      <c r="J289" s="428"/>
      <c r="K289" s="428"/>
    </row>
    <row r="290">
      <c r="C290" s="269"/>
      <c r="D290" s="427"/>
      <c r="E290" s="269"/>
      <c r="F290" s="269"/>
      <c r="I290" s="353"/>
      <c r="J290" s="428"/>
      <c r="K290" s="428"/>
    </row>
    <row r="291">
      <c r="C291" s="269"/>
      <c r="D291" s="427"/>
      <c r="E291" s="269"/>
      <c r="F291" s="269"/>
      <c r="I291" s="353"/>
      <c r="J291" s="428"/>
      <c r="K291" s="428"/>
    </row>
    <row r="292">
      <c r="C292" s="269"/>
      <c r="D292" s="427"/>
      <c r="E292" s="269"/>
      <c r="F292" s="269"/>
      <c r="I292" s="353"/>
      <c r="J292" s="428"/>
      <c r="K292" s="428"/>
    </row>
    <row r="293">
      <c r="C293" s="269"/>
      <c r="D293" s="427"/>
      <c r="E293" s="269"/>
      <c r="F293" s="269"/>
      <c r="I293" s="353"/>
      <c r="J293" s="428"/>
      <c r="K293" s="428"/>
    </row>
    <row r="294">
      <c r="C294" s="269"/>
      <c r="D294" s="427"/>
      <c r="E294" s="269"/>
      <c r="F294" s="269"/>
      <c r="I294" s="353"/>
      <c r="J294" s="428"/>
      <c r="K294" s="428"/>
    </row>
    <row r="295">
      <c r="C295" s="269"/>
      <c r="D295" s="427"/>
      <c r="E295" s="269"/>
      <c r="F295" s="269"/>
      <c r="I295" s="353"/>
      <c r="J295" s="428"/>
      <c r="K295" s="428"/>
    </row>
    <row r="296">
      <c r="C296" s="269"/>
      <c r="D296" s="427"/>
      <c r="E296" s="269"/>
      <c r="F296" s="269"/>
      <c r="I296" s="353"/>
      <c r="J296" s="428"/>
      <c r="K296" s="428"/>
    </row>
    <row r="297">
      <c r="C297" s="269"/>
      <c r="D297" s="427"/>
      <c r="E297" s="269"/>
      <c r="F297" s="269"/>
      <c r="I297" s="353"/>
      <c r="J297" s="428"/>
      <c r="K297" s="428"/>
    </row>
    <row r="298">
      <c r="C298" s="269"/>
      <c r="D298" s="427"/>
      <c r="E298" s="269"/>
      <c r="F298" s="269"/>
      <c r="I298" s="353"/>
      <c r="J298" s="428"/>
      <c r="K298" s="428"/>
    </row>
    <row r="299">
      <c r="C299" s="269"/>
      <c r="D299" s="427"/>
      <c r="E299" s="269"/>
      <c r="F299" s="269"/>
      <c r="I299" s="353"/>
      <c r="J299" s="428"/>
      <c r="K299" s="428"/>
    </row>
    <row r="300">
      <c r="C300" s="269"/>
      <c r="D300" s="427"/>
      <c r="E300" s="269"/>
      <c r="F300" s="269"/>
      <c r="I300" s="353"/>
      <c r="J300" s="428"/>
      <c r="K300" s="428"/>
    </row>
    <row r="301">
      <c r="C301" s="269"/>
      <c r="D301" s="427"/>
      <c r="E301" s="269"/>
      <c r="F301" s="269"/>
      <c r="I301" s="353"/>
      <c r="J301" s="428"/>
      <c r="K301" s="428"/>
    </row>
    <row r="302">
      <c r="C302" s="269"/>
      <c r="D302" s="427"/>
      <c r="E302" s="269"/>
      <c r="F302" s="269"/>
      <c r="I302" s="353"/>
      <c r="J302" s="428"/>
      <c r="K302" s="428"/>
    </row>
    <row r="303">
      <c r="C303" s="269"/>
      <c r="D303" s="427"/>
      <c r="E303" s="269"/>
      <c r="F303" s="269"/>
      <c r="I303" s="353"/>
      <c r="J303" s="428"/>
      <c r="K303" s="428"/>
    </row>
    <row r="304">
      <c r="C304" s="269"/>
      <c r="D304" s="427"/>
      <c r="E304" s="269"/>
      <c r="F304" s="269"/>
      <c r="I304" s="353"/>
      <c r="J304" s="428"/>
      <c r="K304" s="428"/>
    </row>
    <row r="305">
      <c r="C305" s="269"/>
      <c r="D305" s="427"/>
      <c r="E305" s="269"/>
      <c r="F305" s="269"/>
      <c r="I305" s="353"/>
      <c r="J305" s="428"/>
      <c r="K305" s="428"/>
    </row>
    <row r="306">
      <c r="C306" s="269"/>
      <c r="D306" s="427"/>
      <c r="E306" s="269"/>
      <c r="F306" s="269"/>
      <c r="I306" s="353"/>
      <c r="J306" s="428"/>
      <c r="K306" s="428"/>
    </row>
    <row r="307">
      <c r="C307" s="269"/>
      <c r="D307" s="427"/>
      <c r="E307" s="269"/>
      <c r="F307" s="269"/>
      <c r="I307" s="353"/>
      <c r="J307" s="428"/>
      <c r="K307" s="428"/>
    </row>
    <row r="308">
      <c r="C308" s="269"/>
      <c r="D308" s="427"/>
      <c r="E308" s="269"/>
      <c r="F308" s="269"/>
      <c r="I308" s="353"/>
      <c r="J308" s="428"/>
      <c r="K308" s="428"/>
    </row>
    <row r="309">
      <c r="C309" s="269"/>
      <c r="D309" s="427"/>
      <c r="E309" s="269"/>
      <c r="F309" s="269"/>
      <c r="I309" s="353"/>
      <c r="J309" s="428"/>
      <c r="K309" s="428"/>
    </row>
    <row r="310">
      <c r="C310" s="269"/>
      <c r="D310" s="427"/>
      <c r="E310" s="269"/>
      <c r="F310" s="269"/>
      <c r="I310" s="353"/>
      <c r="J310" s="428"/>
      <c r="K310" s="428"/>
    </row>
    <row r="311">
      <c r="C311" s="269"/>
      <c r="D311" s="427"/>
      <c r="E311" s="269"/>
      <c r="F311" s="269"/>
      <c r="I311" s="353"/>
      <c r="J311" s="428"/>
      <c r="K311" s="428"/>
    </row>
    <row r="312">
      <c r="C312" s="269"/>
      <c r="D312" s="427"/>
      <c r="E312" s="269"/>
      <c r="F312" s="269"/>
      <c r="I312" s="353"/>
      <c r="J312" s="428"/>
      <c r="K312" s="428"/>
    </row>
    <row r="313">
      <c r="C313" s="269"/>
      <c r="D313" s="427"/>
      <c r="E313" s="269"/>
      <c r="F313" s="269"/>
      <c r="I313" s="353"/>
      <c r="J313" s="428"/>
      <c r="K313" s="428"/>
    </row>
    <row r="314">
      <c r="C314" s="269"/>
      <c r="D314" s="427"/>
      <c r="E314" s="269"/>
      <c r="F314" s="269"/>
      <c r="I314" s="353"/>
      <c r="J314" s="428"/>
      <c r="K314" s="428"/>
    </row>
    <row r="315">
      <c r="C315" s="269"/>
      <c r="D315" s="427"/>
      <c r="E315" s="269"/>
      <c r="F315" s="269"/>
      <c r="I315" s="353"/>
      <c r="J315" s="428"/>
      <c r="K315" s="428"/>
    </row>
    <row r="316">
      <c r="C316" s="269"/>
      <c r="D316" s="427"/>
      <c r="E316" s="269"/>
      <c r="F316" s="269"/>
      <c r="I316" s="353"/>
      <c r="J316" s="428"/>
      <c r="K316" s="428"/>
    </row>
    <row r="317">
      <c r="C317" s="269"/>
      <c r="D317" s="427"/>
      <c r="E317" s="269"/>
      <c r="F317" s="269"/>
      <c r="I317" s="353"/>
      <c r="J317" s="428"/>
      <c r="K317" s="428"/>
    </row>
    <row r="318">
      <c r="C318" s="269"/>
      <c r="D318" s="427"/>
      <c r="E318" s="269"/>
      <c r="F318" s="269"/>
      <c r="I318" s="353"/>
      <c r="J318" s="428"/>
      <c r="K318" s="428"/>
    </row>
    <row r="319">
      <c r="C319" s="269"/>
      <c r="D319" s="427"/>
      <c r="E319" s="269"/>
      <c r="F319" s="269"/>
      <c r="I319" s="353"/>
      <c r="J319" s="428"/>
      <c r="K319" s="428"/>
    </row>
    <row r="320">
      <c r="C320" s="269"/>
      <c r="D320" s="427"/>
      <c r="E320" s="269"/>
      <c r="F320" s="269"/>
      <c r="I320" s="353"/>
      <c r="J320" s="428"/>
      <c r="K320" s="428"/>
    </row>
    <row r="321">
      <c r="C321" s="269"/>
      <c r="D321" s="427"/>
      <c r="E321" s="269"/>
      <c r="F321" s="269"/>
      <c r="I321" s="353"/>
      <c r="J321" s="428"/>
      <c r="K321" s="428"/>
    </row>
    <row r="322">
      <c r="C322" s="269"/>
      <c r="D322" s="427"/>
      <c r="E322" s="269"/>
      <c r="F322" s="269"/>
      <c r="I322" s="353"/>
      <c r="J322" s="428"/>
      <c r="K322" s="428"/>
    </row>
    <row r="323">
      <c r="C323" s="269"/>
      <c r="D323" s="427"/>
      <c r="E323" s="269"/>
      <c r="F323" s="269"/>
      <c r="I323" s="353"/>
      <c r="J323" s="428"/>
      <c r="K323" s="428"/>
    </row>
    <row r="324">
      <c r="C324" s="269"/>
      <c r="D324" s="427"/>
      <c r="E324" s="269"/>
      <c r="F324" s="269"/>
      <c r="I324" s="353"/>
      <c r="J324" s="428"/>
      <c r="K324" s="428"/>
    </row>
    <row r="325">
      <c r="C325" s="269"/>
      <c r="D325" s="427"/>
      <c r="E325" s="269"/>
      <c r="F325" s="269"/>
      <c r="I325" s="353"/>
      <c r="J325" s="428"/>
      <c r="K325" s="428"/>
    </row>
    <row r="326">
      <c r="C326" s="269"/>
      <c r="D326" s="427"/>
      <c r="E326" s="269"/>
      <c r="F326" s="269"/>
      <c r="I326" s="353"/>
      <c r="J326" s="428"/>
      <c r="K326" s="428"/>
    </row>
    <row r="327">
      <c r="C327" s="269"/>
      <c r="D327" s="427"/>
      <c r="E327" s="269"/>
      <c r="F327" s="269"/>
      <c r="I327" s="353"/>
      <c r="J327" s="428"/>
      <c r="K327" s="428"/>
    </row>
    <row r="328">
      <c r="C328" s="269"/>
      <c r="D328" s="427"/>
      <c r="E328" s="269"/>
      <c r="F328" s="269"/>
      <c r="I328" s="353"/>
      <c r="J328" s="428"/>
      <c r="K328" s="428"/>
    </row>
    <row r="329">
      <c r="C329" s="269"/>
      <c r="D329" s="427"/>
      <c r="E329" s="269"/>
      <c r="F329" s="269"/>
      <c r="I329" s="353"/>
      <c r="J329" s="428"/>
      <c r="K329" s="428"/>
    </row>
    <row r="330">
      <c r="C330" s="269"/>
      <c r="D330" s="427"/>
      <c r="E330" s="269"/>
      <c r="F330" s="269"/>
      <c r="I330" s="353"/>
      <c r="J330" s="428"/>
      <c r="K330" s="428"/>
    </row>
    <row r="331">
      <c r="C331" s="269"/>
      <c r="D331" s="427"/>
      <c r="E331" s="269"/>
      <c r="F331" s="269"/>
      <c r="I331" s="353"/>
      <c r="J331" s="428"/>
      <c r="K331" s="428"/>
    </row>
    <row r="332">
      <c r="C332" s="269"/>
      <c r="D332" s="427"/>
      <c r="E332" s="269"/>
      <c r="F332" s="269"/>
      <c r="I332" s="353"/>
      <c r="J332" s="428"/>
      <c r="K332" s="428"/>
    </row>
    <row r="333">
      <c r="C333" s="269"/>
      <c r="D333" s="427"/>
      <c r="E333" s="269"/>
      <c r="F333" s="269"/>
      <c r="I333" s="353"/>
      <c r="J333" s="428"/>
      <c r="K333" s="428"/>
    </row>
    <row r="334">
      <c r="C334" s="269"/>
      <c r="D334" s="427"/>
      <c r="E334" s="269"/>
      <c r="F334" s="269"/>
      <c r="I334" s="353"/>
      <c r="J334" s="428"/>
      <c r="K334" s="428"/>
    </row>
    <row r="335">
      <c r="C335" s="269"/>
      <c r="D335" s="427"/>
      <c r="E335" s="269"/>
      <c r="F335" s="269"/>
      <c r="I335" s="353"/>
      <c r="J335" s="428"/>
      <c r="K335" s="428"/>
    </row>
    <row r="336">
      <c r="C336" s="269"/>
      <c r="D336" s="427"/>
      <c r="E336" s="269"/>
      <c r="F336" s="269"/>
      <c r="I336" s="353"/>
      <c r="J336" s="428"/>
      <c r="K336" s="428"/>
    </row>
    <row r="337">
      <c r="C337" s="269"/>
      <c r="D337" s="427"/>
      <c r="E337" s="269"/>
      <c r="F337" s="269"/>
      <c r="I337" s="353"/>
      <c r="J337" s="428"/>
      <c r="K337" s="428"/>
    </row>
    <row r="338">
      <c r="C338" s="269"/>
      <c r="D338" s="427"/>
      <c r="E338" s="269"/>
      <c r="F338" s="269"/>
      <c r="I338" s="353"/>
      <c r="J338" s="428"/>
      <c r="K338" s="428"/>
    </row>
    <row r="339">
      <c r="C339" s="269"/>
      <c r="D339" s="427"/>
      <c r="E339" s="269"/>
      <c r="F339" s="269"/>
      <c r="I339" s="353"/>
      <c r="J339" s="428"/>
      <c r="K339" s="428"/>
    </row>
    <row r="340">
      <c r="C340" s="269"/>
      <c r="D340" s="427"/>
      <c r="E340" s="269"/>
      <c r="F340" s="269"/>
      <c r="I340" s="353"/>
      <c r="J340" s="428"/>
      <c r="K340" s="428"/>
    </row>
    <row r="341">
      <c r="C341" s="269"/>
      <c r="D341" s="427"/>
      <c r="E341" s="269"/>
      <c r="F341" s="269"/>
      <c r="I341" s="353"/>
      <c r="J341" s="428"/>
      <c r="K341" s="428"/>
    </row>
    <row r="342">
      <c r="C342" s="269"/>
      <c r="D342" s="427"/>
      <c r="E342" s="269"/>
      <c r="F342" s="269"/>
      <c r="I342" s="353"/>
      <c r="J342" s="428"/>
      <c r="K342" s="428"/>
    </row>
    <row r="343">
      <c r="C343" s="269"/>
      <c r="D343" s="427"/>
      <c r="E343" s="269"/>
      <c r="F343" s="269"/>
      <c r="I343" s="353"/>
      <c r="J343" s="428"/>
      <c r="K343" s="428"/>
    </row>
    <row r="344">
      <c r="C344" s="269"/>
      <c r="D344" s="427"/>
      <c r="E344" s="269"/>
      <c r="F344" s="269"/>
      <c r="I344" s="353"/>
      <c r="J344" s="428"/>
      <c r="K344" s="428"/>
    </row>
    <row r="345">
      <c r="C345" s="269"/>
      <c r="D345" s="427"/>
      <c r="E345" s="269"/>
      <c r="F345" s="269"/>
      <c r="I345" s="353"/>
      <c r="J345" s="428"/>
      <c r="K345" s="428"/>
    </row>
    <row r="346">
      <c r="C346" s="269"/>
      <c r="D346" s="427"/>
      <c r="E346" s="269"/>
      <c r="F346" s="269"/>
      <c r="I346" s="353"/>
      <c r="J346" s="428"/>
      <c r="K346" s="428"/>
    </row>
    <row r="347">
      <c r="C347" s="269"/>
      <c r="D347" s="427"/>
      <c r="E347" s="269"/>
      <c r="F347" s="269"/>
      <c r="I347" s="353"/>
      <c r="J347" s="428"/>
      <c r="K347" s="428"/>
    </row>
    <row r="348">
      <c r="C348" s="269"/>
      <c r="D348" s="427"/>
      <c r="E348" s="269"/>
      <c r="F348" s="269"/>
      <c r="I348" s="353"/>
      <c r="J348" s="428"/>
      <c r="K348" s="428"/>
    </row>
    <row r="349">
      <c r="C349" s="269"/>
      <c r="D349" s="427"/>
      <c r="E349" s="269"/>
      <c r="F349" s="269"/>
      <c r="I349" s="353"/>
      <c r="J349" s="428"/>
      <c r="K349" s="428"/>
    </row>
    <row r="350">
      <c r="C350" s="269"/>
      <c r="D350" s="427"/>
      <c r="E350" s="269"/>
      <c r="F350" s="269"/>
      <c r="I350" s="353"/>
      <c r="J350" s="428"/>
      <c r="K350" s="428"/>
    </row>
    <row r="351">
      <c r="C351" s="269"/>
      <c r="D351" s="427"/>
      <c r="E351" s="269"/>
      <c r="F351" s="269"/>
      <c r="I351" s="353"/>
      <c r="J351" s="428"/>
      <c r="K351" s="428"/>
    </row>
    <row r="352">
      <c r="C352" s="269"/>
      <c r="D352" s="427"/>
      <c r="E352" s="269"/>
      <c r="F352" s="269"/>
      <c r="I352" s="353"/>
      <c r="J352" s="428"/>
      <c r="K352" s="428"/>
    </row>
    <row r="353">
      <c r="C353" s="269"/>
      <c r="D353" s="427"/>
      <c r="E353" s="269"/>
      <c r="F353" s="269"/>
      <c r="I353" s="353"/>
      <c r="J353" s="428"/>
      <c r="K353" s="428"/>
    </row>
    <row r="354">
      <c r="C354" s="269"/>
      <c r="D354" s="427"/>
      <c r="E354" s="269"/>
      <c r="F354" s="269"/>
      <c r="I354" s="353"/>
      <c r="J354" s="428"/>
      <c r="K354" s="428"/>
    </row>
    <row r="355">
      <c r="C355" s="269"/>
      <c r="D355" s="427"/>
      <c r="E355" s="269"/>
      <c r="F355" s="269"/>
      <c r="I355" s="353"/>
      <c r="J355" s="428"/>
      <c r="K355" s="428"/>
    </row>
    <row r="356">
      <c r="C356" s="269"/>
      <c r="D356" s="427"/>
      <c r="E356" s="269"/>
      <c r="F356" s="269"/>
      <c r="I356" s="353"/>
      <c r="J356" s="428"/>
      <c r="K356" s="428"/>
    </row>
    <row r="357">
      <c r="C357" s="269"/>
      <c r="D357" s="427"/>
      <c r="E357" s="269"/>
      <c r="F357" s="269"/>
      <c r="I357" s="353"/>
      <c r="J357" s="428"/>
      <c r="K357" s="428"/>
    </row>
    <row r="358">
      <c r="C358" s="269"/>
      <c r="D358" s="427"/>
      <c r="E358" s="269"/>
      <c r="F358" s="269"/>
      <c r="I358" s="353"/>
      <c r="J358" s="428"/>
      <c r="K358" s="428"/>
    </row>
    <row r="359">
      <c r="C359" s="269"/>
      <c r="D359" s="427"/>
      <c r="E359" s="269"/>
      <c r="F359" s="269"/>
      <c r="I359" s="353"/>
      <c r="J359" s="428"/>
      <c r="K359" s="428"/>
    </row>
    <row r="360">
      <c r="C360" s="269"/>
      <c r="D360" s="427"/>
      <c r="E360" s="269"/>
      <c r="F360" s="269"/>
      <c r="I360" s="353"/>
      <c r="J360" s="428"/>
      <c r="K360" s="428"/>
    </row>
    <row r="361">
      <c r="C361" s="269"/>
      <c r="D361" s="427"/>
      <c r="E361" s="269"/>
      <c r="F361" s="269"/>
      <c r="I361" s="353"/>
      <c r="J361" s="428"/>
      <c r="K361" s="428"/>
    </row>
    <row r="362">
      <c r="C362" s="269"/>
      <c r="D362" s="427"/>
      <c r="E362" s="269"/>
      <c r="F362" s="269"/>
      <c r="I362" s="353"/>
      <c r="J362" s="428"/>
      <c r="K362" s="428"/>
    </row>
    <row r="363">
      <c r="C363" s="269"/>
      <c r="D363" s="427"/>
      <c r="E363" s="269"/>
      <c r="F363" s="269"/>
      <c r="I363" s="353"/>
      <c r="J363" s="428"/>
      <c r="K363" s="428"/>
    </row>
    <row r="364">
      <c r="C364" s="269"/>
      <c r="D364" s="427"/>
      <c r="E364" s="269"/>
      <c r="F364" s="269"/>
      <c r="I364" s="353"/>
      <c r="J364" s="428"/>
      <c r="K364" s="428"/>
    </row>
    <row r="365">
      <c r="C365" s="269"/>
      <c r="D365" s="427"/>
      <c r="E365" s="269"/>
      <c r="F365" s="269"/>
      <c r="I365" s="353"/>
      <c r="J365" s="428"/>
      <c r="K365" s="428"/>
    </row>
    <row r="366">
      <c r="C366" s="269"/>
      <c r="D366" s="427"/>
      <c r="E366" s="269"/>
      <c r="F366" s="269"/>
      <c r="I366" s="353"/>
      <c r="J366" s="428"/>
      <c r="K366" s="428"/>
    </row>
    <row r="367">
      <c r="C367" s="269"/>
      <c r="D367" s="427"/>
      <c r="E367" s="269"/>
      <c r="F367" s="269"/>
      <c r="I367" s="353"/>
      <c r="J367" s="428"/>
      <c r="K367" s="428"/>
    </row>
    <row r="368">
      <c r="C368" s="269"/>
      <c r="D368" s="427"/>
      <c r="E368" s="269"/>
      <c r="F368" s="269"/>
      <c r="I368" s="353"/>
      <c r="J368" s="428"/>
      <c r="K368" s="428"/>
    </row>
    <row r="369">
      <c r="C369" s="269"/>
      <c r="D369" s="427"/>
      <c r="E369" s="269"/>
      <c r="F369" s="269"/>
      <c r="I369" s="353"/>
      <c r="J369" s="428"/>
      <c r="K369" s="428"/>
    </row>
    <row r="370">
      <c r="C370" s="269"/>
      <c r="D370" s="427"/>
      <c r="E370" s="269"/>
      <c r="F370" s="269"/>
      <c r="I370" s="353"/>
      <c r="J370" s="428"/>
      <c r="K370" s="428"/>
    </row>
    <row r="371">
      <c r="C371" s="269"/>
      <c r="D371" s="427"/>
      <c r="E371" s="269"/>
      <c r="F371" s="269"/>
      <c r="I371" s="353"/>
      <c r="J371" s="428"/>
      <c r="K371" s="428"/>
    </row>
    <row r="372">
      <c r="C372" s="269"/>
      <c r="D372" s="427"/>
      <c r="E372" s="269"/>
      <c r="F372" s="269"/>
      <c r="I372" s="353"/>
      <c r="J372" s="428"/>
      <c r="K372" s="428"/>
    </row>
    <row r="373">
      <c r="C373" s="269"/>
      <c r="D373" s="427"/>
      <c r="E373" s="269"/>
      <c r="F373" s="269"/>
      <c r="I373" s="353"/>
      <c r="J373" s="428"/>
      <c r="K373" s="428"/>
    </row>
    <row r="374">
      <c r="C374" s="269"/>
      <c r="D374" s="427"/>
      <c r="E374" s="269"/>
      <c r="F374" s="269"/>
      <c r="I374" s="353"/>
      <c r="J374" s="428"/>
      <c r="K374" s="428"/>
    </row>
    <row r="375">
      <c r="C375" s="269"/>
      <c r="D375" s="427"/>
      <c r="E375" s="269"/>
      <c r="F375" s="269"/>
      <c r="I375" s="353"/>
      <c r="J375" s="428"/>
      <c r="K375" s="428"/>
    </row>
    <row r="376">
      <c r="C376" s="269"/>
      <c r="D376" s="427"/>
      <c r="E376" s="269"/>
      <c r="F376" s="269"/>
      <c r="I376" s="353"/>
      <c r="J376" s="428"/>
      <c r="K376" s="428"/>
    </row>
    <row r="377">
      <c r="C377" s="269"/>
      <c r="D377" s="427"/>
      <c r="E377" s="269"/>
      <c r="F377" s="269"/>
      <c r="I377" s="353"/>
      <c r="J377" s="428"/>
      <c r="K377" s="428"/>
    </row>
    <row r="378">
      <c r="C378" s="269"/>
      <c r="D378" s="427"/>
      <c r="E378" s="269"/>
      <c r="F378" s="269"/>
      <c r="I378" s="353"/>
      <c r="J378" s="428"/>
      <c r="K378" s="428"/>
    </row>
    <row r="379">
      <c r="C379" s="269"/>
      <c r="D379" s="427"/>
      <c r="E379" s="269"/>
      <c r="F379" s="269"/>
      <c r="I379" s="353"/>
      <c r="J379" s="428"/>
      <c r="K379" s="428"/>
    </row>
    <row r="380">
      <c r="C380" s="269"/>
      <c r="D380" s="427"/>
      <c r="E380" s="269"/>
      <c r="F380" s="269"/>
      <c r="I380" s="353"/>
      <c r="J380" s="428"/>
      <c r="K380" s="428"/>
    </row>
    <row r="381">
      <c r="C381" s="269"/>
      <c r="D381" s="427"/>
      <c r="E381" s="269"/>
      <c r="F381" s="269"/>
      <c r="I381" s="353"/>
      <c r="J381" s="428"/>
      <c r="K381" s="428"/>
    </row>
    <row r="382">
      <c r="C382" s="269"/>
      <c r="D382" s="427"/>
      <c r="E382" s="269"/>
      <c r="F382" s="269"/>
      <c r="I382" s="353"/>
      <c r="J382" s="428"/>
      <c r="K382" s="428"/>
    </row>
    <row r="383">
      <c r="C383" s="269"/>
      <c r="D383" s="427"/>
      <c r="E383" s="269"/>
      <c r="F383" s="269"/>
      <c r="I383" s="353"/>
      <c r="J383" s="428"/>
      <c r="K383" s="428"/>
    </row>
    <row r="384">
      <c r="C384" s="269"/>
      <c r="D384" s="427"/>
      <c r="E384" s="269"/>
      <c r="F384" s="269"/>
      <c r="I384" s="353"/>
      <c r="J384" s="428"/>
      <c r="K384" s="428"/>
    </row>
    <row r="385">
      <c r="C385" s="269"/>
      <c r="D385" s="427"/>
      <c r="E385" s="269"/>
      <c r="F385" s="269"/>
      <c r="I385" s="353"/>
      <c r="J385" s="428"/>
      <c r="K385" s="428"/>
    </row>
    <row r="386">
      <c r="C386" s="269"/>
      <c r="D386" s="427"/>
      <c r="E386" s="269"/>
      <c r="F386" s="269"/>
      <c r="I386" s="353"/>
      <c r="J386" s="428"/>
      <c r="K386" s="428"/>
    </row>
    <row r="387">
      <c r="C387" s="269"/>
      <c r="D387" s="427"/>
      <c r="E387" s="269"/>
      <c r="F387" s="269"/>
      <c r="I387" s="353"/>
      <c r="J387" s="428"/>
      <c r="K387" s="428"/>
    </row>
    <row r="388">
      <c r="C388" s="269"/>
      <c r="D388" s="427"/>
      <c r="E388" s="269"/>
      <c r="F388" s="269"/>
      <c r="I388" s="353"/>
      <c r="J388" s="428"/>
      <c r="K388" s="428"/>
    </row>
    <row r="389">
      <c r="C389" s="269"/>
      <c r="D389" s="427"/>
      <c r="E389" s="269"/>
      <c r="F389" s="269"/>
      <c r="I389" s="353"/>
      <c r="J389" s="428"/>
      <c r="K389" s="428"/>
    </row>
    <row r="390">
      <c r="C390" s="269"/>
      <c r="D390" s="427"/>
      <c r="E390" s="269"/>
      <c r="F390" s="269"/>
      <c r="I390" s="353"/>
      <c r="J390" s="428"/>
      <c r="K390" s="428"/>
    </row>
    <row r="391">
      <c r="C391" s="269"/>
      <c r="D391" s="427"/>
      <c r="E391" s="269"/>
      <c r="F391" s="269"/>
      <c r="I391" s="353"/>
      <c r="J391" s="428"/>
      <c r="K391" s="428"/>
    </row>
    <row r="392">
      <c r="C392" s="269"/>
      <c r="D392" s="427"/>
      <c r="E392" s="269"/>
      <c r="F392" s="269"/>
      <c r="I392" s="353"/>
      <c r="J392" s="428"/>
      <c r="K392" s="428"/>
    </row>
    <row r="393">
      <c r="C393" s="269"/>
      <c r="D393" s="427"/>
      <c r="E393" s="269"/>
      <c r="F393" s="269"/>
      <c r="I393" s="353"/>
      <c r="J393" s="428"/>
      <c r="K393" s="428"/>
    </row>
    <row r="394">
      <c r="C394" s="269"/>
      <c r="D394" s="427"/>
      <c r="E394" s="269"/>
      <c r="F394" s="269"/>
      <c r="I394" s="353"/>
      <c r="J394" s="428"/>
      <c r="K394" s="428"/>
    </row>
    <row r="395">
      <c r="C395" s="269"/>
      <c r="D395" s="427"/>
      <c r="E395" s="269"/>
      <c r="F395" s="269"/>
      <c r="I395" s="353"/>
      <c r="J395" s="428"/>
      <c r="K395" s="428"/>
    </row>
    <row r="396">
      <c r="C396" s="269"/>
      <c r="D396" s="427"/>
      <c r="E396" s="269"/>
      <c r="F396" s="269"/>
      <c r="I396" s="353"/>
      <c r="J396" s="428"/>
      <c r="K396" s="428"/>
    </row>
    <row r="397">
      <c r="C397" s="269"/>
      <c r="D397" s="427"/>
      <c r="E397" s="269"/>
      <c r="F397" s="269"/>
      <c r="I397" s="353"/>
      <c r="J397" s="428"/>
      <c r="K397" s="428"/>
    </row>
    <row r="398">
      <c r="C398" s="269"/>
      <c r="D398" s="427"/>
      <c r="E398" s="269"/>
      <c r="F398" s="269"/>
      <c r="I398" s="353"/>
      <c r="J398" s="428"/>
      <c r="K398" s="428"/>
    </row>
    <row r="399">
      <c r="C399" s="269"/>
      <c r="D399" s="427"/>
      <c r="E399" s="269"/>
      <c r="F399" s="269"/>
      <c r="I399" s="353"/>
      <c r="J399" s="428"/>
      <c r="K399" s="428"/>
    </row>
    <row r="400">
      <c r="C400" s="269"/>
      <c r="D400" s="427"/>
      <c r="E400" s="269"/>
      <c r="F400" s="269"/>
      <c r="I400" s="353"/>
      <c r="J400" s="428"/>
      <c r="K400" s="428"/>
    </row>
    <row r="401">
      <c r="C401" s="269"/>
      <c r="D401" s="427"/>
      <c r="E401" s="269"/>
      <c r="F401" s="269"/>
      <c r="I401" s="353"/>
      <c r="J401" s="428"/>
      <c r="K401" s="428"/>
    </row>
    <row r="402">
      <c r="C402" s="269"/>
      <c r="D402" s="427"/>
      <c r="E402" s="269"/>
      <c r="F402" s="269"/>
      <c r="I402" s="353"/>
      <c r="J402" s="428"/>
      <c r="K402" s="428"/>
    </row>
    <row r="403">
      <c r="C403" s="269"/>
      <c r="D403" s="427"/>
      <c r="E403" s="269"/>
      <c r="F403" s="269"/>
      <c r="I403" s="353"/>
      <c r="J403" s="428"/>
      <c r="K403" s="428"/>
    </row>
    <row r="404">
      <c r="C404" s="269"/>
      <c r="D404" s="427"/>
      <c r="E404" s="269"/>
      <c r="F404" s="269"/>
      <c r="I404" s="353"/>
      <c r="J404" s="428"/>
      <c r="K404" s="428"/>
    </row>
    <row r="405">
      <c r="C405" s="269"/>
      <c r="D405" s="427"/>
      <c r="E405" s="269"/>
      <c r="F405" s="269"/>
      <c r="I405" s="353"/>
      <c r="J405" s="428"/>
      <c r="K405" s="428"/>
    </row>
    <row r="406">
      <c r="C406" s="269"/>
      <c r="D406" s="427"/>
      <c r="E406" s="269"/>
      <c r="F406" s="269"/>
      <c r="I406" s="353"/>
      <c r="J406" s="428"/>
      <c r="K406" s="428"/>
    </row>
    <row r="407">
      <c r="C407" s="269"/>
      <c r="D407" s="427"/>
      <c r="E407" s="269"/>
      <c r="F407" s="269"/>
      <c r="I407" s="353"/>
      <c r="J407" s="428"/>
      <c r="K407" s="428"/>
    </row>
    <row r="408">
      <c r="C408" s="269"/>
      <c r="D408" s="427"/>
      <c r="E408" s="269"/>
      <c r="F408" s="269"/>
      <c r="I408" s="353"/>
      <c r="J408" s="428"/>
      <c r="K408" s="428"/>
    </row>
    <row r="409">
      <c r="C409" s="269"/>
      <c r="D409" s="427"/>
      <c r="E409" s="269"/>
      <c r="F409" s="269"/>
      <c r="I409" s="353"/>
      <c r="J409" s="428"/>
      <c r="K409" s="428"/>
    </row>
    <row r="410">
      <c r="C410" s="269"/>
      <c r="D410" s="427"/>
      <c r="E410" s="269"/>
      <c r="F410" s="269"/>
      <c r="I410" s="353"/>
      <c r="J410" s="428"/>
      <c r="K410" s="428"/>
    </row>
    <row r="411">
      <c r="C411" s="269"/>
      <c r="D411" s="427"/>
      <c r="E411" s="269"/>
      <c r="F411" s="269"/>
      <c r="I411" s="353"/>
      <c r="J411" s="428"/>
      <c r="K411" s="428"/>
    </row>
    <row r="412">
      <c r="C412" s="269"/>
      <c r="D412" s="427"/>
      <c r="E412" s="269"/>
      <c r="F412" s="269"/>
      <c r="I412" s="353"/>
      <c r="J412" s="428"/>
      <c r="K412" s="428"/>
    </row>
    <row r="413">
      <c r="C413" s="269"/>
      <c r="D413" s="427"/>
      <c r="E413" s="269"/>
      <c r="F413" s="269"/>
      <c r="I413" s="353"/>
      <c r="J413" s="428"/>
      <c r="K413" s="428"/>
    </row>
    <row r="414">
      <c r="C414" s="269"/>
      <c r="D414" s="427"/>
      <c r="E414" s="269"/>
      <c r="F414" s="269"/>
      <c r="I414" s="353"/>
      <c r="J414" s="428"/>
      <c r="K414" s="428"/>
    </row>
    <row r="415">
      <c r="C415" s="269"/>
      <c r="D415" s="427"/>
      <c r="E415" s="269"/>
      <c r="F415" s="269"/>
      <c r="I415" s="353"/>
      <c r="J415" s="428"/>
      <c r="K415" s="428"/>
    </row>
    <row r="416">
      <c r="C416" s="269"/>
      <c r="D416" s="427"/>
      <c r="E416" s="269"/>
      <c r="F416" s="269"/>
      <c r="I416" s="353"/>
      <c r="J416" s="428"/>
      <c r="K416" s="428"/>
    </row>
    <row r="417">
      <c r="C417" s="269"/>
      <c r="D417" s="427"/>
      <c r="E417" s="269"/>
      <c r="F417" s="269"/>
      <c r="I417" s="353"/>
      <c r="J417" s="428"/>
      <c r="K417" s="428"/>
    </row>
    <row r="418">
      <c r="C418" s="269"/>
      <c r="D418" s="427"/>
      <c r="E418" s="269"/>
      <c r="F418" s="269"/>
      <c r="I418" s="353"/>
      <c r="J418" s="428"/>
      <c r="K418" s="428"/>
    </row>
    <row r="419">
      <c r="C419" s="269"/>
      <c r="D419" s="427"/>
      <c r="E419" s="269"/>
      <c r="F419" s="269"/>
      <c r="I419" s="353"/>
      <c r="J419" s="428"/>
      <c r="K419" s="428"/>
    </row>
    <row r="420">
      <c r="C420" s="269"/>
      <c r="D420" s="427"/>
      <c r="E420" s="269"/>
      <c r="F420" s="269"/>
      <c r="I420" s="353"/>
      <c r="J420" s="428"/>
      <c r="K420" s="428"/>
    </row>
    <row r="421">
      <c r="C421" s="269"/>
      <c r="D421" s="427"/>
      <c r="E421" s="269"/>
      <c r="F421" s="269"/>
      <c r="I421" s="353"/>
      <c r="J421" s="428"/>
      <c r="K421" s="428"/>
    </row>
    <row r="422">
      <c r="C422" s="269"/>
      <c r="D422" s="427"/>
      <c r="E422" s="269"/>
      <c r="F422" s="269"/>
      <c r="I422" s="353"/>
      <c r="J422" s="428"/>
      <c r="K422" s="428"/>
    </row>
    <row r="423">
      <c r="C423" s="269"/>
      <c r="D423" s="427"/>
      <c r="E423" s="269"/>
      <c r="F423" s="269"/>
      <c r="I423" s="353"/>
      <c r="J423" s="428"/>
      <c r="K423" s="428"/>
    </row>
    <row r="424">
      <c r="C424" s="269"/>
      <c r="D424" s="427"/>
      <c r="E424" s="269"/>
      <c r="F424" s="269"/>
      <c r="I424" s="353"/>
      <c r="J424" s="428"/>
      <c r="K424" s="428"/>
    </row>
    <row r="425">
      <c r="C425" s="269"/>
      <c r="D425" s="427"/>
      <c r="E425" s="269"/>
      <c r="F425" s="269"/>
      <c r="I425" s="353"/>
      <c r="J425" s="428"/>
      <c r="K425" s="428"/>
    </row>
    <row r="426">
      <c r="C426" s="269"/>
      <c r="D426" s="427"/>
      <c r="E426" s="269"/>
      <c r="F426" s="269"/>
      <c r="I426" s="353"/>
      <c r="J426" s="428"/>
      <c r="K426" s="428"/>
    </row>
    <row r="427">
      <c r="C427" s="269"/>
      <c r="D427" s="427"/>
      <c r="E427" s="269"/>
      <c r="F427" s="269"/>
      <c r="I427" s="353"/>
      <c r="J427" s="428"/>
      <c r="K427" s="428"/>
    </row>
    <row r="428">
      <c r="C428" s="269"/>
      <c r="D428" s="427"/>
      <c r="E428" s="269"/>
      <c r="F428" s="269"/>
      <c r="I428" s="353"/>
      <c r="J428" s="428"/>
      <c r="K428" s="428"/>
    </row>
    <row r="429">
      <c r="C429" s="269"/>
      <c r="D429" s="427"/>
      <c r="E429" s="269"/>
      <c r="F429" s="269"/>
      <c r="I429" s="353"/>
      <c r="J429" s="428"/>
      <c r="K429" s="428"/>
    </row>
    <row r="430">
      <c r="C430" s="269"/>
      <c r="D430" s="427"/>
      <c r="E430" s="269"/>
      <c r="F430" s="269"/>
      <c r="I430" s="353"/>
      <c r="J430" s="428"/>
      <c r="K430" s="428"/>
    </row>
    <row r="431">
      <c r="C431" s="269"/>
      <c r="D431" s="427"/>
      <c r="E431" s="269"/>
      <c r="F431" s="269"/>
      <c r="I431" s="353"/>
      <c r="J431" s="428"/>
      <c r="K431" s="428"/>
    </row>
    <row r="432">
      <c r="C432" s="269"/>
      <c r="D432" s="427"/>
      <c r="E432" s="269"/>
      <c r="F432" s="269"/>
      <c r="I432" s="353"/>
      <c r="J432" s="428"/>
      <c r="K432" s="428"/>
    </row>
    <row r="433">
      <c r="C433" s="269"/>
      <c r="D433" s="427"/>
      <c r="E433" s="269"/>
      <c r="F433" s="269"/>
      <c r="I433" s="353"/>
      <c r="J433" s="428"/>
      <c r="K433" s="428"/>
    </row>
    <row r="434">
      <c r="C434" s="269"/>
      <c r="D434" s="427"/>
      <c r="E434" s="269"/>
      <c r="F434" s="269"/>
      <c r="I434" s="353"/>
      <c r="J434" s="428"/>
      <c r="K434" s="428"/>
    </row>
    <row r="435">
      <c r="C435" s="269"/>
      <c r="D435" s="427"/>
      <c r="E435" s="269"/>
      <c r="F435" s="269"/>
      <c r="I435" s="353"/>
      <c r="J435" s="428"/>
      <c r="K435" s="428"/>
    </row>
    <row r="436">
      <c r="C436" s="269"/>
      <c r="D436" s="427"/>
      <c r="E436" s="269"/>
      <c r="F436" s="269"/>
      <c r="I436" s="353"/>
      <c r="J436" s="428"/>
      <c r="K436" s="428"/>
    </row>
    <row r="437">
      <c r="C437" s="269"/>
      <c r="D437" s="427"/>
      <c r="E437" s="269"/>
      <c r="F437" s="269"/>
      <c r="I437" s="353"/>
      <c r="J437" s="428"/>
      <c r="K437" s="428"/>
    </row>
    <row r="438">
      <c r="C438" s="269"/>
      <c r="D438" s="427"/>
      <c r="E438" s="269"/>
      <c r="F438" s="269"/>
      <c r="I438" s="353"/>
      <c r="J438" s="428"/>
      <c r="K438" s="428"/>
    </row>
    <row r="439">
      <c r="C439" s="269"/>
      <c r="D439" s="427"/>
      <c r="E439" s="269"/>
      <c r="F439" s="269"/>
      <c r="I439" s="353"/>
      <c r="J439" s="428"/>
      <c r="K439" s="428"/>
    </row>
    <row r="440">
      <c r="C440" s="269"/>
      <c r="D440" s="427"/>
      <c r="E440" s="269"/>
      <c r="F440" s="269"/>
      <c r="I440" s="353"/>
      <c r="J440" s="428"/>
      <c r="K440" s="428"/>
    </row>
    <row r="441">
      <c r="C441" s="269"/>
      <c r="D441" s="427"/>
      <c r="E441" s="269"/>
      <c r="F441" s="269"/>
      <c r="I441" s="353"/>
      <c r="J441" s="428"/>
      <c r="K441" s="428"/>
    </row>
    <row r="442">
      <c r="C442" s="269"/>
      <c r="D442" s="427"/>
      <c r="E442" s="269"/>
      <c r="F442" s="269"/>
      <c r="I442" s="353"/>
      <c r="J442" s="428"/>
      <c r="K442" s="428"/>
    </row>
    <row r="443">
      <c r="C443" s="269"/>
      <c r="D443" s="427"/>
      <c r="E443" s="269"/>
      <c r="F443" s="269"/>
      <c r="I443" s="353"/>
      <c r="J443" s="428"/>
      <c r="K443" s="428"/>
    </row>
    <row r="444">
      <c r="C444" s="269"/>
      <c r="D444" s="427"/>
      <c r="E444" s="269"/>
      <c r="F444" s="269"/>
      <c r="I444" s="353"/>
      <c r="J444" s="428"/>
      <c r="K444" s="428"/>
    </row>
    <row r="445">
      <c r="C445" s="269"/>
      <c r="D445" s="427"/>
      <c r="E445" s="269"/>
      <c r="F445" s="269"/>
      <c r="I445" s="353"/>
      <c r="J445" s="428"/>
      <c r="K445" s="428"/>
    </row>
    <row r="446">
      <c r="C446" s="269"/>
      <c r="D446" s="427"/>
      <c r="E446" s="269"/>
      <c r="F446" s="269"/>
      <c r="I446" s="353"/>
      <c r="J446" s="428"/>
      <c r="K446" s="428"/>
    </row>
    <row r="447">
      <c r="C447" s="269"/>
      <c r="D447" s="427"/>
      <c r="E447" s="269"/>
      <c r="F447" s="269"/>
      <c r="I447" s="353"/>
      <c r="J447" s="428"/>
      <c r="K447" s="428"/>
    </row>
    <row r="448">
      <c r="C448" s="269"/>
      <c r="D448" s="427"/>
      <c r="E448" s="269"/>
      <c r="F448" s="269"/>
      <c r="I448" s="353"/>
      <c r="J448" s="428"/>
      <c r="K448" s="428"/>
    </row>
    <row r="449">
      <c r="C449" s="269"/>
      <c r="D449" s="427"/>
      <c r="E449" s="269"/>
      <c r="F449" s="269"/>
      <c r="I449" s="353"/>
      <c r="J449" s="428"/>
      <c r="K449" s="428"/>
    </row>
    <row r="450">
      <c r="C450" s="269"/>
      <c r="D450" s="427"/>
      <c r="E450" s="269"/>
      <c r="F450" s="269"/>
      <c r="I450" s="353"/>
      <c r="J450" s="428"/>
      <c r="K450" s="428"/>
    </row>
    <row r="451">
      <c r="C451" s="269"/>
      <c r="D451" s="427"/>
      <c r="E451" s="269"/>
      <c r="F451" s="269"/>
      <c r="I451" s="353"/>
      <c r="J451" s="428"/>
      <c r="K451" s="428"/>
    </row>
    <row r="452">
      <c r="C452" s="269"/>
      <c r="D452" s="427"/>
      <c r="E452" s="269"/>
      <c r="F452" s="269"/>
      <c r="I452" s="353"/>
      <c r="J452" s="428"/>
      <c r="K452" s="428"/>
    </row>
    <row r="453">
      <c r="C453" s="269"/>
      <c r="D453" s="427"/>
      <c r="E453" s="269"/>
      <c r="F453" s="269"/>
      <c r="I453" s="353"/>
      <c r="J453" s="428"/>
      <c r="K453" s="428"/>
    </row>
    <row r="454">
      <c r="C454" s="269"/>
      <c r="D454" s="427"/>
      <c r="E454" s="269"/>
      <c r="F454" s="269"/>
      <c r="I454" s="353"/>
      <c r="J454" s="428"/>
      <c r="K454" s="428"/>
    </row>
    <row r="455">
      <c r="C455" s="269"/>
      <c r="D455" s="427"/>
      <c r="E455" s="269"/>
      <c r="F455" s="269"/>
      <c r="I455" s="353"/>
      <c r="J455" s="428"/>
      <c r="K455" s="428"/>
    </row>
    <row r="456">
      <c r="C456" s="269"/>
      <c r="D456" s="427"/>
      <c r="E456" s="269"/>
      <c r="F456" s="269"/>
      <c r="I456" s="353"/>
      <c r="J456" s="428"/>
      <c r="K456" s="428"/>
    </row>
    <row r="457">
      <c r="C457" s="269"/>
      <c r="D457" s="427"/>
      <c r="E457" s="269"/>
      <c r="F457" s="269"/>
      <c r="I457" s="353"/>
      <c r="J457" s="428"/>
      <c r="K457" s="428"/>
    </row>
    <row r="458">
      <c r="C458" s="269"/>
      <c r="D458" s="427"/>
      <c r="E458" s="269"/>
      <c r="F458" s="269"/>
      <c r="I458" s="353"/>
      <c r="J458" s="428"/>
      <c r="K458" s="428"/>
    </row>
    <row r="459">
      <c r="C459" s="269"/>
      <c r="D459" s="427"/>
      <c r="E459" s="269"/>
      <c r="F459" s="269"/>
      <c r="I459" s="353"/>
      <c r="J459" s="428"/>
      <c r="K459" s="428"/>
    </row>
    <row r="460">
      <c r="C460" s="269"/>
      <c r="D460" s="427"/>
      <c r="E460" s="269"/>
      <c r="F460" s="269"/>
      <c r="I460" s="353"/>
      <c r="J460" s="428"/>
      <c r="K460" s="428"/>
    </row>
    <row r="461">
      <c r="C461" s="269"/>
      <c r="D461" s="427"/>
      <c r="E461" s="269"/>
      <c r="F461" s="269"/>
      <c r="I461" s="353"/>
      <c r="J461" s="428"/>
      <c r="K461" s="428"/>
    </row>
    <row r="462">
      <c r="C462" s="269"/>
      <c r="D462" s="427"/>
      <c r="E462" s="269"/>
      <c r="F462" s="269"/>
      <c r="I462" s="353"/>
      <c r="J462" s="428"/>
      <c r="K462" s="428"/>
    </row>
    <row r="463">
      <c r="C463" s="269"/>
      <c r="D463" s="427"/>
      <c r="E463" s="269"/>
      <c r="F463" s="269"/>
      <c r="I463" s="353"/>
      <c r="J463" s="428"/>
      <c r="K463" s="428"/>
    </row>
    <row r="464">
      <c r="C464" s="269"/>
      <c r="D464" s="427"/>
      <c r="E464" s="269"/>
      <c r="F464" s="269"/>
      <c r="I464" s="353"/>
      <c r="J464" s="428"/>
      <c r="K464" s="428"/>
    </row>
    <row r="465">
      <c r="C465" s="269"/>
      <c r="D465" s="427"/>
      <c r="E465" s="269"/>
      <c r="F465" s="269"/>
      <c r="I465" s="353"/>
      <c r="J465" s="428"/>
      <c r="K465" s="428"/>
    </row>
    <row r="466">
      <c r="C466" s="269"/>
      <c r="D466" s="427"/>
      <c r="E466" s="269"/>
      <c r="F466" s="269"/>
      <c r="I466" s="353"/>
      <c r="J466" s="428"/>
      <c r="K466" s="428"/>
    </row>
    <row r="467">
      <c r="C467" s="269"/>
      <c r="D467" s="427"/>
      <c r="E467" s="269"/>
      <c r="F467" s="269"/>
      <c r="I467" s="353"/>
      <c r="J467" s="428"/>
      <c r="K467" s="428"/>
    </row>
    <row r="468">
      <c r="C468" s="269"/>
      <c r="D468" s="427"/>
      <c r="E468" s="269"/>
      <c r="F468" s="269"/>
      <c r="I468" s="353"/>
      <c r="J468" s="428"/>
      <c r="K468" s="428"/>
    </row>
    <row r="469">
      <c r="C469" s="269"/>
      <c r="D469" s="427"/>
      <c r="E469" s="269"/>
      <c r="F469" s="269"/>
      <c r="I469" s="353"/>
      <c r="J469" s="428"/>
      <c r="K469" s="428"/>
    </row>
    <row r="470">
      <c r="C470" s="269"/>
      <c r="D470" s="427"/>
      <c r="E470" s="269"/>
      <c r="F470" s="269"/>
      <c r="I470" s="353"/>
      <c r="J470" s="428"/>
      <c r="K470" s="428"/>
    </row>
    <row r="471">
      <c r="C471" s="269"/>
      <c r="D471" s="427"/>
      <c r="E471" s="269"/>
      <c r="F471" s="269"/>
      <c r="I471" s="353"/>
      <c r="J471" s="428"/>
      <c r="K471" s="428"/>
    </row>
    <row r="472">
      <c r="C472" s="269"/>
      <c r="D472" s="427"/>
      <c r="E472" s="269"/>
      <c r="F472" s="269"/>
      <c r="I472" s="353"/>
      <c r="J472" s="428"/>
      <c r="K472" s="428"/>
    </row>
    <row r="473">
      <c r="C473" s="269"/>
      <c r="D473" s="427"/>
      <c r="E473" s="269"/>
      <c r="F473" s="269"/>
      <c r="I473" s="353"/>
      <c r="J473" s="428"/>
      <c r="K473" s="428"/>
    </row>
    <row r="474">
      <c r="C474" s="269"/>
      <c r="D474" s="427"/>
      <c r="E474" s="269"/>
      <c r="F474" s="269"/>
      <c r="I474" s="353"/>
      <c r="J474" s="428"/>
      <c r="K474" s="428"/>
    </row>
    <row r="475">
      <c r="C475" s="269"/>
      <c r="D475" s="427"/>
      <c r="E475" s="269"/>
      <c r="F475" s="269"/>
      <c r="I475" s="353"/>
      <c r="J475" s="428"/>
      <c r="K475" s="428"/>
    </row>
    <row r="476">
      <c r="C476" s="269"/>
      <c r="D476" s="427"/>
      <c r="E476" s="269"/>
      <c r="F476" s="269"/>
      <c r="I476" s="353"/>
      <c r="J476" s="428"/>
      <c r="K476" s="428"/>
    </row>
    <row r="477">
      <c r="C477" s="269"/>
      <c r="D477" s="427"/>
      <c r="E477" s="269"/>
      <c r="F477" s="269"/>
      <c r="I477" s="353"/>
      <c r="J477" s="428"/>
      <c r="K477" s="428"/>
    </row>
    <row r="478">
      <c r="C478" s="269"/>
      <c r="D478" s="427"/>
      <c r="E478" s="269"/>
      <c r="F478" s="269"/>
      <c r="I478" s="353"/>
      <c r="J478" s="428"/>
      <c r="K478" s="428"/>
    </row>
    <row r="479">
      <c r="C479" s="269"/>
      <c r="D479" s="427"/>
      <c r="E479" s="269"/>
      <c r="F479" s="269"/>
      <c r="I479" s="353"/>
      <c r="J479" s="428"/>
      <c r="K479" s="428"/>
    </row>
    <row r="480">
      <c r="C480" s="269"/>
      <c r="D480" s="427"/>
      <c r="E480" s="269"/>
      <c r="F480" s="269"/>
      <c r="I480" s="353"/>
      <c r="J480" s="428"/>
      <c r="K480" s="428"/>
    </row>
    <row r="481">
      <c r="C481" s="269"/>
      <c r="D481" s="427"/>
      <c r="E481" s="269"/>
      <c r="F481" s="269"/>
      <c r="I481" s="353"/>
      <c r="J481" s="428"/>
      <c r="K481" s="428"/>
    </row>
    <row r="482">
      <c r="C482" s="269"/>
      <c r="D482" s="427"/>
      <c r="E482" s="269"/>
      <c r="F482" s="269"/>
      <c r="I482" s="353"/>
      <c r="J482" s="428"/>
      <c r="K482" s="428"/>
    </row>
    <row r="483">
      <c r="C483" s="269"/>
      <c r="D483" s="427"/>
      <c r="E483" s="269"/>
      <c r="F483" s="269"/>
      <c r="I483" s="353"/>
      <c r="J483" s="428"/>
      <c r="K483" s="428"/>
    </row>
    <row r="484">
      <c r="C484" s="269"/>
      <c r="D484" s="427"/>
      <c r="E484" s="269"/>
      <c r="F484" s="269"/>
      <c r="I484" s="353"/>
      <c r="J484" s="428"/>
      <c r="K484" s="428"/>
    </row>
    <row r="485">
      <c r="C485" s="269"/>
      <c r="D485" s="427"/>
      <c r="E485" s="269"/>
      <c r="F485" s="269"/>
      <c r="I485" s="353"/>
      <c r="J485" s="428"/>
      <c r="K485" s="428"/>
    </row>
    <row r="486">
      <c r="C486" s="269"/>
      <c r="D486" s="427"/>
      <c r="E486" s="269"/>
      <c r="F486" s="269"/>
      <c r="I486" s="353"/>
      <c r="J486" s="428"/>
      <c r="K486" s="428"/>
    </row>
    <row r="487">
      <c r="C487" s="269"/>
      <c r="D487" s="427"/>
      <c r="E487" s="269"/>
      <c r="F487" s="269"/>
      <c r="I487" s="353"/>
      <c r="J487" s="428"/>
      <c r="K487" s="428"/>
    </row>
    <row r="488">
      <c r="C488" s="269"/>
      <c r="D488" s="427"/>
      <c r="E488" s="269"/>
      <c r="F488" s="269"/>
      <c r="I488" s="353"/>
      <c r="J488" s="428"/>
      <c r="K488" s="428"/>
    </row>
    <row r="489">
      <c r="C489" s="269"/>
      <c r="D489" s="427"/>
      <c r="E489" s="269"/>
      <c r="F489" s="269"/>
      <c r="I489" s="353"/>
      <c r="J489" s="428"/>
      <c r="K489" s="428"/>
    </row>
    <row r="490">
      <c r="C490" s="269"/>
      <c r="D490" s="427"/>
      <c r="E490" s="269"/>
      <c r="F490" s="269"/>
      <c r="I490" s="353"/>
      <c r="J490" s="428"/>
      <c r="K490" s="428"/>
    </row>
    <row r="491">
      <c r="C491" s="269"/>
      <c r="D491" s="427"/>
      <c r="E491" s="269"/>
      <c r="F491" s="269"/>
      <c r="I491" s="353"/>
      <c r="J491" s="428"/>
      <c r="K491" s="428"/>
    </row>
    <row r="492">
      <c r="C492" s="269"/>
      <c r="D492" s="427"/>
      <c r="E492" s="269"/>
      <c r="F492" s="269"/>
      <c r="I492" s="353"/>
      <c r="J492" s="428"/>
      <c r="K492" s="428"/>
    </row>
    <row r="493">
      <c r="C493" s="269"/>
      <c r="D493" s="427"/>
      <c r="E493" s="269"/>
      <c r="F493" s="269"/>
      <c r="I493" s="353"/>
      <c r="J493" s="428"/>
      <c r="K493" s="428"/>
    </row>
    <row r="494">
      <c r="C494" s="269"/>
      <c r="D494" s="427"/>
      <c r="E494" s="269"/>
      <c r="F494" s="269"/>
      <c r="I494" s="353"/>
      <c r="J494" s="428"/>
      <c r="K494" s="428"/>
    </row>
    <row r="495">
      <c r="C495" s="269"/>
      <c r="D495" s="427"/>
      <c r="E495" s="269"/>
      <c r="F495" s="269"/>
      <c r="I495" s="353"/>
      <c r="J495" s="428"/>
      <c r="K495" s="428"/>
    </row>
    <row r="496">
      <c r="C496" s="269"/>
      <c r="D496" s="427"/>
      <c r="E496" s="269"/>
      <c r="F496" s="269"/>
      <c r="I496" s="353"/>
      <c r="J496" s="428"/>
      <c r="K496" s="428"/>
    </row>
    <row r="497">
      <c r="C497" s="269"/>
      <c r="D497" s="427"/>
      <c r="E497" s="269"/>
      <c r="F497" s="269"/>
      <c r="I497" s="353"/>
      <c r="J497" s="428"/>
      <c r="K497" s="428"/>
    </row>
    <row r="498">
      <c r="C498" s="269"/>
      <c r="D498" s="427"/>
      <c r="E498" s="269"/>
      <c r="F498" s="269"/>
      <c r="I498" s="353"/>
      <c r="J498" s="428"/>
      <c r="K498" s="428"/>
    </row>
    <row r="499">
      <c r="C499" s="269"/>
      <c r="D499" s="427"/>
      <c r="E499" s="269"/>
      <c r="F499" s="269"/>
      <c r="I499" s="353"/>
      <c r="J499" s="428"/>
      <c r="K499" s="428"/>
    </row>
    <row r="500">
      <c r="C500" s="269"/>
      <c r="D500" s="427"/>
      <c r="E500" s="269"/>
      <c r="F500" s="269"/>
      <c r="I500" s="353"/>
      <c r="J500" s="428"/>
      <c r="K500" s="428"/>
    </row>
    <row r="501">
      <c r="C501" s="269"/>
      <c r="D501" s="427"/>
      <c r="E501" s="269"/>
      <c r="F501" s="269"/>
      <c r="I501" s="353"/>
      <c r="J501" s="428"/>
      <c r="K501" s="428"/>
    </row>
    <row r="502">
      <c r="C502" s="269"/>
      <c r="D502" s="427"/>
      <c r="E502" s="269"/>
      <c r="F502" s="269"/>
      <c r="I502" s="353"/>
      <c r="J502" s="428"/>
      <c r="K502" s="428"/>
    </row>
    <row r="503">
      <c r="C503" s="269"/>
      <c r="D503" s="427"/>
      <c r="E503" s="269"/>
      <c r="F503" s="269"/>
      <c r="I503" s="353"/>
      <c r="J503" s="428"/>
      <c r="K503" s="428"/>
    </row>
    <row r="504">
      <c r="C504" s="269"/>
      <c r="D504" s="427"/>
      <c r="E504" s="269"/>
      <c r="F504" s="269"/>
      <c r="I504" s="353"/>
      <c r="J504" s="428"/>
      <c r="K504" s="428"/>
    </row>
    <row r="505">
      <c r="C505" s="269"/>
      <c r="D505" s="427"/>
      <c r="E505" s="269"/>
      <c r="F505" s="269"/>
      <c r="I505" s="353"/>
      <c r="J505" s="428"/>
      <c r="K505" s="428"/>
    </row>
    <row r="506">
      <c r="C506" s="269"/>
      <c r="D506" s="427"/>
      <c r="E506" s="269"/>
      <c r="F506" s="269"/>
      <c r="I506" s="353"/>
      <c r="J506" s="428"/>
      <c r="K506" s="428"/>
    </row>
    <row r="507">
      <c r="C507" s="269"/>
      <c r="D507" s="427"/>
      <c r="E507" s="269"/>
      <c r="F507" s="269"/>
      <c r="I507" s="353"/>
      <c r="J507" s="428"/>
      <c r="K507" s="428"/>
    </row>
    <row r="508">
      <c r="C508" s="269"/>
      <c r="D508" s="427"/>
      <c r="E508" s="269"/>
      <c r="F508" s="269"/>
      <c r="I508" s="353"/>
      <c r="J508" s="428"/>
      <c r="K508" s="428"/>
    </row>
    <row r="509">
      <c r="C509" s="269"/>
      <c r="D509" s="427"/>
      <c r="E509" s="269"/>
      <c r="F509" s="269"/>
      <c r="I509" s="353"/>
      <c r="J509" s="428"/>
      <c r="K509" s="428"/>
    </row>
    <row r="510">
      <c r="C510" s="269"/>
      <c r="D510" s="427"/>
      <c r="E510" s="269"/>
      <c r="F510" s="269"/>
      <c r="I510" s="353"/>
      <c r="J510" s="428"/>
      <c r="K510" s="428"/>
    </row>
    <row r="511">
      <c r="C511" s="269"/>
      <c r="D511" s="427"/>
      <c r="E511" s="269"/>
      <c r="F511" s="269"/>
      <c r="I511" s="353"/>
      <c r="J511" s="428"/>
      <c r="K511" s="428"/>
    </row>
    <row r="512">
      <c r="C512" s="269"/>
      <c r="D512" s="427"/>
      <c r="E512" s="269"/>
      <c r="F512" s="269"/>
      <c r="I512" s="353"/>
      <c r="J512" s="428"/>
      <c r="K512" s="428"/>
    </row>
    <row r="513">
      <c r="C513" s="269"/>
      <c r="D513" s="427"/>
      <c r="E513" s="269"/>
      <c r="F513" s="269"/>
      <c r="I513" s="353"/>
      <c r="J513" s="428"/>
      <c r="K513" s="428"/>
    </row>
    <row r="514">
      <c r="C514" s="269"/>
      <c r="D514" s="427"/>
      <c r="E514" s="269"/>
      <c r="F514" s="269"/>
      <c r="I514" s="353"/>
      <c r="J514" s="428"/>
      <c r="K514" s="428"/>
    </row>
    <row r="515">
      <c r="C515" s="269"/>
      <c r="D515" s="427"/>
      <c r="E515" s="269"/>
      <c r="F515" s="269"/>
      <c r="I515" s="353"/>
      <c r="J515" s="428"/>
      <c r="K515" s="428"/>
    </row>
    <row r="516">
      <c r="C516" s="269"/>
      <c r="D516" s="427"/>
      <c r="E516" s="269"/>
      <c r="F516" s="269"/>
      <c r="I516" s="353"/>
      <c r="J516" s="428"/>
      <c r="K516" s="428"/>
    </row>
    <row r="517">
      <c r="C517" s="269"/>
      <c r="D517" s="427"/>
      <c r="E517" s="269"/>
      <c r="F517" s="269"/>
      <c r="I517" s="353"/>
      <c r="J517" s="428"/>
      <c r="K517" s="428"/>
    </row>
    <row r="518">
      <c r="C518" s="269"/>
      <c r="D518" s="427"/>
      <c r="E518" s="269"/>
      <c r="F518" s="269"/>
      <c r="I518" s="353"/>
      <c r="J518" s="428"/>
      <c r="K518" s="428"/>
    </row>
    <row r="519">
      <c r="C519" s="269"/>
      <c r="D519" s="427"/>
      <c r="E519" s="269"/>
      <c r="F519" s="269"/>
      <c r="I519" s="353"/>
      <c r="J519" s="428"/>
      <c r="K519" s="428"/>
    </row>
    <row r="520">
      <c r="C520" s="269"/>
      <c r="D520" s="427"/>
      <c r="E520" s="269"/>
      <c r="F520" s="269"/>
      <c r="I520" s="353"/>
      <c r="J520" s="428"/>
      <c r="K520" s="428"/>
    </row>
    <row r="521">
      <c r="C521" s="269"/>
      <c r="D521" s="427"/>
      <c r="E521" s="269"/>
      <c r="F521" s="269"/>
      <c r="I521" s="353"/>
      <c r="J521" s="428"/>
      <c r="K521" s="428"/>
    </row>
    <row r="522">
      <c r="C522" s="269"/>
      <c r="D522" s="427"/>
      <c r="E522" s="269"/>
      <c r="F522" s="269"/>
      <c r="I522" s="353"/>
      <c r="J522" s="428"/>
      <c r="K522" s="428"/>
    </row>
    <row r="523">
      <c r="C523" s="269"/>
      <c r="D523" s="427"/>
      <c r="E523" s="269"/>
      <c r="F523" s="269"/>
      <c r="I523" s="353"/>
      <c r="J523" s="428"/>
      <c r="K523" s="428"/>
    </row>
    <row r="524">
      <c r="C524" s="269"/>
      <c r="D524" s="427"/>
      <c r="E524" s="269"/>
      <c r="F524" s="269"/>
      <c r="I524" s="353"/>
      <c r="J524" s="428"/>
      <c r="K524" s="428"/>
    </row>
    <row r="525">
      <c r="C525" s="269"/>
      <c r="D525" s="427"/>
      <c r="E525" s="269"/>
      <c r="F525" s="269"/>
      <c r="I525" s="353"/>
      <c r="J525" s="428"/>
      <c r="K525" s="428"/>
    </row>
    <row r="526">
      <c r="C526" s="269"/>
      <c r="D526" s="427"/>
      <c r="E526" s="269"/>
      <c r="F526" s="269"/>
      <c r="I526" s="353"/>
      <c r="J526" s="428"/>
      <c r="K526" s="428"/>
    </row>
    <row r="527">
      <c r="C527" s="269"/>
      <c r="D527" s="427"/>
      <c r="E527" s="269"/>
      <c r="F527" s="269"/>
      <c r="I527" s="353"/>
      <c r="J527" s="428"/>
      <c r="K527" s="428"/>
    </row>
    <row r="528">
      <c r="C528" s="269"/>
      <c r="D528" s="427"/>
      <c r="E528" s="269"/>
      <c r="F528" s="269"/>
      <c r="I528" s="353"/>
      <c r="J528" s="428"/>
      <c r="K528" s="428"/>
    </row>
    <row r="529">
      <c r="C529" s="269"/>
      <c r="D529" s="427"/>
      <c r="E529" s="269"/>
      <c r="F529" s="269"/>
      <c r="I529" s="353"/>
      <c r="J529" s="428"/>
      <c r="K529" s="428"/>
    </row>
    <row r="530">
      <c r="C530" s="269"/>
      <c r="D530" s="427"/>
      <c r="E530" s="269"/>
      <c r="F530" s="269"/>
      <c r="I530" s="353"/>
      <c r="J530" s="428"/>
      <c r="K530" s="428"/>
    </row>
    <row r="531">
      <c r="C531" s="269"/>
      <c r="D531" s="427"/>
      <c r="E531" s="269"/>
      <c r="F531" s="269"/>
      <c r="I531" s="353"/>
      <c r="J531" s="428"/>
      <c r="K531" s="428"/>
    </row>
    <row r="532">
      <c r="C532" s="269"/>
      <c r="D532" s="427"/>
      <c r="E532" s="269"/>
      <c r="F532" s="269"/>
      <c r="I532" s="353"/>
      <c r="J532" s="428"/>
      <c r="K532" s="428"/>
    </row>
    <row r="533">
      <c r="C533" s="269"/>
      <c r="D533" s="427"/>
      <c r="E533" s="269"/>
      <c r="F533" s="269"/>
      <c r="I533" s="353"/>
      <c r="J533" s="428"/>
      <c r="K533" s="428"/>
    </row>
    <row r="534">
      <c r="C534" s="269"/>
      <c r="D534" s="427"/>
      <c r="E534" s="269"/>
      <c r="F534" s="269"/>
      <c r="I534" s="353"/>
      <c r="J534" s="428"/>
      <c r="K534" s="428"/>
    </row>
    <row r="535">
      <c r="C535" s="269"/>
      <c r="D535" s="427"/>
      <c r="E535" s="269"/>
      <c r="F535" s="269"/>
      <c r="I535" s="353"/>
      <c r="J535" s="428"/>
      <c r="K535" s="428"/>
    </row>
    <row r="536">
      <c r="C536" s="269"/>
      <c r="D536" s="427"/>
      <c r="E536" s="269"/>
      <c r="F536" s="269"/>
      <c r="I536" s="353"/>
      <c r="J536" s="428"/>
      <c r="K536" s="428"/>
    </row>
    <row r="537">
      <c r="C537" s="269"/>
      <c r="D537" s="427"/>
      <c r="E537" s="269"/>
      <c r="F537" s="269"/>
      <c r="I537" s="353"/>
      <c r="J537" s="428"/>
      <c r="K537" s="428"/>
    </row>
    <row r="538">
      <c r="C538" s="269"/>
      <c r="D538" s="427"/>
      <c r="E538" s="269"/>
      <c r="F538" s="269"/>
      <c r="I538" s="353"/>
      <c r="J538" s="428"/>
      <c r="K538" s="428"/>
    </row>
    <row r="539">
      <c r="C539" s="269"/>
      <c r="D539" s="427"/>
      <c r="E539" s="269"/>
      <c r="F539" s="269"/>
      <c r="I539" s="353"/>
      <c r="J539" s="428"/>
      <c r="K539" s="428"/>
    </row>
    <row r="540">
      <c r="C540" s="269"/>
      <c r="D540" s="427"/>
      <c r="E540" s="269"/>
      <c r="F540" s="269"/>
      <c r="I540" s="353"/>
      <c r="J540" s="428"/>
      <c r="K540" s="428"/>
    </row>
    <row r="541">
      <c r="C541" s="269"/>
      <c r="D541" s="427"/>
      <c r="E541" s="269"/>
      <c r="F541" s="269"/>
      <c r="I541" s="353"/>
      <c r="J541" s="428"/>
      <c r="K541" s="428"/>
    </row>
    <row r="542">
      <c r="C542" s="269"/>
      <c r="D542" s="427"/>
      <c r="E542" s="269"/>
      <c r="F542" s="269"/>
      <c r="I542" s="353"/>
      <c r="J542" s="428"/>
      <c r="K542" s="428"/>
    </row>
    <row r="543">
      <c r="C543" s="269"/>
      <c r="D543" s="427"/>
      <c r="E543" s="269"/>
      <c r="F543" s="269"/>
      <c r="I543" s="353"/>
      <c r="J543" s="428"/>
      <c r="K543" s="428"/>
    </row>
    <row r="544">
      <c r="C544" s="269"/>
      <c r="D544" s="427"/>
      <c r="E544" s="269"/>
      <c r="F544" s="269"/>
      <c r="I544" s="353"/>
      <c r="J544" s="428"/>
      <c r="K544" s="428"/>
    </row>
    <row r="545">
      <c r="C545" s="269"/>
      <c r="D545" s="427"/>
      <c r="E545" s="269"/>
      <c r="F545" s="269"/>
      <c r="I545" s="353"/>
      <c r="J545" s="428"/>
      <c r="K545" s="428"/>
    </row>
    <row r="546">
      <c r="C546" s="269"/>
      <c r="D546" s="427"/>
      <c r="E546" s="269"/>
      <c r="F546" s="269"/>
      <c r="I546" s="353"/>
      <c r="J546" s="428"/>
      <c r="K546" s="428"/>
    </row>
    <row r="547">
      <c r="C547" s="269"/>
      <c r="D547" s="427"/>
      <c r="E547" s="269"/>
      <c r="F547" s="269"/>
      <c r="I547" s="353"/>
      <c r="J547" s="428"/>
      <c r="K547" s="428"/>
    </row>
    <row r="548">
      <c r="C548" s="269"/>
      <c r="D548" s="427"/>
      <c r="E548" s="269"/>
      <c r="F548" s="269"/>
      <c r="I548" s="353"/>
      <c r="J548" s="428"/>
      <c r="K548" s="428"/>
    </row>
    <row r="549">
      <c r="C549" s="269"/>
      <c r="D549" s="427"/>
      <c r="E549" s="269"/>
      <c r="F549" s="269"/>
      <c r="I549" s="353"/>
      <c r="J549" s="428"/>
      <c r="K549" s="428"/>
    </row>
    <row r="550">
      <c r="C550" s="269"/>
      <c r="D550" s="427"/>
      <c r="E550" s="269"/>
      <c r="F550" s="269"/>
      <c r="I550" s="353"/>
      <c r="J550" s="428"/>
      <c r="K550" s="428"/>
    </row>
    <row r="551">
      <c r="C551" s="269"/>
      <c r="D551" s="427"/>
      <c r="E551" s="269"/>
      <c r="F551" s="269"/>
      <c r="I551" s="353"/>
      <c r="J551" s="428"/>
      <c r="K551" s="428"/>
    </row>
    <row r="552">
      <c r="C552" s="269"/>
      <c r="D552" s="427"/>
      <c r="E552" s="269"/>
      <c r="F552" s="269"/>
      <c r="I552" s="353"/>
      <c r="J552" s="428"/>
      <c r="K552" s="428"/>
    </row>
    <row r="553">
      <c r="C553" s="269"/>
      <c r="D553" s="427"/>
      <c r="E553" s="269"/>
      <c r="F553" s="269"/>
      <c r="I553" s="353"/>
      <c r="J553" s="428"/>
      <c r="K553" s="428"/>
    </row>
    <row r="554">
      <c r="C554" s="269"/>
      <c r="D554" s="427"/>
      <c r="E554" s="269"/>
      <c r="F554" s="269"/>
      <c r="I554" s="353"/>
      <c r="J554" s="428"/>
      <c r="K554" s="428"/>
    </row>
    <row r="555">
      <c r="C555" s="269"/>
      <c r="D555" s="427"/>
      <c r="E555" s="269"/>
      <c r="F555" s="269"/>
      <c r="I555" s="353"/>
      <c r="J555" s="428"/>
      <c r="K555" s="428"/>
    </row>
    <row r="556">
      <c r="C556" s="269"/>
      <c r="D556" s="427"/>
      <c r="E556" s="269"/>
      <c r="F556" s="269"/>
      <c r="I556" s="353"/>
      <c r="J556" s="428"/>
      <c r="K556" s="428"/>
    </row>
    <row r="557">
      <c r="C557" s="269"/>
      <c r="D557" s="427"/>
      <c r="E557" s="269"/>
      <c r="F557" s="269"/>
      <c r="I557" s="353"/>
      <c r="J557" s="428"/>
      <c r="K557" s="428"/>
    </row>
    <row r="558">
      <c r="C558" s="269"/>
      <c r="D558" s="427"/>
      <c r="E558" s="269"/>
      <c r="F558" s="269"/>
      <c r="I558" s="353"/>
      <c r="J558" s="428"/>
      <c r="K558" s="428"/>
    </row>
    <row r="559">
      <c r="C559" s="269"/>
      <c r="D559" s="427"/>
      <c r="E559" s="269"/>
      <c r="F559" s="269"/>
      <c r="I559" s="353"/>
      <c r="J559" s="428"/>
      <c r="K559" s="428"/>
    </row>
    <row r="560">
      <c r="C560" s="269"/>
      <c r="D560" s="427"/>
      <c r="E560" s="269"/>
      <c r="F560" s="269"/>
      <c r="I560" s="353"/>
      <c r="J560" s="428"/>
      <c r="K560" s="428"/>
    </row>
    <row r="561">
      <c r="C561" s="269"/>
      <c r="D561" s="427"/>
      <c r="E561" s="269"/>
      <c r="F561" s="269"/>
      <c r="I561" s="353"/>
      <c r="J561" s="428"/>
      <c r="K561" s="428"/>
    </row>
    <row r="562">
      <c r="C562" s="269"/>
      <c r="D562" s="427"/>
      <c r="E562" s="269"/>
      <c r="F562" s="269"/>
      <c r="I562" s="353"/>
      <c r="J562" s="428"/>
      <c r="K562" s="428"/>
    </row>
    <row r="563">
      <c r="C563" s="269"/>
      <c r="D563" s="427"/>
      <c r="E563" s="269"/>
      <c r="F563" s="269"/>
      <c r="I563" s="353"/>
      <c r="J563" s="428"/>
      <c r="K563" s="428"/>
    </row>
    <row r="564">
      <c r="C564" s="269"/>
      <c r="D564" s="427"/>
      <c r="E564" s="269"/>
      <c r="F564" s="269"/>
      <c r="I564" s="353"/>
      <c r="J564" s="428"/>
      <c r="K564" s="428"/>
    </row>
    <row r="565">
      <c r="C565" s="269"/>
      <c r="D565" s="427"/>
      <c r="E565" s="269"/>
      <c r="F565" s="269"/>
      <c r="I565" s="353"/>
      <c r="J565" s="428"/>
      <c r="K565" s="428"/>
    </row>
    <row r="566">
      <c r="C566" s="269"/>
      <c r="D566" s="427"/>
      <c r="E566" s="269"/>
      <c r="F566" s="269"/>
      <c r="I566" s="353"/>
      <c r="J566" s="428"/>
      <c r="K566" s="428"/>
    </row>
    <row r="567">
      <c r="C567" s="269"/>
      <c r="D567" s="427"/>
      <c r="E567" s="269"/>
      <c r="F567" s="269"/>
      <c r="I567" s="353"/>
      <c r="J567" s="428"/>
      <c r="K567" s="428"/>
    </row>
    <row r="568">
      <c r="C568" s="269"/>
      <c r="D568" s="427"/>
      <c r="E568" s="269"/>
      <c r="F568" s="269"/>
      <c r="I568" s="353"/>
      <c r="J568" s="428"/>
      <c r="K568" s="428"/>
    </row>
    <row r="569">
      <c r="C569" s="269"/>
      <c r="D569" s="427"/>
      <c r="E569" s="269"/>
      <c r="F569" s="269"/>
      <c r="I569" s="353"/>
      <c r="J569" s="428"/>
      <c r="K569" s="428"/>
    </row>
    <row r="570">
      <c r="C570" s="269"/>
      <c r="D570" s="427"/>
      <c r="E570" s="269"/>
      <c r="F570" s="269"/>
      <c r="I570" s="353"/>
      <c r="J570" s="428"/>
      <c r="K570" s="428"/>
    </row>
    <row r="571">
      <c r="C571" s="269"/>
      <c r="D571" s="427"/>
      <c r="E571" s="269"/>
      <c r="F571" s="269"/>
      <c r="I571" s="353"/>
      <c r="J571" s="428"/>
      <c r="K571" s="428"/>
    </row>
    <row r="572">
      <c r="C572" s="269"/>
      <c r="D572" s="427"/>
      <c r="E572" s="269"/>
      <c r="F572" s="269"/>
      <c r="I572" s="353"/>
      <c r="J572" s="428"/>
      <c r="K572" s="428"/>
    </row>
    <row r="573">
      <c r="C573" s="269"/>
      <c r="D573" s="427"/>
      <c r="E573" s="269"/>
      <c r="F573" s="269"/>
      <c r="I573" s="353"/>
      <c r="J573" s="428"/>
      <c r="K573" s="428"/>
    </row>
    <row r="574">
      <c r="C574" s="269"/>
      <c r="D574" s="427"/>
      <c r="E574" s="269"/>
      <c r="F574" s="269"/>
      <c r="I574" s="353"/>
      <c r="J574" s="428"/>
      <c r="K574" s="428"/>
    </row>
    <row r="575">
      <c r="C575" s="269"/>
      <c r="D575" s="427"/>
      <c r="E575" s="269"/>
      <c r="F575" s="269"/>
      <c r="I575" s="353"/>
      <c r="J575" s="428"/>
      <c r="K575" s="428"/>
    </row>
    <row r="576">
      <c r="C576" s="269"/>
      <c r="D576" s="427"/>
      <c r="E576" s="269"/>
      <c r="F576" s="269"/>
      <c r="I576" s="353"/>
      <c r="J576" s="428"/>
      <c r="K576" s="428"/>
    </row>
    <row r="577">
      <c r="C577" s="269"/>
      <c r="D577" s="427"/>
      <c r="E577" s="269"/>
      <c r="F577" s="269"/>
      <c r="I577" s="353"/>
      <c r="J577" s="428"/>
      <c r="K577" s="428"/>
    </row>
    <row r="578">
      <c r="C578" s="269"/>
      <c r="D578" s="427"/>
      <c r="E578" s="269"/>
      <c r="F578" s="269"/>
      <c r="I578" s="353"/>
      <c r="J578" s="428"/>
      <c r="K578" s="428"/>
    </row>
    <row r="579">
      <c r="C579" s="269"/>
      <c r="D579" s="427"/>
      <c r="E579" s="269"/>
      <c r="F579" s="269"/>
      <c r="I579" s="353"/>
      <c r="J579" s="428"/>
      <c r="K579" s="428"/>
    </row>
    <row r="580">
      <c r="C580" s="269"/>
      <c r="D580" s="427"/>
      <c r="E580" s="269"/>
      <c r="F580" s="269"/>
      <c r="I580" s="353"/>
      <c r="J580" s="428"/>
      <c r="K580" s="428"/>
    </row>
    <row r="581">
      <c r="C581" s="269"/>
      <c r="D581" s="427"/>
      <c r="E581" s="269"/>
      <c r="F581" s="269"/>
      <c r="I581" s="353"/>
      <c r="J581" s="428"/>
      <c r="K581" s="428"/>
    </row>
    <row r="582">
      <c r="C582" s="269"/>
      <c r="D582" s="427"/>
      <c r="E582" s="269"/>
      <c r="F582" s="269"/>
      <c r="I582" s="353"/>
      <c r="J582" s="428"/>
      <c r="K582" s="428"/>
    </row>
    <row r="583">
      <c r="C583" s="269"/>
      <c r="D583" s="427"/>
      <c r="E583" s="269"/>
      <c r="F583" s="269"/>
      <c r="I583" s="353"/>
      <c r="J583" s="428"/>
      <c r="K583" s="428"/>
    </row>
    <row r="584">
      <c r="C584" s="269"/>
      <c r="D584" s="427"/>
      <c r="E584" s="269"/>
      <c r="F584" s="269"/>
      <c r="I584" s="353"/>
      <c r="J584" s="428"/>
      <c r="K584" s="428"/>
    </row>
    <row r="585">
      <c r="C585" s="269"/>
      <c r="D585" s="427"/>
      <c r="E585" s="269"/>
      <c r="F585" s="269"/>
      <c r="I585" s="353"/>
      <c r="J585" s="428"/>
      <c r="K585" s="428"/>
    </row>
    <row r="586">
      <c r="C586" s="269"/>
      <c r="D586" s="427"/>
      <c r="E586" s="269"/>
      <c r="F586" s="269"/>
      <c r="I586" s="353"/>
      <c r="J586" s="428"/>
      <c r="K586" s="428"/>
    </row>
    <row r="587">
      <c r="C587" s="269"/>
      <c r="D587" s="427"/>
      <c r="E587" s="269"/>
      <c r="F587" s="269"/>
      <c r="I587" s="353"/>
      <c r="J587" s="428"/>
      <c r="K587" s="428"/>
    </row>
    <row r="588">
      <c r="C588" s="269"/>
      <c r="D588" s="427"/>
      <c r="E588" s="269"/>
      <c r="F588" s="269"/>
      <c r="I588" s="353"/>
      <c r="J588" s="428"/>
      <c r="K588" s="428"/>
    </row>
    <row r="589">
      <c r="C589" s="269"/>
      <c r="D589" s="427"/>
      <c r="E589" s="269"/>
      <c r="F589" s="269"/>
      <c r="I589" s="353"/>
      <c r="J589" s="428"/>
      <c r="K589" s="428"/>
    </row>
    <row r="590">
      <c r="C590" s="269"/>
      <c r="D590" s="427"/>
      <c r="E590" s="269"/>
      <c r="F590" s="269"/>
      <c r="I590" s="353"/>
      <c r="J590" s="428"/>
      <c r="K590" s="428"/>
    </row>
    <row r="591">
      <c r="C591" s="269"/>
      <c r="D591" s="427"/>
      <c r="E591" s="269"/>
      <c r="F591" s="269"/>
      <c r="I591" s="353"/>
      <c r="J591" s="428"/>
      <c r="K591" s="428"/>
    </row>
    <row r="592">
      <c r="C592" s="269"/>
      <c r="D592" s="427"/>
      <c r="E592" s="269"/>
      <c r="F592" s="269"/>
      <c r="I592" s="353"/>
      <c r="J592" s="428"/>
      <c r="K592" s="428"/>
    </row>
    <row r="593">
      <c r="C593" s="269"/>
      <c r="D593" s="427"/>
      <c r="E593" s="269"/>
      <c r="F593" s="269"/>
      <c r="I593" s="353"/>
      <c r="J593" s="428"/>
      <c r="K593" s="428"/>
    </row>
    <row r="594">
      <c r="C594" s="269"/>
      <c r="D594" s="427"/>
      <c r="E594" s="269"/>
      <c r="F594" s="269"/>
      <c r="I594" s="353"/>
      <c r="J594" s="428"/>
      <c r="K594" s="428"/>
    </row>
    <row r="595">
      <c r="C595" s="269"/>
      <c r="D595" s="427"/>
      <c r="E595" s="269"/>
      <c r="F595" s="269"/>
      <c r="I595" s="353"/>
      <c r="J595" s="428"/>
      <c r="K595" s="428"/>
    </row>
    <row r="596">
      <c r="C596" s="269"/>
      <c r="D596" s="427"/>
      <c r="E596" s="269"/>
      <c r="F596" s="269"/>
      <c r="I596" s="353"/>
      <c r="J596" s="428"/>
      <c r="K596" s="428"/>
    </row>
    <row r="597">
      <c r="C597" s="269"/>
      <c r="D597" s="427"/>
      <c r="E597" s="269"/>
      <c r="F597" s="269"/>
      <c r="I597" s="353"/>
      <c r="J597" s="428"/>
      <c r="K597" s="428"/>
    </row>
    <row r="598">
      <c r="C598" s="269"/>
      <c r="D598" s="427"/>
      <c r="E598" s="269"/>
      <c r="F598" s="269"/>
      <c r="I598" s="353"/>
      <c r="J598" s="428"/>
      <c r="K598" s="428"/>
    </row>
    <row r="599">
      <c r="C599" s="269"/>
      <c r="D599" s="427"/>
      <c r="E599" s="269"/>
      <c r="F599" s="269"/>
      <c r="I599" s="353"/>
      <c r="J599" s="428"/>
      <c r="K599" s="428"/>
    </row>
    <row r="600">
      <c r="C600" s="269"/>
      <c r="D600" s="427"/>
      <c r="E600" s="269"/>
      <c r="F600" s="269"/>
      <c r="I600" s="353"/>
      <c r="J600" s="428"/>
      <c r="K600" s="428"/>
    </row>
    <row r="601">
      <c r="C601" s="269"/>
      <c r="D601" s="427"/>
      <c r="E601" s="269"/>
      <c r="F601" s="269"/>
      <c r="I601" s="353"/>
      <c r="J601" s="428"/>
      <c r="K601" s="428"/>
    </row>
    <row r="602">
      <c r="C602" s="269"/>
      <c r="D602" s="427"/>
      <c r="E602" s="269"/>
      <c r="F602" s="269"/>
      <c r="I602" s="353"/>
      <c r="J602" s="428"/>
      <c r="K602" s="428"/>
    </row>
    <row r="603">
      <c r="C603" s="269"/>
      <c r="D603" s="427"/>
      <c r="E603" s="269"/>
      <c r="F603" s="269"/>
      <c r="I603" s="353"/>
      <c r="J603" s="428"/>
      <c r="K603" s="428"/>
    </row>
    <row r="604">
      <c r="C604" s="269"/>
      <c r="D604" s="427"/>
      <c r="E604" s="269"/>
      <c r="F604" s="269"/>
      <c r="I604" s="353"/>
      <c r="J604" s="428"/>
      <c r="K604" s="428"/>
    </row>
    <row r="605">
      <c r="C605" s="269"/>
      <c r="D605" s="427"/>
      <c r="E605" s="269"/>
      <c r="F605" s="269"/>
      <c r="I605" s="353"/>
      <c r="J605" s="428"/>
      <c r="K605" s="428"/>
    </row>
    <row r="606">
      <c r="C606" s="269"/>
      <c r="D606" s="427"/>
      <c r="E606" s="269"/>
      <c r="F606" s="269"/>
      <c r="I606" s="353"/>
      <c r="J606" s="428"/>
      <c r="K606" s="428"/>
    </row>
    <row r="607">
      <c r="C607" s="269"/>
      <c r="D607" s="427"/>
      <c r="E607" s="269"/>
      <c r="F607" s="269"/>
      <c r="I607" s="353"/>
      <c r="J607" s="428"/>
      <c r="K607" s="428"/>
    </row>
    <row r="608">
      <c r="C608" s="269"/>
      <c r="D608" s="427"/>
      <c r="E608" s="269"/>
      <c r="F608" s="269"/>
      <c r="I608" s="353"/>
      <c r="J608" s="428"/>
      <c r="K608" s="428"/>
    </row>
    <row r="609">
      <c r="C609" s="269"/>
      <c r="D609" s="427"/>
      <c r="E609" s="269"/>
      <c r="F609" s="269"/>
      <c r="I609" s="353"/>
      <c r="J609" s="428"/>
      <c r="K609" s="428"/>
    </row>
    <row r="610">
      <c r="C610" s="269"/>
      <c r="D610" s="427"/>
      <c r="E610" s="269"/>
      <c r="F610" s="269"/>
      <c r="I610" s="353"/>
      <c r="J610" s="428"/>
      <c r="K610" s="428"/>
    </row>
    <row r="611">
      <c r="C611" s="269"/>
      <c r="D611" s="427"/>
      <c r="E611" s="269"/>
      <c r="F611" s="269"/>
      <c r="I611" s="353"/>
      <c r="J611" s="428"/>
      <c r="K611" s="428"/>
    </row>
    <row r="612">
      <c r="C612" s="269"/>
      <c r="D612" s="427"/>
      <c r="E612" s="269"/>
      <c r="F612" s="269"/>
      <c r="I612" s="353"/>
      <c r="J612" s="428"/>
      <c r="K612" s="428"/>
    </row>
    <row r="613">
      <c r="C613" s="269"/>
      <c r="D613" s="427"/>
      <c r="E613" s="269"/>
      <c r="F613" s="269"/>
      <c r="I613" s="353"/>
      <c r="J613" s="428"/>
      <c r="K613" s="428"/>
    </row>
    <row r="614">
      <c r="C614" s="269"/>
      <c r="D614" s="427"/>
      <c r="E614" s="269"/>
      <c r="F614" s="269"/>
      <c r="I614" s="353"/>
      <c r="J614" s="428"/>
      <c r="K614" s="428"/>
    </row>
    <row r="615">
      <c r="C615" s="269"/>
      <c r="D615" s="427"/>
      <c r="E615" s="269"/>
      <c r="F615" s="269"/>
      <c r="I615" s="353"/>
      <c r="J615" s="428"/>
      <c r="K615" s="428"/>
    </row>
    <row r="616">
      <c r="C616" s="269"/>
      <c r="D616" s="427"/>
      <c r="E616" s="269"/>
      <c r="F616" s="269"/>
      <c r="I616" s="353"/>
      <c r="J616" s="428"/>
      <c r="K616" s="428"/>
    </row>
    <row r="617">
      <c r="C617" s="269"/>
      <c r="D617" s="427"/>
      <c r="E617" s="269"/>
      <c r="F617" s="269"/>
      <c r="I617" s="353"/>
      <c r="J617" s="428"/>
      <c r="K617" s="428"/>
    </row>
    <row r="618">
      <c r="C618" s="269"/>
      <c r="D618" s="427"/>
      <c r="E618" s="269"/>
      <c r="F618" s="269"/>
      <c r="I618" s="353"/>
      <c r="J618" s="428"/>
      <c r="K618" s="428"/>
    </row>
    <row r="619">
      <c r="C619" s="269"/>
      <c r="D619" s="427"/>
      <c r="E619" s="269"/>
      <c r="F619" s="269"/>
      <c r="I619" s="353"/>
      <c r="J619" s="428"/>
      <c r="K619" s="428"/>
    </row>
    <row r="620">
      <c r="C620" s="269"/>
      <c r="D620" s="427"/>
      <c r="E620" s="269"/>
      <c r="F620" s="269"/>
      <c r="I620" s="353"/>
      <c r="J620" s="428"/>
      <c r="K620" s="428"/>
    </row>
    <row r="621">
      <c r="C621" s="269"/>
      <c r="D621" s="427"/>
      <c r="E621" s="269"/>
      <c r="F621" s="269"/>
      <c r="I621" s="353"/>
      <c r="J621" s="428"/>
      <c r="K621" s="428"/>
    </row>
    <row r="622">
      <c r="C622" s="269"/>
      <c r="D622" s="427"/>
      <c r="E622" s="269"/>
      <c r="F622" s="269"/>
      <c r="I622" s="353"/>
      <c r="J622" s="428"/>
      <c r="K622" s="428"/>
    </row>
    <row r="623">
      <c r="C623" s="269"/>
      <c r="D623" s="427"/>
      <c r="E623" s="269"/>
      <c r="F623" s="269"/>
      <c r="I623" s="353"/>
      <c r="J623" s="428"/>
      <c r="K623" s="428"/>
    </row>
    <row r="624">
      <c r="C624" s="269"/>
      <c r="D624" s="427"/>
      <c r="E624" s="269"/>
      <c r="F624" s="269"/>
      <c r="I624" s="353"/>
      <c r="J624" s="428"/>
      <c r="K624" s="428"/>
    </row>
    <row r="625">
      <c r="C625" s="269"/>
      <c r="D625" s="427"/>
      <c r="E625" s="269"/>
      <c r="F625" s="269"/>
      <c r="I625" s="353"/>
      <c r="J625" s="428"/>
      <c r="K625" s="428"/>
    </row>
    <row r="626">
      <c r="C626" s="269"/>
      <c r="D626" s="427"/>
      <c r="E626" s="269"/>
      <c r="F626" s="269"/>
      <c r="I626" s="353"/>
      <c r="J626" s="428"/>
      <c r="K626" s="428"/>
    </row>
    <row r="627">
      <c r="C627" s="269"/>
      <c r="D627" s="427"/>
      <c r="E627" s="269"/>
      <c r="F627" s="269"/>
      <c r="I627" s="353"/>
      <c r="J627" s="428"/>
      <c r="K627" s="428"/>
    </row>
    <row r="628">
      <c r="C628" s="269"/>
      <c r="D628" s="427"/>
      <c r="E628" s="269"/>
      <c r="F628" s="269"/>
      <c r="I628" s="353"/>
      <c r="J628" s="428"/>
      <c r="K628" s="428"/>
    </row>
    <row r="629">
      <c r="C629" s="269"/>
      <c r="D629" s="427"/>
      <c r="E629" s="269"/>
      <c r="F629" s="269"/>
      <c r="I629" s="353"/>
      <c r="J629" s="428"/>
      <c r="K629" s="428"/>
    </row>
    <row r="630">
      <c r="C630" s="269"/>
      <c r="D630" s="427"/>
      <c r="E630" s="269"/>
      <c r="F630" s="269"/>
      <c r="I630" s="353"/>
      <c r="J630" s="428"/>
      <c r="K630" s="428"/>
    </row>
    <row r="631">
      <c r="C631" s="269"/>
      <c r="D631" s="427"/>
      <c r="E631" s="269"/>
      <c r="F631" s="269"/>
      <c r="I631" s="353"/>
      <c r="J631" s="428"/>
      <c r="K631" s="428"/>
    </row>
    <row r="632">
      <c r="C632" s="269"/>
      <c r="D632" s="427"/>
      <c r="E632" s="269"/>
      <c r="F632" s="269"/>
      <c r="I632" s="353"/>
      <c r="J632" s="428"/>
      <c r="K632" s="428"/>
    </row>
    <row r="633">
      <c r="C633" s="269"/>
      <c r="D633" s="427"/>
      <c r="E633" s="269"/>
      <c r="F633" s="269"/>
      <c r="I633" s="353"/>
      <c r="J633" s="428"/>
      <c r="K633" s="428"/>
    </row>
    <row r="634">
      <c r="C634" s="269"/>
      <c r="D634" s="427"/>
      <c r="E634" s="269"/>
      <c r="F634" s="269"/>
      <c r="I634" s="353"/>
      <c r="J634" s="428"/>
      <c r="K634" s="428"/>
    </row>
    <row r="635">
      <c r="C635" s="269"/>
      <c r="D635" s="427"/>
      <c r="E635" s="269"/>
      <c r="F635" s="269"/>
      <c r="I635" s="353"/>
      <c r="J635" s="428"/>
      <c r="K635" s="428"/>
    </row>
    <row r="636">
      <c r="C636" s="269"/>
      <c r="D636" s="427"/>
      <c r="E636" s="269"/>
      <c r="F636" s="269"/>
      <c r="I636" s="353"/>
      <c r="J636" s="428"/>
      <c r="K636" s="428"/>
    </row>
    <row r="637">
      <c r="C637" s="269"/>
      <c r="D637" s="427"/>
      <c r="E637" s="269"/>
      <c r="F637" s="269"/>
      <c r="I637" s="353"/>
      <c r="J637" s="428"/>
      <c r="K637" s="428"/>
    </row>
    <row r="638">
      <c r="C638" s="269"/>
      <c r="D638" s="427"/>
      <c r="E638" s="269"/>
      <c r="F638" s="269"/>
      <c r="I638" s="353"/>
      <c r="J638" s="428"/>
      <c r="K638" s="428"/>
    </row>
    <row r="639">
      <c r="C639" s="269"/>
      <c r="D639" s="427"/>
      <c r="E639" s="269"/>
      <c r="F639" s="269"/>
      <c r="I639" s="353"/>
      <c r="J639" s="428"/>
      <c r="K639" s="428"/>
    </row>
    <row r="640">
      <c r="C640" s="269"/>
      <c r="D640" s="427"/>
      <c r="E640" s="269"/>
      <c r="F640" s="269"/>
      <c r="I640" s="353"/>
      <c r="J640" s="428"/>
      <c r="K640" s="428"/>
    </row>
    <row r="641">
      <c r="C641" s="269"/>
      <c r="D641" s="427"/>
      <c r="E641" s="269"/>
      <c r="F641" s="269"/>
      <c r="I641" s="353"/>
      <c r="J641" s="428"/>
      <c r="K641" s="428"/>
    </row>
    <row r="642">
      <c r="C642" s="269"/>
      <c r="D642" s="427"/>
      <c r="E642" s="269"/>
      <c r="F642" s="269"/>
      <c r="I642" s="353"/>
      <c r="J642" s="428"/>
      <c r="K642" s="428"/>
    </row>
    <row r="643">
      <c r="C643" s="269"/>
      <c r="D643" s="427"/>
      <c r="E643" s="269"/>
      <c r="F643" s="269"/>
      <c r="I643" s="353"/>
      <c r="J643" s="428"/>
      <c r="K643" s="428"/>
    </row>
    <row r="644">
      <c r="C644" s="269"/>
      <c r="D644" s="427"/>
      <c r="E644" s="269"/>
      <c r="F644" s="269"/>
      <c r="I644" s="353"/>
      <c r="J644" s="428"/>
      <c r="K644" s="428"/>
    </row>
    <row r="645">
      <c r="C645" s="269"/>
      <c r="D645" s="427"/>
      <c r="E645" s="269"/>
      <c r="F645" s="269"/>
      <c r="I645" s="353"/>
      <c r="J645" s="428"/>
      <c r="K645" s="428"/>
    </row>
    <row r="646">
      <c r="C646" s="269"/>
      <c r="D646" s="427"/>
      <c r="E646" s="269"/>
      <c r="F646" s="269"/>
      <c r="I646" s="353"/>
      <c r="J646" s="428"/>
      <c r="K646" s="428"/>
    </row>
    <row r="647">
      <c r="C647" s="269"/>
      <c r="D647" s="427"/>
      <c r="E647" s="269"/>
      <c r="F647" s="269"/>
      <c r="I647" s="353"/>
      <c r="J647" s="428"/>
      <c r="K647" s="428"/>
    </row>
    <row r="648">
      <c r="C648" s="269"/>
      <c r="D648" s="427"/>
      <c r="E648" s="269"/>
      <c r="F648" s="269"/>
      <c r="I648" s="353"/>
      <c r="J648" s="428"/>
      <c r="K648" s="428"/>
    </row>
    <row r="649">
      <c r="C649" s="269"/>
      <c r="D649" s="427"/>
      <c r="E649" s="269"/>
      <c r="F649" s="269"/>
      <c r="I649" s="353"/>
      <c r="J649" s="428"/>
      <c r="K649" s="428"/>
    </row>
    <row r="650">
      <c r="C650" s="269"/>
      <c r="D650" s="427"/>
      <c r="E650" s="269"/>
      <c r="F650" s="269"/>
      <c r="I650" s="353"/>
      <c r="J650" s="428"/>
      <c r="K650" s="428"/>
    </row>
    <row r="651">
      <c r="C651" s="269"/>
      <c r="D651" s="427"/>
      <c r="E651" s="269"/>
      <c r="F651" s="269"/>
      <c r="I651" s="353"/>
      <c r="J651" s="428"/>
      <c r="K651" s="428"/>
    </row>
    <row r="652">
      <c r="C652" s="269"/>
      <c r="D652" s="427"/>
      <c r="E652" s="269"/>
      <c r="F652" s="269"/>
      <c r="I652" s="353"/>
      <c r="J652" s="428"/>
      <c r="K652" s="428"/>
    </row>
    <row r="653">
      <c r="C653" s="269"/>
      <c r="D653" s="427"/>
      <c r="E653" s="269"/>
      <c r="F653" s="269"/>
      <c r="I653" s="353"/>
      <c r="J653" s="428"/>
      <c r="K653" s="428"/>
    </row>
    <row r="654">
      <c r="C654" s="269"/>
      <c r="D654" s="427"/>
      <c r="E654" s="269"/>
      <c r="F654" s="269"/>
      <c r="I654" s="353"/>
      <c r="J654" s="428"/>
      <c r="K654" s="428"/>
    </row>
    <row r="655">
      <c r="C655" s="269"/>
      <c r="D655" s="427"/>
      <c r="E655" s="269"/>
      <c r="F655" s="269"/>
      <c r="I655" s="353"/>
      <c r="J655" s="428"/>
      <c r="K655" s="428"/>
    </row>
    <row r="656">
      <c r="C656" s="269"/>
      <c r="D656" s="427"/>
      <c r="E656" s="269"/>
      <c r="F656" s="269"/>
      <c r="I656" s="353"/>
      <c r="J656" s="428"/>
      <c r="K656" s="428"/>
    </row>
    <row r="657">
      <c r="C657" s="269"/>
      <c r="D657" s="427"/>
      <c r="E657" s="269"/>
      <c r="F657" s="269"/>
      <c r="I657" s="353"/>
      <c r="J657" s="428"/>
      <c r="K657" s="428"/>
    </row>
    <row r="658">
      <c r="C658" s="269"/>
      <c r="D658" s="427"/>
      <c r="E658" s="269"/>
      <c r="F658" s="269"/>
      <c r="I658" s="353"/>
      <c r="J658" s="428"/>
      <c r="K658" s="428"/>
    </row>
    <row r="659">
      <c r="C659" s="269"/>
      <c r="D659" s="427"/>
      <c r="E659" s="269"/>
      <c r="F659" s="269"/>
      <c r="I659" s="353"/>
      <c r="J659" s="428"/>
      <c r="K659" s="428"/>
    </row>
    <row r="660">
      <c r="C660" s="269"/>
      <c r="D660" s="427"/>
      <c r="E660" s="269"/>
      <c r="F660" s="269"/>
      <c r="I660" s="353"/>
      <c r="J660" s="428"/>
      <c r="K660" s="428"/>
    </row>
    <row r="661">
      <c r="C661" s="269"/>
      <c r="D661" s="427"/>
      <c r="E661" s="269"/>
      <c r="F661" s="269"/>
      <c r="I661" s="353"/>
      <c r="J661" s="428"/>
      <c r="K661" s="428"/>
    </row>
    <row r="662">
      <c r="C662" s="269"/>
      <c r="D662" s="427"/>
      <c r="E662" s="269"/>
      <c r="F662" s="269"/>
      <c r="I662" s="353"/>
      <c r="J662" s="428"/>
      <c r="K662" s="428"/>
    </row>
    <row r="663">
      <c r="C663" s="269"/>
      <c r="D663" s="427"/>
      <c r="E663" s="269"/>
      <c r="F663" s="269"/>
      <c r="I663" s="353"/>
      <c r="J663" s="428"/>
      <c r="K663" s="428"/>
    </row>
    <row r="664">
      <c r="C664" s="269"/>
      <c r="D664" s="427"/>
      <c r="E664" s="269"/>
      <c r="F664" s="269"/>
      <c r="I664" s="353"/>
      <c r="J664" s="428"/>
      <c r="K664" s="428"/>
    </row>
    <row r="665">
      <c r="C665" s="269"/>
      <c r="D665" s="427"/>
      <c r="E665" s="269"/>
      <c r="F665" s="269"/>
      <c r="I665" s="353"/>
      <c r="J665" s="428"/>
      <c r="K665" s="428"/>
    </row>
    <row r="666">
      <c r="C666" s="269"/>
      <c r="D666" s="427"/>
      <c r="E666" s="269"/>
      <c r="F666" s="269"/>
      <c r="I666" s="353"/>
      <c r="J666" s="428"/>
      <c r="K666" s="428"/>
    </row>
    <row r="667">
      <c r="C667" s="269"/>
      <c r="D667" s="427"/>
      <c r="E667" s="269"/>
      <c r="F667" s="269"/>
      <c r="I667" s="353"/>
      <c r="J667" s="428"/>
      <c r="K667" s="428"/>
    </row>
    <row r="668">
      <c r="C668" s="269"/>
      <c r="D668" s="427"/>
      <c r="E668" s="269"/>
      <c r="F668" s="269"/>
      <c r="I668" s="353"/>
      <c r="J668" s="428"/>
      <c r="K668" s="428"/>
    </row>
    <row r="669">
      <c r="C669" s="269"/>
      <c r="D669" s="427"/>
      <c r="E669" s="269"/>
      <c r="F669" s="269"/>
      <c r="I669" s="353"/>
      <c r="J669" s="428"/>
      <c r="K669" s="428"/>
    </row>
    <row r="670">
      <c r="C670" s="269"/>
      <c r="D670" s="427"/>
      <c r="E670" s="269"/>
      <c r="F670" s="269"/>
      <c r="I670" s="353"/>
      <c r="J670" s="428"/>
      <c r="K670" s="428"/>
    </row>
    <row r="671">
      <c r="C671" s="269"/>
      <c r="D671" s="427"/>
      <c r="E671" s="269"/>
      <c r="F671" s="269"/>
      <c r="I671" s="353"/>
      <c r="J671" s="428"/>
      <c r="K671" s="428"/>
    </row>
    <row r="672">
      <c r="C672" s="269"/>
      <c r="D672" s="427"/>
      <c r="E672" s="269"/>
      <c r="F672" s="269"/>
      <c r="I672" s="353"/>
      <c r="J672" s="428"/>
      <c r="K672" s="428"/>
    </row>
    <row r="673">
      <c r="C673" s="269"/>
      <c r="D673" s="427"/>
      <c r="E673" s="269"/>
      <c r="F673" s="269"/>
      <c r="I673" s="353"/>
      <c r="J673" s="428"/>
      <c r="K673" s="428"/>
    </row>
    <row r="674">
      <c r="C674" s="269"/>
      <c r="D674" s="427"/>
      <c r="E674" s="269"/>
      <c r="F674" s="269"/>
      <c r="I674" s="353"/>
      <c r="J674" s="428"/>
      <c r="K674" s="428"/>
    </row>
    <row r="675">
      <c r="C675" s="269"/>
      <c r="D675" s="427"/>
      <c r="E675" s="269"/>
      <c r="F675" s="269"/>
      <c r="I675" s="353"/>
      <c r="J675" s="428"/>
      <c r="K675" s="428"/>
    </row>
    <row r="676">
      <c r="C676" s="269"/>
      <c r="D676" s="427"/>
      <c r="E676" s="269"/>
      <c r="F676" s="269"/>
      <c r="I676" s="353"/>
      <c r="J676" s="428"/>
      <c r="K676" s="428"/>
    </row>
    <row r="677">
      <c r="C677" s="269"/>
      <c r="D677" s="427"/>
      <c r="E677" s="269"/>
      <c r="F677" s="269"/>
      <c r="I677" s="353"/>
      <c r="J677" s="428"/>
      <c r="K677" s="428"/>
    </row>
    <row r="678">
      <c r="C678" s="269"/>
      <c r="D678" s="427"/>
      <c r="E678" s="269"/>
      <c r="F678" s="269"/>
      <c r="I678" s="353"/>
      <c r="J678" s="428"/>
      <c r="K678" s="428"/>
    </row>
    <row r="679">
      <c r="C679" s="269"/>
      <c r="D679" s="427"/>
      <c r="E679" s="269"/>
      <c r="F679" s="269"/>
      <c r="I679" s="353"/>
      <c r="J679" s="428"/>
      <c r="K679" s="428"/>
    </row>
    <row r="680">
      <c r="C680" s="269"/>
      <c r="D680" s="427"/>
      <c r="E680" s="269"/>
      <c r="F680" s="269"/>
      <c r="I680" s="353"/>
      <c r="J680" s="428"/>
      <c r="K680" s="428"/>
    </row>
    <row r="681">
      <c r="C681" s="269"/>
      <c r="D681" s="427"/>
      <c r="E681" s="269"/>
      <c r="F681" s="269"/>
      <c r="I681" s="353"/>
      <c r="J681" s="428"/>
      <c r="K681" s="428"/>
    </row>
    <row r="682">
      <c r="C682" s="269"/>
      <c r="D682" s="427"/>
      <c r="E682" s="269"/>
      <c r="F682" s="269"/>
      <c r="I682" s="353"/>
      <c r="J682" s="428"/>
      <c r="K682" s="428"/>
    </row>
    <row r="683">
      <c r="C683" s="269"/>
      <c r="D683" s="427"/>
      <c r="E683" s="269"/>
      <c r="F683" s="269"/>
      <c r="I683" s="353"/>
      <c r="J683" s="428"/>
      <c r="K683" s="428"/>
    </row>
    <row r="684">
      <c r="C684" s="269"/>
      <c r="D684" s="427"/>
      <c r="E684" s="269"/>
      <c r="F684" s="269"/>
      <c r="I684" s="353"/>
      <c r="J684" s="428"/>
      <c r="K684" s="428"/>
    </row>
    <row r="685">
      <c r="C685" s="269"/>
      <c r="D685" s="427"/>
      <c r="E685" s="269"/>
      <c r="F685" s="269"/>
      <c r="I685" s="353"/>
      <c r="J685" s="428"/>
      <c r="K685" s="428"/>
    </row>
    <row r="686">
      <c r="C686" s="269"/>
      <c r="D686" s="427"/>
      <c r="E686" s="269"/>
      <c r="F686" s="269"/>
      <c r="I686" s="353"/>
      <c r="J686" s="428"/>
      <c r="K686" s="428"/>
    </row>
    <row r="687">
      <c r="C687" s="269"/>
      <c r="D687" s="427"/>
      <c r="E687" s="269"/>
      <c r="F687" s="269"/>
      <c r="I687" s="353"/>
      <c r="J687" s="428"/>
      <c r="K687" s="428"/>
    </row>
    <row r="688">
      <c r="C688" s="269"/>
      <c r="D688" s="427"/>
      <c r="E688" s="269"/>
      <c r="F688" s="269"/>
      <c r="I688" s="353"/>
      <c r="J688" s="428"/>
      <c r="K688" s="428"/>
    </row>
    <row r="689">
      <c r="C689" s="269"/>
      <c r="D689" s="427"/>
      <c r="E689" s="269"/>
      <c r="F689" s="269"/>
      <c r="I689" s="353"/>
      <c r="J689" s="428"/>
      <c r="K689" s="428"/>
    </row>
    <row r="690">
      <c r="C690" s="269"/>
      <c r="D690" s="427"/>
      <c r="E690" s="269"/>
      <c r="F690" s="269"/>
      <c r="I690" s="353"/>
      <c r="J690" s="428"/>
      <c r="K690" s="428"/>
    </row>
    <row r="691">
      <c r="C691" s="269"/>
      <c r="D691" s="427"/>
      <c r="E691" s="269"/>
      <c r="F691" s="269"/>
      <c r="I691" s="353"/>
      <c r="J691" s="428"/>
      <c r="K691" s="428"/>
    </row>
    <row r="692">
      <c r="C692" s="269"/>
      <c r="D692" s="427"/>
      <c r="E692" s="269"/>
      <c r="F692" s="269"/>
      <c r="I692" s="353"/>
      <c r="J692" s="428"/>
      <c r="K692" s="428"/>
    </row>
    <row r="693">
      <c r="C693" s="269"/>
      <c r="D693" s="427"/>
      <c r="E693" s="269"/>
      <c r="F693" s="269"/>
      <c r="I693" s="353"/>
      <c r="J693" s="428"/>
      <c r="K693" s="428"/>
    </row>
    <row r="694">
      <c r="C694" s="269"/>
      <c r="D694" s="427"/>
      <c r="E694" s="269"/>
      <c r="F694" s="269"/>
      <c r="I694" s="353"/>
      <c r="J694" s="428"/>
      <c r="K694" s="428"/>
    </row>
    <row r="695">
      <c r="C695" s="269"/>
      <c r="D695" s="427"/>
      <c r="E695" s="269"/>
      <c r="F695" s="269"/>
      <c r="I695" s="353"/>
      <c r="J695" s="428"/>
      <c r="K695" s="428"/>
    </row>
    <row r="696">
      <c r="C696" s="269"/>
      <c r="D696" s="427"/>
      <c r="E696" s="269"/>
      <c r="F696" s="269"/>
      <c r="I696" s="353"/>
      <c r="J696" s="428"/>
      <c r="K696" s="428"/>
    </row>
    <row r="697">
      <c r="C697" s="269"/>
      <c r="D697" s="427"/>
      <c r="E697" s="269"/>
      <c r="F697" s="269"/>
      <c r="I697" s="353"/>
      <c r="J697" s="428"/>
      <c r="K697" s="428"/>
    </row>
    <row r="698">
      <c r="C698" s="269"/>
      <c r="D698" s="427"/>
      <c r="E698" s="269"/>
      <c r="F698" s="269"/>
      <c r="I698" s="353"/>
      <c r="J698" s="428"/>
      <c r="K698" s="428"/>
    </row>
    <row r="699">
      <c r="C699" s="269"/>
      <c r="D699" s="427"/>
      <c r="E699" s="269"/>
      <c r="F699" s="269"/>
      <c r="I699" s="353"/>
      <c r="J699" s="428"/>
      <c r="K699" s="428"/>
    </row>
    <row r="700">
      <c r="C700" s="269"/>
      <c r="D700" s="427"/>
      <c r="E700" s="269"/>
      <c r="F700" s="269"/>
      <c r="I700" s="353"/>
      <c r="J700" s="428"/>
      <c r="K700" s="428"/>
    </row>
    <row r="701">
      <c r="C701" s="269"/>
      <c r="D701" s="427"/>
      <c r="E701" s="269"/>
      <c r="F701" s="269"/>
      <c r="I701" s="353"/>
      <c r="J701" s="428"/>
      <c r="K701" s="428"/>
    </row>
    <row r="702">
      <c r="C702" s="269"/>
      <c r="D702" s="427"/>
      <c r="E702" s="269"/>
      <c r="F702" s="269"/>
      <c r="I702" s="353"/>
      <c r="J702" s="428"/>
      <c r="K702" s="428"/>
    </row>
    <row r="703">
      <c r="C703" s="269"/>
      <c r="D703" s="427"/>
      <c r="E703" s="269"/>
      <c r="F703" s="269"/>
      <c r="I703" s="353"/>
      <c r="J703" s="428"/>
      <c r="K703" s="428"/>
    </row>
    <row r="704">
      <c r="C704" s="269"/>
      <c r="D704" s="427"/>
      <c r="E704" s="269"/>
      <c r="F704" s="269"/>
      <c r="I704" s="353"/>
      <c r="J704" s="428"/>
      <c r="K704" s="428"/>
    </row>
    <row r="705">
      <c r="C705" s="269"/>
      <c r="D705" s="427"/>
      <c r="E705" s="269"/>
      <c r="F705" s="269"/>
      <c r="I705" s="353"/>
      <c r="J705" s="428"/>
      <c r="K705" s="428"/>
    </row>
    <row r="706">
      <c r="C706" s="269"/>
      <c r="D706" s="427"/>
      <c r="E706" s="269"/>
      <c r="F706" s="269"/>
      <c r="I706" s="353"/>
      <c r="J706" s="428"/>
      <c r="K706" s="428"/>
    </row>
    <row r="707">
      <c r="C707" s="269"/>
      <c r="D707" s="427"/>
      <c r="E707" s="269"/>
      <c r="F707" s="269"/>
      <c r="I707" s="353"/>
      <c r="J707" s="428"/>
      <c r="K707" s="428"/>
    </row>
    <row r="708">
      <c r="C708" s="269"/>
      <c r="D708" s="427"/>
      <c r="E708" s="269"/>
      <c r="F708" s="269"/>
      <c r="I708" s="353"/>
      <c r="J708" s="428"/>
      <c r="K708" s="428"/>
    </row>
    <row r="709">
      <c r="C709" s="269"/>
      <c r="D709" s="427"/>
      <c r="E709" s="269"/>
      <c r="F709" s="269"/>
      <c r="I709" s="353"/>
      <c r="J709" s="428"/>
      <c r="K709" s="428"/>
    </row>
    <row r="710">
      <c r="C710" s="269"/>
      <c r="D710" s="427"/>
      <c r="E710" s="269"/>
      <c r="F710" s="269"/>
      <c r="I710" s="353"/>
      <c r="J710" s="428"/>
      <c r="K710" s="428"/>
    </row>
    <row r="711">
      <c r="C711" s="269"/>
      <c r="D711" s="427"/>
      <c r="E711" s="269"/>
      <c r="F711" s="269"/>
      <c r="I711" s="353"/>
      <c r="J711" s="428"/>
      <c r="K711" s="428"/>
    </row>
    <row r="712">
      <c r="C712" s="269"/>
      <c r="D712" s="427"/>
      <c r="E712" s="269"/>
      <c r="F712" s="269"/>
      <c r="I712" s="353"/>
      <c r="J712" s="428"/>
      <c r="K712" s="428"/>
    </row>
    <row r="713">
      <c r="C713" s="269"/>
      <c r="D713" s="427"/>
      <c r="E713" s="269"/>
      <c r="F713" s="269"/>
      <c r="I713" s="353"/>
      <c r="J713" s="428"/>
      <c r="K713" s="428"/>
    </row>
    <row r="714">
      <c r="C714" s="269"/>
      <c r="D714" s="427"/>
      <c r="E714" s="269"/>
      <c r="F714" s="269"/>
      <c r="I714" s="353"/>
      <c r="J714" s="428"/>
      <c r="K714" s="428"/>
    </row>
    <row r="715">
      <c r="C715" s="269"/>
      <c r="D715" s="427"/>
      <c r="E715" s="269"/>
      <c r="F715" s="269"/>
      <c r="I715" s="353"/>
      <c r="J715" s="428"/>
      <c r="K715" s="428"/>
    </row>
    <row r="716">
      <c r="C716" s="269"/>
      <c r="D716" s="427"/>
      <c r="E716" s="269"/>
      <c r="F716" s="269"/>
      <c r="I716" s="353"/>
      <c r="J716" s="428"/>
      <c r="K716" s="428"/>
    </row>
    <row r="717">
      <c r="C717" s="269"/>
      <c r="D717" s="427"/>
      <c r="E717" s="269"/>
      <c r="F717" s="269"/>
      <c r="I717" s="353"/>
      <c r="J717" s="428"/>
      <c r="K717" s="428"/>
    </row>
    <row r="718">
      <c r="C718" s="269"/>
      <c r="D718" s="427"/>
      <c r="E718" s="269"/>
      <c r="F718" s="269"/>
      <c r="I718" s="353"/>
      <c r="J718" s="428"/>
      <c r="K718" s="428"/>
    </row>
    <row r="719">
      <c r="C719" s="269"/>
      <c r="D719" s="427"/>
      <c r="E719" s="269"/>
      <c r="F719" s="269"/>
      <c r="I719" s="353"/>
      <c r="J719" s="428"/>
      <c r="K719" s="428"/>
    </row>
    <row r="720">
      <c r="C720" s="269"/>
      <c r="D720" s="427"/>
      <c r="E720" s="269"/>
      <c r="F720" s="269"/>
      <c r="I720" s="353"/>
      <c r="J720" s="428"/>
      <c r="K720" s="428"/>
    </row>
    <row r="721">
      <c r="C721" s="269"/>
      <c r="D721" s="427"/>
      <c r="E721" s="269"/>
      <c r="F721" s="269"/>
      <c r="I721" s="353"/>
      <c r="J721" s="428"/>
      <c r="K721" s="428"/>
    </row>
    <row r="722">
      <c r="C722" s="269"/>
      <c r="D722" s="427"/>
      <c r="E722" s="269"/>
      <c r="F722" s="269"/>
      <c r="I722" s="353"/>
      <c r="J722" s="428"/>
      <c r="K722" s="428"/>
    </row>
    <row r="723">
      <c r="C723" s="269"/>
      <c r="D723" s="427"/>
      <c r="E723" s="269"/>
      <c r="F723" s="269"/>
      <c r="I723" s="353"/>
      <c r="J723" s="428"/>
      <c r="K723" s="428"/>
    </row>
    <row r="724">
      <c r="C724" s="269"/>
      <c r="D724" s="427"/>
      <c r="E724" s="269"/>
      <c r="F724" s="269"/>
      <c r="I724" s="353"/>
      <c r="J724" s="428"/>
      <c r="K724" s="428"/>
    </row>
    <row r="725">
      <c r="C725" s="269"/>
      <c r="D725" s="427"/>
      <c r="E725" s="269"/>
      <c r="F725" s="269"/>
      <c r="I725" s="353"/>
      <c r="J725" s="428"/>
      <c r="K725" s="428"/>
    </row>
    <row r="726">
      <c r="C726" s="269"/>
      <c r="D726" s="427"/>
      <c r="E726" s="269"/>
      <c r="F726" s="269"/>
      <c r="I726" s="353"/>
      <c r="J726" s="428"/>
      <c r="K726" s="428"/>
    </row>
    <row r="727">
      <c r="C727" s="269"/>
      <c r="D727" s="427"/>
      <c r="E727" s="269"/>
      <c r="F727" s="269"/>
      <c r="I727" s="353"/>
      <c r="J727" s="428"/>
      <c r="K727" s="428"/>
    </row>
    <row r="728">
      <c r="C728" s="269"/>
      <c r="D728" s="427"/>
      <c r="E728" s="269"/>
      <c r="F728" s="269"/>
      <c r="I728" s="353"/>
      <c r="J728" s="428"/>
      <c r="K728" s="428"/>
    </row>
    <row r="729">
      <c r="C729" s="269"/>
      <c r="D729" s="427"/>
      <c r="E729" s="269"/>
      <c r="F729" s="269"/>
      <c r="I729" s="353"/>
      <c r="J729" s="428"/>
      <c r="K729" s="428"/>
    </row>
    <row r="730">
      <c r="C730" s="269"/>
      <c r="D730" s="427"/>
      <c r="E730" s="269"/>
      <c r="F730" s="269"/>
      <c r="I730" s="353"/>
      <c r="J730" s="428"/>
      <c r="K730" s="428"/>
    </row>
    <row r="731">
      <c r="C731" s="269"/>
      <c r="D731" s="427"/>
      <c r="E731" s="269"/>
      <c r="F731" s="269"/>
      <c r="I731" s="353"/>
      <c r="J731" s="428"/>
      <c r="K731" s="428"/>
    </row>
    <row r="732">
      <c r="C732" s="269"/>
      <c r="D732" s="427"/>
      <c r="E732" s="269"/>
      <c r="F732" s="269"/>
      <c r="I732" s="353"/>
      <c r="J732" s="428"/>
      <c r="K732" s="428"/>
    </row>
    <row r="733">
      <c r="C733" s="269"/>
      <c r="D733" s="427"/>
      <c r="E733" s="269"/>
      <c r="F733" s="269"/>
      <c r="I733" s="353"/>
      <c r="J733" s="428"/>
      <c r="K733" s="428"/>
    </row>
    <row r="734">
      <c r="C734" s="269"/>
      <c r="D734" s="427"/>
      <c r="E734" s="269"/>
      <c r="F734" s="269"/>
      <c r="I734" s="353"/>
      <c r="J734" s="428"/>
      <c r="K734" s="428"/>
    </row>
    <row r="735">
      <c r="C735" s="269"/>
      <c r="D735" s="427"/>
      <c r="E735" s="269"/>
      <c r="F735" s="269"/>
      <c r="I735" s="353"/>
      <c r="J735" s="428"/>
      <c r="K735" s="428"/>
    </row>
    <row r="736">
      <c r="C736" s="269"/>
      <c r="D736" s="427"/>
      <c r="E736" s="269"/>
      <c r="F736" s="269"/>
      <c r="I736" s="353"/>
      <c r="J736" s="428"/>
      <c r="K736" s="428"/>
    </row>
    <row r="737">
      <c r="C737" s="269"/>
      <c r="D737" s="427"/>
      <c r="E737" s="269"/>
      <c r="F737" s="269"/>
      <c r="I737" s="353"/>
      <c r="J737" s="428"/>
      <c r="K737" s="428"/>
    </row>
    <row r="738">
      <c r="C738" s="269"/>
      <c r="D738" s="427"/>
      <c r="E738" s="269"/>
      <c r="F738" s="269"/>
      <c r="I738" s="353"/>
      <c r="J738" s="428"/>
      <c r="K738" s="428"/>
    </row>
    <row r="739">
      <c r="C739" s="269"/>
      <c r="D739" s="427"/>
      <c r="E739" s="269"/>
      <c r="F739" s="269"/>
      <c r="I739" s="353"/>
      <c r="J739" s="428"/>
      <c r="K739" s="428"/>
    </row>
    <row r="740">
      <c r="C740" s="269"/>
      <c r="D740" s="427"/>
      <c r="E740" s="269"/>
      <c r="F740" s="269"/>
      <c r="I740" s="353"/>
      <c r="J740" s="428"/>
      <c r="K740" s="428"/>
    </row>
    <row r="741">
      <c r="C741" s="269"/>
      <c r="D741" s="427"/>
      <c r="E741" s="269"/>
      <c r="F741" s="269"/>
      <c r="I741" s="353"/>
      <c r="J741" s="428"/>
      <c r="K741" s="428"/>
    </row>
    <row r="742">
      <c r="C742" s="269"/>
      <c r="D742" s="427"/>
      <c r="E742" s="269"/>
      <c r="F742" s="269"/>
      <c r="I742" s="353"/>
      <c r="J742" s="428"/>
      <c r="K742" s="428"/>
    </row>
    <row r="743">
      <c r="C743" s="269"/>
      <c r="D743" s="427"/>
      <c r="E743" s="269"/>
      <c r="F743" s="269"/>
      <c r="I743" s="353"/>
      <c r="J743" s="428"/>
      <c r="K743" s="428"/>
    </row>
    <row r="744">
      <c r="C744" s="269"/>
      <c r="D744" s="427"/>
      <c r="E744" s="269"/>
      <c r="F744" s="269"/>
      <c r="I744" s="353"/>
      <c r="J744" s="428"/>
      <c r="K744" s="428"/>
    </row>
    <row r="745">
      <c r="C745" s="269"/>
      <c r="D745" s="427"/>
      <c r="E745" s="269"/>
      <c r="F745" s="269"/>
      <c r="I745" s="353"/>
      <c r="J745" s="428"/>
      <c r="K745" s="428"/>
    </row>
    <row r="746">
      <c r="C746" s="269"/>
      <c r="D746" s="427"/>
      <c r="E746" s="269"/>
      <c r="F746" s="269"/>
      <c r="I746" s="353"/>
      <c r="J746" s="428"/>
      <c r="K746" s="428"/>
    </row>
    <row r="747">
      <c r="C747" s="269"/>
      <c r="D747" s="427"/>
      <c r="E747" s="269"/>
      <c r="F747" s="269"/>
      <c r="I747" s="353"/>
      <c r="J747" s="428"/>
      <c r="K747" s="428"/>
    </row>
    <row r="748">
      <c r="C748" s="269"/>
      <c r="D748" s="427"/>
      <c r="E748" s="269"/>
      <c r="F748" s="269"/>
      <c r="I748" s="353"/>
      <c r="J748" s="428"/>
      <c r="K748" s="428"/>
    </row>
    <row r="749">
      <c r="C749" s="269"/>
      <c r="D749" s="427"/>
      <c r="E749" s="269"/>
      <c r="F749" s="269"/>
      <c r="I749" s="353"/>
      <c r="J749" s="428"/>
      <c r="K749" s="428"/>
    </row>
    <row r="750">
      <c r="C750" s="269"/>
      <c r="D750" s="427"/>
      <c r="E750" s="269"/>
      <c r="F750" s="269"/>
      <c r="I750" s="353"/>
      <c r="J750" s="428"/>
      <c r="K750" s="428"/>
    </row>
    <row r="751">
      <c r="C751" s="269"/>
      <c r="D751" s="427"/>
      <c r="E751" s="269"/>
      <c r="F751" s="269"/>
      <c r="I751" s="353"/>
      <c r="J751" s="428"/>
      <c r="K751" s="428"/>
    </row>
    <row r="752">
      <c r="C752" s="269"/>
      <c r="D752" s="427"/>
      <c r="E752" s="269"/>
      <c r="F752" s="269"/>
      <c r="I752" s="353"/>
      <c r="J752" s="428"/>
      <c r="K752" s="428"/>
    </row>
    <row r="753">
      <c r="C753" s="269"/>
      <c r="D753" s="427"/>
      <c r="E753" s="269"/>
      <c r="F753" s="269"/>
      <c r="I753" s="353"/>
      <c r="J753" s="428"/>
      <c r="K753" s="428"/>
    </row>
    <row r="754">
      <c r="C754" s="269"/>
      <c r="D754" s="427"/>
      <c r="E754" s="269"/>
      <c r="F754" s="269"/>
      <c r="I754" s="353"/>
      <c r="J754" s="428"/>
      <c r="K754" s="428"/>
    </row>
    <row r="755">
      <c r="C755" s="269"/>
      <c r="D755" s="427"/>
      <c r="E755" s="269"/>
      <c r="F755" s="269"/>
      <c r="I755" s="353"/>
      <c r="J755" s="428"/>
      <c r="K755" s="428"/>
    </row>
    <row r="756">
      <c r="C756" s="269"/>
      <c r="D756" s="427"/>
      <c r="E756" s="269"/>
      <c r="F756" s="269"/>
      <c r="I756" s="353"/>
      <c r="J756" s="428"/>
      <c r="K756" s="428"/>
    </row>
    <row r="757">
      <c r="C757" s="269"/>
      <c r="D757" s="427"/>
      <c r="E757" s="269"/>
      <c r="F757" s="269"/>
      <c r="I757" s="353"/>
      <c r="J757" s="428"/>
      <c r="K757" s="428"/>
    </row>
    <row r="758">
      <c r="C758" s="269"/>
      <c r="D758" s="427"/>
      <c r="E758" s="269"/>
      <c r="F758" s="269"/>
      <c r="I758" s="353"/>
      <c r="J758" s="428"/>
      <c r="K758" s="428"/>
    </row>
    <row r="759">
      <c r="C759" s="269"/>
      <c r="D759" s="427"/>
      <c r="E759" s="269"/>
      <c r="F759" s="269"/>
      <c r="I759" s="353"/>
      <c r="J759" s="428"/>
      <c r="K759" s="428"/>
    </row>
    <row r="760">
      <c r="C760" s="269"/>
      <c r="D760" s="427"/>
      <c r="E760" s="269"/>
      <c r="F760" s="269"/>
      <c r="I760" s="353"/>
      <c r="J760" s="428"/>
      <c r="K760" s="428"/>
    </row>
    <row r="761">
      <c r="C761" s="269"/>
      <c r="D761" s="427"/>
      <c r="E761" s="269"/>
      <c r="F761" s="269"/>
      <c r="I761" s="353"/>
      <c r="J761" s="428"/>
      <c r="K761" s="428"/>
    </row>
    <row r="762">
      <c r="C762" s="269"/>
      <c r="D762" s="427"/>
      <c r="E762" s="269"/>
      <c r="F762" s="269"/>
      <c r="I762" s="353"/>
      <c r="J762" s="428"/>
      <c r="K762" s="428"/>
    </row>
    <row r="763">
      <c r="C763" s="269"/>
      <c r="D763" s="427"/>
      <c r="E763" s="269"/>
      <c r="F763" s="269"/>
      <c r="I763" s="353"/>
      <c r="J763" s="428"/>
      <c r="K763" s="428"/>
    </row>
    <row r="764">
      <c r="C764" s="269"/>
      <c r="D764" s="427"/>
      <c r="E764" s="269"/>
      <c r="F764" s="269"/>
      <c r="I764" s="353"/>
      <c r="J764" s="428"/>
      <c r="K764" s="428"/>
    </row>
    <row r="765">
      <c r="C765" s="269"/>
      <c r="D765" s="427"/>
      <c r="E765" s="269"/>
      <c r="F765" s="269"/>
      <c r="I765" s="353"/>
      <c r="J765" s="428"/>
      <c r="K765" s="428"/>
    </row>
    <row r="766">
      <c r="C766" s="269"/>
      <c r="D766" s="427"/>
      <c r="E766" s="269"/>
      <c r="F766" s="269"/>
      <c r="I766" s="353"/>
      <c r="J766" s="428"/>
      <c r="K766" s="428"/>
    </row>
    <row r="767">
      <c r="C767" s="269"/>
      <c r="D767" s="427"/>
      <c r="E767" s="269"/>
      <c r="F767" s="269"/>
      <c r="I767" s="353"/>
      <c r="J767" s="428"/>
      <c r="K767" s="428"/>
    </row>
    <row r="768">
      <c r="C768" s="269"/>
      <c r="D768" s="427"/>
      <c r="E768" s="269"/>
      <c r="F768" s="269"/>
      <c r="I768" s="353"/>
      <c r="J768" s="428"/>
      <c r="K768" s="428"/>
    </row>
    <row r="769">
      <c r="C769" s="269"/>
      <c r="D769" s="427"/>
      <c r="E769" s="269"/>
      <c r="F769" s="269"/>
      <c r="I769" s="353"/>
      <c r="J769" s="428"/>
      <c r="K769" s="428"/>
    </row>
    <row r="770">
      <c r="C770" s="269"/>
      <c r="D770" s="427"/>
      <c r="E770" s="269"/>
      <c r="F770" s="269"/>
      <c r="I770" s="353"/>
      <c r="J770" s="428"/>
      <c r="K770" s="428"/>
    </row>
    <row r="771">
      <c r="C771" s="269"/>
      <c r="D771" s="427"/>
      <c r="E771" s="269"/>
      <c r="F771" s="269"/>
      <c r="I771" s="353"/>
      <c r="J771" s="428"/>
      <c r="K771" s="428"/>
    </row>
    <row r="772">
      <c r="C772" s="269"/>
      <c r="D772" s="427"/>
      <c r="E772" s="269"/>
      <c r="F772" s="269"/>
      <c r="I772" s="353"/>
      <c r="J772" s="428"/>
      <c r="K772" s="428"/>
    </row>
    <row r="773">
      <c r="C773" s="269"/>
      <c r="D773" s="427"/>
      <c r="E773" s="269"/>
      <c r="F773" s="269"/>
      <c r="I773" s="353"/>
      <c r="J773" s="428"/>
      <c r="K773" s="428"/>
    </row>
    <row r="774">
      <c r="C774" s="269"/>
      <c r="D774" s="427"/>
      <c r="E774" s="269"/>
      <c r="F774" s="269"/>
      <c r="I774" s="353"/>
      <c r="J774" s="428"/>
      <c r="K774" s="428"/>
    </row>
    <row r="775">
      <c r="C775" s="269"/>
      <c r="D775" s="427"/>
      <c r="E775" s="269"/>
      <c r="F775" s="269"/>
      <c r="I775" s="353"/>
      <c r="J775" s="428"/>
      <c r="K775" s="428"/>
    </row>
    <row r="776">
      <c r="C776" s="269"/>
      <c r="D776" s="427"/>
      <c r="E776" s="269"/>
      <c r="F776" s="269"/>
      <c r="I776" s="353"/>
      <c r="J776" s="428"/>
      <c r="K776" s="428"/>
    </row>
    <row r="777">
      <c r="C777" s="269"/>
      <c r="D777" s="427"/>
      <c r="E777" s="269"/>
      <c r="F777" s="269"/>
      <c r="I777" s="353"/>
      <c r="J777" s="428"/>
      <c r="K777" s="428"/>
    </row>
    <row r="778">
      <c r="C778" s="269"/>
      <c r="D778" s="427"/>
      <c r="E778" s="269"/>
      <c r="F778" s="269"/>
      <c r="I778" s="353"/>
      <c r="J778" s="428"/>
      <c r="K778" s="428"/>
    </row>
    <row r="779">
      <c r="C779" s="269"/>
      <c r="D779" s="427"/>
      <c r="E779" s="269"/>
      <c r="F779" s="269"/>
      <c r="I779" s="353"/>
      <c r="J779" s="428"/>
      <c r="K779" s="428"/>
    </row>
    <row r="780">
      <c r="C780" s="269"/>
      <c r="D780" s="427"/>
      <c r="E780" s="269"/>
      <c r="F780" s="269"/>
      <c r="I780" s="353"/>
      <c r="J780" s="428"/>
      <c r="K780" s="428"/>
    </row>
    <row r="781">
      <c r="C781" s="269"/>
      <c r="D781" s="427"/>
      <c r="E781" s="269"/>
      <c r="F781" s="269"/>
      <c r="I781" s="353"/>
      <c r="J781" s="428"/>
      <c r="K781" s="428"/>
    </row>
    <row r="782">
      <c r="C782" s="269"/>
      <c r="D782" s="427"/>
      <c r="E782" s="269"/>
      <c r="F782" s="269"/>
      <c r="I782" s="353"/>
      <c r="J782" s="428"/>
      <c r="K782" s="428"/>
    </row>
    <row r="783">
      <c r="C783" s="269"/>
      <c r="D783" s="427"/>
      <c r="E783" s="269"/>
      <c r="F783" s="269"/>
      <c r="I783" s="353"/>
      <c r="J783" s="428"/>
      <c r="K783" s="428"/>
    </row>
    <row r="784">
      <c r="C784" s="269"/>
      <c r="D784" s="427"/>
      <c r="E784" s="269"/>
      <c r="F784" s="269"/>
      <c r="I784" s="353"/>
      <c r="J784" s="428"/>
      <c r="K784" s="428"/>
    </row>
    <row r="785">
      <c r="C785" s="269"/>
      <c r="D785" s="427"/>
      <c r="E785" s="269"/>
      <c r="F785" s="269"/>
      <c r="I785" s="353"/>
      <c r="J785" s="428"/>
      <c r="K785" s="428"/>
    </row>
    <row r="786">
      <c r="C786" s="269"/>
      <c r="D786" s="427"/>
      <c r="E786" s="269"/>
      <c r="F786" s="269"/>
      <c r="I786" s="353"/>
      <c r="J786" s="428"/>
      <c r="K786" s="428"/>
    </row>
    <row r="787">
      <c r="C787" s="269"/>
      <c r="D787" s="427"/>
      <c r="E787" s="269"/>
      <c r="F787" s="269"/>
      <c r="I787" s="353"/>
      <c r="J787" s="428"/>
      <c r="K787" s="428"/>
    </row>
    <row r="788">
      <c r="C788" s="269"/>
      <c r="D788" s="427"/>
      <c r="E788" s="269"/>
      <c r="F788" s="269"/>
      <c r="I788" s="353"/>
      <c r="J788" s="428"/>
      <c r="K788" s="428"/>
    </row>
    <row r="789">
      <c r="C789" s="269"/>
      <c r="D789" s="427"/>
      <c r="E789" s="269"/>
      <c r="F789" s="269"/>
      <c r="I789" s="353"/>
      <c r="J789" s="428"/>
      <c r="K789" s="428"/>
    </row>
    <row r="790">
      <c r="C790" s="269"/>
      <c r="D790" s="427"/>
      <c r="E790" s="269"/>
      <c r="F790" s="269"/>
      <c r="I790" s="353"/>
      <c r="J790" s="428"/>
      <c r="K790" s="428"/>
    </row>
    <row r="791">
      <c r="C791" s="269"/>
      <c r="D791" s="427"/>
      <c r="E791" s="269"/>
      <c r="F791" s="269"/>
      <c r="I791" s="353"/>
      <c r="J791" s="428"/>
      <c r="K791" s="428"/>
    </row>
    <row r="792">
      <c r="C792" s="269"/>
      <c r="D792" s="427"/>
      <c r="E792" s="269"/>
      <c r="F792" s="269"/>
      <c r="I792" s="353"/>
      <c r="J792" s="428"/>
      <c r="K792" s="428"/>
    </row>
    <row r="793">
      <c r="C793" s="269"/>
      <c r="D793" s="427"/>
      <c r="E793" s="269"/>
      <c r="F793" s="269"/>
      <c r="I793" s="353"/>
      <c r="J793" s="428"/>
      <c r="K793" s="428"/>
    </row>
    <row r="794">
      <c r="C794" s="269"/>
      <c r="D794" s="427"/>
      <c r="E794" s="269"/>
      <c r="F794" s="269"/>
      <c r="I794" s="353"/>
      <c r="J794" s="428"/>
      <c r="K794" s="428"/>
    </row>
    <row r="795">
      <c r="C795" s="269"/>
      <c r="D795" s="427"/>
      <c r="E795" s="269"/>
      <c r="F795" s="269"/>
      <c r="I795" s="353"/>
      <c r="J795" s="428"/>
      <c r="K795" s="428"/>
    </row>
    <row r="796">
      <c r="C796" s="269"/>
      <c r="D796" s="427"/>
      <c r="E796" s="269"/>
      <c r="F796" s="269"/>
      <c r="I796" s="353"/>
      <c r="J796" s="428"/>
      <c r="K796" s="428"/>
    </row>
    <row r="797">
      <c r="C797" s="269"/>
      <c r="D797" s="427"/>
      <c r="E797" s="269"/>
      <c r="F797" s="269"/>
      <c r="I797" s="353"/>
      <c r="J797" s="428"/>
      <c r="K797" s="428"/>
    </row>
    <row r="798">
      <c r="C798" s="269"/>
      <c r="D798" s="427"/>
      <c r="E798" s="269"/>
      <c r="F798" s="269"/>
      <c r="I798" s="353"/>
      <c r="J798" s="428"/>
      <c r="K798" s="428"/>
    </row>
    <row r="799">
      <c r="C799" s="269"/>
      <c r="D799" s="427"/>
      <c r="E799" s="269"/>
      <c r="F799" s="269"/>
      <c r="I799" s="353"/>
      <c r="J799" s="428"/>
      <c r="K799" s="428"/>
    </row>
    <row r="800">
      <c r="C800" s="269"/>
      <c r="D800" s="427"/>
      <c r="E800" s="269"/>
      <c r="F800" s="269"/>
      <c r="I800" s="353"/>
      <c r="J800" s="428"/>
      <c r="K800" s="428"/>
    </row>
    <row r="801">
      <c r="C801" s="269"/>
      <c r="D801" s="427"/>
      <c r="E801" s="269"/>
      <c r="F801" s="269"/>
      <c r="I801" s="353"/>
      <c r="J801" s="428"/>
      <c r="K801" s="428"/>
    </row>
    <row r="802">
      <c r="C802" s="269"/>
      <c r="D802" s="427"/>
      <c r="E802" s="269"/>
      <c r="F802" s="269"/>
      <c r="I802" s="353"/>
      <c r="J802" s="428"/>
      <c r="K802" s="428"/>
    </row>
    <row r="803">
      <c r="C803" s="269"/>
      <c r="D803" s="427"/>
      <c r="E803" s="269"/>
      <c r="F803" s="269"/>
      <c r="I803" s="353"/>
      <c r="J803" s="428"/>
      <c r="K803" s="428"/>
    </row>
    <row r="804">
      <c r="C804" s="269"/>
      <c r="D804" s="427"/>
      <c r="E804" s="269"/>
      <c r="F804" s="269"/>
      <c r="I804" s="353"/>
      <c r="J804" s="428"/>
      <c r="K804" s="428"/>
    </row>
    <row r="805">
      <c r="C805" s="269"/>
      <c r="D805" s="427"/>
      <c r="E805" s="269"/>
      <c r="F805" s="269"/>
      <c r="I805" s="353"/>
      <c r="J805" s="428"/>
      <c r="K805" s="428"/>
    </row>
    <row r="806">
      <c r="C806" s="269"/>
      <c r="D806" s="427"/>
      <c r="E806" s="269"/>
      <c r="F806" s="269"/>
      <c r="I806" s="353"/>
      <c r="J806" s="428"/>
      <c r="K806" s="428"/>
    </row>
    <row r="807">
      <c r="C807" s="269"/>
      <c r="D807" s="427"/>
      <c r="E807" s="269"/>
      <c r="F807" s="269"/>
      <c r="I807" s="353"/>
      <c r="J807" s="428"/>
      <c r="K807" s="428"/>
    </row>
    <row r="808">
      <c r="C808" s="269"/>
      <c r="D808" s="427"/>
      <c r="E808" s="269"/>
      <c r="F808" s="269"/>
      <c r="I808" s="353"/>
      <c r="J808" s="428"/>
      <c r="K808" s="428"/>
    </row>
    <row r="809">
      <c r="C809" s="269"/>
      <c r="D809" s="427"/>
      <c r="E809" s="269"/>
      <c r="F809" s="269"/>
      <c r="I809" s="353"/>
      <c r="J809" s="428"/>
      <c r="K809" s="428"/>
    </row>
    <row r="810">
      <c r="C810" s="269"/>
      <c r="D810" s="427"/>
      <c r="E810" s="269"/>
      <c r="F810" s="269"/>
      <c r="I810" s="353"/>
      <c r="J810" s="428"/>
      <c r="K810" s="428"/>
    </row>
    <row r="811">
      <c r="C811" s="269"/>
      <c r="D811" s="427"/>
      <c r="E811" s="269"/>
      <c r="F811" s="269"/>
      <c r="I811" s="353"/>
      <c r="J811" s="428"/>
      <c r="K811" s="428"/>
    </row>
    <row r="812">
      <c r="C812" s="269"/>
      <c r="D812" s="427"/>
      <c r="E812" s="269"/>
      <c r="F812" s="269"/>
      <c r="I812" s="353"/>
      <c r="J812" s="428"/>
      <c r="K812" s="428"/>
    </row>
    <row r="813">
      <c r="C813" s="269"/>
      <c r="D813" s="427"/>
      <c r="E813" s="269"/>
      <c r="F813" s="269"/>
      <c r="I813" s="353"/>
      <c r="J813" s="428"/>
      <c r="K813" s="428"/>
    </row>
    <row r="814">
      <c r="C814" s="269"/>
      <c r="D814" s="427"/>
      <c r="E814" s="269"/>
      <c r="F814" s="269"/>
      <c r="I814" s="353"/>
      <c r="J814" s="428"/>
      <c r="K814" s="428"/>
    </row>
    <row r="815">
      <c r="C815" s="269"/>
      <c r="D815" s="427"/>
      <c r="E815" s="269"/>
      <c r="F815" s="269"/>
      <c r="I815" s="353"/>
      <c r="J815" s="428"/>
      <c r="K815" s="428"/>
    </row>
    <row r="816">
      <c r="C816" s="269"/>
      <c r="D816" s="427"/>
      <c r="E816" s="269"/>
      <c r="F816" s="269"/>
      <c r="I816" s="353"/>
      <c r="J816" s="428"/>
      <c r="K816" s="428"/>
    </row>
    <row r="817">
      <c r="C817" s="269"/>
      <c r="D817" s="427"/>
      <c r="E817" s="269"/>
      <c r="F817" s="269"/>
      <c r="I817" s="353"/>
      <c r="J817" s="428"/>
      <c r="K817" s="428"/>
    </row>
    <row r="818">
      <c r="C818" s="269"/>
      <c r="D818" s="427"/>
      <c r="E818" s="269"/>
      <c r="F818" s="269"/>
      <c r="I818" s="353"/>
      <c r="J818" s="428"/>
      <c r="K818" s="428"/>
    </row>
    <row r="819">
      <c r="C819" s="269"/>
      <c r="D819" s="427"/>
      <c r="E819" s="269"/>
      <c r="F819" s="269"/>
      <c r="I819" s="353"/>
      <c r="J819" s="428"/>
      <c r="K819" s="428"/>
    </row>
    <row r="820">
      <c r="C820" s="269"/>
      <c r="D820" s="427"/>
      <c r="E820" s="269"/>
      <c r="F820" s="269"/>
      <c r="I820" s="353"/>
      <c r="J820" s="428"/>
      <c r="K820" s="428"/>
    </row>
    <row r="821">
      <c r="C821" s="269"/>
      <c r="D821" s="427"/>
      <c r="E821" s="269"/>
      <c r="F821" s="269"/>
      <c r="I821" s="353"/>
      <c r="J821" s="428"/>
      <c r="K821" s="428"/>
    </row>
    <row r="822">
      <c r="C822" s="269"/>
      <c r="D822" s="427"/>
      <c r="E822" s="269"/>
      <c r="F822" s="269"/>
      <c r="I822" s="353"/>
      <c r="J822" s="428"/>
      <c r="K822" s="428"/>
    </row>
    <row r="823">
      <c r="C823" s="269"/>
      <c r="D823" s="427"/>
      <c r="E823" s="269"/>
      <c r="F823" s="269"/>
      <c r="I823" s="353"/>
      <c r="J823" s="428"/>
      <c r="K823" s="428"/>
    </row>
    <row r="824">
      <c r="C824" s="269"/>
      <c r="D824" s="427"/>
      <c r="E824" s="269"/>
      <c r="F824" s="269"/>
      <c r="I824" s="353"/>
      <c r="J824" s="428"/>
      <c r="K824" s="428"/>
    </row>
    <row r="825">
      <c r="C825" s="269"/>
      <c r="D825" s="427"/>
      <c r="E825" s="269"/>
      <c r="F825" s="269"/>
      <c r="I825" s="353"/>
      <c r="J825" s="428"/>
      <c r="K825" s="428"/>
    </row>
    <row r="826">
      <c r="C826" s="269"/>
      <c r="D826" s="427"/>
      <c r="E826" s="269"/>
      <c r="F826" s="269"/>
      <c r="I826" s="353"/>
      <c r="J826" s="428"/>
      <c r="K826" s="428"/>
    </row>
    <row r="827">
      <c r="C827" s="269"/>
      <c r="D827" s="427"/>
      <c r="E827" s="269"/>
      <c r="F827" s="269"/>
      <c r="I827" s="353"/>
      <c r="J827" s="428"/>
      <c r="K827" s="428"/>
    </row>
    <row r="828">
      <c r="C828" s="269"/>
      <c r="D828" s="427"/>
      <c r="E828" s="269"/>
      <c r="F828" s="269"/>
      <c r="I828" s="353"/>
      <c r="J828" s="428"/>
      <c r="K828" s="428"/>
    </row>
    <row r="829">
      <c r="C829" s="269"/>
      <c r="D829" s="427"/>
      <c r="E829" s="269"/>
      <c r="F829" s="269"/>
      <c r="I829" s="353"/>
      <c r="J829" s="428"/>
      <c r="K829" s="428"/>
    </row>
    <row r="830">
      <c r="C830" s="269"/>
      <c r="D830" s="427"/>
      <c r="E830" s="269"/>
      <c r="F830" s="269"/>
      <c r="I830" s="353"/>
      <c r="J830" s="428"/>
      <c r="K830" s="428"/>
    </row>
    <row r="831">
      <c r="C831" s="269"/>
      <c r="D831" s="427"/>
      <c r="E831" s="269"/>
      <c r="F831" s="269"/>
      <c r="I831" s="353"/>
      <c r="J831" s="428"/>
      <c r="K831" s="428"/>
    </row>
    <row r="832">
      <c r="C832" s="269"/>
      <c r="D832" s="427"/>
      <c r="E832" s="269"/>
      <c r="F832" s="269"/>
      <c r="I832" s="353"/>
      <c r="J832" s="428"/>
      <c r="K832" s="428"/>
    </row>
    <row r="833">
      <c r="C833" s="269"/>
      <c r="D833" s="427"/>
      <c r="E833" s="269"/>
      <c r="F833" s="269"/>
      <c r="I833" s="353"/>
      <c r="J833" s="428"/>
      <c r="K833" s="428"/>
    </row>
    <row r="834">
      <c r="C834" s="269"/>
      <c r="D834" s="427"/>
      <c r="E834" s="269"/>
      <c r="F834" s="269"/>
      <c r="I834" s="353"/>
      <c r="J834" s="428"/>
      <c r="K834" s="428"/>
    </row>
    <row r="835">
      <c r="C835" s="269"/>
      <c r="D835" s="427"/>
      <c r="E835" s="269"/>
      <c r="F835" s="269"/>
      <c r="I835" s="353"/>
      <c r="J835" s="428"/>
      <c r="K835" s="428"/>
    </row>
    <row r="836">
      <c r="C836" s="269"/>
      <c r="D836" s="427"/>
      <c r="E836" s="269"/>
      <c r="F836" s="269"/>
      <c r="I836" s="353"/>
      <c r="J836" s="428"/>
      <c r="K836" s="428"/>
    </row>
    <row r="837">
      <c r="C837" s="269"/>
      <c r="D837" s="427"/>
      <c r="E837" s="269"/>
      <c r="F837" s="269"/>
      <c r="I837" s="353"/>
      <c r="J837" s="428"/>
      <c r="K837" s="428"/>
    </row>
    <row r="838">
      <c r="C838" s="269"/>
      <c r="D838" s="427"/>
      <c r="E838" s="269"/>
      <c r="F838" s="269"/>
      <c r="I838" s="353"/>
      <c r="J838" s="428"/>
      <c r="K838" s="428"/>
    </row>
    <row r="839">
      <c r="C839" s="269"/>
      <c r="D839" s="427"/>
      <c r="E839" s="269"/>
      <c r="F839" s="269"/>
      <c r="I839" s="353"/>
      <c r="J839" s="428"/>
      <c r="K839" s="428"/>
    </row>
    <row r="840">
      <c r="C840" s="269"/>
      <c r="D840" s="427"/>
      <c r="E840" s="269"/>
      <c r="F840" s="269"/>
      <c r="I840" s="353"/>
      <c r="J840" s="428"/>
      <c r="K840" s="428"/>
    </row>
    <row r="841">
      <c r="C841" s="269"/>
      <c r="D841" s="427"/>
      <c r="E841" s="269"/>
      <c r="F841" s="269"/>
      <c r="I841" s="353"/>
      <c r="J841" s="428"/>
      <c r="K841" s="428"/>
    </row>
    <row r="842">
      <c r="C842" s="269"/>
      <c r="D842" s="427"/>
      <c r="E842" s="269"/>
      <c r="F842" s="269"/>
      <c r="I842" s="353"/>
      <c r="J842" s="428"/>
      <c r="K842" s="428"/>
    </row>
    <row r="843">
      <c r="C843" s="269"/>
      <c r="D843" s="427"/>
      <c r="E843" s="269"/>
      <c r="F843" s="269"/>
      <c r="I843" s="353"/>
      <c r="J843" s="428"/>
      <c r="K843" s="428"/>
    </row>
    <row r="844">
      <c r="C844" s="269"/>
      <c r="D844" s="427"/>
      <c r="E844" s="269"/>
      <c r="F844" s="269"/>
      <c r="I844" s="353"/>
      <c r="J844" s="428"/>
      <c r="K844" s="428"/>
    </row>
    <row r="845">
      <c r="C845" s="269"/>
      <c r="D845" s="427"/>
      <c r="E845" s="269"/>
      <c r="F845" s="269"/>
      <c r="I845" s="353"/>
      <c r="J845" s="428"/>
      <c r="K845" s="428"/>
    </row>
    <row r="846">
      <c r="C846" s="269"/>
      <c r="D846" s="427"/>
      <c r="E846" s="269"/>
      <c r="F846" s="269"/>
      <c r="I846" s="353"/>
      <c r="J846" s="428"/>
      <c r="K846" s="428"/>
    </row>
    <row r="847">
      <c r="C847" s="269"/>
      <c r="D847" s="427"/>
      <c r="E847" s="269"/>
      <c r="F847" s="269"/>
      <c r="I847" s="353"/>
      <c r="J847" s="428"/>
      <c r="K847" s="428"/>
    </row>
    <row r="848">
      <c r="C848" s="269"/>
      <c r="D848" s="427"/>
      <c r="E848" s="269"/>
      <c r="F848" s="269"/>
      <c r="I848" s="353"/>
      <c r="J848" s="428"/>
      <c r="K848" s="428"/>
    </row>
    <row r="849">
      <c r="C849" s="269"/>
      <c r="D849" s="427"/>
      <c r="E849" s="269"/>
      <c r="F849" s="269"/>
      <c r="I849" s="353"/>
      <c r="J849" s="428"/>
      <c r="K849" s="428"/>
    </row>
    <row r="850">
      <c r="C850" s="269"/>
      <c r="D850" s="427"/>
      <c r="E850" s="269"/>
      <c r="F850" s="269"/>
      <c r="I850" s="353"/>
      <c r="J850" s="428"/>
      <c r="K850" s="428"/>
    </row>
    <row r="851">
      <c r="C851" s="269"/>
      <c r="D851" s="427"/>
      <c r="E851" s="269"/>
      <c r="F851" s="269"/>
      <c r="I851" s="353"/>
      <c r="J851" s="428"/>
      <c r="K851" s="428"/>
    </row>
    <row r="852">
      <c r="C852" s="269"/>
      <c r="D852" s="427"/>
      <c r="E852" s="269"/>
      <c r="F852" s="269"/>
      <c r="I852" s="353"/>
      <c r="J852" s="428"/>
      <c r="K852" s="428"/>
    </row>
    <row r="853">
      <c r="C853" s="269"/>
      <c r="D853" s="427"/>
      <c r="E853" s="269"/>
      <c r="F853" s="269"/>
      <c r="I853" s="353"/>
      <c r="J853" s="428"/>
      <c r="K853" s="428"/>
    </row>
    <row r="854">
      <c r="C854" s="269"/>
      <c r="D854" s="427"/>
      <c r="E854" s="269"/>
      <c r="F854" s="269"/>
      <c r="I854" s="353"/>
      <c r="J854" s="428"/>
      <c r="K854" s="428"/>
    </row>
    <row r="855">
      <c r="C855" s="269"/>
      <c r="D855" s="427"/>
      <c r="E855" s="269"/>
      <c r="F855" s="269"/>
      <c r="I855" s="353"/>
      <c r="J855" s="428"/>
      <c r="K855" s="428"/>
    </row>
    <row r="856">
      <c r="C856" s="269"/>
      <c r="D856" s="427"/>
      <c r="E856" s="269"/>
      <c r="F856" s="269"/>
      <c r="I856" s="353"/>
      <c r="J856" s="428"/>
      <c r="K856" s="428"/>
    </row>
    <row r="857">
      <c r="C857" s="269"/>
      <c r="D857" s="427"/>
      <c r="E857" s="269"/>
      <c r="F857" s="269"/>
      <c r="I857" s="353"/>
      <c r="J857" s="428"/>
      <c r="K857" s="428"/>
    </row>
    <row r="858">
      <c r="C858" s="269"/>
      <c r="D858" s="427"/>
      <c r="E858" s="269"/>
      <c r="F858" s="269"/>
      <c r="I858" s="353"/>
      <c r="J858" s="428"/>
      <c r="K858" s="428"/>
    </row>
    <row r="859">
      <c r="C859" s="269"/>
      <c r="D859" s="427"/>
      <c r="E859" s="269"/>
      <c r="F859" s="269"/>
      <c r="I859" s="353"/>
      <c r="J859" s="428"/>
      <c r="K859" s="428"/>
    </row>
    <row r="860">
      <c r="C860" s="269"/>
      <c r="D860" s="427"/>
      <c r="E860" s="269"/>
      <c r="F860" s="269"/>
      <c r="I860" s="353"/>
      <c r="J860" s="428"/>
      <c r="K860" s="428"/>
    </row>
    <row r="861">
      <c r="C861" s="269"/>
      <c r="D861" s="427"/>
      <c r="E861" s="269"/>
      <c r="F861" s="269"/>
      <c r="I861" s="353"/>
      <c r="J861" s="428"/>
      <c r="K861" s="428"/>
    </row>
    <row r="862">
      <c r="C862" s="269"/>
      <c r="D862" s="427"/>
      <c r="E862" s="269"/>
      <c r="F862" s="269"/>
      <c r="I862" s="353"/>
      <c r="J862" s="428"/>
      <c r="K862" s="428"/>
    </row>
    <row r="863">
      <c r="C863" s="269"/>
      <c r="D863" s="427"/>
      <c r="E863" s="269"/>
      <c r="F863" s="269"/>
      <c r="I863" s="353"/>
      <c r="J863" s="428"/>
      <c r="K863" s="428"/>
    </row>
    <row r="864">
      <c r="C864" s="269"/>
      <c r="D864" s="427"/>
      <c r="E864" s="269"/>
      <c r="F864" s="269"/>
      <c r="I864" s="353"/>
      <c r="J864" s="428"/>
      <c r="K864" s="428"/>
    </row>
    <row r="865">
      <c r="C865" s="269"/>
      <c r="D865" s="427"/>
      <c r="E865" s="269"/>
      <c r="F865" s="269"/>
      <c r="I865" s="353"/>
      <c r="J865" s="428"/>
      <c r="K865" s="428"/>
    </row>
    <row r="866">
      <c r="C866" s="269"/>
      <c r="D866" s="427"/>
      <c r="E866" s="269"/>
      <c r="F866" s="269"/>
      <c r="I866" s="353"/>
      <c r="J866" s="428"/>
      <c r="K866" s="428"/>
    </row>
    <row r="867">
      <c r="C867" s="269"/>
      <c r="D867" s="427"/>
      <c r="E867" s="269"/>
      <c r="F867" s="269"/>
      <c r="I867" s="353"/>
      <c r="J867" s="428"/>
      <c r="K867" s="428"/>
    </row>
    <row r="868">
      <c r="C868" s="269"/>
      <c r="D868" s="427"/>
      <c r="E868" s="269"/>
      <c r="F868" s="269"/>
      <c r="I868" s="353"/>
      <c r="J868" s="428"/>
      <c r="K868" s="428"/>
    </row>
    <row r="869">
      <c r="C869" s="269"/>
      <c r="D869" s="427"/>
      <c r="E869" s="269"/>
      <c r="F869" s="269"/>
      <c r="I869" s="353"/>
      <c r="J869" s="428"/>
      <c r="K869" s="428"/>
    </row>
    <row r="870">
      <c r="C870" s="269"/>
      <c r="D870" s="427"/>
      <c r="E870" s="269"/>
      <c r="F870" s="269"/>
      <c r="I870" s="353"/>
      <c r="J870" s="428"/>
      <c r="K870" s="428"/>
    </row>
    <row r="871">
      <c r="C871" s="269"/>
      <c r="D871" s="427"/>
      <c r="E871" s="269"/>
      <c r="F871" s="269"/>
      <c r="I871" s="353"/>
      <c r="J871" s="428"/>
      <c r="K871" s="428"/>
    </row>
    <row r="872">
      <c r="C872" s="269"/>
      <c r="D872" s="427"/>
      <c r="E872" s="269"/>
      <c r="F872" s="269"/>
      <c r="I872" s="353"/>
      <c r="J872" s="428"/>
      <c r="K872" s="428"/>
    </row>
    <row r="873">
      <c r="C873" s="269"/>
      <c r="D873" s="427"/>
      <c r="E873" s="269"/>
      <c r="F873" s="269"/>
      <c r="I873" s="353"/>
      <c r="J873" s="428"/>
      <c r="K873" s="428"/>
    </row>
    <row r="874">
      <c r="C874" s="269"/>
      <c r="D874" s="427"/>
      <c r="E874" s="269"/>
      <c r="F874" s="269"/>
      <c r="I874" s="353"/>
      <c r="J874" s="428"/>
      <c r="K874" s="428"/>
    </row>
    <row r="875">
      <c r="C875" s="269"/>
      <c r="D875" s="427"/>
      <c r="E875" s="269"/>
      <c r="F875" s="269"/>
      <c r="I875" s="353"/>
      <c r="J875" s="428"/>
      <c r="K875" s="428"/>
    </row>
    <row r="876">
      <c r="C876" s="269"/>
      <c r="D876" s="427"/>
      <c r="E876" s="269"/>
      <c r="F876" s="269"/>
      <c r="I876" s="353"/>
      <c r="J876" s="428"/>
      <c r="K876" s="428"/>
    </row>
    <row r="877">
      <c r="C877" s="269"/>
      <c r="D877" s="427"/>
      <c r="E877" s="269"/>
      <c r="F877" s="269"/>
      <c r="I877" s="353"/>
      <c r="J877" s="428"/>
      <c r="K877" s="428"/>
    </row>
    <row r="878">
      <c r="C878" s="269"/>
      <c r="D878" s="427"/>
      <c r="E878" s="269"/>
      <c r="F878" s="269"/>
      <c r="I878" s="353"/>
      <c r="J878" s="428"/>
      <c r="K878" s="428"/>
    </row>
    <row r="879">
      <c r="C879" s="269"/>
      <c r="D879" s="427"/>
      <c r="E879" s="269"/>
      <c r="F879" s="269"/>
      <c r="I879" s="353"/>
      <c r="J879" s="428"/>
      <c r="K879" s="428"/>
    </row>
    <row r="880">
      <c r="C880" s="269"/>
      <c r="D880" s="427"/>
      <c r="E880" s="269"/>
      <c r="F880" s="269"/>
      <c r="I880" s="353"/>
      <c r="J880" s="428"/>
      <c r="K880" s="428"/>
    </row>
    <row r="881">
      <c r="C881" s="269"/>
      <c r="D881" s="427"/>
      <c r="E881" s="269"/>
      <c r="F881" s="269"/>
      <c r="I881" s="353"/>
      <c r="J881" s="428"/>
      <c r="K881" s="428"/>
    </row>
    <row r="882">
      <c r="C882" s="269"/>
      <c r="D882" s="427"/>
      <c r="E882" s="269"/>
      <c r="F882" s="269"/>
      <c r="I882" s="353"/>
      <c r="J882" s="428"/>
      <c r="K882" s="428"/>
    </row>
    <row r="883">
      <c r="C883" s="269"/>
      <c r="D883" s="427"/>
      <c r="E883" s="269"/>
      <c r="F883" s="269"/>
      <c r="I883" s="353"/>
      <c r="J883" s="428"/>
      <c r="K883" s="428"/>
    </row>
    <row r="884">
      <c r="C884" s="269"/>
      <c r="D884" s="427"/>
      <c r="E884" s="269"/>
      <c r="F884" s="269"/>
      <c r="I884" s="353"/>
      <c r="J884" s="428"/>
      <c r="K884" s="428"/>
    </row>
    <row r="885">
      <c r="C885" s="269"/>
      <c r="D885" s="427"/>
      <c r="E885" s="269"/>
      <c r="F885" s="269"/>
      <c r="I885" s="353"/>
      <c r="J885" s="428"/>
      <c r="K885" s="428"/>
    </row>
    <row r="886">
      <c r="C886" s="269"/>
      <c r="D886" s="427"/>
      <c r="E886" s="269"/>
      <c r="F886" s="269"/>
      <c r="I886" s="353"/>
      <c r="J886" s="428"/>
      <c r="K886" s="428"/>
    </row>
    <row r="887">
      <c r="C887" s="269"/>
      <c r="D887" s="427"/>
      <c r="E887" s="269"/>
      <c r="F887" s="269"/>
      <c r="I887" s="353"/>
      <c r="J887" s="428"/>
      <c r="K887" s="428"/>
    </row>
    <row r="888">
      <c r="C888" s="269"/>
      <c r="D888" s="427"/>
      <c r="E888" s="269"/>
      <c r="F888" s="269"/>
      <c r="I888" s="353"/>
      <c r="J888" s="428"/>
      <c r="K888" s="428"/>
    </row>
    <row r="889">
      <c r="C889" s="269"/>
      <c r="D889" s="427"/>
      <c r="E889" s="269"/>
      <c r="F889" s="269"/>
      <c r="I889" s="353"/>
      <c r="J889" s="428"/>
      <c r="K889" s="428"/>
    </row>
    <row r="890">
      <c r="C890" s="269"/>
      <c r="D890" s="427"/>
      <c r="E890" s="269"/>
      <c r="F890" s="269"/>
      <c r="I890" s="353"/>
      <c r="J890" s="428"/>
      <c r="K890" s="428"/>
    </row>
    <row r="891">
      <c r="C891" s="269"/>
      <c r="D891" s="427"/>
      <c r="E891" s="269"/>
      <c r="F891" s="269"/>
      <c r="I891" s="353"/>
      <c r="J891" s="428"/>
      <c r="K891" s="428"/>
    </row>
    <row r="892">
      <c r="C892" s="269"/>
      <c r="D892" s="427"/>
      <c r="E892" s="269"/>
      <c r="F892" s="269"/>
      <c r="I892" s="353"/>
      <c r="J892" s="428"/>
      <c r="K892" s="428"/>
    </row>
    <row r="893">
      <c r="C893" s="269"/>
      <c r="D893" s="427"/>
      <c r="E893" s="269"/>
      <c r="F893" s="269"/>
      <c r="I893" s="353"/>
      <c r="J893" s="428"/>
      <c r="K893" s="428"/>
    </row>
    <row r="894">
      <c r="C894" s="269"/>
      <c r="D894" s="427"/>
      <c r="E894" s="269"/>
      <c r="F894" s="269"/>
      <c r="I894" s="353"/>
      <c r="J894" s="428"/>
      <c r="K894" s="428"/>
    </row>
    <row r="895">
      <c r="C895" s="269"/>
      <c r="D895" s="427"/>
      <c r="E895" s="269"/>
      <c r="F895" s="269"/>
      <c r="I895" s="353"/>
      <c r="J895" s="428"/>
      <c r="K895" s="428"/>
    </row>
    <row r="896">
      <c r="C896" s="269"/>
      <c r="D896" s="427"/>
      <c r="E896" s="269"/>
      <c r="F896" s="269"/>
      <c r="I896" s="353"/>
      <c r="J896" s="428"/>
      <c r="K896" s="428"/>
    </row>
    <row r="897">
      <c r="C897" s="269"/>
      <c r="D897" s="427"/>
      <c r="E897" s="269"/>
      <c r="F897" s="269"/>
      <c r="I897" s="353"/>
      <c r="J897" s="428"/>
      <c r="K897" s="428"/>
    </row>
    <row r="898">
      <c r="C898" s="269"/>
      <c r="D898" s="427"/>
      <c r="E898" s="269"/>
      <c r="F898" s="269"/>
      <c r="I898" s="353"/>
      <c r="J898" s="428"/>
      <c r="K898" s="428"/>
    </row>
    <row r="899">
      <c r="C899" s="269"/>
      <c r="D899" s="427"/>
      <c r="E899" s="269"/>
      <c r="F899" s="269"/>
      <c r="I899" s="353"/>
      <c r="J899" s="428"/>
      <c r="K899" s="428"/>
    </row>
    <row r="900">
      <c r="C900" s="269"/>
      <c r="D900" s="427"/>
      <c r="E900" s="269"/>
      <c r="F900" s="269"/>
      <c r="I900" s="353"/>
      <c r="J900" s="428"/>
      <c r="K900" s="428"/>
    </row>
    <row r="901">
      <c r="C901" s="269"/>
      <c r="D901" s="427"/>
      <c r="E901" s="269"/>
      <c r="F901" s="269"/>
      <c r="I901" s="353"/>
      <c r="J901" s="428"/>
      <c r="K901" s="428"/>
    </row>
    <row r="902">
      <c r="C902" s="269"/>
      <c r="D902" s="427"/>
      <c r="E902" s="269"/>
      <c r="F902" s="269"/>
      <c r="I902" s="353"/>
      <c r="J902" s="428"/>
      <c r="K902" s="428"/>
    </row>
    <row r="903">
      <c r="C903" s="269"/>
      <c r="D903" s="427"/>
      <c r="E903" s="269"/>
      <c r="F903" s="269"/>
      <c r="I903" s="353"/>
      <c r="J903" s="428"/>
      <c r="K903" s="428"/>
    </row>
    <row r="904">
      <c r="C904" s="269"/>
      <c r="D904" s="427"/>
      <c r="E904" s="269"/>
      <c r="F904" s="269"/>
      <c r="I904" s="353"/>
      <c r="J904" s="428"/>
      <c r="K904" s="428"/>
    </row>
    <row r="905">
      <c r="C905" s="269"/>
      <c r="D905" s="427"/>
      <c r="E905" s="269"/>
      <c r="F905" s="269"/>
      <c r="I905" s="353"/>
      <c r="J905" s="428"/>
      <c r="K905" s="428"/>
    </row>
    <row r="906">
      <c r="C906" s="269"/>
      <c r="D906" s="427"/>
      <c r="E906" s="269"/>
      <c r="F906" s="269"/>
      <c r="I906" s="353"/>
      <c r="J906" s="428"/>
      <c r="K906" s="428"/>
    </row>
    <row r="907">
      <c r="C907" s="269"/>
      <c r="D907" s="427"/>
      <c r="E907" s="269"/>
      <c r="F907" s="269"/>
      <c r="I907" s="353"/>
      <c r="J907" s="428"/>
      <c r="K907" s="428"/>
    </row>
    <row r="908">
      <c r="C908" s="269"/>
      <c r="D908" s="427"/>
      <c r="E908" s="269"/>
      <c r="F908" s="269"/>
      <c r="I908" s="353"/>
      <c r="J908" s="428"/>
      <c r="K908" s="428"/>
    </row>
    <row r="909">
      <c r="C909" s="269"/>
      <c r="D909" s="427"/>
      <c r="E909" s="269"/>
      <c r="F909" s="269"/>
      <c r="I909" s="353"/>
      <c r="J909" s="428"/>
      <c r="K909" s="428"/>
    </row>
    <row r="910">
      <c r="C910" s="269"/>
      <c r="D910" s="427"/>
      <c r="E910" s="269"/>
      <c r="F910" s="269"/>
      <c r="I910" s="353"/>
      <c r="J910" s="428"/>
      <c r="K910" s="428"/>
    </row>
    <row r="911">
      <c r="C911" s="269"/>
      <c r="D911" s="427"/>
      <c r="E911" s="269"/>
      <c r="F911" s="269"/>
      <c r="I911" s="353"/>
      <c r="J911" s="428"/>
      <c r="K911" s="428"/>
    </row>
    <row r="912">
      <c r="C912" s="269"/>
      <c r="D912" s="427"/>
      <c r="E912" s="269"/>
      <c r="F912" s="269"/>
      <c r="I912" s="353"/>
      <c r="J912" s="428"/>
      <c r="K912" s="428"/>
    </row>
    <row r="913">
      <c r="C913" s="269"/>
      <c r="D913" s="427"/>
      <c r="E913" s="269"/>
      <c r="F913" s="269"/>
      <c r="I913" s="353"/>
      <c r="J913" s="428"/>
      <c r="K913" s="428"/>
    </row>
    <row r="914">
      <c r="C914" s="269"/>
      <c r="D914" s="427"/>
      <c r="E914" s="269"/>
      <c r="F914" s="269"/>
      <c r="I914" s="353"/>
      <c r="J914" s="428"/>
      <c r="K914" s="428"/>
    </row>
    <row r="915">
      <c r="C915" s="269"/>
      <c r="D915" s="427"/>
      <c r="E915" s="269"/>
      <c r="F915" s="269"/>
      <c r="I915" s="353"/>
      <c r="J915" s="428"/>
      <c r="K915" s="428"/>
    </row>
    <row r="916">
      <c r="C916" s="269"/>
      <c r="D916" s="427"/>
      <c r="E916" s="269"/>
      <c r="F916" s="269"/>
      <c r="I916" s="353"/>
      <c r="J916" s="428"/>
      <c r="K916" s="428"/>
    </row>
    <row r="917">
      <c r="C917" s="269"/>
      <c r="D917" s="427"/>
      <c r="E917" s="269"/>
      <c r="F917" s="269"/>
      <c r="I917" s="353"/>
      <c r="J917" s="428"/>
      <c r="K917" s="428"/>
    </row>
    <row r="918">
      <c r="C918" s="269"/>
      <c r="D918" s="427"/>
      <c r="E918" s="269"/>
      <c r="F918" s="269"/>
      <c r="I918" s="353"/>
      <c r="J918" s="428"/>
      <c r="K918" s="428"/>
    </row>
    <row r="919">
      <c r="C919" s="269"/>
      <c r="D919" s="427"/>
      <c r="E919" s="269"/>
      <c r="F919" s="269"/>
      <c r="I919" s="353"/>
      <c r="J919" s="428"/>
      <c r="K919" s="428"/>
    </row>
    <row r="920">
      <c r="C920" s="269"/>
      <c r="D920" s="427"/>
      <c r="E920" s="269"/>
      <c r="F920" s="269"/>
      <c r="I920" s="353"/>
      <c r="J920" s="428"/>
      <c r="K920" s="428"/>
    </row>
    <row r="921">
      <c r="C921" s="269"/>
      <c r="D921" s="427"/>
      <c r="E921" s="269"/>
      <c r="F921" s="269"/>
      <c r="I921" s="353"/>
      <c r="J921" s="428"/>
      <c r="K921" s="428"/>
    </row>
    <row r="922">
      <c r="C922" s="269"/>
      <c r="D922" s="427"/>
      <c r="E922" s="269"/>
      <c r="F922" s="269"/>
      <c r="I922" s="353"/>
      <c r="J922" s="428"/>
      <c r="K922" s="428"/>
    </row>
    <row r="923">
      <c r="C923" s="269"/>
      <c r="D923" s="427"/>
      <c r="E923" s="269"/>
      <c r="F923" s="269"/>
      <c r="I923" s="353"/>
      <c r="J923" s="428"/>
      <c r="K923" s="428"/>
    </row>
    <row r="924">
      <c r="C924" s="269"/>
      <c r="D924" s="427"/>
      <c r="E924" s="269"/>
      <c r="F924" s="269"/>
      <c r="I924" s="353"/>
      <c r="J924" s="428"/>
      <c r="K924" s="428"/>
    </row>
    <row r="925">
      <c r="C925" s="269"/>
      <c r="D925" s="427"/>
      <c r="E925" s="269"/>
      <c r="F925" s="269"/>
      <c r="I925" s="353"/>
      <c r="J925" s="428"/>
      <c r="K925" s="428"/>
    </row>
    <row r="926">
      <c r="C926" s="269"/>
      <c r="D926" s="427"/>
      <c r="E926" s="269"/>
      <c r="F926" s="269"/>
      <c r="I926" s="353"/>
      <c r="J926" s="428"/>
      <c r="K926" s="428"/>
    </row>
    <row r="927">
      <c r="C927" s="269"/>
      <c r="D927" s="427"/>
      <c r="E927" s="269"/>
      <c r="F927" s="269"/>
      <c r="I927" s="353"/>
      <c r="J927" s="428"/>
      <c r="K927" s="428"/>
    </row>
    <row r="928">
      <c r="C928" s="269"/>
      <c r="D928" s="427"/>
      <c r="E928" s="269"/>
      <c r="F928" s="269"/>
      <c r="I928" s="353"/>
      <c r="J928" s="428"/>
      <c r="K928" s="428"/>
    </row>
    <row r="929">
      <c r="C929" s="269"/>
      <c r="D929" s="427"/>
      <c r="E929" s="269"/>
      <c r="F929" s="269"/>
      <c r="I929" s="353"/>
      <c r="J929" s="428"/>
      <c r="K929" s="428"/>
    </row>
    <row r="930">
      <c r="C930" s="269"/>
      <c r="D930" s="427"/>
      <c r="E930" s="269"/>
      <c r="F930" s="269"/>
      <c r="I930" s="353"/>
      <c r="J930" s="428"/>
      <c r="K930" s="428"/>
    </row>
    <row r="931">
      <c r="C931" s="269"/>
      <c r="D931" s="427"/>
      <c r="E931" s="269"/>
      <c r="F931" s="269"/>
      <c r="I931" s="353"/>
      <c r="J931" s="428"/>
      <c r="K931" s="428"/>
    </row>
    <row r="932">
      <c r="C932" s="269"/>
      <c r="D932" s="427"/>
      <c r="E932" s="269"/>
      <c r="F932" s="269"/>
      <c r="I932" s="353"/>
      <c r="J932" s="428"/>
      <c r="K932" s="428"/>
    </row>
    <row r="933">
      <c r="C933" s="269"/>
      <c r="D933" s="427"/>
      <c r="E933" s="269"/>
      <c r="F933" s="269"/>
      <c r="I933" s="353"/>
      <c r="J933" s="428"/>
      <c r="K933" s="428"/>
    </row>
    <row r="934">
      <c r="C934" s="269"/>
      <c r="D934" s="427"/>
      <c r="E934" s="269"/>
      <c r="F934" s="269"/>
      <c r="I934" s="353"/>
      <c r="J934" s="428"/>
      <c r="K934" s="428"/>
    </row>
    <row r="935">
      <c r="C935" s="269"/>
      <c r="D935" s="427"/>
      <c r="E935" s="269"/>
      <c r="F935" s="269"/>
      <c r="I935" s="353"/>
      <c r="J935" s="428"/>
      <c r="K935" s="428"/>
    </row>
    <row r="936">
      <c r="C936" s="269"/>
      <c r="D936" s="427"/>
      <c r="E936" s="269"/>
      <c r="F936" s="269"/>
      <c r="I936" s="353"/>
      <c r="J936" s="428"/>
      <c r="K936" s="428"/>
    </row>
    <row r="937">
      <c r="C937" s="269"/>
      <c r="D937" s="427"/>
      <c r="E937" s="269"/>
      <c r="F937" s="269"/>
      <c r="I937" s="353"/>
      <c r="J937" s="428"/>
      <c r="K937" s="428"/>
    </row>
    <row r="938">
      <c r="C938" s="269"/>
      <c r="D938" s="427"/>
      <c r="E938" s="269"/>
      <c r="F938" s="269"/>
      <c r="I938" s="353"/>
      <c r="J938" s="428"/>
      <c r="K938" s="428"/>
    </row>
    <row r="939">
      <c r="C939" s="269"/>
      <c r="D939" s="427"/>
      <c r="E939" s="269"/>
      <c r="F939" s="269"/>
      <c r="I939" s="353"/>
      <c r="J939" s="428"/>
      <c r="K939" s="428"/>
    </row>
    <row r="940">
      <c r="C940" s="269"/>
      <c r="D940" s="427"/>
      <c r="E940" s="269"/>
      <c r="F940" s="269"/>
      <c r="I940" s="353"/>
      <c r="J940" s="428"/>
      <c r="K940" s="428"/>
    </row>
    <row r="941">
      <c r="C941" s="269"/>
      <c r="D941" s="427"/>
      <c r="E941" s="269"/>
      <c r="F941" s="269"/>
      <c r="I941" s="353"/>
      <c r="J941" s="428"/>
      <c r="K941" s="428"/>
    </row>
    <row r="942">
      <c r="C942" s="269"/>
      <c r="D942" s="427"/>
      <c r="E942" s="269"/>
      <c r="F942" s="269"/>
      <c r="I942" s="353"/>
      <c r="J942" s="428"/>
      <c r="K942" s="428"/>
    </row>
    <row r="943">
      <c r="C943" s="269"/>
      <c r="D943" s="427"/>
      <c r="E943" s="269"/>
      <c r="F943" s="269"/>
      <c r="I943" s="353"/>
      <c r="J943" s="428"/>
      <c r="K943" s="428"/>
    </row>
    <row r="944">
      <c r="C944" s="269"/>
      <c r="D944" s="427"/>
      <c r="E944" s="269"/>
      <c r="F944" s="269"/>
      <c r="I944" s="353"/>
      <c r="J944" s="428"/>
      <c r="K944" s="428"/>
    </row>
    <row r="945">
      <c r="C945" s="269"/>
      <c r="D945" s="427"/>
      <c r="E945" s="269"/>
      <c r="F945" s="269"/>
      <c r="I945" s="353"/>
      <c r="J945" s="428"/>
      <c r="K945" s="428"/>
    </row>
    <row r="946">
      <c r="C946" s="269"/>
      <c r="D946" s="427"/>
      <c r="E946" s="269"/>
      <c r="F946" s="269"/>
      <c r="I946" s="353"/>
      <c r="J946" s="428"/>
      <c r="K946" s="428"/>
    </row>
    <row r="947">
      <c r="C947" s="269"/>
      <c r="D947" s="427"/>
      <c r="E947" s="269"/>
      <c r="F947" s="269"/>
      <c r="I947" s="353"/>
      <c r="J947" s="428"/>
      <c r="K947" s="428"/>
    </row>
    <row r="948">
      <c r="C948" s="269"/>
      <c r="D948" s="427"/>
      <c r="E948" s="269"/>
      <c r="F948" s="269"/>
      <c r="I948" s="353"/>
      <c r="J948" s="428"/>
      <c r="K948" s="428"/>
    </row>
    <row r="949">
      <c r="C949" s="269"/>
      <c r="D949" s="427"/>
      <c r="E949" s="269"/>
      <c r="F949" s="269"/>
      <c r="I949" s="353"/>
      <c r="J949" s="428"/>
      <c r="K949" s="428"/>
    </row>
    <row r="950">
      <c r="C950" s="269"/>
      <c r="D950" s="427"/>
      <c r="E950" s="269"/>
      <c r="F950" s="269"/>
      <c r="I950" s="353"/>
      <c r="J950" s="428"/>
      <c r="K950" s="428"/>
    </row>
    <row r="951">
      <c r="C951" s="269"/>
      <c r="D951" s="427"/>
      <c r="E951" s="269"/>
      <c r="F951" s="269"/>
      <c r="I951" s="353"/>
      <c r="J951" s="428"/>
      <c r="K951" s="428"/>
    </row>
    <row r="952">
      <c r="C952" s="269"/>
      <c r="D952" s="427"/>
      <c r="E952" s="269"/>
      <c r="F952" s="269"/>
      <c r="I952" s="353"/>
      <c r="J952" s="428"/>
      <c r="K952" s="428"/>
    </row>
    <row r="953">
      <c r="C953" s="269"/>
      <c r="D953" s="427"/>
      <c r="E953" s="269"/>
      <c r="F953" s="269"/>
      <c r="I953" s="353"/>
      <c r="J953" s="428"/>
      <c r="K953" s="428"/>
    </row>
    <row r="954">
      <c r="C954" s="269"/>
      <c r="D954" s="427"/>
      <c r="E954" s="269"/>
      <c r="F954" s="269"/>
      <c r="I954" s="353"/>
      <c r="J954" s="428"/>
      <c r="K954" s="428"/>
    </row>
    <row r="955">
      <c r="C955" s="269"/>
      <c r="D955" s="427"/>
      <c r="E955" s="269"/>
      <c r="F955" s="269"/>
      <c r="I955" s="353"/>
      <c r="J955" s="428"/>
      <c r="K955" s="428"/>
    </row>
    <row r="956">
      <c r="C956" s="269"/>
      <c r="D956" s="427"/>
      <c r="E956" s="269"/>
      <c r="F956" s="269"/>
      <c r="I956" s="353"/>
      <c r="J956" s="428"/>
      <c r="K956" s="428"/>
    </row>
    <row r="957">
      <c r="C957" s="269"/>
      <c r="D957" s="427"/>
      <c r="E957" s="269"/>
      <c r="F957" s="269"/>
      <c r="I957" s="353"/>
      <c r="J957" s="428"/>
      <c r="K957" s="428"/>
    </row>
    <row r="958">
      <c r="C958" s="269"/>
      <c r="D958" s="427"/>
      <c r="E958" s="269"/>
      <c r="F958" s="269"/>
      <c r="I958" s="353"/>
      <c r="J958" s="428"/>
      <c r="K958" s="428"/>
    </row>
    <row r="959">
      <c r="C959" s="269"/>
      <c r="D959" s="427"/>
      <c r="E959" s="269"/>
      <c r="F959" s="269"/>
      <c r="I959" s="353"/>
      <c r="J959" s="428"/>
      <c r="K959" s="428"/>
    </row>
    <row r="960">
      <c r="C960" s="269"/>
      <c r="D960" s="427"/>
      <c r="E960" s="269"/>
      <c r="F960" s="269"/>
      <c r="I960" s="353"/>
      <c r="J960" s="428"/>
      <c r="K960" s="428"/>
    </row>
    <row r="961">
      <c r="C961" s="269"/>
      <c r="D961" s="427"/>
      <c r="E961" s="269"/>
      <c r="F961" s="269"/>
      <c r="I961" s="353"/>
      <c r="J961" s="428"/>
      <c r="K961" s="428"/>
    </row>
    <row r="962">
      <c r="C962" s="269"/>
      <c r="D962" s="427"/>
      <c r="E962" s="269"/>
      <c r="F962" s="269"/>
      <c r="I962" s="353"/>
      <c r="J962" s="428"/>
      <c r="K962" s="428"/>
    </row>
    <row r="963">
      <c r="C963" s="269"/>
      <c r="D963" s="427"/>
      <c r="E963" s="269"/>
      <c r="F963" s="269"/>
      <c r="I963" s="353"/>
      <c r="J963" s="428"/>
      <c r="K963" s="428"/>
    </row>
    <row r="964">
      <c r="C964" s="269"/>
      <c r="D964" s="427"/>
      <c r="E964" s="269"/>
      <c r="F964" s="269"/>
      <c r="I964" s="353"/>
      <c r="J964" s="428"/>
      <c r="K964" s="428"/>
    </row>
    <row r="965">
      <c r="C965" s="269"/>
      <c r="D965" s="427"/>
      <c r="E965" s="269"/>
      <c r="F965" s="269"/>
      <c r="I965" s="353"/>
      <c r="J965" s="428"/>
      <c r="K965" s="428"/>
    </row>
    <row r="966">
      <c r="C966" s="269"/>
      <c r="D966" s="427"/>
      <c r="E966" s="269"/>
      <c r="F966" s="269"/>
      <c r="I966" s="353"/>
      <c r="J966" s="428"/>
      <c r="K966" s="428"/>
    </row>
    <row r="967">
      <c r="C967" s="269"/>
      <c r="D967" s="427"/>
      <c r="E967" s="269"/>
      <c r="F967" s="269"/>
      <c r="I967" s="353"/>
      <c r="J967" s="428"/>
      <c r="K967" s="428"/>
    </row>
    <row r="968">
      <c r="C968" s="269"/>
      <c r="D968" s="427"/>
      <c r="E968" s="269"/>
      <c r="F968" s="269"/>
      <c r="I968" s="353"/>
      <c r="J968" s="428"/>
      <c r="K968" s="428"/>
    </row>
    <row r="969">
      <c r="C969" s="269"/>
      <c r="D969" s="427"/>
      <c r="E969" s="269"/>
      <c r="F969" s="269"/>
      <c r="I969" s="353"/>
      <c r="J969" s="428"/>
      <c r="K969" s="428"/>
    </row>
    <row r="970">
      <c r="C970" s="269"/>
      <c r="D970" s="427"/>
      <c r="E970" s="269"/>
      <c r="F970" s="269"/>
      <c r="I970" s="353"/>
      <c r="J970" s="428"/>
      <c r="K970" s="428"/>
    </row>
    <row r="971">
      <c r="C971" s="269"/>
      <c r="D971" s="427"/>
      <c r="E971" s="269"/>
      <c r="F971" s="269"/>
      <c r="I971" s="353"/>
      <c r="J971" s="428"/>
      <c r="K971" s="428"/>
    </row>
    <row r="972">
      <c r="C972" s="269"/>
      <c r="D972" s="427"/>
      <c r="E972" s="269"/>
      <c r="F972" s="269"/>
      <c r="I972" s="353"/>
      <c r="J972" s="428"/>
      <c r="K972" s="428"/>
    </row>
    <row r="973">
      <c r="C973" s="269"/>
      <c r="D973" s="427"/>
      <c r="E973" s="269"/>
      <c r="F973" s="269"/>
      <c r="I973" s="353"/>
      <c r="J973" s="428"/>
      <c r="K973" s="428"/>
    </row>
    <row r="974">
      <c r="C974" s="269"/>
      <c r="D974" s="427"/>
      <c r="E974" s="269"/>
      <c r="F974" s="269"/>
      <c r="I974" s="353"/>
      <c r="J974" s="428"/>
      <c r="K974" s="428"/>
    </row>
    <row r="975">
      <c r="C975" s="269"/>
      <c r="D975" s="427"/>
      <c r="E975" s="269"/>
      <c r="F975" s="269"/>
      <c r="I975" s="353"/>
      <c r="J975" s="428"/>
      <c r="K975" s="428"/>
    </row>
    <row r="976">
      <c r="C976" s="269"/>
      <c r="D976" s="427"/>
      <c r="E976" s="269"/>
      <c r="F976" s="269"/>
      <c r="I976" s="353"/>
      <c r="J976" s="428"/>
      <c r="K976" s="428"/>
    </row>
    <row r="977">
      <c r="C977" s="269"/>
      <c r="D977" s="427"/>
      <c r="E977" s="269"/>
      <c r="F977" s="269"/>
      <c r="I977" s="353"/>
      <c r="J977" s="428"/>
      <c r="K977" s="428"/>
    </row>
    <row r="978">
      <c r="C978" s="269"/>
      <c r="D978" s="427"/>
      <c r="E978" s="269"/>
      <c r="F978" s="269"/>
      <c r="I978" s="353"/>
      <c r="J978" s="428"/>
      <c r="K978" s="428"/>
    </row>
    <row r="979">
      <c r="C979" s="269"/>
      <c r="D979" s="427"/>
      <c r="E979" s="269"/>
      <c r="F979" s="269"/>
      <c r="I979" s="353"/>
      <c r="J979" s="428"/>
      <c r="K979" s="428"/>
    </row>
    <row r="980">
      <c r="C980" s="269"/>
      <c r="D980" s="427"/>
      <c r="E980" s="269"/>
      <c r="F980" s="269"/>
      <c r="I980" s="353"/>
      <c r="J980" s="428"/>
      <c r="K980" s="428"/>
    </row>
    <row r="981">
      <c r="C981" s="269"/>
      <c r="D981" s="427"/>
      <c r="E981" s="269"/>
      <c r="F981" s="269"/>
      <c r="I981" s="353"/>
      <c r="J981" s="428"/>
      <c r="K981" s="428"/>
    </row>
    <row r="982">
      <c r="C982" s="269"/>
      <c r="D982" s="427"/>
      <c r="E982" s="269"/>
      <c r="F982" s="269"/>
      <c r="I982" s="353"/>
      <c r="J982" s="428"/>
      <c r="K982" s="428"/>
    </row>
    <row r="983">
      <c r="C983" s="269"/>
      <c r="D983" s="427"/>
      <c r="E983" s="269"/>
      <c r="F983" s="269"/>
      <c r="I983" s="353"/>
      <c r="J983" s="428"/>
      <c r="K983" s="428"/>
    </row>
    <row r="984">
      <c r="C984" s="269"/>
      <c r="D984" s="427"/>
      <c r="E984" s="269"/>
      <c r="F984" s="269"/>
      <c r="I984" s="353"/>
      <c r="J984" s="428"/>
      <c r="K984" s="428"/>
    </row>
    <row r="985">
      <c r="C985" s="269"/>
      <c r="D985" s="427"/>
      <c r="E985" s="269"/>
      <c r="F985" s="269"/>
      <c r="I985" s="353"/>
      <c r="J985" s="428"/>
      <c r="K985" s="428"/>
    </row>
    <row r="986">
      <c r="C986" s="269"/>
      <c r="D986" s="427"/>
      <c r="E986" s="269"/>
      <c r="F986" s="269"/>
      <c r="I986" s="353"/>
      <c r="J986" s="428"/>
      <c r="K986" s="428"/>
    </row>
    <row r="987">
      <c r="C987" s="269"/>
      <c r="D987" s="427"/>
      <c r="E987" s="269"/>
      <c r="F987" s="269"/>
      <c r="I987" s="353"/>
      <c r="J987" s="428"/>
      <c r="K987" s="428"/>
    </row>
    <row r="988">
      <c r="C988" s="269"/>
      <c r="D988" s="427"/>
      <c r="E988" s="269"/>
      <c r="F988" s="269"/>
      <c r="I988" s="353"/>
      <c r="J988" s="428"/>
      <c r="K988" s="428"/>
    </row>
    <row r="989">
      <c r="C989" s="269"/>
      <c r="D989" s="427"/>
      <c r="E989" s="269"/>
      <c r="F989" s="269"/>
      <c r="I989" s="353"/>
      <c r="J989" s="428"/>
      <c r="K989" s="428"/>
    </row>
    <row r="990">
      <c r="C990" s="269"/>
      <c r="D990" s="427"/>
      <c r="E990" s="269"/>
      <c r="F990" s="269"/>
      <c r="I990" s="353"/>
      <c r="J990" s="428"/>
      <c r="K990" s="428"/>
    </row>
    <row r="991">
      <c r="C991" s="269"/>
      <c r="D991" s="427"/>
      <c r="E991" s="269"/>
      <c r="F991" s="269"/>
      <c r="I991" s="353"/>
      <c r="J991" s="428"/>
      <c r="K991" s="428"/>
    </row>
    <row r="992">
      <c r="C992" s="269"/>
      <c r="D992" s="427"/>
      <c r="E992" s="269"/>
      <c r="F992" s="269"/>
      <c r="I992" s="353"/>
      <c r="J992" s="428"/>
      <c r="K992" s="428"/>
    </row>
    <row r="993">
      <c r="C993" s="269"/>
      <c r="D993" s="427"/>
      <c r="E993" s="269"/>
      <c r="F993" s="269"/>
      <c r="I993" s="353"/>
      <c r="J993" s="428"/>
      <c r="K993" s="428"/>
    </row>
    <row r="994">
      <c r="C994" s="269"/>
      <c r="D994" s="427"/>
      <c r="E994" s="269"/>
      <c r="F994" s="269"/>
      <c r="I994" s="353"/>
      <c r="J994" s="428"/>
      <c r="K994" s="428"/>
    </row>
    <row r="995">
      <c r="C995" s="269"/>
      <c r="D995" s="427"/>
      <c r="E995" s="269"/>
      <c r="F995" s="269"/>
      <c r="I995" s="353"/>
      <c r="J995" s="428"/>
      <c r="K995" s="428"/>
    </row>
    <row r="996">
      <c r="C996" s="269"/>
      <c r="D996" s="427"/>
      <c r="E996" s="269"/>
      <c r="F996" s="269"/>
      <c r="I996" s="353"/>
      <c r="J996" s="428"/>
      <c r="K996" s="428"/>
    </row>
    <row r="997">
      <c r="C997" s="269"/>
      <c r="D997" s="427"/>
      <c r="E997" s="269"/>
      <c r="F997" s="269"/>
      <c r="I997" s="353"/>
      <c r="J997" s="428"/>
      <c r="K997" s="428"/>
    </row>
    <row r="998">
      <c r="C998" s="269"/>
      <c r="D998" s="427"/>
      <c r="E998" s="269"/>
      <c r="F998" s="269"/>
      <c r="I998" s="353"/>
      <c r="J998" s="428"/>
      <c r="K998" s="428"/>
    </row>
    <row r="999">
      <c r="C999" s="269"/>
      <c r="D999" s="427"/>
      <c r="E999" s="269"/>
      <c r="F999" s="269"/>
      <c r="I999" s="353"/>
      <c r="J999" s="428"/>
      <c r="K999" s="428"/>
    </row>
    <row r="1000">
      <c r="C1000" s="269"/>
      <c r="D1000" s="427"/>
      <c r="E1000" s="269"/>
      <c r="F1000" s="269"/>
      <c r="I1000" s="353"/>
      <c r="J1000" s="428"/>
      <c r="K1000" s="428"/>
    </row>
  </sheetData>
  <drawing r:id="rId1"/>
  <tableParts count="1">
    <tablePart r:id="rId3"/>
  </tableParts>
</worksheet>
</file>