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margin nhiều mã" sheetId="1" r:id="rId1"/>
    <sheet name="short sell +margin" sheetId="2" r:id="rId2"/>
    <sheet name="thay đổi " sheetId="3" r:id="rId3"/>
  </sheets>
  <calcPr calcId="124519"/>
</workbook>
</file>

<file path=xl/calcChain.xml><?xml version="1.0" encoding="utf-8"?>
<calcChain xmlns="http://schemas.openxmlformats.org/spreadsheetml/2006/main">
  <c r="O39" i="2"/>
  <c r="B39"/>
  <c r="P40" i="3"/>
  <c r="O40"/>
  <c r="B43"/>
  <c r="O24"/>
  <c r="B27"/>
  <c r="B24" s="1"/>
  <c r="B17"/>
  <c r="B14" s="1"/>
  <c r="O14" s="1"/>
  <c r="P55" i="2"/>
  <c r="P4" i="3"/>
  <c r="O4"/>
  <c r="B7"/>
  <c r="B4" s="1"/>
  <c r="O55" i="2"/>
  <c r="B58"/>
  <c r="B46"/>
  <c r="P39"/>
  <c r="Q39"/>
  <c r="B42"/>
  <c r="C36"/>
  <c r="C35"/>
  <c r="O23"/>
  <c r="B26"/>
  <c r="B23" s="1"/>
  <c r="O6"/>
  <c r="O16"/>
  <c r="B19"/>
  <c r="B16" s="1"/>
  <c r="D44" i="3"/>
  <c r="B40" s="1"/>
  <c r="Q40" s="1"/>
  <c r="C36"/>
  <c r="N43"/>
  <c r="J40"/>
  <c r="F40"/>
  <c r="B24" i="1"/>
  <c r="O21"/>
  <c r="N27" i="3"/>
  <c r="P24"/>
  <c r="J24"/>
  <c r="F24"/>
  <c r="N17"/>
  <c r="P14"/>
  <c r="J14"/>
  <c r="F14"/>
  <c r="N7"/>
  <c r="J4"/>
  <c r="F4"/>
  <c r="N58" i="2"/>
  <c r="J55"/>
  <c r="F55"/>
  <c r="P21" i="1"/>
  <c r="N42" i="2"/>
  <c r="J39"/>
  <c r="F39"/>
  <c r="N26"/>
  <c r="J23"/>
  <c r="F23"/>
  <c r="N19"/>
  <c r="J16"/>
  <c r="F16"/>
  <c r="B6"/>
  <c r="B13"/>
  <c r="B12"/>
  <c r="Q24" i="3" l="1"/>
  <c r="C33"/>
  <c r="Q14"/>
  <c r="Q4"/>
  <c r="B47" i="2"/>
  <c r="B55"/>
  <c r="B29"/>
  <c r="B31" s="1"/>
  <c r="Q55"/>
  <c r="B36" i="1" l="1"/>
  <c r="B33" s="1"/>
  <c r="O36" s="1"/>
  <c r="B25"/>
  <c r="P36"/>
  <c r="Q21"/>
  <c r="B18"/>
  <c r="B13"/>
  <c r="B11"/>
  <c r="B6"/>
  <c r="O9" s="1"/>
  <c r="Q36" l="1"/>
</calcChain>
</file>

<file path=xl/comments1.xml><?xml version="1.0" encoding="utf-8"?>
<comments xmlns="http://schemas.openxmlformats.org/spreadsheetml/2006/main">
  <authors>
    <author>QUOCDUY</author>
  </authors>
  <commentList>
    <comment ref="Q24" authorId="0">
      <text>
        <r>
          <rPr>
            <b/>
            <sz val="9"/>
            <color indexed="81"/>
            <rFont val="Tahoma"/>
            <family val="2"/>
          </rPr>
          <t>QUOCDUY:</t>
        </r>
        <r>
          <rPr>
            <sz val="9"/>
            <color indexed="81"/>
            <rFont val="Tahoma"/>
            <family val="2"/>
          </rPr>
          <t xml:space="preserve">
dưới tỷ lệ ký quỹ duy trì là 30%</t>
        </r>
      </text>
    </comment>
  </commentList>
</comments>
</file>

<file path=xl/sharedStrings.xml><?xml version="1.0" encoding="utf-8"?>
<sst xmlns="http://schemas.openxmlformats.org/spreadsheetml/2006/main" count="324" uniqueCount="55">
  <si>
    <t>tài khoản khả dụng</t>
  </si>
  <si>
    <t>tài khoản phong tỏa</t>
  </si>
  <si>
    <t>tài khoản ký quỹ</t>
  </si>
  <si>
    <t>tỷ lệ ký quỹ</t>
  </si>
  <si>
    <t xml:space="preserve">tiền </t>
  </si>
  <si>
    <t>chứng khoán</t>
  </si>
  <si>
    <t>tiền</t>
  </si>
  <si>
    <t>tên ck</t>
  </si>
  <si>
    <t>số lượng</t>
  </si>
  <si>
    <t>giá</t>
  </si>
  <si>
    <t>tên CK</t>
  </si>
  <si>
    <t>Giá</t>
  </si>
  <si>
    <t>Ví dụ</t>
  </si>
  <si>
    <t>Tiền 100,000</t>
  </si>
  <si>
    <t>tài sản ròng</t>
  </si>
  <si>
    <t>mã CK A có tỷ lệ ký quỹ 40%</t>
  </si>
  <si>
    <t>sức mua =</t>
  </si>
  <si>
    <t>mua 2000 giá 90</t>
  </si>
  <si>
    <t>giá trị mua</t>
  </si>
  <si>
    <t>tiền mặt</t>
  </si>
  <si>
    <t>tiền vay</t>
  </si>
  <si>
    <t>A</t>
  </si>
  <si>
    <t xml:space="preserve"> mua thêm CK B có tỷ lệ ký quỹ 40%</t>
  </si>
  <si>
    <t>tổng tài sản</t>
  </si>
  <si>
    <t>giá trị mua=</t>
  </si>
  <si>
    <t>B</t>
  </si>
  <si>
    <t>sức mua ban đầu=</t>
  </si>
  <si>
    <t>sức mua=</t>
  </si>
  <si>
    <t>Mua 1000 CK B giá 70</t>
  </si>
  <si>
    <t>ban đầu</t>
  </si>
  <si>
    <t>ck</t>
  </si>
  <si>
    <t>short sell 1000 ck A giá 80</t>
  </si>
  <si>
    <t>giá trị ck</t>
  </si>
  <si>
    <t>ký quỹ 40%</t>
  </si>
  <si>
    <t>nợ 1000 ck A</t>
  </si>
  <si>
    <t>khi giá tăng lên 85</t>
  </si>
  <si>
    <t>margin</t>
  </si>
  <si>
    <t>tỷ lệ margin</t>
  </si>
  <si>
    <t>sức mua</t>
  </si>
  <si>
    <t>tỷ lệ ký quỹ margin</t>
  </si>
  <si>
    <t>mua 10,000 ck B giá 20</t>
  </si>
  <si>
    <t>giá trị CK quy đổi</t>
  </si>
  <si>
    <t>sức mua ban đầu</t>
  </si>
  <si>
    <t>mua thêm CK C tỷ lệ ký quỹ 40%</t>
  </si>
  <si>
    <t>mua 1000 CK C giá 37.5</t>
  </si>
  <si>
    <t>giá trị CK</t>
  </si>
  <si>
    <t>C</t>
  </si>
  <si>
    <t>Ban đầu</t>
  </si>
  <si>
    <t>khi giá CK A tăng lên 90</t>
  </si>
  <si>
    <t>khi giá CK B giảm xuống 15</t>
  </si>
  <si>
    <t>hệ thống bán bớt CK B để nâng tỷ lệ ký quỹ lên 40%</t>
  </si>
  <si>
    <t>giá trị CK phải bán</t>
  </si>
  <si>
    <t>giá trị bán</t>
  </si>
  <si>
    <t>Bán bớt chứng khoán</t>
  </si>
  <si>
    <t>bán 5850 B giá 15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</si>
</sst>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  <numFmt numFmtId="166" formatCode="_(* #,##0.0_);_(* \(#,##0.0\);_(* &quot;-&quot;??_);_(@_)"/>
    <numFmt numFmtId="167" formatCode="_(* #,##0_);_(* \(#,##0\);_(* &quot;-&quot;???_);_(@_)"/>
    <numFmt numFmtId="168" formatCode="_(* #,##0.000_);_(* \(#,##0.0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164" fontId="0" fillId="0" borderId="0" xfId="1" applyNumberFormat="1" applyFont="1"/>
    <xf numFmtId="0" fontId="0" fillId="0" borderId="1" xfId="0" applyBorder="1" applyAlignment="1">
      <alignment horizontal="center"/>
    </xf>
    <xf numFmtId="164" fontId="0" fillId="0" borderId="0" xfId="0" applyNumberFormat="1"/>
    <xf numFmtId="10" fontId="0" fillId="0" borderId="1" xfId="2" applyNumberFormat="1" applyFont="1" applyBorder="1"/>
    <xf numFmtId="3" fontId="0" fillId="0" borderId="0" xfId="0" applyNumberFormat="1"/>
    <xf numFmtId="0" fontId="0" fillId="0" borderId="0" xfId="0" applyFill="1" applyBorder="1"/>
    <xf numFmtId="9" fontId="0" fillId="0" borderId="0" xfId="2" applyFont="1"/>
    <xf numFmtId="165" fontId="0" fillId="0" borderId="0" xfId="0" applyNumberFormat="1"/>
    <xf numFmtId="167" fontId="0" fillId="0" borderId="0" xfId="0" applyNumberFormat="1"/>
    <xf numFmtId="10" fontId="0" fillId="0" borderId="0" xfId="2" applyNumberFormat="1" applyFont="1"/>
    <xf numFmtId="9" fontId="0" fillId="0" borderId="0" xfId="0" applyNumberFormat="1"/>
    <xf numFmtId="0" fontId="0" fillId="0" borderId="0" xfId="0" applyBorder="1" applyAlignment="1">
      <alignment horizontal="center"/>
    </xf>
    <xf numFmtId="10" fontId="0" fillId="0" borderId="0" xfId="2" applyNumberFormat="1" applyFont="1" applyBorder="1"/>
    <xf numFmtId="0" fontId="0" fillId="0" borderId="0" xfId="0" applyBorder="1" applyAlignment="1"/>
    <xf numFmtId="167" fontId="0" fillId="0" borderId="0" xfId="0" applyNumberFormat="1" applyBorder="1" applyAlignment="1"/>
    <xf numFmtId="164" fontId="0" fillId="0" borderId="0" xfId="0" applyNumberFormat="1" applyBorder="1" applyAlignment="1">
      <alignment vertical="center"/>
    </xf>
    <xf numFmtId="164" fontId="0" fillId="0" borderId="0" xfId="0" applyNumberFormat="1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166" fontId="0" fillId="0" borderId="0" xfId="0" applyNumberFormat="1" applyBorder="1" applyAlignment="1"/>
    <xf numFmtId="168" fontId="0" fillId="0" borderId="0" xfId="0" applyNumberFormat="1" applyBorder="1" applyAlignment="1"/>
    <xf numFmtId="0" fontId="2" fillId="0" borderId="0" xfId="0" applyFont="1"/>
    <xf numFmtId="3" fontId="0" fillId="0" borderId="0" xfId="0" applyNumberFormat="1" applyBorder="1" applyAlignment="1"/>
    <xf numFmtId="9" fontId="0" fillId="0" borderId="0" xfId="2" applyFont="1" applyBorder="1" applyAlignment="1">
      <alignment vertical="center"/>
    </xf>
    <xf numFmtId="165" fontId="0" fillId="0" borderId="0" xfId="0" applyNumberFormat="1" applyBorder="1" applyAlignment="1"/>
    <xf numFmtId="3" fontId="0" fillId="0" borderId="0" xfId="0" applyNumberFormat="1" applyBorder="1" applyAlignment="1">
      <alignment vertical="center"/>
    </xf>
    <xf numFmtId="9" fontId="0" fillId="0" borderId="0" xfId="2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0"/>
  <sheetViews>
    <sheetView topLeftCell="A16" workbookViewId="0">
      <selection activeCell="O9" sqref="O9"/>
    </sheetView>
  </sheetViews>
  <sheetFormatPr defaultRowHeight="15"/>
  <cols>
    <col min="1" max="1" width="25.140625" customWidth="1"/>
    <col min="2" max="2" width="11.5703125" bestFit="1" customWidth="1"/>
    <col min="3" max="3" width="10.5703125" bestFit="1" customWidth="1"/>
    <col min="5" max="5" width="11" customWidth="1"/>
    <col min="14" max="14" width="11" bestFit="1" customWidth="1"/>
    <col min="15" max="15" width="11.140625" bestFit="1" customWidth="1"/>
    <col min="16" max="16" width="11.5703125" bestFit="1" customWidth="1"/>
    <col min="17" max="17" width="11" bestFit="1" customWidth="1"/>
  </cols>
  <sheetData>
    <row r="1" spans="1:15">
      <c r="A1" s="1" t="s">
        <v>12</v>
      </c>
    </row>
    <row r="2" spans="1:15">
      <c r="A2" s="1" t="s">
        <v>13</v>
      </c>
    </row>
    <row r="3" spans="1:15" s="1" customFormat="1"/>
    <row r="4" spans="1:15" s="1" customFormat="1"/>
    <row r="5" spans="1:15">
      <c r="B5" s="29" t="s">
        <v>0</v>
      </c>
      <c r="C5" s="30"/>
      <c r="D5" s="30"/>
      <c r="E5" s="31"/>
      <c r="F5" s="29" t="s">
        <v>1</v>
      </c>
      <c r="G5" s="30"/>
      <c r="H5" s="30"/>
      <c r="I5" s="31"/>
      <c r="J5" s="32" t="s">
        <v>2</v>
      </c>
      <c r="K5" s="32"/>
      <c r="L5" s="32"/>
      <c r="M5" s="32"/>
      <c r="N5" s="32"/>
      <c r="O5" s="1" t="s">
        <v>14</v>
      </c>
    </row>
    <row r="6" spans="1:15">
      <c r="B6" s="33">
        <f>B9</f>
        <v>100000</v>
      </c>
      <c r="C6" s="34"/>
      <c r="D6" s="34"/>
      <c r="E6" s="35"/>
      <c r="F6" s="36"/>
      <c r="G6" s="37"/>
      <c r="H6" s="37"/>
      <c r="I6" s="38"/>
      <c r="J6" s="36"/>
      <c r="K6" s="37"/>
      <c r="L6" s="37"/>
      <c r="M6" s="38"/>
      <c r="N6" s="39" t="s">
        <v>3</v>
      </c>
    </row>
    <row r="7" spans="1:15">
      <c r="B7" s="39" t="s">
        <v>4</v>
      </c>
      <c r="C7" s="32" t="s">
        <v>5</v>
      </c>
      <c r="D7" s="32"/>
      <c r="E7" s="32"/>
      <c r="F7" s="39" t="s">
        <v>6</v>
      </c>
      <c r="G7" s="32" t="s">
        <v>5</v>
      </c>
      <c r="H7" s="32"/>
      <c r="I7" s="32"/>
      <c r="J7" s="39" t="s">
        <v>6</v>
      </c>
      <c r="K7" s="32" t="s">
        <v>5</v>
      </c>
      <c r="L7" s="32"/>
      <c r="M7" s="32"/>
      <c r="N7" s="39"/>
    </row>
    <row r="8" spans="1:15">
      <c r="B8" s="39"/>
      <c r="C8" s="3" t="s">
        <v>7</v>
      </c>
      <c r="D8" s="3" t="s">
        <v>8</v>
      </c>
      <c r="E8" s="3" t="s">
        <v>9</v>
      </c>
      <c r="F8" s="39"/>
      <c r="G8" s="3" t="s">
        <v>10</v>
      </c>
      <c r="H8" s="3" t="s">
        <v>8</v>
      </c>
      <c r="I8" s="3" t="s">
        <v>11</v>
      </c>
      <c r="J8" s="39"/>
      <c r="K8" s="3" t="s">
        <v>10</v>
      </c>
      <c r="L8" s="3" t="s">
        <v>8</v>
      </c>
      <c r="M8" s="3" t="s">
        <v>11</v>
      </c>
      <c r="N8" s="5"/>
    </row>
    <row r="9" spans="1:15">
      <c r="B9" s="6">
        <v>100000</v>
      </c>
      <c r="O9" s="4">
        <f>B6</f>
        <v>100000</v>
      </c>
    </row>
    <row r="10" spans="1:15">
      <c r="A10" s="1" t="s">
        <v>15</v>
      </c>
    </row>
    <row r="11" spans="1:15">
      <c r="A11" s="1" t="s">
        <v>16</v>
      </c>
      <c r="B11" s="2">
        <f>B9/40%</f>
        <v>250000</v>
      </c>
    </row>
    <row r="12" spans="1:15">
      <c r="A12" s="1" t="s">
        <v>17</v>
      </c>
    </row>
    <row r="13" spans="1:15">
      <c r="A13" s="7" t="s">
        <v>18</v>
      </c>
      <c r="B13" s="2">
        <f>90*2000</f>
        <v>180000</v>
      </c>
    </row>
    <row r="14" spans="1:15">
      <c r="B14" s="1" t="s">
        <v>19</v>
      </c>
      <c r="C14" s="6">
        <v>100000</v>
      </c>
    </row>
    <row r="15" spans="1:15">
      <c r="B15" s="1" t="s">
        <v>20</v>
      </c>
      <c r="C15" s="6">
        <v>80000</v>
      </c>
    </row>
    <row r="17" spans="1:17">
      <c r="B17" s="29" t="s">
        <v>0</v>
      </c>
      <c r="C17" s="30"/>
      <c r="D17" s="30"/>
      <c r="E17" s="31"/>
      <c r="F17" s="29" t="s">
        <v>1</v>
      </c>
      <c r="G17" s="30"/>
      <c r="H17" s="30"/>
      <c r="I17" s="31"/>
      <c r="J17" s="32" t="s">
        <v>2</v>
      </c>
      <c r="K17" s="32"/>
      <c r="L17" s="32"/>
      <c r="M17" s="32"/>
      <c r="N17" s="32"/>
      <c r="O17" s="1" t="s">
        <v>14</v>
      </c>
      <c r="P17" s="1" t="s">
        <v>23</v>
      </c>
      <c r="Q17" s="1" t="s">
        <v>3</v>
      </c>
    </row>
    <row r="18" spans="1:17">
      <c r="B18" s="33">
        <f>B21+D21*E21</f>
        <v>100000</v>
      </c>
      <c r="C18" s="34"/>
      <c r="D18" s="34"/>
      <c r="E18" s="35"/>
      <c r="F18" s="36"/>
      <c r="G18" s="37"/>
      <c r="H18" s="37"/>
      <c r="I18" s="38"/>
      <c r="J18" s="36"/>
      <c r="K18" s="37"/>
      <c r="L18" s="37"/>
      <c r="M18" s="38"/>
      <c r="N18" s="39" t="s">
        <v>3</v>
      </c>
      <c r="O18" s="1"/>
    </row>
    <row r="19" spans="1:17">
      <c r="B19" s="39" t="s">
        <v>4</v>
      </c>
      <c r="C19" s="32" t="s">
        <v>5</v>
      </c>
      <c r="D19" s="32"/>
      <c r="E19" s="32"/>
      <c r="F19" s="39" t="s">
        <v>6</v>
      </c>
      <c r="G19" s="32" t="s">
        <v>5</v>
      </c>
      <c r="H19" s="32"/>
      <c r="I19" s="32"/>
      <c r="J19" s="39" t="s">
        <v>6</v>
      </c>
      <c r="K19" s="32" t="s">
        <v>5</v>
      </c>
      <c r="L19" s="32"/>
      <c r="M19" s="32"/>
      <c r="N19" s="39"/>
      <c r="O19" s="1"/>
    </row>
    <row r="20" spans="1:17">
      <c r="B20" s="39"/>
      <c r="C20" s="3" t="s">
        <v>7</v>
      </c>
      <c r="D20" s="3" t="s">
        <v>8</v>
      </c>
      <c r="E20" s="3" t="s">
        <v>9</v>
      </c>
      <c r="F20" s="39"/>
      <c r="G20" s="3" t="s">
        <v>10</v>
      </c>
      <c r="H20" s="3" t="s">
        <v>8</v>
      </c>
      <c r="I20" s="3" t="s">
        <v>11</v>
      </c>
      <c r="J20" s="39"/>
      <c r="K20" s="3" t="s">
        <v>10</v>
      </c>
      <c r="L20" s="3" t="s">
        <v>8</v>
      </c>
      <c r="M20" s="3" t="s">
        <v>11</v>
      </c>
      <c r="N20" s="5"/>
      <c r="O20" s="1"/>
    </row>
    <row r="21" spans="1:17">
      <c r="B21" s="6">
        <v>-80000</v>
      </c>
      <c r="C21" s="1" t="s">
        <v>21</v>
      </c>
      <c r="D21" s="1">
        <v>2000</v>
      </c>
      <c r="E21" s="1">
        <v>90</v>
      </c>
      <c r="F21" s="1"/>
      <c r="G21" s="1"/>
      <c r="H21" s="1"/>
      <c r="I21" s="1"/>
      <c r="J21" s="1"/>
      <c r="K21" s="1"/>
      <c r="L21" s="1"/>
      <c r="M21" s="1"/>
      <c r="N21" s="1"/>
      <c r="O21" s="4">
        <f>B21+D21*E21</f>
        <v>100000</v>
      </c>
      <c r="P21" s="2">
        <f>D21*E21</f>
        <v>180000</v>
      </c>
      <c r="Q21" s="8">
        <f>O21/P21</f>
        <v>0.55555555555555558</v>
      </c>
    </row>
    <row r="23" spans="1:17">
      <c r="A23" s="1" t="s">
        <v>22</v>
      </c>
    </row>
    <row r="24" spans="1:17">
      <c r="A24" s="1" t="s">
        <v>26</v>
      </c>
      <c r="B24" s="4">
        <f>O21-D21*E21*0.4</f>
        <v>28000</v>
      </c>
    </row>
    <row r="25" spans="1:17">
      <c r="A25" s="1" t="s">
        <v>27</v>
      </c>
      <c r="B25" s="9">
        <f>B24/0.4</f>
        <v>70000</v>
      </c>
    </row>
    <row r="26" spans="1:17">
      <c r="A26" s="1"/>
      <c r="B26" s="2"/>
    </row>
    <row r="27" spans="1:17">
      <c r="A27" s="1" t="s">
        <v>28</v>
      </c>
      <c r="B27" s="1"/>
    </row>
    <row r="28" spans="1:17">
      <c r="A28" s="1" t="s">
        <v>24</v>
      </c>
      <c r="B28" s="2">
        <v>70000</v>
      </c>
      <c r="C28" s="2"/>
    </row>
    <row r="29" spans="1:17" s="1" customFormat="1">
      <c r="B29" s="1" t="s">
        <v>6</v>
      </c>
      <c r="C29" s="2">
        <v>0</v>
      </c>
    </row>
    <row r="30" spans="1:17" s="1" customFormat="1">
      <c r="B30" s="1" t="s">
        <v>20</v>
      </c>
      <c r="C30" s="2">
        <v>70000</v>
      </c>
    </row>
    <row r="32" spans="1:17">
      <c r="B32" s="29" t="s">
        <v>0</v>
      </c>
      <c r="C32" s="30"/>
      <c r="D32" s="30"/>
      <c r="E32" s="31"/>
      <c r="F32" s="29" t="s">
        <v>1</v>
      </c>
      <c r="G32" s="30"/>
      <c r="H32" s="30"/>
      <c r="I32" s="31"/>
      <c r="J32" s="32" t="s">
        <v>2</v>
      </c>
      <c r="K32" s="32"/>
      <c r="L32" s="32"/>
      <c r="M32" s="32"/>
      <c r="N32" s="32"/>
      <c r="O32" s="1" t="s">
        <v>14</v>
      </c>
      <c r="P32" s="1" t="s">
        <v>23</v>
      </c>
      <c r="Q32" s="1" t="s">
        <v>3</v>
      </c>
    </row>
    <row r="33" spans="1:17">
      <c r="B33" s="33">
        <f>B36+D36*E36+D37*E37</f>
        <v>100000</v>
      </c>
      <c r="C33" s="34"/>
      <c r="D33" s="34"/>
      <c r="E33" s="35"/>
      <c r="F33" s="36"/>
      <c r="G33" s="37"/>
      <c r="H33" s="37"/>
      <c r="I33" s="38"/>
      <c r="J33" s="36"/>
      <c r="K33" s="37"/>
      <c r="L33" s="37"/>
      <c r="M33" s="38"/>
      <c r="N33" s="39" t="s">
        <v>3</v>
      </c>
      <c r="O33" s="1"/>
      <c r="P33" s="1"/>
      <c r="Q33" s="1"/>
    </row>
    <row r="34" spans="1:17">
      <c r="B34" s="39" t="s">
        <v>4</v>
      </c>
      <c r="C34" s="32" t="s">
        <v>5</v>
      </c>
      <c r="D34" s="32"/>
      <c r="E34" s="32"/>
      <c r="F34" s="39" t="s">
        <v>6</v>
      </c>
      <c r="G34" s="32" t="s">
        <v>5</v>
      </c>
      <c r="H34" s="32"/>
      <c r="I34" s="32"/>
      <c r="J34" s="39" t="s">
        <v>6</v>
      </c>
      <c r="K34" s="32" t="s">
        <v>5</v>
      </c>
      <c r="L34" s="32"/>
      <c r="M34" s="32"/>
      <c r="N34" s="39"/>
      <c r="O34" s="1"/>
      <c r="P34" s="1"/>
      <c r="Q34" s="1"/>
    </row>
    <row r="35" spans="1:17">
      <c r="B35" s="39"/>
      <c r="C35" s="3" t="s">
        <v>7</v>
      </c>
      <c r="D35" s="3" t="s">
        <v>8</v>
      </c>
      <c r="E35" s="3" t="s">
        <v>9</v>
      </c>
      <c r="F35" s="39"/>
      <c r="G35" s="3" t="s">
        <v>10</v>
      </c>
      <c r="H35" s="3" t="s">
        <v>8</v>
      </c>
      <c r="I35" s="3" t="s">
        <v>11</v>
      </c>
      <c r="J35" s="39"/>
      <c r="K35" s="3" t="s">
        <v>10</v>
      </c>
      <c r="L35" s="3" t="s">
        <v>8</v>
      </c>
      <c r="M35" s="3" t="s">
        <v>11</v>
      </c>
      <c r="N35" s="5"/>
      <c r="O35" s="1"/>
      <c r="P35" s="1"/>
      <c r="Q35" s="1"/>
    </row>
    <row r="36" spans="1:17">
      <c r="B36" s="6">
        <f>-80000-C30</f>
        <v>-150000</v>
      </c>
      <c r="C36" s="1" t="s">
        <v>21</v>
      </c>
      <c r="D36" s="1">
        <v>2000</v>
      </c>
      <c r="E36" s="1">
        <v>90</v>
      </c>
      <c r="F36" s="1"/>
      <c r="G36" s="1"/>
      <c r="H36" s="1"/>
      <c r="I36" s="1"/>
      <c r="J36" s="1"/>
      <c r="K36" s="1"/>
      <c r="L36" s="1"/>
      <c r="M36" s="1"/>
      <c r="N36" s="1"/>
      <c r="O36" s="4">
        <f>B33</f>
        <v>100000</v>
      </c>
      <c r="P36" s="2">
        <f>D36*E36+D37*E37</f>
        <v>250000</v>
      </c>
      <c r="Q36" s="8">
        <f>O36/P36</f>
        <v>0.4</v>
      </c>
    </row>
    <row r="37" spans="1:17">
      <c r="C37" s="1" t="s">
        <v>25</v>
      </c>
      <c r="D37">
        <v>1000</v>
      </c>
      <c r="E37">
        <v>70</v>
      </c>
    </row>
    <row r="38" spans="1:17" s="1" customFormat="1"/>
    <row r="39" spans="1:17">
      <c r="A39" s="1"/>
    </row>
    <row r="40" spans="1:17">
      <c r="A40" s="1"/>
    </row>
  </sheetData>
  <mergeCells count="39">
    <mergeCell ref="J7:J8"/>
    <mergeCell ref="K7:M7"/>
    <mergeCell ref="G7:I7"/>
    <mergeCell ref="B5:E5"/>
    <mergeCell ref="F5:I5"/>
    <mergeCell ref="J5:N5"/>
    <mergeCell ref="N6:N7"/>
    <mergeCell ref="B6:E6"/>
    <mergeCell ref="F6:I6"/>
    <mergeCell ref="J6:M6"/>
    <mergeCell ref="B7:B8"/>
    <mergeCell ref="C7:E7"/>
    <mergeCell ref="F7:F8"/>
    <mergeCell ref="B17:E17"/>
    <mergeCell ref="F17:I17"/>
    <mergeCell ref="J17:N17"/>
    <mergeCell ref="B18:E18"/>
    <mergeCell ref="F18:I18"/>
    <mergeCell ref="J18:M18"/>
    <mergeCell ref="N18:N19"/>
    <mergeCell ref="B19:B20"/>
    <mergeCell ref="C19:E19"/>
    <mergeCell ref="F19:F20"/>
    <mergeCell ref="G19:I19"/>
    <mergeCell ref="J19:J20"/>
    <mergeCell ref="K19:M19"/>
    <mergeCell ref="B32:E32"/>
    <mergeCell ref="F32:I32"/>
    <mergeCell ref="J32:N32"/>
    <mergeCell ref="B33:E33"/>
    <mergeCell ref="F33:I33"/>
    <mergeCell ref="J33:M33"/>
    <mergeCell ref="N33:N34"/>
    <mergeCell ref="B34:B35"/>
    <mergeCell ref="C34:E34"/>
    <mergeCell ref="F34:F35"/>
    <mergeCell ref="G34:I34"/>
    <mergeCell ref="J34:J35"/>
    <mergeCell ref="K34:M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0"/>
  <sheetViews>
    <sheetView tabSelected="1" topLeftCell="A25" workbookViewId="0">
      <selection activeCell="O40" sqref="O40"/>
    </sheetView>
  </sheetViews>
  <sheetFormatPr defaultRowHeight="15"/>
  <cols>
    <col min="1" max="1" width="27.85546875" bestFit="1" customWidth="1"/>
    <col min="2" max="3" width="10.5703125" bestFit="1" customWidth="1"/>
    <col min="4" max="4" width="9.5703125" bestFit="1" customWidth="1"/>
    <col min="6" max="6" width="10.5703125" bestFit="1" customWidth="1"/>
    <col min="10" max="10" width="10.5703125" bestFit="1" customWidth="1"/>
    <col min="14" max="14" width="11" bestFit="1" customWidth="1"/>
    <col min="15" max="15" width="11.140625" bestFit="1" customWidth="1"/>
    <col min="16" max="16" width="17.42578125" bestFit="1" customWidth="1"/>
  </cols>
  <sheetData>
    <row r="1" spans="1:20">
      <c r="A1" s="2" t="s">
        <v>29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6</v>
      </c>
      <c r="B2" s="2">
        <v>100000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 t="s">
        <v>30</v>
      </c>
      <c r="B3" s="1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s="1" customFormat="1"/>
    <row r="5" spans="1:20" s="1" customFormat="1">
      <c r="B5" s="29" t="s">
        <v>0</v>
      </c>
      <c r="C5" s="30"/>
      <c r="D5" s="30"/>
      <c r="E5" s="31"/>
      <c r="F5" s="29" t="s">
        <v>1</v>
      </c>
      <c r="G5" s="30"/>
      <c r="H5" s="30"/>
      <c r="I5" s="31"/>
      <c r="J5" s="32" t="s">
        <v>2</v>
      </c>
      <c r="K5" s="32"/>
      <c r="L5" s="32"/>
      <c r="M5" s="32"/>
      <c r="N5" s="32"/>
      <c r="O5" s="1" t="s">
        <v>14</v>
      </c>
    </row>
    <row r="6" spans="1:20" s="1" customFormat="1">
      <c r="B6" s="33">
        <f>B9</f>
        <v>100000</v>
      </c>
      <c r="C6" s="34"/>
      <c r="D6" s="34"/>
      <c r="E6" s="35"/>
      <c r="F6" s="36"/>
      <c r="G6" s="37"/>
      <c r="H6" s="37"/>
      <c r="I6" s="38"/>
      <c r="J6" s="36"/>
      <c r="K6" s="37"/>
      <c r="L6" s="37"/>
      <c r="M6" s="38"/>
      <c r="N6" s="39" t="s">
        <v>3</v>
      </c>
      <c r="O6" s="4">
        <f>B6+F6+J6</f>
        <v>100000</v>
      </c>
    </row>
    <row r="7" spans="1:20" s="1" customFormat="1">
      <c r="B7" s="39" t="s">
        <v>4</v>
      </c>
      <c r="C7" s="32" t="s">
        <v>5</v>
      </c>
      <c r="D7" s="32"/>
      <c r="E7" s="32"/>
      <c r="F7" s="39" t="s">
        <v>6</v>
      </c>
      <c r="G7" s="32" t="s">
        <v>5</v>
      </c>
      <c r="H7" s="32"/>
      <c r="I7" s="32"/>
      <c r="J7" s="39" t="s">
        <v>6</v>
      </c>
      <c r="K7" s="32" t="s">
        <v>5</v>
      </c>
      <c r="L7" s="32"/>
      <c r="M7" s="32"/>
      <c r="N7" s="39"/>
    </row>
    <row r="8" spans="1:20" s="1" customFormat="1">
      <c r="B8" s="39"/>
      <c r="C8" s="3" t="s">
        <v>7</v>
      </c>
      <c r="D8" s="3" t="s">
        <v>8</v>
      </c>
      <c r="E8" s="3" t="s">
        <v>9</v>
      </c>
      <c r="F8" s="39"/>
      <c r="G8" s="3" t="s">
        <v>10</v>
      </c>
      <c r="H8" s="3" t="s">
        <v>8</v>
      </c>
      <c r="I8" s="3" t="s">
        <v>11</v>
      </c>
      <c r="J8" s="39"/>
      <c r="K8" s="3" t="s">
        <v>10</v>
      </c>
      <c r="L8" s="3" t="s">
        <v>8</v>
      </c>
      <c r="M8" s="3" t="s">
        <v>11</v>
      </c>
      <c r="N8" s="5"/>
    </row>
    <row r="9" spans="1:20">
      <c r="A9" s="1"/>
      <c r="B9" s="6">
        <v>100000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s="1" customFormat="1">
      <c r="B10" s="6"/>
    </row>
    <row r="11" spans="1:20">
      <c r="A11" s="1" t="s">
        <v>31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 t="s">
        <v>32</v>
      </c>
      <c r="B12" s="2">
        <f>80*1000</f>
        <v>80000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 t="s">
        <v>33</v>
      </c>
      <c r="B13" s="2">
        <f>B12*0.4</f>
        <v>32000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 t="s">
        <v>34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29" t="s">
        <v>0</v>
      </c>
      <c r="C15" s="30"/>
      <c r="D15" s="30"/>
      <c r="E15" s="31"/>
      <c r="F15" s="29" t="s">
        <v>1</v>
      </c>
      <c r="G15" s="30"/>
      <c r="H15" s="30"/>
      <c r="I15" s="31"/>
      <c r="J15" s="32" t="s">
        <v>2</v>
      </c>
      <c r="K15" s="32"/>
      <c r="L15" s="32"/>
      <c r="M15" s="32"/>
      <c r="N15" s="32"/>
      <c r="O15" s="15" t="s">
        <v>14</v>
      </c>
      <c r="P15" s="15"/>
      <c r="Q15" s="15"/>
      <c r="R15" s="15"/>
      <c r="S15" s="1"/>
      <c r="T15" s="1"/>
    </row>
    <row r="16" spans="1:20">
      <c r="A16" s="1"/>
      <c r="B16" s="33">
        <f>B19+D19*E19</f>
        <v>-12000</v>
      </c>
      <c r="C16" s="34"/>
      <c r="D16" s="34"/>
      <c r="E16" s="35"/>
      <c r="F16" s="36">
        <f>F19+H19*I19</f>
        <v>80000</v>
      </c>
      <c r="G16" s="37"/>
      <c r="H16" s="37"/>
      <c r="I16" s="38"/>
      <c r="J16" s="36">
        <f>J19+L19*M19</f>
        <v>32000</v>
      </c>
      <c r="K16" s="37"/>
      <c r="L16" s="37"/>
      <c r="M16" s="38"/>
      <c r="N16" s="39" t="s">
        <v>3</v>
      </c>
      <c r="O16" s="18">
        <f>B16+F16+J16</f>
        <v>100000</v>
      </c>
      <c r="P16" s="18"/>
      <c r="Q16" s="18"/>
      <c r="R16" s="19"/>
      <c r="S16" s="10"/>
      <c r="T16" s="1"/>
    </row>
    <row r="17" spans="1:20">
      <c r="A17" s="1"/>
      <c r="B17" s="39" t="s">
        <v>4</v>
      </c>
      <c r="C17" s="32" t="s">
        <v>5</v>
      </c>
      <c r="D17" s="32"/>
      <c r="E17" s="32"/>
      <c r="F17" s="39" t="s">
        <v>6</v>
      </c>
      <c r="G17" s="32" t="s">
        <v>5</v>
      </c>
      <c r="H17" s="32"/>
      <c r="I17" s="32"/>
      <c r="J17" s="39" t="s">
        <v>6</v>
      </c>
      <c r="K17" s="32" t="s">
        <v>5</v>
      </c>
      <c r="L17" s="32"/>
      <c r="M17" s="32"/>
      <c r="N17" s="39"/>
      <c r="O17" s="15"/>
      <c r="P17" s="15"/>
      <c r="Q17" s="15"/>
      <c r="R17" s="19"/>
      <c r="S17" s="1"/>
      <c r="T17" s="1"/>
    </row>
    <row r="18" spans="1:20">
      <c r="A18" s="1"/>
      <c r="B18" s="39"/>
      <c r="C18" s="3" t="s">
        <v>7</v>
      </c>
      <c r="D18" s="3" t="s">
        <v>8</v>
      </c>
      <c r="E18" s="3" t="s">
        <v>9</v>
      </c>
      <c r="F18" s="39"/>
      <c r="G18" s="3" t="s">
        <v>10</v>
      </c>
      <c r="H18" s="3" t="s">
        <v>8</v>
      </c>
      <c r="I18" s="3" t="s">
        <v>11</v>
      </c>
      <c r="J18" s="39"/>
      <c r="K18" s="3" t="s">
        <v>10</v>
      </c>
      <c r="L18" s="3" t="s">
        <v>8</v>
      </c>
      <c r="M18" s="3" t="s">
        <v>11</v>
      </c>
      <c r="N18" s="5"/>
      <c r="O18" s="13"/>
      <c r="P18" s="13"/>
      <c r="Q18" s="13"/>
      <c r="R18" s="14"/>
      <c r="S18" s="1"/>
      <c r="T18" s="1"/>
    </row>
    <row r="19" spans="1:20">
      <c r="A19" s="1"/>
      <c r="B19" s="6">
        <f>B9-B13</f>
        <v>68000</v>
      </c>
      <c r="C19" s="1" t="s">
        <v>21</v>
      </c>
      <c r="D19" s="1">
        <v>-1000</v>
      </c>
      <c r="E19" s="1">
        <v>80</v>
      </c>
      <c r="F19" s="2">
        <v>80000</v>
      </c>
      <c r="G19" s="1"/>
      <c r="H19" s="1"/>
      <c r="I19" s="1"/>
      <c r="J19" s="2">
        <v>32000</v>
      </c>
      <c r="K19" s="1"/>
      <c r="L19" s="1"/>
      <c r="M19" s="1"/>
      <c r="N19" s="8">
        <f>-J19/(D19*E19)</f>
        <v>0.4</v>
      </c>
      <c r="O19" s="1"/>
      <c r="P19" s="1"/>
      <c r="Q19" s="1"/>
      <c r="R19" s="1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 t="s">
        <v>35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"/>
      <c r="T21" s="1"/>
    </row>
    <row r="22" spans="1:20">
      <c r="A22" s="1"/>
      <c r="B22" s="29" t="s">
        <v>0</v>
      </c>
      <c r="C22" s="30"/>
      <c r="D22" s="30"/>
      <c r="E22" s="31"/>
      <c r="F22" s="29" t="s">
        <v>1</v>
      </c>
      <c r="G22" s="30"/>
      <c r="H22" s="30"/>
      <c r="I22" s="31"/>
      <c r="J22" s="32" t="s">
        <v>2</v>
      </c>
      <c r="K22" s="32"/>
      <c r="L22" s="32"/>
      <c r="M22" s="32"/>
      <c r="N22" s="32"/>
      <c r="O22" s="15" t="s">
        <v>14</v>
      </c>
      <c r="P22" s="18"/>
      <c r="Q22" s="18"/>
      <c r="R22" s="19"/>
      <c r="S22" s="10"/>
      <c r="T22" s="1"/>
    </row>
    <row r="23" spans="1:20">
      <c r="A23" s="1"/>
      <c r="B23" s="33">
        <f>B26+D26*E26</f>
        <v>-17000</v>
      </c>
      <c r="C23" s="34"/>
      <c r="D23" s="34"/>
      <c r="E23" s="35"/>
      <c r="F23" s="36">
        <f>F26+H26*I26</f>
        <v>80000</v>
      </c>
      <c r="G23" s="37"/>
      <c r="H23" s="37"/>
      <c r="I23" s="38"/>
      <c r="J23" s="36">
        <f>J26+L26*M26</f>
        <v>32000</v>
      </c>
      <c r="K23" s="37"/>
      <c r="L23" s="37"/>
      <c r="M23" s="38"/>
      <c r="N23" s="39" t="s">
        <v>3</v>
      </c>
      <c r="O23" s="18">
        <f>B23+F23+J23</f>
        <v>95000</v>
      </c>
      <c r="P23" s="15"/>
      <c r="Q23" s="15"/>
      <c r="R23" s="19"/>
      <c r="S23" s="1"/>
      <c r="T23" s="1"/>
    </row>
    <row r="24" spans="1:20">
      <c r="A24" s="1"/>
      <c r="B24" s="39" t="s">
        <v>4</v>
      </c>
      <c r="C24" s="32" t="s">
        <v>5</v>
      </c>
      <c r="D24" s="32"/>
      <c r="E24" s="32"/>
      <c r="F24" s="39" t="s">
        <v>6</v>
      </c>
      <c r="G24" s="32" t="s">
        <v>5</v>
      </c>
      <c r="H24" s="32"/>
      <c r="I24" s="32"/>
      <c r="J24" s="39" t="s">
        <v>6</v>
      </c>
      <c r="K24" s="32" t="s">
        <v>5</v>
      </c>
      <c r="L24" s="32"/>
      <c r="M24" s="32"/>
      <c r="N24" s="39"/>
      <c r="O24" s="15"/>
      <c r="P24" s="13"/>
      <c r="Q24" s="13"/>
      <c r="R24" s="14"/>
      <c r="S24" s="1"/>
      <c r="T24" s="1"/>
    </row>
    <row r="25" spans="1:20">
      <c r="A25" s="1"/>
      <c r="B25" s="39"/>
      <c r="C25" s="3" t="s">
        <v>7</v>
      </c>
      <c r="D25" s="3" t="s">
        <v>8</v>
      </c>
      <c r="E25" s="3" t="s">
        <v>9</v>
      </c>
      <c r="F25" s="39"/>
      <c r="G25" s="3" t="s">
        <v>10</v>
      </c>
      <c r="H25" s="3" t="s">
        <v>8</v>
      </c>
      <c r="I25" s="3" t="s">
        <v>11</v>
      </c>
      <c r="J25" s="39"/>
      <c r="K25" s="3" t="s">
        <v>10</v>
      </c>
      <c r="L25" s="3" t="s">
        <v>8</v>
      </c>
      <c r="M25" s="3" t="s">
        <v>11</v>
      </c>
      <c r="N25" s="5"/>
      <c r="O25" s="13"/>
      <c r="P25" s="1"/>
      <c r="Q25" s="1"/>
      <c r="R25" s="11"/>
      <c r="S25" s="1"/>
      <c r="T25" s="1"/>
    </row>
    <row r="26" spans="1:20">
      <c r="A26" s="1"/>
      <c r="B26" s="6">
        <f>B19</f>
        <v>68000</v>
      </c>
      <c r="C26" s="1" t="s">
        <v>21</v>
      </c>
      <c r="D26" s="1">
        <v>-1000</v>
      </c>
      <c r="E26" s="1">
        <v>85</v>
      </c>
      <c r="F26" s="2">
        <v>80000</v>
      </c>
      <c r="G26" s="1"/>
      <c r="H26" s="1"/>
      <c r="I26" s="1"/>
      <c r="J26" s="2">
        <v>32000</v>
      </c>
      <c r="K26" s="1"/>
      <c r="L26" s="1"/>
      <c r="M26" s="1"/>
      <c r="N26" s="8">
        <f>-J26/(D26*E26)</f>
        <v>0.37647058823529411</v>
      </c>
      <c r="O26" s="1"/>
      <c r="P26" s="1"/>
      <c r="Q26" s="1"/>
      <c r="R26" s="11"/>
      <c r="S26" s="1"/>
      <c r="T26" s="1"/>
    </row>
    <row r="27" spans="1:20" s="1" customFormat="1">
      <c r="B27" s="6"/>
      <c r="F27" s="2"/>
      <c r="J27" s="2"/>
      <c r="N27" s="8"/>
      <c r="R27" s="11"/>
    </row>
    <row r="28" spans="1:20">
      <c r="A28" s="23" t="s">
        <v>36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 t="s">
        <v>14</v>
      </c>
      <c r="B29" s="2">
        <f>O23</f>
        <v>95000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 t="s">
        <v>37</v>
      </c>
      <c r="B30" s="12">
        <v>0.4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 t="s">
        <v>42</v>
      </c>
      <c r="B31" s="9">
        <f>B29/B30</f>
        <v>237500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 t="s">
        <v>32</v>
      </c>
      <c r="B34" s="2">
        <v>200000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/>
      <c r="B35" s="4" t="s">
        <v>6</v>
      </c>
      <c r="C35" s="6">
        <f>B26</f>
        <v>68000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/>
      <c r="B36" s="1" t="s">
        <v>20</v>
      </c>
      <c r="C36" s="6">
        <f>B34-C35</f>
        <v>132000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20"/>
      <c r="T37" s="1"/>
    </row>
    <row r="38" spans="1:20">
      <c r="A38" s="1"/>
      <c r="B38" s="29" t="s">
        <v>0</v>
      </c>
      <c r="C38" s="30"/>
      <c r="D38" s="30"/>
      <c r="E38" s="31"/>
      <c r="F38" s="29" t="s">
        <v>1</v>
      </c>
      <c r="G38" s="30"/>
      <c r="H38" s="30"/>
      <c r="I38" s="31"/>
      <c r="J38" s="32" t="s">
        <v>2</v>
      </c>
      <c r="K38" s="32"/>
      <c r="L38" s="32"/>
      <c r="M38" s="32"/>
      <c r="N38" s="32"/>
      <c r="O38" s="15" t="s">
        <v>14</v>
      </c>
      <c r="P38" s="21" t="s">
        <v>41</v>
      </c>
      <c r="Q38" s="19" t="s">
        <v>39</v>
      </c>
      <c r="S38" s="19"/>
      <c r="T38" s="10"/>
    </row>
    <row r="39" spans="1:20">
      <c r="A39" s="1"/>
      <c r="B39" s="33">
        <f>B42+D42*E42+D43*E43</f>
        <v>-17000</v>
      </c>
      <c r="C39" s="34"/>
      <c r="D39" s="34"/>
      <c r="E39" s="35"/>
      <c r="F39" s="36">
        <f>F42+H42*I42</f>
        <v>80000</v>
      </c>
      <c r="G39" s="37"/>
      <c r="H39" s="37"/>
      <c r="I39" s="38"/>
      <c r="J39" s="36">
        <f>J42+L42*M42</f>
        <v>32000</v>
      </c>
      <c r="K39" s="37"/>
      <c r="L39" s="37"/>
      <c r="M39" s="38"/>
      <c r="N39" s="39" t="s">
        <v>3</v>
      </c>
      <c r="O39" s="18">
        <f>B39+F39+J39</f>
        <v>95000</v>
      </c>
      <c r="P39" s="24">
        <f>D43*E43</f>
        <v>200000</v>
      </c>
      <c r="Q39" s="25">
        <f>O39/P39</f>
        <v>0.47499999999999998</v>
      </c>
      <c r="S39" s="19"/>
      <c r="T39" s="1"/>
    </row>
    <row r="40" spans="1:20">
      <c r="A40" s="1"/>
      <c r="B40" s="39" t="s">
        <v>4</v>
      </c>
      <c r="C40" s="32" t="s">
        <v>5</v>
      </c>
      <c r="D40" s="32"/>
      <c r="E40" s="32"/>
      <c r="F40" s="39" t="s">
        <v>6</v>
      </c>
      <c r="G40" s="32" t="s">
        <v>5</v>
      </c>
      <c r="H40" s="32"/>
      <c r="I40" s="32"/>
      <c r="J40" s="39" t="s">
        <v>6</v>
      </c>
      <c r="K40" s="32" t="s">
        <v>5</v>
      </c>
      <c r="L40" s="32"/>
      <c r="M40" s="32"/>
      <c r="N40" s="39"/>
      <c r="O40" s="15"/>
      <c r="P40" s="13"/>
      <c r="Q40" s="13"/>
      <c r="R40" s="14"/>
      <c r="S40" s="20"/>
      <c r="T40" s="1"/>
    </row>
    <row r="41" spans="1:20">
      <c r="A41" s="1"/>
      <c r="B41" s="39"/>
      <c r="C41" s="3" t="s">
        <v>7</v>
      </c>
      <c r="D41" s="3" t="s">
        <v>8</v>
      </c>
      <c r="E41" s="3" t="s">
        <v>9</v>
      </c>
      <c r="F41" s="39"/>
      <c r="G41" s="3" t="s">
        <v>10</v>
      </c>
      <c r="H41" s="3" t="s">
        <v>8</v>
      </c>
      <c r="I41" s="3" t="s">
        <v>11</v>
      </c>
      <c r="J41" s="39"/>
      <c r="K41" s="3" t="s">
        <v>10</v>
      </c>
      <c r="L41" s="3" t="s">
        <v>8</v>
      </c>
      <c r="M41" s="3" t="s">
        <v>11</v>
      </c>
      <c r="N41" s="5"/>
      <c r="O41" s="13"/>
      <c r="P41" s="1"/>
      <c r="Q41" s="1"/>
      <c r="R41" s="11"/>
      <c r="S41" s="11"/>
      <c r="T41" s="1"/>
    </row>
    <row r="42" spans="1:20">
      <c r="A42" s="1"/>
      <c r="B42" s="6">
        <f>-C36</f>
        <v>-132000</v>
      </c>
      <c r="C42" s="1" t="s">
        <v>21</v>
      </c>
      <c r="D42" s="1">
        <v>-1000</v>
      </c>
      <c r="E42" s="1">
        <v>85</v>
      </c>
      <c r="F42" s="2">
        <v>80000</v>
      </c>
      <c r="G42" s="1"/>
      <c r="H42" s="1"/>
      <c r="I42" s="1"/>
      <c r="J42" s="2">
        <v>32000</v>
      </c>
      <c r="K42" s="1"/>
      <c r="L42" s="1"/>
      <c r="M42" s="1"/>
      <c r="N42" s="8">
        <f>-J42/(D42*E42)</f>
        <v>0.37647058823529411</v>
      </c>
      <c r="O42" s="1"/>
      <c r="P42" s="1"/>
      <c r="Q42" s="1"/>
      <c r="R42" s="1"/>
      <c r="S42" s="1"/>
      <c r="T42" s="1"/>
    </row>
    <row r="43" spans="1:20">
      <c r="A43" s="1"/>
      <c r="B43" s="1"/>
      <c r="C43" s="1" t="s">
        <v>25</v>
      </c>
      <c r="D43" s="6">
        <v>10000</v>
      </c>
      <c r="E43" s="1">
        <v>20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s="1" customFormat="1">
      <c r="D44" s="6"/>
    </row>
    <row r="45" spans="1:20">
      <c r="A45" s="1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 t="s">
        <v>42</v>
      </c>
      <c r="B46" s="2">
        <f>O39-D43*E43*0.4</f>
        <v>15000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 t="s">
        <v>38</v>
      </c>
      <c r="B47" s="26">
        <f>B46/0.4</f>
        <v>37500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20"/>
      <c r="T47" s="1"/>
    </row>
    <row r="48" spans="1:20">
      <c r="A48" s="1"/>
      <c r="B48" s="16"/>
      <c r="C48" s="16"/>
      <c r="D48" s="16"/>
      <c r="E48" s="16"/>
      <c r="F48" s="17"/>
      <c r="G48" s="17"/>
      <c r="H48" s="17"/>
      <c r="I48" s="17"/>
      <c r="J48" s="18"/>
      <c r="K48" s="18"/>
      <c r="L48" s="18"/>
      <c r="M48" s="18"/>
      <c r="N48" s="22"/>
      <c r="O48" s="22"/>
      <c r="P48" s="22"/>
      <c r="Q48" s="22"/>
      <c r="R48" s="19"/>
      <c r="S48" s="19"/>
      <c r="T48" s="4"/>
    </row>
    <row r="49" spans="1:20">
      <c r="A49" s="1" t="s">
        <v>44</v>
      </c>
      <c r="B49" s="19"/>
      <c r="C49" s="15"/>
      <c r="D49" s="15"/>
      <c r="E49" s="15"/>
      <c r="F49" s="19"/>
      <c r="G49" s="15"/>
      <c r="H49" s="15"/>
      <c r="I49" s="15"/>
      <c r="J49" s="19"/>
      <c r="K49" s="15"/>
      <c r="L49" s="15"/>
      <c r="M49" s="15"/>
      <c r="N49" s="19"/>
      <c r="O49" s="15"/>
      <c r="P49" s="15"/>
      <c r="Q49" s="15"/>
      <c r="R49" s="19"/>
      <c r="S49" s="19"/>
      <c r="T49" s="1"/>
    </row>
    <row r="50" spans="1:20">
      <c r="A50" s="1" t="s">
        <v>45</v>
      </c>
      <c r="B50" s="27">
        <v>37500</v>
      </c>
      <c r="C50" s="13"/>
      <c r="D50" s="13"/>
      <c r="E50" s="13"/>
      <c r="F50" s="19"/>
      <c r="G50" s="13"/>
      <c r="H50" s="13"/>
      <c r="I50" s="13"/>
      <c r="J50" s="19"/>
      <c r="K50" s="13"/>
      <c r="L50" s="13"/>
      <c r="M50" s="13"/>
      <c r="N50" s="19"/>
      <c r="O50" s="13"/>
      <c r="P50" s="13"/>
      <c r="Q50" s="13"/>
      <c r="R50" s="14"/>
      <c r="S50" s="20"/>
      <c r="T50" s="1"/>
    </row>
    <row r="51" spans="1:20">
      <c r="A51" s="1"/>
      <c r="B51" s="2" t="s">
        <v>6</v>
      </c>
      <c r="C51" s="1">
        <v>0</v>
      </c>
      <c r="D51" s="2"/>
      <c r="E51" s="1"/>
      <c r="F51" s="2"/>
      <c r="G51" s="1"/>
      <c r="H51" s="2"/>
      <c r="I51" s="1"/>
      <c r="J51" s="2"/>
      <c r="K51" s="1"/>
      <c r="L51" s="1"/>
      <c r="M51" s="1"/>
      <c r="N51" s="2"/>
      <c r="O51" s="1"/>
      <c r="P51" s="1"/>
      <c r="Q51" s="1"/>
      <c r="R51" s="11"/>
      <c r="S51" s="11"/>
      <c r="T51" s="1"/>
    </row>
    <row r="52" spans="1:20">
      <c r="B52" s="1" t="s">
        <v>20</v>
      </c>
      <c r="C52" s="2">
        <v>37500</v>
      </c>
    </row>
    <row r="54" spans="1:20">
      <c r="B54" s="29" t="s">
        <v>0</v>
      </c>
      <c r="C54" s="30"/>
      <c r="D54" s="30"/>
      <c r="E54" s="31"/>
      <c r="F54" s="29" t="s">
        <v>1</v>
      </c>
      <c r="G54" s="30"/>
      <c r="H54" s="30"/>
      <c r="I54" s="31"/>
      <c r="J54" s="32" t="s">
        <v>2</v>
      </c>
      <c r="K54" s="32"/>
      <c r="L54" s="32"/>
      <c r="M54" s="32"/>
      <c r="N54" s="32"/>
      <c r="O54" s="15" t="s">
        <v>14</v>
      </c>
      <c r="P54" s="21" t="s">
        <v>41</v>
      </c>
      <c r="Q54" s="19" t="s">
        <v>39</v>
      </c>
    </row>
    <row r="55" spans="1:20">
      <c r="B55" s="33">
        <f>B58+D58*E58+D59*E59+D60*E60</f>
        <v>-17000</v>
      </c>
      <c r="C55" s="34"/>
      <c r="D55" s="34"/>
      <c r="E55" s="35"/>
      <c r="F55" s="36">
        <f>F58+H58*I58</f>
        <v>80000</v>
      </c>
      <c r="G55" s="37"/>
      <c r="H55" s="37"/>
      <c r="I55" s="38"/>
      <c r="J55" s="36">
        <f>J58+L58*M58</f>
        <v>32000</v>
      </c>
      <c r="K55" s="37"/>
      <c r="L55" s="37"/>
      <c r="M55" s="38"/>
      <c r="N55" s="39" t="s">
        <v>3</v>
      </c>
      <c r="O55" s="18">
        <f>B55+F55+J55</f>
        <v>95000</v>
      </c>
      <c r="P55" s="24">
        <f>D59*E59+D60*E60</f>
        <v>237500</v>
      </c>
      <c r="Q55" s="25">
        <f>O55/P55</f>
        <v>0.4</v>
      </c>
    </row>
    <row r="56" spans="1:20">
      <c r="B56" s="39" t="s">
        <v>4</v>
      </c>
      <c r="C56" s="32" t="s">
        <v>5</v>
      </c>
      <c r="D56" s="32"/>
      <c r="E56" s="32"/>
      <c r="F56" s="39" t="s">
        <v>6</v>
      </c>
      <c r="G56" s="32" t="s">
        <v>5</v>
      </c>
      <c r="H56" s="32"/>
      <c r="I56" s="32"/>
      <c r="J56" s="39" t="s">
        <v>6</v>
      </c>
      <c r="K56" s="32" t="s">
        <v>5</v>
      </c>
      <c r="L56" s="32"/>
      <c r="M56" s="32"/>
      <c r="N56" s="39"/>
      <c r="O56" s="15"/>
      <c r="P56" s="13"/>
      <c r="Q56" s="13"/>
    </row>
    <row r="57" spans="1:20">
      <c r="B57" s="39"/>
      <c r="C57" s="3" t="s">
        <v>7</v>
      </c>
      <c r="D57" s="3" t="s">
        <v>8</v>
      </c>
      <c r="E57" s="3" t="s">
        <v>9</v>
      </c>
      <c r="F57" s="39"/>
      <c r="G57" s="3" t="s">
        <v>10</v>
      </c>
      <c r="H57" s="3" t="s">
        <v>8</v>
      </c>
      <c r="I57" s="3" t="s">
        <v>11</v>
      </c>
      <c r="J57" s="39"/>
      <c r="K57" s="3" t="s">
        <v>10</v>
      </c>
      <c r="L57" s="3" t="s">
        <v>8</v>
      </c>
      <c r="M57" s="3" t="s">
        <v>11</v>
      </c>
      <c r="N57" s="5"/>
      <c r="O57" s="13"/>
      <c r="P57" s="1"/>
      <c r="Q57" s="1"/>
    </row>
    <row r="58" spans="1:20">
      <c r="B58" s="6">
        <f>B42-C52</f>
        <v>-169500</v>
      </c>
      <c r="C58" s="1" t="s">
        <v>21</v>
      </c>
      <c r="D58" s="1">
        <v>-1000</v>
      </c>
      <c r="E58" s="1">
        <v>85</v>
      </c>
      <c r="F58" s="2">
        <v>80000</v>
      </c>
      <c r="G58" s="1"/>
      <c r="H58" s="1"/>
      <c r="I58" s="1"/>
      <c r="J58" s="2">
        <v>32000</v>
      </c>
      <c r="K58" s="1"/>
      <c r="L58" s="1"/>
      <c r="M58" s="1"/>
      <c r="N58" s="8">
        <f>-J58/(D58*E58)</f>
        <v>0.37647058823529411</v>
      </c>
      <c r="O58" s="1"/>
      <c r="P58" s="1"/>
      <c r="Q58" s="1"/>
    </row>
    <row r="59" spans="1:20">
      <c r="C59" s="1" t="s">
        <v>25</v>
      </c>
      <c r="D59" s="6">
        <v>10000</v>
      </c>
      <c r="E59" s="1">
        <v>20</v>
      </c>
    </row>
    <row r="60" spans="1:20">
      <c r="C60" s="1" t="s">
        <v>46</v>
      </c>
      <c r="D60" s="2">
        <v>1000</v>
      </c>
      <c r="E60">
        <v>37.5</v>
      </c>
    </row>
  </sheetData>
  <mergeCells count="65">
    <mergeCell ref="G56:I56"/>
    <mergeCell ref="J56:J57"/>
    <mergeCell ref="K56:M56"/>
    <mergeCell ref="B54:E54"/>
    <mergeCell ref="F54:I54"/>
    <mergeCell ref="J54:N54"/>
    <mergeCell ref="B55:E55"/>
    <mergeCell ref="F55:I55"/>
    <mergeCell ref="J55:M55"/>
    <mergeCell ref="N55:N56"/>
    <mergeCell ref="B56:B57"/>
    <mergeCell ref="C56:E56"/>
    <mergeCell ref="F56:F57"/>
    <mergeCell ref="J24:J25"/>
    <mergeCell ref="K24:M24"/>
    <mergeCell ref="B40:B41"/>
    <mergeCell ref="C40:E40"/>
    <mergeCell ref="F40:F41"/>
    <mergeCell ref="G40:I40"/>
    <mergeCell ref="J40:J41"/>
    <mergeCell ref="B22:E22"/>
    <mergeCell ref="F22:I22"/>
    <mergeCell ref="J22:N22"/>
    <mergeCell ref="J15:N15"/>
    <mergeCell ref="N16:N17"/>
    <mergeCell ref="C17:E17"/>
    <mergeCell ref="F17:F18"/>
    <mergeCell ref="G17:I17"/>
    <mergeCell ref="B5:E5"/>
    <mergeCell ref="F5:I5"/>
    <mergeCell ref="J5:N5"/>
    <mergeCell ref="B6:E6"/>
    <mergeCell ref="F6:I6"/>
    <mergeCell ref="J6:M6"/>
    <mergeCell ref="N6:N7"/>
    <mergeCell ref="B7:B8"/>
    <mergeCell ref="C7:E7"/>
    <mergeCell ref="F7:F8"/>
    <mergeCell ref="G7:I7"/>
    <mergeCell ref="J7:J8"/>
    <mergeCell ref="K7:M7"/>
    <mergeCell ref="N39:N40"/>
    <mergeCell ref="B39:E39"/>
    <mergeCell ref="F39:I39"/>
    <mergeCell ref="J39:M39"/>
    <mergeCell ref="B23:E23"/>
    <mergeCell ref="F23:I23"/>
    <mergeCell ref="B24:B25"/>
    <mergeCell ref="C24:E24"/>
    <mergeCell ref="B38:E38"/>
    <mergeCell ref="F38:I38"/>
    <mergeCell ref="J38:N38"/>
    <mergeCell ref="J23:M23"/>
    <mergeCell ref="N23:N24"/>
    <mergeCell ref="K40:M40"/>
    <mergeCell ref="F24:F25"/>
    <mergeCell ref="G24:I24"/>
    <mergeCell ref="J17:J18"/>
    <mergeCell ref="K17:M17"/>
    <mergeCell ref="B15:E15"/>
    <mergeCell ref="F15:I15"/>
    <mergeCell ref="B16:E16"/>
    <mergeCell ref="F16:I16"/>
    <mergeCell ref="J16:M16"/>
    <mergeCell ref="B17:B1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5"/>
  <sheetViews>
    <sheetView topLeftCell="A16" workbookViewId="0">
      <selection activeCell="R35" sqref="R35"/>
    </sheetView>
  </sheetViews>
  <sheetFormatPr defaultRowHeight="15"/>
  <cols>
    <col min="2" max="2" width="16.28515625" customWidth="1"/>
    <col min="3" max="3" width="10.5703125" bestFit="1" customWidth="1"/>
    <col min="14" max="14" width="11" bestFit="1" customWidth="1"/>
  </cols>
  <sheetData>
    <row r="1" spans="1:17">
      <c r="A1" s="1" t="s">
        <v>47</v>
      </c>
    </row>
    <row r="3" spans="1:17">
      <c r="B3" s="29" t="s">
        <v>0</v>
      </c>
      <c r="C3" s="30"/>
      <c r="D3" s="30"/>
      <c r="E3" s="31"/>
      <c r="F3" s="29" t="s">
        <v>1</v>
      </c>
      <c r="G3" s="30"/>
      <c r="H3" s="30"/>
      <c r="I3" s="31"/>
      <c r="J3" s="32" t="s">
        <v>2</v>
      </c>
      <c r="K3" s="32"/>
      <c r="L3" s="32"/>
      <c r="M3" s="32"/>
      <c r="N3" s="32"/>
      <c r="O3" s="15" t="s">
        <v>14</v>
      </c>
      <c r="P3" s="21" t="s">
        <v>41</v>
      </c>
      <c r="Q3" s="19" t="s">
        <v>39</v>
      </c>
    </row>
    <row r="4" spans="1:17">
      <c r="B4" s="33">
        <f>B7+D7*E7+D8*E8+D9*E9</f>
        <v>-17000</v>
      </c>
      <c r="C4" s="34"/>
      <c r="D4" s="34"/>
      <c r="E4" s="35"/>
      <c r="F4" s="36">
        <f>F7+H7*I7</f>
        <v>80000</v>
      </c>
      <c r="G4" s="37"/>
      <c r="H4" s="37"/>
      <c r="I4" s="38"/>
      <c r="J4" s="36">
        <f>J7+L7*M7</f>
        <v>32000</v>
      </c>
      <c r="K4" s="37"/>
      <c r="L4" s="37"/>
      <c r="M4" s="38"/>
      <c r="N4" s="39" t="s">
        <v>3</v>
      </c>
      <c r="O4" s="18">
        <f>B4+F4+J4</f>
        <v>95000</v>
      </c>
      <c r="P4" s="24">
        <f>D8*E8+D9*E9</f>
        <v>237500</v>
      </c>
      <c r="Q4" s="25">
        <f>O4/P4</f>
        <v>0.4</v>
      </c>
    </row>
    <row r="5" spans="1:17">
      <c r="B5" s="39" t="s">
        <v>4</v>
      </c>
      <c r="C5" s="32" t="s">
        <v>5</v>
      </c>
      <c r="D5" s="32"/>
      <c r="E5" s="32"/>
      <c r="F5" s="39" t="s">
        <v>6</v>
      </c>
      <c r="G5" s="32" t="s">
        <v>5</v>
      </c>
      <c r="H5" s="32"/>
      <c r="I5" s="32"/>
      <c r="J5" s="39" t="s">
        <v>6</v>
      </c>
      <c r="K5" s="32" t="s">
        <v>5</v>
      </c>
      <c r="L5" s="32"/>
      <c r="M5" s="32"/>
      <c r="N5" s="39"/>
      <c r="O5" s="15"/>
      <c r="P5" s="13"/>
      <c r="Q5" s="13"/>
    </row>
    <row r="6" spans="1:17">
      <c r="B6" s="39"/>
      <c r="C6" s="3" t="s">
        <v>7</v>
      </c>
      <c r="D6" s="3" t="s">
        <v>8</v>
      </c>
      <c r="E6" s="3" t="s">
        <v>9</v>
      </c>
      <c r="F6" s="39"/>
      <c r="G6" s="3" t="s">
        <v>10</v>
      </c>
      <c r="H6" s="3" t="s">
        <v>8</v>
      </c>
      <c r="I6" s="3" t="s">
        <v>11</v>
      </c>
      <c r="J6" s="39"/>
      <c r="K6" s="3" t="s">
        <v>10</v>
      </c>
      <c r="L6" s="3" t="s">
        <v>8</v>
      </c>
      <c r="M6" s="3" t="s">
        <v>11</v>
      </c>
      <c r="N6" s="5"/>
      <c r="O6" s="13"/>
      <c r="P6" s="1"/>
      <c r="Q6" s="1"/>
    </row>
    <row r="7" spans="1:17">
      <c r="B7" s="6">
        <f>'short sell +margin'!B58</f>
        <v>-169500</v>
      </c>
      <c r="C7" s="1" t="s">
        <v>21</v>
      </c>
      <c r="D7" s="1">
        <v>-1000</v>
      </c>
      <c r="E7" s="1">
        <v>85</v>
      </c>
      <c r="F7" s="2">
        <v>80000</v>
      </c>
      <c r="G7" s="1"/>
      <c r="H7" s="1"/>
      <c r="I7" s="1"/>
      <c r="J7" s="2">
        <v>32000</v>
      </c>
      <c r="K7" s="1"/>
      <c r="L7" s="1"/>
      <c r="M7" s="1"/>
      <c r="N7" s="8">
        <f>-J7/(D7*E7)</f>
        <v>0.37647058823529411</v>
      </c>
      <c r="O7" s="1"/>
      <c r="P7" s="1"/>
      <c r="Q7" s="1"/>
    </row>
    <row r="8" spans="1:17">
      <c r="B8" s="1"/>
      <c r="C8" s="1" t="s">
        <v>25</v>
      </c>
      <c r="D8" s="6">
        <v>10000</v>
      </c>
      <c r="E8" s="1">
        <v>20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B9" s="1"/>
      <c r="C9" s="1" t="s">
        <v>46</v>
      </c>
      <c r="D9" s="2">
        <v>1000</v>
      </c>
      <c r="E9" s="1">
        <v>37.5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1" spans="1:17">
      <c r="A11" s="23" t="s">
        <v>48</v>
      </c>
    </row>
    <row r="13" spans="1:17">
      <c r="B13" s="29" t="s">
        <v>0</v>
      </c>
      <c r="C13" s="30"/>
      <c r="D13" s="30"/>
      <c r="E13" s="31"/>
      <c r="F13" s="29" t="s">
        <v>1</v>
      </c>
      <c r="G13" s="30"/>
      <c r="H13" s="30"/>
      <c r="I13" s="31"/>
      <c r="J13" s="32" t="s">
        <v>2</v>
      </c>
      <c r="K13" s="32"/>
      <c r="L13" s="32"/>
      <c r="M13" s="32"/>
      <c r="N13" s="32"/>
      <c r="O13" s="15" t="s">
        <v>14</v>
      </c>
      <c r="P13" s="21" t="s">
        <v>41</v>
      </c>
      <c r="Q13" s="19" t="s">
        <v>39</v>
      </c>
    </row>
    <row r="14" spans="1:17">
      <c r="B14" s="33">
        <f>B17+D17*E17+D18*E18+D19*E19</f>
        <v>-22000</v>
      </c>
      <c r="C14" s="34"/>
      <c r="D14" s="34"/>
      <c r="E14" s="35"/>
      <c r="F14" s="36">
        <f>F17+H17*I17</f>
        <v>80000</v>
      </c>
      <c r="G14" s="37"/>
      <c r="H14" s="37"/>
      <c r="I14" s="38"/>
      <c r="J14" s="36">
        <f>J17+L17*M17</f>
        <v>32000</v>
      </c>
      <c r="K14" s="37"/>
      <c r="L14" s="37"/>
      <c r="M14" s="38"/>
      <c r="N14" s="39" t="s">
        <v>3</v>
      </c>
      <c r="O14" s="18">
        <f>B14+F14+J14</f>
        <v>90000</v>
      </c>
      <c r="P14" s="24">
        <f>D18*E18+D19*E19</f>
        <v>237500</v>
      </c>
      <c r="Q14" s="25">
        <f>O14/P14</f>
        <v>0.37894736842105264</v>
      </c>
    </row>
    <row r="15" spans="1:17">
      <c r="B15" s="39" t="s">
        <v>4</v>
      </c>
      <c r="C15" s="32" t="s">
        <v>5</v>
      </c>
      <c r="D15" s="32"/>
      <c r="E15" s="32"/>
      <c r="F15" s="39" t="s">
        <v>6</v>
      </c>
      <c r="G15" s="32" t="s">
        <v>5</v>
      </c>
      <c r="H15" s="32"/>
      <c r="I15" s="32"/>
      <c r="J15" s="39" t="s">
        <v>6</v>
      </c>
      <c r="K15" s="32" t="s">
        <v>5</v>
      </c>
      <c r="L15" s="32"/>
      <c r="M15" s="32"/>
      <c r="N15" s="39"/>
      <c r="O15" s="15"/>
      <c r="P15" s="13"/>
      <c r="Q15" s="13"/>
    </row>
    <row r="16" spans="1:17">
      <c r="B16" s="39"/>
      <c r="C16" s="3" t="s">
        <v>7</v>
      </c>
      <c r="D16" s="3" t="s">
        <v>8</v>
      </c>
      <c r="E16" s="3" t="s">
        <v>9</v>
      </c>
      <c r="F16" s="39"/>
      <c r="G16" s="3" t="s">
        <v>10</v>
      </c>
      <c r="H16" s="3" t="s">
        <v>8</v>
      </c>
      <c r="I16" s="3" t="s">
        <v>11</v>
      </c>
      <c r="J16" s="39"/>
      <c r="K16" s="3" t="s">
        <v>10</v>
      </c>
      <c r="L16" s="3" t="s">
        <v>8</v>
      </c>
      <c r="M16" s="3" t="s">
        <v>11</v>
      </c>
      <c r="N16" s="5"/>
      <c r="O16" s="13"/>
      <c r="P16" s="1"/>
      <c r="Q16" s="1"/>
    </row>
    <row r="17" spans="1:17">
      <c r="B17" s="6">
        <f>B7</f>
        <v>-169500</v>
      </c>
      <c r="C17" s="1" t="s">
        <v>21</v>
      </c>
      <c r="D17" s="1">
        <v>-1000</v>
      </c>
      <c r="E17" s="1">
        <v>90</v>
      </c>
      <c r="F17" s="2">
        <v>80000</v>
      </c>
      <c r="G17" s="1"/>
      <c r="H17" s="1"/>
      <c r="I17" s="1"/>
      <c r="J17" s="2">
        <v>32000</v>
      </c>
      <c r="K17" s="1"/>
      <c r="L17" s="1"/>
      <c r="M17" s="1"/>
      <c r="N17" s="8">
        <f>-J17/(D17*E17)</f>
        <v>0.35555555555555557</v>
      </c>
      <c r="O17" s="1"/>
      <c r="P17" s="1"/>
      <c r="Q17" s="1"/>
    </row>
    <row r="18" spans="1:17">
      <c r="B18" s="1"/>
      <c r="C18" s="1" t="s">
        <v>25</v>
      </c>
      <c r="D18" s="6">
        <v>10000</v>
      </c>
      <c r="E18" s="1">
        <v>20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B19" s="1"/>
      <c r="C19" s="1" t="s">
        <v>46</v>
      </c>
      <c r="D19" s="2">
        <v>1000</v>
      </c>
      <c r="E19" s="1">
        <v>37.5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1" spans="1:17">
      <c r="A21" s="23" t="s">
        <v>49</v>
      </c>
    </row>
    <row r="23" spans="1:17">
      <c r="B23" s="29" t="s">
        <v>0</v>
      </c>
      <c r="C23" s="30"/>
      <c r="D23" s="30"/>
      <c r="E23" s="31"/>
      <c r="F23" s="29" t="s">
        <v>1</v>
      </c>
      <c r="G23" s="30"/>
      <c r="H23" s="30"/>
      <c r="I23" s="31"/>
      <c r="J23" s="32" t="s">
        <v>2</v>
      </c>
      <c r="K23" s="32"/>
      <c r="L23" s="32"/>
      <c r="M23" s="32"/>
      <c r="N23" s="32"/>
      <c r="O23" s="15" t="s">
        <v>14</v>
      </c>
      <c r="P23" s="21" t="s">
        <v>41</v>
      </c>
      <c r="Q23" s="19" t="s">
        <v>39</v>
      </c>
    </row>
    <row r="24" spans="1:17">
      <c r="B24" s="33">
        <f>B27+D27*E27+D28*E28+D29*E29</f>
        <v>-72000</v>
      </c>
      <c r="C24" s="34"/>
      <c r="D24" s="34"/>
      <c r="E24" s="35"/>
      <c r="F24" s="36">
        <f>F27+H27*I27</f>
        <v>80000</v>
      </c>
      <c r="G24" s="37"/>
      <c r="H24" s="37"/>
      <c r="I24" s="38"/>
      <c r="J24" s="36">
        <f>J27+L27*M27</f>
        <v>32000</v>
      </c>
      <c r="K24" s="37"/>
      <c r="L24" s="37"/>
      <c r="M24" s="38"/>
      <c r="N24" s="39" t="s">
        <v>3</v>
      </c>
      <c r="O24" s="18">
        <f>B24+F24+J24</f>
        <v>40000</v>
      </c>
      <c r="P24" s="24">
        <f>D28*E28+D29*E29</f>
        <v>187500</v>
      </c>
      <c r="Q24" s="25">
        <f>O24/P24</f>
        <v>0.21333333333333335</v>
      </c>
    </row>
    <row r="25" spans="1:17">
      <c r="B25" s="39" t="s">
        <v>4</v>
      </c>
      <c r="C25" s="32" t="s">
        <v>5</v>
      </c>
      <c r="D25" s="32"/>
      <c r="E25" s="32"/>
      <c r="F25" s="39" t="s">
        <v>6</v>
      </c>
      <c r="G25" s="32" t="s">
        <v>5</v>
      </c>
      <c r="H25" s="32"/>
      <c r="I25" s="32"/>
      <c r="J25" s="39" t="s">
        <v>6</v>
      </c>
      <c r="K25" s="32" t="s">
        <v>5</v>
      </c>
      <c r="L25" s="32"/>
      <c r="M25" s="32"/>
      <c r="N25" s="39"/>
      <c r="O25" s="15"/>
      <c r="P25" s="13"/>
      <c r="Q25" s="13"/>
    </row>
    <row r="26" spans="1:17">
      <c r="B26" s="39"/>
      <c r="C26" s="3" t="s">
        <v>7</v>
      </c>
      <c r="D26" s="3" t="s">
        <v>8</v>
      </c>
      <c r="E26" s="3" t="s">
        <v>9</v>
      </c>
      <c r="F26" s="39"/>
      <c r="G26" s="3" t="s">
        <v>10</v>
      </c>
      <c r="H26" s="3" t="s">
        <v>8</v>
      </c>
      <c r="I26" s="3" t="s">
        <v>11</v>
      </c>
      <c r="J26" s="39"/>
      <c r="K26" s="3" t="s">
        <v>10</v>
      </c>
      <c r="L26" s="3" t="s">
        <v>8</v>
      </c>
      <c r="M26" s="3" t="s">
        <v>11</v>
      </c>
      <c r="N26" s="5"/>
      <c r="O26" s="13"/>
      <c r="P26" s="1"/>
      <c r="Q26" s="1"/>
    </row>
    <row r="27" spans="1:17">
      <c r="B27" s="6">
        <f>B17</f>
        <v>-169500</v>
      </c>
      <c r="C27" s="1" t="s">
        <v>21</v>
      </c>
      <c r="D27" s="1">
        <v>-1000</v>
      </c>
      <c r="E27" s="1">
        <v>90</v>
      </c>
      <c r="F27" s="2">
        <v>80000</v>
      </c>
      <c r="G27" s="1"/>
      <c r="H27" s="1"/>
      <c r="I27" s="1"/>
      <c r="J27" s="2">
        <v>32000</v>
      </c>
      <c r="K27" s="1"/>
      <c r="L27" s="1"/>
      <c r="M27" s="1"/>
      <c r="N27" s="8">
        <f>-J27/(D27*E27)</f>
        <v>0.35555555555555557</v>
      </c>
      <c r="O27" s="1"/>
      <c r="P27" s="1"/>
      <c r="Q27" s="1"/>
    </row>
    <row r="28" spans="1:17">
      <c r="B28" s="1"/>
      <c r="C28" s="1" t="s">
        <v>25</v>
      </c>
      <c r="D28" s="6">
        <v>10000</v>
      </c>
      <c r="E28" s="1">
        <v>15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B29" s="1"/>
      <c r="C29" s="1" t="s">
        <v>46</v>
      </c>
      <c r="D29" s="2">
        <v>1000</v>
      </c>
      <c r="E29" s="1">
        <v>37.5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1" spans="1:17" s="1" customFormat="1">
      <c r="A31" s="23" t="s">
        <v>53</v>
      </c>
    </row>
    <row r="32" spans="1:17">
      <c r="A32" s="1" t="s">
        <v>50</v>
      </c>
    </row>
    <row r="33" spans="1:17">
      <c r="B33" s="1" t="s">
        <v>51</v>
      </c>
      <c r="C33" s="4">
        <f>P24-O24/40%</f>
        <v>87500</v>
      </c>
    </row>
    <row r="35" spans="1:17">
      <c r="A35" s="1" t="s">
        <v>54</v>
      </c>
    </row>
    <row r="36" spans="1:17" s="1" customFormat="1">
      <c r="B36" s="1" t="s">
        <v>52</v>
      </c>
      <c r="C36" s="2">
        <f>5850*15</f>
        <v>87750</v>
      </c>
    </row>
    <row r="37" spans="1:17" s="1" customFormat="1"/>
    <row r="38" spans="1:17" s="1" customFormat="1"/>
    <row r="39" spans="1:17">
      <c r="B39" s="29" t="s">
        <v>0</v>
      </c>
      <c r="C39" s="30"/>
      <c r="D39" s="30"/>
      <c r="E39" s="31"/>
      <c r="F39" s="29" t="s">
        <v>1</v>
      </c>
      <c r="G39" s="30"/>
      <c r="H39" s="30"/>
      <c r="I39" s="31"/>
      <c r="J39" s="32" t="s">
        <v>2</v>
      </c>
      <c r="K39" s="32"/>
      <c r="L39" s="32"/>
      <c r="M39" s="32"/>
      <c r="N39" s="32"/>
      <c r="O39" s="15" t="s">
        <v>14</v>
      </c>
      <c r="P39" s="21" t="s">
        <v>41</v>
      </c>
      <c r="Q39" s="19" t="s">
        <v>39</v>
      </c>
    </row>
    <row r="40" spans="1:17">
      <c r="B40" s="33">
        <f>B43+D43*E43+D44*E44+D45*E45</f>
        <v>-72000</v>
      </c>
      <c r="C40" s="34"/>
      <c r="D40" s="34"/>
      <c r="E40" s="35"/>
      <c r="F40" s="36">
        <f>F43+H43*I43</f>
        <v>80000</v>
      </c>
      <c r="G40" s="37"/>
      <c r="H40" s="37"/>
      <c r="I40" s="38"/>
      <c r="J40" s="36">
        <f>J43+L43*M43</f>
        <v>32000</v>
      </c>
      <c r="K40" s="37"/>
      <c r="L40" s="37"/>
      <c r="M40" s="38"/>
      <c r="N40" s="39" t="s">
        <v>3</v>
      </c>
      <c r="O40" s="18">
        <f>B40+F40+J40</f>
        <v>40000</v>
      </c>
      <c r="P40" s="24">
        <f>D44*E44+D45*E45</f>
        <v>99750</v>
      </c>
      <c r="Q40" s="28">
        <f>O40/P40</f>
        <v>0.40100250626566414</v>
      </c>
    </row>
    <row r="41" spans="1:17">
      <c r="B41" s="39" t="s">
        <v>4</v>
      </c>
      <c r="C41" s="32" t="s">
        <v>5</v>
      </c>
      <c r="D41" s="32"/>
      <c r="E41" s="32"/>
      <c r="F41" s="39" t="s">
        <v>6</v>
      </c>
      <c r="G41" s="32" t="s">
        <v>5</v>
      </c>
      <c r="H41" s="32"/>
      <c r="I41" s="32"/>
      <c r="J41" s="39" t="s">
        <v>6</v>
      </c>
      <c r="K41" s="32" t="s">
        <v>5</v>
      </c>
      <c r="L41" s="32"/>
      <c r="M41" s="32"/>
      <c r="N41" s="39"/>
      <c r="O41" s="15"/>
      <c r="P41" s="13"/>
      <c r="Q41" s="13"/>
    </row>
    <row r="42" spans="1:17">
      <c r="B42" s="39"/>
      <c r="C42" s="3" t="s">
        <v>7</v>
      </c>
      <c r="D42" s="3" t="s">
        <v>8</v>
      </c>
      <c r="E42" s="3" t="s">
        <v>9</v>
      </c>
      <c r="F42" s="39"/>
      <c r="G42" s="3" t="s">
        <v>10</v>
      </c>
      <c r="H42" s="3" t="s">
        <v>8</v>
      </c>
      <c r="I42" s="3" t="s">
        <v>11</v>
      </c>
      <c r="J42" s="39"/>
      <c r="K42" s="3" t="s">
        <v>10</v>
      </c>
      <c r="L42" s="3" t="s">
        <v>8</v>
      </c>
      <c r="M42" s="3" t="s">
        <v>11</v>
      </c>
      <c r="N42" s="5"/>
      <c r="O42" s="13"/>
      <c r="P42" s="1"/>
      <c r="Q42" s="1"/>
    </row>
    <row r="43" spans="1:17">
      <c r="B43" s="6">
        <f>B27+C36</f>
        <v>-81750</v>
      </c>
      <c r="C43" s="1" t="s">
        <v>21</v>
      </c>
      <c r="D43" s="1">
        <v>-1000</v>
      </c>
      <c r="E43" s="1">
        <v>90</v>
      </c>
      <c r="F43" s="2">
        <v>80000</v>
      </c>
      <c r="G43" s="1"/>
      <c r="H43" s="1"/>
      <c r="I43" s="1"/>
      <c r="J43" s="2">
        <v>32000</v>
      </c>
      <c r="K43" s="1"/>
      <c r="L43" s="1"/>
      <c r="M43" s="1"/>
      <c r="N43" s="8">
        <f>-J43/(D43*E43)</f>
        <v>0.35555555555555557</v>
      </c>
      <c r="O43" s="1"/>
      <c r="P43" s="1"/>
      <c r="Q43" s="1"/>
    </row>
    <row r="44" spans="1:17">
      <c r="B44" s="1"/>
      <c r="C44" s="1" t="s">
        <v>25</v>
      </c>
      <c r="D44" s="6">
        <f>10000-5850</f>
        <v>4150</v>
      </c>
      <c r="E44" s="1">
        <v>15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B45" s="1"/>
      <c r="C45" s="1" t="s">
        <v>46</v>
      </c>
      <c r="D45" s="2">
        <v>1000</v>
      </c>
      <c r="E45" s="1">
        <v>37.5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</sheetData>
  <mergeCells count="52">
    <mergeCell ref="G41:I41"/>
    <mergeCell ref="J41:J42"/>
    <mergeCell ref="K41:M41"/>
    <mergeCell ref="B39:E39"/>
    <mergeCell ref="F39:I39"/>
    <mergeCell ref="J39:N39"/>
    <mergeCell ref="B40:E40"/>
    <mergeCell ref="F40:I40"/>
    <mergeCell ref="J40:M40"/>
    <mergeCell ref="N40:N41"/>
    <mergeCell ref="B41:B42"/>
    <mergeCell ref="C41:E41"/>
    <mergeCell ref="F41:F42"/>
    <mergeCell ref="B23:E23"/>
    <mergeCell ref="F23:I23"/>
    <mergeCell ref="J23:N23"/>
    <mergeCell ref="B24:E24"/>
    <mergeCell ref="F24:I24"/>
    <mergeCell ref="J24:M24"/>
    <mergeCell ref="N24:N25"/>
    <mergeCell ref="B25:B26"/>
    <mergeCell ref="C25:E25"/>
    <mergeCell ref="F25:F26"/>
    <mergeCell ref="G25:I25"/>
    <mergeCell ref="J25:J26"/>
    <mergeCell ref="K25:M25"/>
    <mergeCell ref="B13:E13"/>
    <mergeCell ref="F13:I13"/>
    <mergeCell ref="J13:N13"/>
    <mergeCell ref="B14:E14"/>
    <mergeCell ref="F14:I14"/>
    <mergeCell ref="J14:M14"/>
    <mergeCell ref="N14:N15"/>
    <mergeCell ref="B15:B16"/>
    <mergeCell ref="C15:E15"/>
    <mergeCell ref="F15:F16"/>
    <mergeCell ref="G15:I15"/>
    <mergeCell ref="J15:J16"/>
    <mergeCell ref="K15:M15"/>
    <mergeCell ref="K5:M5"/>
    <mergeCell ref="B3:E3"/>
    <mergeCell ref="F3:I3"/>
    <mergeCell ref="J3:N3"/>
    <mergeCell ref="B4:E4"/>
    <mergeCell ref="F4:I4"/>
    <mergeCell ref="J4:M4"/>
    <mergeCell ref="N4:N5"/>
    <mergeCell ref="B5:B6"/>
    <mergeCell ref="C5:E5"/>
    <mergeCell ref="F5:F6"/>
    <mergeCell ref="G5:I5"/>
    <mergeCell ref="J5:J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margin nhiều mã</vt:lpstr>
      <vt:lpstr>short sell +margin</vt:lpstr>
      <vt:lpstr>thay đổi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QUOCDUY</dc:creator>
  <cp:lastModifiedBy>QUOCDUY</cp:lastModifiedBy>
  <dcterms:created xsi:type="dcterms:W3CDTF">2014-01-26T09:09:16Z</dcterms:created>
  <dcterms:modified xsi:type="dcterms:W3CDTF">2014-01-27T07:33:41Z</dcterms:modified>
</cp:coreProperties>
</file>