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345" windowWidth="15120" windowHeight="7185" firstSheet="4" activeTab="5"/>
  </bookViews>
  <sheets>
    <sheet name="Ginex_ UNC" sheetId="12" r:id="rId1"/>
    <sheet name="Chuyển khoản" sheetId="16" r:id="rId2"/>
    <sheet name="Tiền mặt" sheetId="15" r:id="rId3"/>
    <sheet name="Phiếu lương" sheetId="11" r:id="rId4"/>
    <sheet name="Bảng lương" sheetId="10" r:id="rId5"/>
    <sheet name="Bảng công T9" sheetId="3" r:id="rId6"/>
    <sheet name="Chưa trả đồ" sheetId="18" r:id="rId7"/>
    <sheet name="Nghỉ việc" sheetId="20" r:id="rId8"/>
    <sheet name="Công &amp; lương tăng cường" sheetId="17" r:id="rId9"/>
    <sheet name="Tham gia BH T9" sheetId="19" r:id="rId10"/>
    <sheet name="data nguồn" sheetId="7" r:id="rId11"/>
    <sheet name="TT OS &amp; TK" sheetId="1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_xlnm._FilterDatabase" localSheetId="6">#REF!</definedName>
    <definedName name="__xlnm._FilterDatabase" localSheetId="8">#REF!</definedName>
    <definedName name="__xlnm._FilterDatabase" localSheetId="10">#REF!</definedName>
    <definedName name="__xlnm._FilterDatabase" localSheetId="3">#REF!</definedName>
    <definedName name="__xlnm._FilterDatabase" localSheetId="9">#REF!</definedName>
    <definedName name="__xlnm._FilterDatabase" localSheetId="11">#REF!</definedName>
    <definedName name="__xlnm._FilterDatabase">#REF!</definedName>
    <definedName name="__xlnm._FilterDatabase_2">#N/A</definedName>
    <definedName name="__xlnm._FilterDatabase_3">#N/A</definedName>
    <definedName name="__xlnm._FilterDatabase_4" localSheetId="6">#REF!</definedName>
    <definedName name="__xlnm._FilterDatabase_4" localSheetId="8">#REF!</definedName>
    <definedName name="__xlnm._FilterDatabase_4" localSheetId="10">#REF!</definedName>
    <definedName name="__xlnm._FilterDatabase_4" localSheetId="3">#REF!</definedName>
    <definedName name="__xlnm._FilterDatabase_4" localSheetId="9">#REF!</definedName>
    <definedName name="__xlnm._FilterDatabase_4" localSheetId="11">#REF!</definedName>
    <definedName name="__xlnm._FilterDatabase_4">#REF!</definedName>
    <definedName name="__xlnm.Print_Area" localSheetId="6">#REF!</definedName>
    <definedName name="__xlnm.Print_Area" localSheetId="8">#REF!</definedName>
    <definedName name="__xlnm.Print_Area" localSheetId="10">#REF!</definedName>
    <definedName name="__xlnm.Print_Area" localSheetId="3">#REF!</definedName>
    <definedName name="__xlnm.Print_Area" localSheetId="9">#REF!</definedName>
    <definedName name="__xlnm.Print_Area" localSheetId="11">#REF!</definedName>
    <definedName name="__xlnm.Print_Area">#REF!</definedName>
    <definedName name="__xlnm.Print_Area_2">#N/A</definedName>
    <definedName name="__xlnm.Print_Area_3">#N/A</definedName>
    <definedName name="__xlnm.Print_Area_4" localSheetId="6">#REF!</definedName>
    <definedName name="__xlnm.Print_Area_4" localSheetId="8">#REF!</definedName>
    <definedName name="__xlnm.Print_Area_4" localSheetId="10">#REF!</definedName>
    <definedName name="__xlnm.Print_Area_4" localSheetId="3">#REF!</definedName>
    <definedName name="__xlnm.Print_Area_4" localSheetId="9">#REF!</definedName>
    <definedName name="__xlnm.Print_Area_4" localSheetId="11">#REF!</definedName>
    <definedName name="__xlnm.Print_Area_4">#REF!</definedName>
    <definedName name="__xlnm.Print_Titles" localSheetId="6">#REF!</definedName>
    <definedName name="__xlnm.Print_Titles" localSheetId="8">#REF!</definedName>
    <definedName name="__xlnm.Print_Titles" localSheetId="10">#REF!</definedName>
    <definedName name="__xlnm.Print_Titles" localSheetId="3">#REF!</definedName>
    <definedName name="__xlnm.Print_Titles" localSheetId="9">#REF!</definedName>
    <definedName name="__xlnm.Print_Titles" localSheetId="11">#REF!</definedName>
    <definedName name="__xlnm.Print_Titles">#REF!</definedName>
    <definedName name="__xlnm.Print_Titles_2">#N/A</definedName>
    <definedName name="__xlnm.Print_Titles_3">#N/A</definedName>
    <definedName name="__xlnm.Print_Titles_4" localSheetId="6">#REF!</definedName>
    <definedName name="__xlnm.Print_Titles_4" localSheetId="8">#REF!</definedName>
    <definedName name="__xlnm.Print_Titles_4" localSheetId="10">#REF!</definedName>
    <definedName name="__xlnm.Print_Titles_4" localSheetId="3">#REF!</definedName>
    <definedName name="__xlnm.Print_Titles_4" localSheetId="9">#REF!</definedName>
    <definedName name="__xlnm.Print_Titles_4" localSheetId="11">#REF!</definedName>
    <definedName name="__xlnm.Print_Titles_4">#REF!</definedName>
    <definedName name="_xlnm._FilterDatabase" localSheetId="5" hidden="1">'Bảng công T9'!$A$10:$HI$71</definedName>
    <definedName name="_xlnm._FilterDatabase" localSheetId="4" hidden="1">'Bảng lương'!$A$8:$AB$70</definedName>
    <definedName name="_xlnm._FilterDatabase" localSheetId="6" hidden="1">'Chưa trả đồ'!$A$11:$H$15</definedName>
    <definedName name="_xlnm._FilterDatabase" localSheetId="1" hidden="1">'Chuyển khoản'!$A$4:$H$42</definedName>
    <definedName name="_xlnm._FilterDatabase" localSheetId="8" hidden="1">'Công &amp; lương tăng cường'!$A$11:$EV$22</definedName>
    <definedName name="_xlnm._FilterDatabase" localSheetId="10" hidden="1">'data nguồn'!$A$8:$Q$160</definedName>
    <definedName name="_xlnm._FilterDatabase" localSheetId="9" hidden="1">'Tham gia BH T9'!$A$1:$AX$26</definedName>
    <definedName name="_xlnm._FilterDatabase" localSheetId="2" hidden="1">'Tiền mặt'!$A$6:$U$15</definedName>
    <definedName name="_xlnm._FilterDatabase" localSheetId="11" hidden="1">'TT OS &amp; TK'!$B$6:$M$119</definedName>
    <definedName name="A" localSheetId="5">[1]요약대차!#REF!</definedName>
    <definedName name="a" localSheetId="4">#REF!</definedName>
    <definedName name="a" localSheetId="6">#REF!</definedName>
    <definedName name="a" localSheetId="1">#REF!</definedName>
    <definedName name="a" localSheetId="8">#REF!</definedName>
    <definedName name="a" localSheetId="10">#REF!</definedName>
    <definedName name="a" localSheetId="0">#REF!</definedName>
    <definedName name="a" localSheetId="3">#REF!</definedName>
    <definedName name="a" localSheetId="9">#REF!</definedName>
    <definedName name="a" localSheetId="2">#REF!</definedName>
    <definedName name="a" localSheetId="11">#REF!</definedName>
    <definedName name="A">[1]요약대차!#REF!</definedName>
    <definedName name="aa" localSheetId="6">#REF!</definedName>
    <definedName name="aa" localSheetId="8">#REF!</definedName>
    <definedName name="aa" localSheetId="10">#REF!</definedName>
    <definedName name="aa" localSheetId="3">#REF!</definedName>
    <definedName name="aa" localSheetId="9">#REF!</definedName>
    <definedName name="aa" localSheetId="11">#REF!</definedName>
    <definedName name="aa">#REF!</definedName>
    <definedName name="abc" localSheetId="5">#REF!</definedName>
    <definedName name="abc" localSheetId="6">#REF!</definedName>
    <definedName name="abc">#REF!</definedName>
    <definedName name="aqq" localSheetId="5">#REF!</definedName>
    <definedName name="aqq">#REF!</definedName>
    <definedName name="CALC_DATA" localSheetId="5">#REF!</definedName>
    <definedName name="CALC_DATA">#REF!</definedName>
    <definedName name="client">[2]admin!$C$13</definedName>
    <definedName name="d" localSheetId="5">#REF!</definedName>
    <definedName name="d" localSheetId="6">#REF!</definedName>
    <definedName name="d" localSheetId="8">#REF!</definedName>
    <definedName name="d" localSheetId="10">#REF!</definedName>
    <definedName name="d" localSheetId="3">#REF!</definedName>
    <definedName name="d" localSheetId="9">#REF!</definedName>
    <definedName name="d" localSheetId="11">#REF!</definedName>
    <definedName name="d">#REF!</definedName>
    <definedName name="da" localSheetId="5">#REF!</definedName>
    <definedName name="da" localSheetId="6">#REF!</definedName>
    <definedName name="da">#REF!</definedName>
    <definedName name="DataVCB" localSheetId="6">OFFSET(#REF!,0,0,COUNTA(#REF!))</definedName>
    <definedName name="DataVCB" localSheetId="8">OFFSET(#REF!,0,0,COUNTA(#REF!))</definedName>
    <definedName name="DataVCB">OFFSET(#REF!,0,0,COUNTA(#REF!))</definedName>
    <definedName name="dd" localSheetId="5">[1]요약대차!#REF!</definedName>
    <definedName name="dd" localSheetId="6">[1]요약대차!#REF!</definedName>
    <definedName name="dd" localSheetId="8">[1]요약대차!#REF!</definedName>
    <definedName name="dd">[1]요약대차!#REF!</definedName>
    <definedName name="ddddddd" localSheetId="5">#REF!</definedName>
    <definedName name="ddddddd" localSheetId="4">#REF!</definedName>
    <definedName name="ddddddd" localSheetId="6">#REF!</definedName>
    <definedName name="ddddddd" localSheetId="1">#REF!</definedName>
    <definedName name="ddddddd" localSheetId="8">#REF!</definedName>
    <definedName name="ddddddd" localSheetId="0">#REF!</definedName>
    <definedName name="ddddddd" localSheetId="3">#REF!</definedName>
    <definedName name="ddddddd" localSheetId="2">#REF!</definedName>
    <definedName name="ddddddd" localSheetId="11">#REF!</definedName>
    <definedName name="ddddddd">#REF!</definedName>
    <definedName name="ds">"#REF!"</definedName>
    <definedName name="ds_1">"#REF!"</definedName>
    <definedName name="ds_2">"#REF!"</definedName>
    <definedName name="ds_3">"#REF!"</definedName>
    <definedName name="ds_4">"#REF!"</definedName>
    <definedName name="ds_5">"#REF!"</definedName>
    <definedName name="DSNV">"#REF!"</definedName>
    <definedName name="DSNV_1">"#REF!"</definedName>
    <definedName name="DSNV_2">"#REF!"</definedName>
    <definedName name="DSNV_3">"#REF!"</definedName>
    <definedName name="DSNV_4">"#REF!"</definedName>
    <definedName name="DSNV_5">"#REF!"</definedName>
    <definedName name="dsnvct">"#REF!"</definedName>
    <definedName name="dsnvct_1">"#REF!"</definedName>
    <definedName name="dsnvct_2">"#REF!"</definedName>
    <definedName name="dsnvct_3">"#REF!"</definedName>
    <definedName name="dsnvct_4">"#REF!"</definedName>
    <definedName name="dsnvct_5">"#REF!"</definedName>
    <definedName name="END">[2]admin!$C$15</definedName>
    <definedName name="FLUCTUATIONS" localSheetId="5">#REF!</definedName>
    <definedName name="FLUCTUATIONS" localSheetId="4">#REF!</definedName>
    <definedName name="FLUCTUATIONS" localSheetId="6">#REF!</definedName>
    <definedName name="FLUCTUATIONS" localSheetId="1">#REF!</definedName>
    <definedName name="FLUCTUATIONS" localSheetId="8">#REF!</definedName>
    <definedName name="FLUCTUATIONS" localSheetId="0">#REF!</definedName>
    <definedName name="FLUCTUATIONS" localSheetId="3">#REF!</definedName>
    <definedName name="FLUCTUATIONS" localSheetId="2">#REF!</definedName>
    <definedName name="FLUCTUATIONS" localSheetId="11">#REF!</definedName>
    <definedName name="FLUCTUATIONS">#REF!</definedName>
    <definedName name="HTNV">"#REF!"</definedName>
    <definedName name="HTNV_1">"#REF!"</definedName>
    <definedName name="HTNV_2">"#REF!"</definedName>
    <definedName name="HTNV_3">"#REF!"</definedName>
    <definedName name="HTNV_4">"#REF!"</definedName>
    <definedName name="HTNV_5">"#REF!"</definedName>
    <definedName name="INPUT" localSheetId="5">#REF!</definedName>
    <definedName name="INPUT" localSheetId="6">#REF!</definedName>
    <definedName name="INPUT" localSheetId="8">#REF!</definedName>
    <definedName name="INPUT">#REF!</definedName>
    <definedName name="k" localSheetId="5">#REF!</definedName>
    <definedName name="k" localSheetId="6">#REF!</definedName>
    <definedName name="k">#REF!</definedName>
    <definedName name="mui" localSheetId="6">#REF!</definedName>
    <definedName name="mui">#REF!</definedName>
    <definedName name="NVCT">"#REF!"</definedName>
    <definedName name="NVCT_1">"#REF!"</definedName>
    <definedName name="NVCT_2">"#REF!"</definedName>
    <definedName name="NVCT_3">"#REF!"</definedName>
    <definedName name="NVCT_4">"#REF!"</definedName>
    <definedName name="NVCT_5">"#REF!"</definedName>
    <definedName name="OUTPUT" localSheetId="5">#REF!</definedName>
    <definedName name="OUTPUT" localSheetId="6">#REF!</definedName>
    <definedName name="OUTPUT" localSheetId="8">#REF!</definedName>
    <definedName name="OUTPUT">#REF!</definedName>
    <definedName name="_xlnm.Print_Area" localSheetId="6">'Chưa trả đồ'!$A$1:$H$15</definedName>
    <definedName name="_xlnm.Print_Area" localSheetId="8">'Công &amp; lương tăng cường'!$A$1:$EK$23</definedName>
    <definedName name="_xlnm.Print_Area" localSheetId="10">'data nguồn'!$A$1:$Q$109</definedName>
    <definedName name="_xlnm.Print_Area" localSheetId="0">'Ginex_ UNC'!$A$1:$L$59</definedName>
    <definedName name="_xlnm.Print_Area" localSheetId="3">'Phiếu lương'!$A$1:$H$78</definedName>
    <definedName name="_xlnm.Print_Area" localSheetId="9">'Tham gia BH T9'!$A$1:$N$31</definedName>
    <definedName name="_xlnm.Print_Area" localSheetId="11">'TT OS &amp; TK'!$A$1:$O$123</definedName>
    <definedName name="_xlnm.Print_Titles" localSheetId="6">'Chưa trả đồ'!$A:$H,'Chưa trả đồ'!$8:$10</definedName>
    <definedName name="_xlnm.Print_Titles" localSheetId="1">'Chuyển khoản'!$1:$3</definedName>
    <definedName name="_xlnm.Print_Titles" localSheetId="8">'Công &amp; lương tăng cường'!$A:$N,'Công &amp; lương tăng cường'!$8:$10</definedName>
    <definedName name="_xlnm.Print_Titles" localSheetId="2">'Tiền mặt'!$6:$8</definedName>
    <definedName name="RANGE_FORMULA" localSheetId="5">OFFSET(#REF!, 1, 0, [0]!VN_DATA_COUNT, 1)</definedName>
    <definedName name="RANGE_FORMULA" localSheetId="4">OFFSET(#REF!, 1, 0, VN_DATA_COUNT, 1)</definedName>
    <definedName name="RANGE_FORMULA" localSheetId="6">OFFSET(#REF!, 1, 0, VN_DATA_COUNT, 1)</definedName>
    <definedName name="RANGE_FORMULA" localSheetId="1">OFFSET(#REF!, 1, 0, VN_DATA_COUNT, 1)</definedName>
    <definedName name="RANGE_FORMULA" localSheetId="8">OFFSET(#REF!, 1, 0, VN_DATA_COUNT, 1)</definedName>
    <definedName name="RANGE_FORMULA" localSheetId="0">OFFSET(#REF!, 1, 0, VN_DATA_COUNT, 1)</definedName>
    <definedName name="RANGE_FORMULA" localSheetId="3">OFFSET(#REF!, 1, 0, VN_DATA_COUNT, 1)</definedName>
    <definedName name="RANGE_FORMULA" localSheetId="2">OFFSET(#REF!, 1, 0, VN_DATA_COUNT, 1)</definedName>
    <definedName name="RANGE_FORMULA" localSheetId="11">OFFSET(#REF!, 1, 0, VN_DATA_COUNT, 1)</definedName>
    <definedName name="RANGE_FORMULA">OFFSET(#REF!, 1, 0, VN_DATA_COUNT, 1)</definedName>
    <definedName name="RATIOS" localSheetId="5">#REF!</definedName>
    <definedName name="RATIOS" localSheetId="6">#REF!</definedName>
    <definedName name="RATIOS" localSheetId="8">#REF!</definedName>
    <definedName name="RATIOS">#REF!</definedName>
    <definedName name="sf" localSheetId="6">#REF!</definedName>
    <definedName name="sf" localSheetId="8">#REF!</definedName>
    <definedName name="sf" localSheetId="10">#REF!</definedName>
    <definedName name="sf" localSheetId="3">#REF!</definedName>
    <definedName name="sf" localSheetId="9">#REF!</definedName>
    <definedName name="sf" localSheetId="11">#REF!</definedName>
    <definedName name="sf">#REF!</definedName>
    <definedName name="SM_TECH2015" localSheetId="6">#REF!</definedName>
    <definedName name="SM_TECH2015" localSheetId="8">#REF!</definedName>
    <definedName name="SM_TECH2015" localSheetId="10">#REF!</definedName>
    <definedName name="SM_TECH2015" localSheetId="3">#REF!</definedName>
    <definedName name="SM_TECH2015" localSheetId="9">#REF!</definedName>
    <definedName name="SM_TECH2015" localSheetId="11">#REF!</definedName>
    <definedName name="SM_TECH2015">#REF!</definedName>
    <definedName name="SMTECH" localSheetId="6">#REF!</definedName>
    <definedName name="SMTECH" localSheetId="8">#REF!</definedName>
    <definedName name="SMTECH" localSheetId="10">#REF!</definedName>
    <definedName name="SMTECH" localSheetId="3">#REF!</definedName>
    <definedName name="SMTECH" localSheetId="9">#REF!</definedName>
    <definedName name="SMTECH" localSheetId="11">#REF!</definedName>
    <definedName name="SMTECH">#REF!</definedName>
    <definedName name="ư" localSheetId="6">#REF!</definedName>
    <definedName name="ư" localSheetId="8">#REF!</definedName>
    <definedName name="ư" localSheetId="10">#REF!</definedName>
    <definedName name="ư" localSheetId="3">#REF!</definedName>
    <definedName name="ư" localSheetId="9">#REF!</definedName>
    <definedName name="ư">#REF!</definedName>
    <definedName name="VN_DATA_COUNT">[3]PARAM!$C$14</definedName>
    <definedName name="VS_AFTER_TYPE">[3]PARAM!$C$16</definedName>
    <definedName name="VS_ORG_TYPE">[3]PARAM!$C$17</definedName>
    <definedName name="VS_PRODUCT">[3]PARAM!$C$5</definedName>
    <definedName name="VS_SUBSIDIARY">[3]PARAM!$C$4</definedName>
    <definedName name="VS_YYYYMM">[3]PARAM!$C$3</definedName>
    <definedName name="www" localSheetId="4">#REF!</definedName>
    <definedName name="www" localSheetId="6">#REF!</definedName>
    <definedName name="www" localSheetId="1">#REF!</definedName>
    <definedName name="www" localSheetId="8">#REF!</definedName>
    <definedName name="www" localSheetId="0">#REF!</definedName>
    <definedName name="www" localSheetId="3">#REF!</definedName>
    <definedName name="www" localSheetId="2">#REF!</definedName>
    <definedName name="www" localSheetId="11">#REF!</definedName>
    <definedName name="www">#REF!</definedName>
    <definedName name="계정과목">[4]계정과목!$B$1:$B$40</definedName>
    <definedName name="계정코드">[5]계정code!$A$2:$C$674</definedName>
    <definedName name="금액범위">INDIRECT("자금집행내역!$E$3:$E$"&amp;COUNTA([6]자금집행내역!$E$2:$E$65536)+1)</definedName>
    <definedName name="기말">[7]Ctrl!$C$5</definedName>
    <definedName name="기초">[7]Ctrl!$C$4</definedName>
    <definedName name="날짜">[2]admin!$G$2</definedName>
    <definedName name="동양종금" localSheetId="5">#REF!</definedName>
    <definedName name="동양종금" localSheetId="4">#REF!</definedName>
    <definedName name="동양종금" localSheetId="6">#REF!</definedName>
    <definedName name="동양종금" localSheetId="1">#REF!</definedName>
    <definedName name="동양종금" localSheetId="8">#REF!</definedName>
    <definedName name="동양종금" localSheetId="0">#REF!</definedName>
    <definedName name="동양종금" localSheetId="3">#REF!</definedName>
    <definedName name="동양종금" localSheetId="2">#REF!</definedName>
    <definedName name="동양종금" localSheetId="11">#REF!</definedName>
    <definedName name="동양종금">#REF!</definedName>
    <definedName name="매출채권" localSheetId="5">#REF!</definedName>
    <definedName name="매출채권" localSheetId="6">#REF!</definedName>
    <definedName name="매출채권">#REF!</definedName>
    <definedName name="보증금" localSheetId="5">#REF!</definedName>
    <definedName name="보증금" localSheetId="6">#REF!</definedName>
    <definedName name="보증금">#REF!</definedName>
    <definedName name="분류">[8]참조표!$A$2:$A$66</definedName>
    <definedName name="상조회비" localSheetId="5">#REF!</definedName>
    <definedName name="상조회비" localSheetId="4">#REF!</definedName>
    <definedName name="상조회비" localSheetId="6">#REF!</definedName>
    <definedName name="상조회비" localSheetId="1">#REF!</definedName>
    <definedName name="상조회비" localSheetId="8">#REF!</definedName>
    <definedName name="상조회비" localSheetId="0">#REF!</definedName>
    <definedName name="상조회비" localSheetId="3">#REF!</definedName>
    <definedName name="상조회비" localSheetId="2">#REF!</definedName>
    <definedName name="상조회비" localSheetId="11">#REF!</definedName>
    <definedName name="상조회비">#REF!</definedName>
    <definedName name="상품명">[8]참조표!$B$2:$B$204</definedName>
    <definedName name="세율" localSheetId="5">#REF!</definedName>
    <definedName name="세율" localSheetId="4">#REF!</definedName>
    <definedName name="세율" localSheetId="6">#REF!</definedName>
    <definedName name="세율" localSheetId="1">#REF!</definedName>
    <definedName name="세율" localSheetId="8">#REF!</definedName>
    <definedName name="세율" localSheetId="0">#REF!</definedName>
    <definedName name="세율" localSheetId="3">#REF!</definedName>
    <definedName name="세율" localSheetId="2">#REF!</definedName>
    <definedName name="세율" localSheetId="11">#REF!</definedName>
    <definedName name="세율">#REF!</definedName>
    <definedName name="ㅇㅇ" localSheetId="5">[9]Ctrl!#REF!</definedName>
    <definedName name="ㅇㅇ" localSheetId="4">[9]Ctrl!#REF!</definedName>
    <definedName name="ㅇㅇ" localSheetId="6">[9]Ctrl!#REF!</definedName>
    <definedName name="ㅇㅇ" localSheetId="1">[9]Ctrl!#REF!</definedName>
    <definedName name="ㅇㅇ" localSheetId="8">[9]Ctrl!#REF!</definedName>
    <definedName name="ㅇㅇ" localSheetId="0">[9]Ctrl!#REF!</definedName>
    <definedName name="ㅇㅇ" localSheetId="3">[9]Ctrl!#REF!</definedName>
    <definedName name="ㅇㅇ" localSheetId="2">[9]Ctrl!#REF!</definedName>
    <definedName name="ㅇㅇ" localSheetId="11">[9]Ctrl!#REF!</definedName>
    <definedName name="ㅇㅇ">[9]Ctrl!#REF!</definedName>
    <definedName name="월코드범위">INDIRECT("자금집행내역!$J$3:$J$"&amp;COUNTA([6]자금집행내역!$J$2:$J$65536)+1)</definedName>
    <definedName name="이름">[2]admin!$E$2</definedName>
    <definedName name="이성우">[8]참조표!$B$2:$B$204</definedName>
    <definedName name="일코드범위">INDIRECT("자금집행내역!$L$3:$L$"&amp;COUNTA([6]자금집행내역!$L$2:$L$65536)+1)</definedName>
    <definedName name="임시">[10]T48a!$D$64,[10]T48a!$E$57,[10]T48a!$D$36,[10]T48a!$D$28,[10]T48a!$D$16</definedName>
    <definedName name="제품코드">[11]참조표!$B$1:$B$438</definedName>
    <definedName name="주코드범위">INDIRECT("자금집행내역!$K$3:$K$"&amp;COUNTA([6]자금집행내역!$K$2:$K$65536)+1)</definedName>
    <definedName name="지출예정일범위">INDIRECT("자금집행내역!$I$3:$I$"&amp;COUNTA([6]자금집행내역!$I$2:$I$65536)+1)</definedName>
    <definedName name="최충현" localSheetId="5">#REF!</definedName>
    <definedName name="최충현" localSheetId="6">#REF!</definedName>
    <definedName name="최충현" localSheetId="8">#REF!</definedName>
    <definedName name="최충현">#REF!</definedName>
    <definedName name="코드수식복사범위">INDIRECT("자금집행내역!$J$3:$L$"&amp;COUNTA([6]자금집행내역!$E$2:$E$65536)+1)</definedName>
    <definedName name="환율" localSheetId="5">[9]Ctrl!#REF!</definedName>
    <definedName name="환율" localSheetId="6">[9]Ctrl!#REF!</definedName>
    <definedName name="환율" localSheetId="8">[9]Ctrl!#REF!</definedName>
    <definedName name="환율">[9]Ctrl!#REF!</definedName>
  </definedNames>
  <calcPr calcId="144525"/>
</workbook>
</file>

<file path=xl/calcChain.xml><?xml version="1.0" encoding="utf-8"?>
<calcChain xmlns="http://schemas.openxmlformats.org/spreadsheetml/2006/main">
  <c r="HI12" i="3" l="1"/>
  <c r="HI13" i="3"/>
  <c r="HI14" i="3"/>
  <c r="HI15" i="3"/>
  <c r="HI16" i="3"/>
  <c r="HI17" i="3"/>
  <c r="HI18" i="3"/>
  <c r="HI19" i="3"/>
  <c r="HI20" i="3"/>
  <c r="HI21" i="3"/>
  <c r="HI22" i="3"/>
  <c r="HI23" i="3"/>
  <c r="HI24" i="3"/>
  <c r="HI25" i="3"/>
  <c r="HI26" i="3"/>
  <c r="HI27" i="3"/>
  <c r="HI28" i="3"/>
  <c r="HI29" i="3"/>
  <c r="HI30" i="3"/>
  <c r="HI31" i="3"/>
  <c r="HI32" i="3"/>
  <c r="HI33" i="3"/>
  <c r="HI34" i="3"/>
  <c r="HI35" i="3"/>
  <c r="HI36" i="3"/>
  <c r="HI37" i="3"/>
  <c r="HI38" i="3"/>
  <c r="HI39" i="3"/>
  <c r="HI40" i="3"/>
  <c r="HI41" i="3"/>
  <c r="HI42" i="3"/>
  <c r="HI43" i="3"/>
  <c r="HI44" i="3"/>
  <c r="HI45" i="3"/>
  <c r="HI46" i="3"/>
  <c r="HI47" i="3"/>
  <c r="HI48" i="3"/>
  <c r="HI49" i="3"/>
  <c r="HI50" i="3"/>
  <c r="HI51" i="3"/>
  <c r="HI52" i="3"/>
  <c r="HI53" i="3"/>
  <c r="HI54" i="3"/>
  <c r="HI55" i="3"/>
  <c r="HI56" i="3"/>
  <c r="HI57" i="3"/>
  <c r="HI58" i="3"/>
  <c r="HI59" i="3"/>
  <c r="HI60" i="3"/>
  <c r="HI61" i="3"/>
  <c r="HI62" i="3"/>
  <c r="HI63" i="3"/>
  <c r="HI64" i="3"/>
  <c r="HI65" i="3"/>
  <c r="HI66" i="3"/>
  <c r="HI67" i="3"/>
  <c r="HI68" i="3"/>
  <c r="HI69" i="3"/>
  <c r="HI11" i="3"/>
  <c r="HH22" i="3"/>
  <c r="HH23" i="3"/>
  <c r="HH24" i="3"/>
  <c r="HH25" i="3"/>
  <c r="HH26" i="3"/>
  <c r="HH27" i="3"/>
  <c r="HH28" i="3"/>
  <c r="HH29" i="3"/>
  <c r="HH30" i="3"/>
  <c r="HH31" i="3"/>
  <c r="HH32" i="3"/>
  <c r="HH33" i="3"/>
  <c r="HH34" i="3"/>
  <c r="HH35" i="3"/>
  <c r="HH36" i="3"/>
  <c r="HH37" i="3"/>
  <c r="HH38" i="3"/>
  <c r="HH39" i="3"/>
  <c r="HH40" i="3"/>
  <c r="HH41" i="3"/>
  <c r="HH42" i="3"/>
  <c r="HH43" i="3"/>
  <c r="HH44" i="3"/>
  <c r="HH45" i="3"/>
  <c r="HH46" i="3"/>
  <c r="HH47" i="3"/>
  <c r="HH48" i="3"/>
  <c r="HH49" i="3"/>
  <c r="HH50" i="3"/>
  <c r="HH51" i="3"/>
  <c r="HH52" i="3"/>
  <c r="HH53" i="3"/>
  <c r="HH54" i="3"/>
  <c r="HH55" i="3"/>
  <c r="HH56" i="3"/>
  <c r="HH57" i="3"/>
  <c r="HH58" i="3"/>
  <c r="HH59" i="3"/>
  <c r="HH60" i="3"/>
  <c r="HH61" i="3"/>
  <c r="HH62" i="3"/>
  <c r="HH63" i="3"/>
  <c r="HH64" i="3"/>
  <c r="HH65" i="3"/>
  <c r="HH66" i="3"/>
  <c r="HH67" i="3"/>
  <c r="HH68" i="3"/>
  <c r="HH69" i="3"/>
  <c r="HH12" i="3"/>
  <c r="HH13" i="3"/>
  <c r="HH14" i="3"/>
  <c r="HH15" i="3"/>
  <c r="HH16" i="3"/>
  <c r="HH17" i="3"/>
  <c r="HH18" i="3"/>
  <c r="HH19" i="3"/>
  <c r="HH20" i="3"/>
  <c r="HH21" i="3"/>
  <c r="HH11" i="3"/>
  <c r="HG12" i="3"/>
  <c r="HG13" i="3"/>
  <c r="HG14" i="3"/>
  <c r="HG15" i="3"/>
  <c r="HG16" i="3"/>
  <c r="HG17" i="3"/>
  <c r="HG18" i="3"/>
  <c r="HG19" i="3"/>
  <c r="HG20" i="3"/>
  <c r="HG21" i="3"/>
  <c r="HG22" i="3"/>
  <c r="HG23" i="3"/>
  <c r="HG24" i="3"/>
  <c r="HG25" i="3"/>
  <c r="HG26" i="3"/>
  <c r="HG27" i="3"/>
  <c r="HG28" i="3"/>
  <c r="HG29" i="3"/>
  <c r="HG30" i="3"/>
  <c r="HG31" i="3"/>
  <c r="HG32" i="3"/>
  <c r="HG33" i="3"/>
  <c r="HG34" i="3"/>
  <c r="HG35" i="3"/>
  <c r="HG36" i="3"/>
  <c r="HG37" i="3"/>
  <c r="HG38" i="3"/>
  <c r="HG39" i="3"/>
  <c r="HG40" i="3"/>
  <c r="HG41" i="3"/>
  <c r="HG42" i="3"/>
  <c r="HG43" i="3"/>
  <c r="HG44" i="3"/>
  <c r="HG45" i="3"/>
  <c r="HG46" i="3"/>
  <c r="HG47" i="3"/>
  <c r="HG48" i="3"/>
  <c r="HG49" i="3"/>
  <c r="HG50" i="3"/>
  <c r="HG51" i="3"/>
  <c r="HG52" i="3"/>
  <c r="HG53" i="3"/>
  <c r="HG54" i="3"/>
  <c r="HG55" i="3"/>
  <c r="HG56" i="3"/>
  <c r="HG57" i="3"/>
  <c r="HG58" i="3"/>
  <c r="HG59" i="3"/>
  <c r="HG60" i="3"/>
  <c r="HG61" i="3"/>
  <c r="HG62" i="3"/>
  <c r="HG63" i="3"/>
  <c r="HG64" i="3"/>
  <c r="HG65" i="3"/>
  <c r="HG66" i="3"/>
  <c r="HG67" i="3"/>
  <c r="HG68" i="3"/>
  <c r="HG69" i="3"/>
  <c r="HG11" i="3"/>
  <c r="E18" i="20" l="1"/>
  <c r="GY10" i="3"/>
  <c r="N48" i="10" l="1"/>
  <c r="N65" i="10"/>
  <c r="M46" i="10" l="1"/>
  <c r="M48" i="10"/>
  <c r="M57" i="10"/>
  <c r="M63" i="10"/>
  <c r="M64" i="10"/>
  <c r="GX10" i="3"/>
  <c r="GX56" i="3"/>
  <c r="M54" i="10" s="1"/>
  <c r="GX57" i="3"/>
  <c r="GX66" i="3"/>
  <c r="GX69" i="3"/>
  <c r="M65" i="10" s="1"/>
  <c r="C18" i="10" l="1"/>
  <c r="R12" i="10" l="1"/>
  <c r="R25" i="10"/>
  <c r="R34" i="10"/>
  <c r="R38" i="10"/>
  <c r="R44" i="10"/>
  <c r="R48" i="10"/>
  <c r="R52" i="10"/>
  <c r="R56" i="10"/>
  <c r="R60" i="10"/>
  <c r="R64" i="10"/>
  <c r="R65" i="10"/>
  <c r="R63" i="10"/>
  <c r="R62" i="10"/>
  <c r="R61" i="10"/>
  <c r="R59" i="10"/>
  <c r="R58" i="10"/>
  <c r="R57" i="10"/>
  <c r="R55" i="10"/>
  <c r="R54" i="10"/>
  <c r="R53" i="10"/>
  <c r="R51" i="10"/>
  <c r="R50" i="10"/>
  <c r="R49" i="10"/>
  <c r="R47" i="10"/>
  <c r="R46" i="10"/>
  <c r="R45" i="10"/>
  <c r="J43" i="10"/>
  <c r="J42" i="10"/>
  <c r="R41" i="10"/>
  <c r="R40" i="10"/>
  <c r="R39" i="10"/>
  <c r="R37" i="10"/>
  <c r="R36" i="10"/>
  <c r="R35" i="10"/>
  <c r="J33" i="10"/>
  <c r="J32" i="10"/>
  <c r="R31" i="10"/>
  <c r="R30" i="10"/>
  <c r="J29" i="10"/>
  <c r="J28" i="10"/>
  <c r="J27" i="10"/>
  <c r="R26" i="10"/>
  <c r="J24" i="10"/>
  <c r="J23" i="10"/>
  <c r="R22" i="10"/>
  <c r="J21" i="10"/>
  <c r="J20" i="10"/>
  <c r="J19" i="10"/>
  <c r="J18" i="10"/>
  <c r="J17" i="10"/>
  <c r="J16" i="10"/>
  <c r="R14" i="10"/>
  <c r="R13" i="10"/>
  <c r="R11" i="10"/>
  <c r="R10" i="10"/>
  <c r="R9" i="10"/>
  <c r="J15" i="10"/>
  <c r="AV27" i="19"/>
  <c r="AW26" i="19"/>
  <c r="AV26" i="19"/>
  <c r="AU26" i="19"/>
  <c r="AW25" i="19"/>
  <c r="AV25" i="19"/>
  <c r="AU25" i="19"/>
  <c r="AW24" i="19"/>
  <c r="AV24" i="19"/>
  <c r="AU24" i="19"/>
  <c r="C24" i="19"/>
  <c r="AW23" i="19"/>
  <c r="AV23" i="19"/>
  <c r="AU23" i="19"/>
  <c r="AW22" i="19"/>
  <c r="AV22" i="19"/>
  <c r="AU22" i="19"/>
  <c r="AW21" i="19"/>
  <c r="AV21" i="19"/>
  <c r="AU21" i="19"/>
  <c r="AW20" i="19"/>
  <c r="AV20" i="19"/>
  <c r="AU20" i="19"/>
  <c r="AW19" i="19"/>
  <c r="AV19" i="19"/>
  <c r="AU19" i="19"/>
  <c r="AW18" i="19"/>
  <c r="AV18" i="19"/>
  <c r="AU18" i="19"/>
  <c r="AW17" i="19"/>
  <c r="AV17" i="19"/>
  <c r="AU17" i="19"/>
  <c r="AW16" i="19"/>
  <c r="AV16" i="19"/>
  <c r="AU16" i="19"/>
  <c r="AW15" i="19"/>
  <c r="AV15" i="19"/>
  <c r="AU15" i="19"/>
  <c r="AW14" i="19"/>
  <c r="AV14" i="19"/>
  <c r="AU14" i="19"/>
  <c r="AW13" i="19"/>
  <c r="AV13" i="19"/>
  <c r="AU13" i="19"/>
  <c r="AW12" i="19"/>
  <c r="AV12" i="19"/>
  <c r="AU12" i="19"/>
  <c r="AW11" i="19"/>
  <c r="AV11" i="19"/>
  <c r="AU11" i="19"/>
  <c r="N11" i="19"/>
  <c r="J11" i="19"/>
  <c r="AW10" i="19"/>
  <c r="AV10" i="19"/>
  <c r="AU10" i="19"/>
  <c r="N10" i="19"/>
  <c r="E34" i="10"/>
  <c r="F34" i="10"/>
  <c r="E35" i="10"/>
  <c r="F35" i="10"/>
  <c r="C36" i="10"/>
  <c r="D36" i="10"/>
  <c r="E36" i="10"/>
  <c r="F36" i="10"/>
  <c r="G36" i="10"/>
  <c r="E37" i="10"/>
  <c r="F37" i="10"/>
  <c r="E38" i="10"/>
  <c r="F38" i="10"/>
  <c r="D39" i="10"/>
  <c r="E39" i="10"/>
  <c r="F39" i="10"/>
  <c r="E40" i="10"/>
  <c r="F40" i="10"/>
  <c r="E41" i="10"/>
  <c r="F41" i="10"/>
  <c r="D42" i="10"/>
  <c r="E42" i="10"/>
  <c r="F42" i="10"/>
  <c r="C43" i="10"/>
  <c r="D43" i="10"/>
  <c r="E43" i="10"/>
  <c r="F43" i="10"/>
  <c r="G43" i="10"/>
  <c r="C44" i="10"/>
  <c r="D44" i="10"/>
  <c r="E44" i="10"/>
  <c r="F44" i="10"/>
  <c r="G44" i="10"/>
  <c r="C45" i="10"/>
  <c r="D45" i="10"/>
  <c r="E45" i="10"/>
  <c r="F45" i="10"/>
  <c r="G45" i="10"/>
  <c r="C46" i="10"/>
  <c r="D46" i="10"/>
  <c r="E46" i="10"/>
  <c r="F46" i="10"/>
  <c r="G46" i="10"/>
  <c r="C47" i="10"/>
  <c r="D47" i="10"/>
  <c r="E47" i="10"/>
  <c r="F47" i="10"/>
  <c r="G47" i="10"/>
  <c r="C48" i="10"/>
  <c r="D48" i="10"/>
  <c r="E48" i="10"/>
  <c r="F48" i="10"/>
  <c r="G48" i="10"/>
  <c r="C49" i="10"/>
  <c r="D49" i="10"/>
  <c r="E49" i="10"/>
  <c r="F49" i="10"/>
  <c r="G49" i="10"/>
  <c r="C50" i="10"/>
  <c r="D50" i="10"/>
  <c r="E50" i="10"/>
  <c r="F50" i="10"/>
  <c r="G50" i="10"/>
  <c r="C51" i="10"/>
  <c r="D51" i="10"/>
  <c r="E51" i="10"/>
  <c r="F51" i="10"/>
  <c r="G51" i="10"/>
  <c r="C52" i="10"/>
  <c r="D52" i="10"/>
  <c r="E52" i="10"/>
  <c r="F52" i="10"/>
  <c r="G52" i="10"/>
  <c r="J15" i="18"/>
  <c r="J14" i="18"/>
  <c r="J13" i="18"/>
  <c r="J12" i="18"/>
  <c r="HB43" i="3"/>
  <c r="AW27" i="19" l="1"/>
  <c r="R43" i="10"/>
  <c r="R42" i="10"/>
  <c r="EH22" i="17"/>
  <c r="EG22" i="17"/>
  <c r="EF22" i="17"/>
  <c r="EE22" i="17"/>
  <c r="ED22" i="17"/>
  <c r="EC22" i="17"/>
  <c r="EB22" i="17"/>
  <c r="EA22" i="17"/>
  <c r="DZ22" i="17"/>
  <c r="DY22" i="17"/>
  <c r="DX22" i="17"/>
  <c r="DW22" i="17"/>
  <c r="DV22" i="17"/>
  <c r="DU22" i="17"/>
  <c r="DT22" i="17"/>
  <c r="DS22" i="17"/>
  <c r="DR22" i="17"/>
  <c r="DQ22" i="17"/>
  <c r="DP22" i="17"/>
  <c r="DO22" i="17"/>
  <c r="DL22" i="17"/>
  <c r="DK22" i="17"/>
  <c r="DJ22" i="17"/>
  <c r="DI22" i="17"/>
  <c r="DH22" i="17"/>
  <c r="DG22" i="17"/>
  <c r="DF22" i="17"/>
  <c r="DE22" i="17"/>
  <c r="DD22" i="17"/>
  <c r="DC22" i="17"/>
  <c r="DB22" i="17"/>
  <c r="DA22" i="17"/>
  <c r="CZ22" i="17"/>
  <c r="CY22" i="17"/>
  <c r="CX22" i="17"/>
  <c r="CW22" i="17"/>
  <c r="CV22" i="17"/>
  <c r="CU22" i="17"/>
  <c r="CT22" i="17"/>
  <c r="CS22" i="17"/>
  <c r="CR22" i="17"/>
  <c r="CQ22" i="17"/>
  <c r="CP22" i="17"/>
  <c r="CO22" i="17"/>
  <c r="CN22" i="17"/>
  <c r="CM22" i="17"/>
  <c r="CJ22" i="17"/>
  <c r="CI22" i="17"/>
  <c r="CF22" i="17"/>
  <c r="CE22" i="17"/>
  <c r="CD22" i="17"/>
  <c r="CC22" i="17"/>
  <c r="CB22" i="17"/>
  <c r="CA22" i="17"/>
  <c r="BZ22" i="17"/>
  <c r="BY22" i="17"/>
  <c r="BX22" i="17"/>
  <c r="BW22" i="17"/>
  <c r="BT22" i="17"/>
  <c r="BS22" i="17"/>
  <c r="BP22" i="17"/>
  <c r="BO22" i="17"/>
  <c r="BL22" i="17"/>
  <c r="BK22" i="17"/>
  <c r="BH22" i="17"/>
  <c r="BG22" i="17"/>
  <c r="BD22" i="17"/>
  <c r="BC22" i="17"/>
  <c r="AZ22" i="17"/>
  <c r="AY22" i="17"/>
  <c r="AV22" i="17"/>
  <c r="AU22" i="17"/>
  <c r="AR22" i="17"/>
  <c r="AQ22" i="17"/>
  <c r="AP22" i="17"/>
  <c r="AO22" i="17"/>
  <c r="AN22" i="17"/>
  <c r="AM22" i="17"/>
  <c r="AL22" i="17"/>
  <c r="AK22" i="17"/>
  <c r="AJ22" i="17"/>
  <c r="AI22" i="17"/>
  <c r="AF22" i="17"/>
  <c r="AE22" i="17"/>
  <c r="AB22" i="17"/>
  <c r="AA22" i="17"/>
  <c r="X22" i="17"/>
  <c r="W22" i="17"/>
  <c r="T22" i="17"/>
  <c r="S22" i="17"/>
  <c r="P22" i="17"/>
  <c r="O22" i="17"/>
  <c r="EH21" i="17"/>
  <c r="EG21" i="17"/>
  <c r="EF21" i="17"/>
  <c r="EE21" i="17"/>
  <c r="ED21" i="17"/>
  <c r="EC21" i="17"/>
  <c r="EB21" i="17"/>
  <c r="EA21" i="17"/>
  <c r="DZ21" i="17"/>
  <c r="DY21" i="17"/>
  <c r="DX21" i="17"/>
  <c r="DW21" i="17"/>
  <c r="DV21" i="17"/>
  <c r="DU21" i="17"/>
  <c r="DT21" i="17"/>
  <c r="DS21" i="17"/>
  <c r="DR21" i="17"/>
  <c r="DQ21" i="17"/>
  <c r="DP21" i="17"/>
  <c r="DO21" i="17"/>
  <c r="DN21" i="17"/>
  <c r="DM21" i="17"/>
  <c r="DL21" i="17"/>
  <c r="DK21" i="17"/>
  <c r="DJ21" i="17"/>
  <c r="DI21" i="17"/>
  <c r="DH21" i="17"/>
  <c r="DG21" i="17"/>
  <c r="DF21" i="17"/>
  <c r="DE21" i="17"/>
  <c r="DD21" i="17"/>
  <c r="DC21" i="17"/>
  <c r="DB21" i="17"/>
  <c r="DA21" i="17"/>
  <c r="CZ21" i="17"/>
  <c r="CY21" i="17"/>
  <c r="CX21" i="17"/>
  <c r="CW21" i="17"/>
  <c r="CV21" i="17"/>
  <c r="CU21" i="17"/>
  <c r="CT21" i="17"/>
  <c r="CS21" i="17"/>
  <c r="CR21" i="17"/>
  <c r="CQ21" i="17"/>
  <c r="CP21" i="17"/>
  <c r="CO21" i="17"/>
  <c r="CN21" i="17"/>
  <c r="CM21" i="17"/>
  <c r="CL21" i="17"/>
  <c r="CK21" i="17"/>
  <c r="CJ21" i="17"/>
  <c r="CI21" i="17"/>
  <c r="CH21" i="17"/>
  <c r="CG21" i="17"/>
  <c r="CF21" i="17"/>
  <c r="CE21" i="17"/>
  <c r="CD21" i="17"/>
  <c r="CC21" i="17"/>
  <c r="CB21" i="17"/>
  <c r="CA21" i="17"/>
  <c r="BZ21" i="17"/>
  <c r="BY21" i="17"/>
  <c r="BX21" i="17"/>
  <c r="BW21" i="17"/>
  <c r="BV21" i="17"/>
  <c r="BU21" i="17"/>
  <c r="BT21" i="17"/>
  <c r="BS21" i="17"/>
  <c r="BR21" i="17"/>
  <c r="BQ21" i="17"/>
  <c r="BP21" i="17"/>
  <c r="BO21" i="17"/>
  <c r="BN21" i="17"/>
  <c r="BM21" i="17"/>
  <c r="BL21" i="17"/>
  <c r="BK21" i="17"/>
  <c r="BJ21" i="17"/>
  <c r="BI21" i="17"/>
  <c r="BH21" i="17"/>
  <c r="BG21" i="17"/>
  <c r="BF21" i="17"/>
  <c r="BE21" i="17"/>
  <c r="BD21" i="17"/>
  <c r="BC21" i="17"/>
  <c r="BB21" i="17"/>
  <c r="BA21" i="17"/>
  <c r="AZ21" i="17"/>
  <c r="AY21" i="17"/>
  <c r="AX21" i="17"/>
  <c r="AW21" i="17"/>
  <c r="AV21" i="17"/>
  <c r="AU21" i="17"/>
  <c r="AT21" i="17"/>
  <c r="AS21" i="17"/>
  <c r="AR21" i="17"/>
  <c r="AQ21" i="17"/>
  <c r="AP21" i="17"/>
  <c r="AO21" i="17"/>
  <c r="AN21" i="17"/>
  <c r="AM21" i="17"/>
  <c r="AL21" i="17"/>
  <c r="AK21" i="17"/>
  <c r="AJ21" i="17"/>
  <c r="AI21" i="17"/>
  <c r="AH21" i="17"/>
  <c r="AG21" i="17"/>
  <c r="AF21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EK19" i="17"/>
  <c r="EJ19" i="17"/>
  <c r="EI19" i="17"/>
  <c r="EL19" i="17" s="1"/>
  <c r="EN19" i="17" s="1"/>
  <c r="EK18" i="17"/>
  <c r="EJ18" i="17"/>
  <c r="EL18" i="17" s="1"/>
  <c r="EN18" i="17" s="1"/>
  <c r="EI18" i="17"/>
  <c r="EK17" i="17"/>
  <c r="EJ17" i="17"/>
  <c r="EI17" i="17"/>
  <c r="EL17" i="17" s="1"/>
  <c r="EN17" i="17" s="1"/>
  <c r="EK16" i="17"/>
  <c r="EJ16" i="17"/>
  <c r="EI16" i="17"/>
  <c r="EL16" i="17" s="1"/>
  <c r="EK15" i="17"/>
  <c r="EJ15" i="17"/>
  <c r="EL15" i="17" s="1"/>
  <c r="EN15" i="17" s="1"/>
  <c r="EI15" i="17"/>
  <c r="EK14" i="17"/>
  <c r="EJ14" i="17"/>
  <c r="EI14" i="17"/>
  <c r="EL14" i="17" s="1"/>
  <c r="EN14" i="17" s="1"/>
  <c r="EK13" i="17"/>
  <c r="EJ13" i="17"/>
  <c r="EL13" i="17" s="1"/>
  <c r="EN13" i="17" s="1"/>
  <c r="EI13" i="17"/>
  <c r="EK12" i="17"/>
  <c r="EJ12" i="17"/>
  <c r="EI12" i="17"/>
  <c r="EL12" i="17" s="1"/>
  <c r="EQ10" i="17"/>
  <c r="EK10" i="17"/>
  <c r="GF69" i="3"/>
  <c r="GF48" i="3"/>
  <c r="GF56" i="3"/>
  <c r="GF57" i="3"/>
  <c r="GF60" i="3"/>
  <c r="GF66" i="3"/>
  <c r="GF67" i="3"/>
  <c r="GF68" i="3"/>
  <c r="GT56" i="3"/>
  <c r="GT66" i="3"/>
  <c r="GU66" i="3" s="1"/>
  <c r="GZ43" i="3"/>
  <c r="HA43" i="3"/>
  <c r="HC43" i="3"/>
  <c r="HD43" i="3"/>
  <c r="HE43" i="3"/>
  <c r="GZ45" i="3"/>
  <c r="HA45" i="3"/>
  <c r="HB45" i="3"/>
  <c r="HC45" i="3"/>
  <c r="HD45" i="3"/>
  <c r="HE45" i="3"/>
  <c r="GZ47" i="3"/>
  <c r="HA47" i="3"/>
  <c r="HB47" i="3"/>
  <c r="HC47" i="3"/>
  <c r="HD47" i="3"/>
  <c r="HE47" i="3"/>
  <c r="GU48" i="3"/>
  <c r="K46" i="10" s="1"/>
  <c r="GV48" i="3"/>
  <c r="GY48" i="3" s="1"/>
  <c r="N46" i="10" s="1"/>
  <c r="GZ48" i="3"/>
  <c r="HA48" i="3"/>
  <c r="HB48" i="3"/>
  <c r="HC48" i="3"/>
  <c r="HD48" i="3"/>
  <c r="HE48" i="3"/>
  <c r="GZ50" i="3"/>
  <c r="HA50" i="3"/>
  <c r="HB50" i="3"/>
  <c r="HC50" i="3"/>
  <c r="HD50" i="3"/>
  <c r="HE50" i="3"/>
  <c r="GZ51" i="3"/>
  <c r="HA51" i="3"/>
  <c r="HB51" i="3"/>
  <c r="HC51" i="3"/>
  <c r="HD51" i="3"/>
  <c r="HE51" i="3"/>
  <c r="GZ52" i="3"/>
  <c r="HA52" i="3"/>
  <c r="HB52" i="3"/>
  <c r="HC52" i="3"/>
  <c r="HD52" i="3"/>
  <c r="HE52" i="3"/>
  <c r="GZ53" i="3"/>
  <c r="HA53" i="3"/>
  <c r="HB53" i="3"/>
  <c r="HC53" i="3"/>
  <c r="HD53" i="3"/>
  <c r="HE53" i="3"/>
  <c r="GZ54" i="3"/>
  <c r="HA54" i="3"/>
  <c r="HB54" i="3"/>
  <c r="HC54" i="3"/>
  <c r="HD54" i="3"/>
  <c r="HE54" i="3"/>
  <c r="GZ55" i="3"/>
  <c r="HA55" i="3"/>
  <c r="HB55" i="3"/>
  <c r="HC55" i="3"/>
  <c r="HD55" i="3"/>
  <c r="HE55" i="3"/>
  <c r="GV56" i="3"/>
  <c r="GZ56" i="3"/>
  <c r="HA56" i="3"/>
  <c r="HB56" i="3"/>
  <c r="HC56" i="3"/>
  <c r="HD56" i="3"/>
  <c r="HE56" i="3"/>
  <c r="GU57" i="3"/>
  <c r="GV57" i="3"/>
  <c r="GZ57" i="3"/>
  <c r="HA57" i="3"/>
  <c r="HB57" i="3"/>
  <c r="HC57" i="3"/>
  <c r="HD57" i="3"/>
  <c r="HE57" i="3"/>
  <c r="GZ58" i="3"/>
  <c r="HA58" i="3"/>
  <c r="HB58" i="3"/>
  <c r="HC58" i="3"/>
  <c r="HD58" i="3"/>
  <c r="HE58" i="3"/>
  <c r="GZ59" i="3"/>
  <c r="HA59" i="3"/>
  <c r="HB59" i="3"/>
  <c r="HC59" i="3"/>
  <c r="HD59" i="3"/>
  <c r="HE59" i="3"/>
  <c r="GU60" i="3"/>
  <c r="GV60" i="3"/>
  <c r="GY60" i="3" s="1"/>
  <c r="N57" i="10" s="1"/>
  <c r="GZ60" i="3"/>
  <c r="HA60" i="3"/>
  <c r="HB60" i="3"/>
  <c r="HC60" i="3"/>
  <c r="HD60" i="3"/>
  <c r="HE60" i="3"/>
  <c r="GZ61" i="3"/>
  <c r="HA61" i="3"/>
  <c r="HB61" i="3"/>
  <c r="HC61" i="3"/>
  <c r="HD61" i="3"/>
  <c r="HE61" i="3"/>
  <c r="GZ62" i="3"/>
  <c r="HA62" i="3"/>
  <c r="HB62" i="3"/>
  <c r="HC62" i="3"/>
  <c r="HD62" i="3"/>
  <c r="HE62" i="3"/>
  <c r="GZ63" i="3"/>
  <c r="HA63" i="3"/>
  <c r="HB63" i="3"/>
  <c r="HC63" i="3"/>
  <c r="HD63" i="3"/>
  <c r="HE63" i="3"/>
  <c r="GZ64" i="3"/>
  <c r="HA64" i="3"/>
  <c r="HB64" i="3"/>
  <c r="HC64" i="3"/>
  <c r="HD64" i="3"/>
  <c r="HE64" i="3"/>
  <c r="GZ65" i="3"/>
  <c r="HA65" i="3"/>
  <c r="HB65" i="3"/>
  <c r="HC65" i="3"/>
  <c r="HD65" i="3"/>
  <c r="HE65" i="3"/>
  <c r="GV66" i="3"/>
  <c r="GZ66" i="3"/>
  <c r="HA66" i="3"/>
  <c r="HB66" i="3"/>
  <c r="HC66" i="3"/>
  <c r="HD66" i="3"/>
  <c r="HE66" i="3"/>
  <c r="GU67" i="3"/>
  <c r="GV67" i="3"/>
  <c r="GY67" i="3" s="1"/>
  <c r="N63" i="10" s="1"/>
  <c r="GZ67" i="3"/>
  <c r="HA67" i="3"/>
  <c r="HB67" i="3"/>
  <c r="HC67" i="3"/>
  <c r="HD67" i="3"/>
  <c r="HE67" i="3"/>
  <c r="GU68" i="3"/>
  <c r="GV68" i="3"/>
  <c r="GY68" i="3" s="1"/>
  <c r="N64" i="10" s="1"/>
  <c r="GZ68" i="3"/>
  <c r="HA68" i="3"/>
  <c r="HB68" i="3"/>
  <c r="HC68" i="3"/>
  <c r="HD68" i="3"/>
  <c r="HE68" i="3"/>
  <c r="GV69" i="3"/>
  <c r="GZ69" i="3"/>
  <c r="HA69" i="3"/>
  <c r="HB69" i="3"/>
  <c r="HC69" i="3"/>
  <c r="HD69" i="3"/>
  <c r="HE69" i="3"/>
  <c r="HC15" i="3"/>
  <c r="HD15" i="3"/>
  <c r="HE15" i="3"/>
  <c r="HC16" i="3"/>
  <c r="HD16" i="3"/>
  <c r="HE16" i="3"/>
  <c r="HC17" i="3"/>
  <c r="HD17" i="3"/>
  <c r="HE17" i="3"/>
  <c r="HC18" i="3"/>
  <c r="HD18" i="3"/>
  <c r="HE18" i="3"/>
  <c r="HC19" i="3"/>
  <c r="HD19" i="3"/>
  <c r="HE19" i="3"/>
  <c r="HC20" i="3"/>
  <c r="HD20" i="3"/>
  <c r="HE20" i="3"/>
  <c r="HC21" i="3"/>
  <c r="HD21" i="3"/>
  <c r="HE21" i="3"/>
  <c r="HC22" i="3"/>
  <c r="HD22" i="3"/>
  <c r="HE22" i="3"/>
  <c r="HC23" i="3"/>
  <c r="HD23" i="3"/>
  <c r="HE23" i="3"/>
  <c r="HC24" i="3"/>
  <c r="HD24" i="3"/>
  <c r="HE24" i="3"/>
  <c r="HC26" i="3"/>
  <c r="HD26" i="3"/>
  <c r="HE26" i="3"/>
  <c r="HC27" i="3"/>
  <c r="HD27" i="3"/>
  <c r="HE27" i="3"/>
  <c r="HC30" i="3"/>
  <c r="HD30" i="3"/>
  <c r="HE30" i="3"/>
  <c r="HC31" i="3"/>
  <c r="HD31" i="3"/>
  <c r="HE31" i="3"/>
  <c r="HC32" i="3"/>
  <c r="HD32" i="3"/>
  <c r="HE32" i="3"/>
  <c r="HC34" i="3"/>
  <c r="HD34" i="3"/>
  <c r="HE34" i="3"/>
  <c r="HC35" i="3"/>
  <c r="HD35" i="3"/>
  <c r="HE35" i="3"/>
  <c r="HC39" i="3"/>
  <c r="HD39" i="3"/>
  <c r="HE39" i="3"/>
  <c r="HC40" i="3"/>
  <c r="HD40" i="3"/>
  <c r="HE40" i="3"/>
  <c r="HC41" i="3"/>
  <c r="HD41" i="3"/>
  <c r="HE41" i="3"/>
  <c r="HC42" i="3"/>
  <c r="HD42" i="3"/>
  <c r="G63" i="11" s="1"/>
  <c r="HE42" i="3"/>
  <c r="W41" i="10"/>
  <c r="W42" i="10"/>
  <c r="X43" i="10"/>
  <c r="W43" i="10"/>
  <c r="Y43" i="10"/>
  <c r="X44" i="10"/>
  <c r="W44" i="10"/>
  <c r="Y44" i="10"/>
  <c r="X45" i="10"/>
  <c r="W45" i="10"/>
  <c r="Y45" i="10"/>
  <c r="X46" i="10"/>
  <c r="W46" i="10"/>
  <c r="Y46" i="10"/>
  <c r="X47" i="10"/>
  <c r="W47" i="10"/>
  <c r="Y47" i="10"/>
  <c r="X48" i="10"/>
  <c r="W48" i="10"/>
  <c r="Y48" i="10"/>
  <c r="X49" i="10"/>
  <c r="W49" i="10"/>
  <c r="Y49" i="10"/>
  <c r="X50" i="10"/>
  <c r="W50" i="10"/>
  <c r="Y50" i="10"/>
  <c r="X51" i="10"/>
  <c r="W51" i="10"/>
  <c r="Y51" i="10"/>
  <c r="X52" i="10"/>
  <c r="W52" i="10"/>
  <c r="Y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GB8" i="3"/>
  <c r="FZ8" i="3"/>
  <c r="DA49" i="3"/>
  <c r="BS46" i="3"/>
  <c r="EY44" i="3"/>
  <c r="G42" i="10"/>
  <c r="C42" i="10"/>
  <c r="G41" i="10"/>
  <c r="D41" i="10"/>
  <c r="C41" i="10"/>
  <c r="G40" i="10"/>
  <c r="D40" i="10"/>
  <c r="C40" i="10"/>
  <c r="G39" i="10"/>
  <c r="C39" i="10"/>
  <c r="G38" i="10"/>
  <c r="D38" i="10"/>
  <c r="C38" i="10"/>
  <c r="G37" i="10"/>
  <c r="D37" i="10"/>
  <c r="C37" i="10"/>
  <c r="BS38" i="3"/>
  <c r="BS37" i="3"/>
  <c r="G35" i="10"/>
  <c r="D35" i="10"/>
  <c r="C35" i="10"/>
  <c r="EL36" i="3"/>
  <c r="DG36" i="3"/>
  <c r="DA36" i="3"/>
  <c r="CU36" i="3"/>
  <c r="CQ36" i="3"/>
  <c r="CK36" i="3"/>
  <c r="CE36" i="3"/>
  <c r="BY36" i="3"/>
  <c r="BS36" i="3"/>
  <c r="BM36" i="3"/>
  <c r="BG36" i="3"/>
  <c r="G34" i="10"/>
  <c r="D34" i="10"/>
  <c r="C34" i="10"/>
  <c r="DY33" i="3"/>
  <c r="DS33" i="3"/>
  <c r="DG29" i="3"/>
  <c r="BM28" i="3"/>
  <c r="CK25" i="3"/>
  <c r="W14" i="3"/>
  <c r="EV11" i="3"/>
  <c r="G62" i="11" l="1"/>
  <c r="Y42" i="10"/>
  <c r="X42" i="10"/>
  <c r="Y41" i="10"/>
  <c r="X41" i="10"/>
  <c r="GF14" i="3"/>
  <c r="GX14" i="3"/>
  <c r="M12" i="10" s="1"/>
  <c r="GX36" i="3"/>
  <c r="M34" i="10" s="1"/>
  <c r="GW68" i="3"/>
  <c r="GW67" i="3"/>
  <c r="GW66" i="3"/>
  <c r="GY66" i="3"/>
  <c r="GW57" i="3"/>
  <c r="GY57" i="3"/>
  <c r="GW56" i="3"/>
  <c r="GY56" i="3"/>
  <c r="N54" i="10" s="1"/>
  <c r="GW69" i="3"/>
  <c r="GW48" i="3"/>
  <c r="GW60" i="3"/>
  <c r="HB49" i="3"/>
  <c r="H49" i="10"/>
  <c r="I49" i="10" s="1"/>
  <c r="H50" i="10"/>
  <c r="I50" i="10" s="1"/>
  <c r="L43" i="10"/>
  <c r="H43" i="10"/>
  <c r="I43" i="10" s="1"/>
  <c r="H51" i="10"/>
  <c r="I51" i="10" s="1"/>
  <c r="L46" i="10"/>
  <c r="P46" i="10" s="1"/>
  <c r="H46" i="10"/>
  <c r="I46" i="10" s="1"/>
  <c r="L45" i="10"/>
  <c r="H45" i="10"/>
  <c r="I45" i="10" s="1"/>
  <c r="H52" i="10"/>
  <c r="I52" i="10" s="1"/>
  <c r="H48" i="10"/>
  <c r="I48" i="10" s="1"/>
  <c r="H41" i="10"/>
  <c r="I41" i="10" s="1"/>
  <c r="GF36" i="3"/>
  <c r="EN12" i="17"/>
  <c r="EN23" i="17" s="1"/>
  <c r="EL23" i="17"/>
  <c r="HC33" i="3"/>
  <c r="HD38" i="3"/>
  <c r="HC37" i="3"/>
  <c r="HC29" i="3"/>
  <c r="HC25" i="3"/>
  <c r="HD14" i="3"/>
  <c r="HC49" i="3"/>
  <c r="HA46" i="3"/>
  <c r="HD44" i="3"/>
  <c r="GZ44" i="3"/>
  <c r="HC38" i="3"/>
  <c r="HE36" i="3"/>
  <c r="HE28" i="3"/>
  <c r="HC14" i="3"/>
  <c r="HA49" i="3"/>
  <c r="HE46" i="3"/>
  <c r="GZ46" i="3"/>
  <c r="HC44" i="3"/>
  <c r="HE37" i="3"/>
  <c r="HD36" i="3"/>
  <c r="HE33" i="3"/>
  <c r="HE29" i="3"/>
  <c r="HD28" i="3"/>
  <c r="HE25" i="3"/>
  <c r="L48" i="10"/>
  <c r="HE49" i="3"/>
  <c r="GZ49" i="3"/>
  <c r="HD46" i="3"/>
  <c r="HB44" i="3"/>
  <c r="HE38" i="3"/>
  <c r="HD37" i="3"/>
  <c r="HC36" i="3"/>
  <c r="HD33" i="3"/>
  <c r="HD29" i="3"/>
  <c r="HC28" i="3"/>
  <c r="HD25" i="3"/>
  <c r="HE14" i="3"/>
  <c r="HD49" i="3"/>
  <c r="HC46" i="3"/>
  <c r="HE44" i="3"/>
  <c r="HA44" i="3"/>
  <c r="GT36" i="3"/>
  <c r="H42" i="10" l="1"/>
  <c r="I42" i="10" s="1"/>
  <c r="H47" i="10"/>
  <c r="I47" i="10" s="1"/>
  <c r="S46" i="10"/>
  <c r="H44" i="10"/>
  <c r="I44" i="10" s="1"/>
  <c r="AE70" i="3" l="1"/>
  <c r="AF70" i="3"/>
  <c r="AG70" i="3"/>
  <c r="AH70" i="3"/>
  <c r="AI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M70" i="3"/>
  <c r="DN70" i="3"/>
  <c r="DO70" i="3"/>
  <c r="DP70" i="3"/>
  <c r="DQ70" i="3"/>
  <c r="DS70" i="3"/>
  <c r="DT70" i="3"/>
  <c r="DU70" i="3"/>
  <c r="DV70" i="3"/>
  <c r="DW70" i="3"/>
  <c r="DX70" i="3"/>
  <c r="DY70" i="3"/>
  <c r="DZ70" i="3"/>
  <c r="EA70" i="3"/>
  <c r="EB70" i="3"/>
  <c r="EC70" i="3"/>
  <c r="ED70" i="3"/>
  <c r="EE70" i="3"/>
  <c r="EF70" i="3"/>
  <c r="EG70" i="3"/>
  <c r="EH70" i="3"/>
  <c r="EI70" i="3"/>
  <c r="EK70" i="3"/>
  <c r="EL70" i="3"/>
  <c r="EM70" i="3"/>
  <c r="EN70" i="3"/>
  <c r="EO70" i="3"/>
  <c r="EP70" i="3"/>
  <c r="EQ70" i="3"/>
  <c r="ER70" i="3"/>
  <c r="ES70" i="3"/>
  <c r="ET70" i="3"/>
  <c r="EU70" i="3"/>
  <c r="EV70" i="3"/>
  <c r="EW70" i="3"/>
  <c r="EX70" i="3"/>
  <c r="EY70" i="3"/>
  <c r="EZ70" i="3"/>
  <c r="FA70" i="3"/>
  <c r="FB70" i="3"/>
  <c r="FC70" i="3"/>
  <c r="FD70" i="3"/>
  <c r="FE70" i="3"/>
  <c r="FF70" i="3"/>
  <c r="FG70" i="3"/>
  <c r="FH70" i="3"/>
  <c r="FI70" i="3"/>
  <c r="FJ70" i="3"/>
  <c r="FK70" i="3"/>
  <c r="FL70" i="3"/>
  <c r="FM70" i="3"/>
  <c r="FO70" i="3"/>
  <c r="FP70" i="3"/>
  <c r="FQ70" i="3"/>
  <c r="FR70" i="3"/>
  <c r="FS70" i="3"/>
  <c r="FT70" i="3"/>
  <c r="FU70" i="3"/>
  <c r="FV70" i="3"/>
  <c r="FW70" i="3"/>
  <c r="FX70" i="3"/>
  <c r="FY70" i="3"/>
  <c r="FZ70" i="3"/>
  <c r="GA70" i="3"/>
  <c r="GB70" i="3"/>
  <c r="GC70" i="3"/>
  <c r="GD70" i="3"/>
  <c r="GE70" i="3"/>
  <c r="O70" i="3"/>
  <c r="P70" i="3"/>
  <c r="Q70" i="3"/>
  <c r="R70" i="3"/>
  <c r="S70" i="3"/>
  <c r="T70" i="3"/>
  <c r="U70" i="3"/>
  <c r="V70" i="3"/>
  <c r="W70" i="3"/>
  <c r="X70" i="3"/>
  <c r="Y70" i="3"/>
  <c r="AA70" i="3"/>
  <c r="AB70" i="3"/>
  <c r="AC70" i="3"/>
  <c r="N70" i="3"/>
  <c r="X35" i="10" l="1"/>
  <c r="X36" i="10"/>
  <c r="X37" i="10"/>
  <c r="X38" i="10"/>
  <c r="X39" i="10"/>
  <c r="X40" i="10"/>
  <c r="X34" i="10"/>
  <c r="X18" i="10"/>
  <c r="GZ24" i="3" l="1"/>
  <c r="HA24" i="3"/>
  <c r="HB24" i="3"/>
  <c r="W22" i="10"/>
  <c r="GZ25" i="3"/>
  <c r="HA25" i="3"/>
  <c r="HB25" i="3"/>
  <c r="W23" i="10"/>
  <c r="GZ26" i="3" l="1"/>
  <c r="HA26" i="3"/>
  <c r="HB26" i="3"/>
  <c r="W24" i="10"/>
  <c r="GZ27" i="3"/>
  <c r="HA27" i="3"/>
  <c r="W25" i="10"/>
  <c r="H22" i="15" l="1"/>
  <c r="Y37" i="10" l="1"/>
  <c r="Y38" i="10"/>
  <c r="Y39" i="10"/>
  <c r="Y40" i="10"/>
  <c r="Y34" i="10"/>
  <c r="Y35" i="10"/>
  <c r="Y36" i="10"/>
  <c r="Y18" i="10"/>
  <c r="W39" i="10"/>
  <c r="W40" i="10"/>
  <c r="F38" i="16"/>
  <c r="W34" i="10"/>
  <c r="W35" i="10"/>
  <c r="W36" i="10"/>
  <c r="W37" i="10"/>
  <c r="W38" i="10"/>
  <c r="W30" i="10"/>
  <c r="W31" i="10"/>
  <c r="W32" i="10"/>
  <c r="W33" i="10"/>
  <c r="W26" i="10"/>
  <c r="W27" i="10"/>
  <c r="W28" i="10"/>
  <c r="W29" i="10"/>
  <c r="W12" i="10"/>
  <c r="W13" i="10"/>
  <c r="W14" i="10"/>
  <c r="W15" i="10"/>
  <c r="W16" i="10"/>
  <c r="W17" i="10"/>
  <c r="W18" i="10"/>
  <c r="W20" i="10"/>
  <c r="W21" i="10"/>
  <c r="W10" i="10"/>
  <c r="W11" i="10"/>
  <c r="W9" i="10"/>
  <c r="F15" i="16" l="1"/>
  <c r="W19" i="10"/>
  <c r="F26" i="16"/>
  <c r="F27" i="16"/>
  <c r="FN70" i="3"/>
  <c r="DR70" i="3" l="1"/>
  <c r="DL70" i="3"/>
  <c r="BX70" i="3"/>
  <c r="EJ70" i="3"/>
  <c r="B23" i="11" l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9" i="10"/>
  <c r="C50" i="12"/>
  <c r="C49" i="12"/>
  <c r="C48" i="12"/>
  <c r="C47" i="12"/>
  <c r="E44" i="12"/>
  <c r="C42" i="12"/>
  <c r="E41" i="12"/>
  <c r="C41" i="12"/>
  <c r="E40" i="12"/>
  <c r="C40" i="12"/>
  <c r="E39" i="12"/>
  <c r="C39" i="12"/>
  <c r="E38" i="12"/>
  <c r="E34" i="12"/>
  <c r="B32" i="12"/>
  <c r="G57" i="10"/>
  <c r="G65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9" i="10"/>
  <c r="D57" i="10"/>
  <c r="D60" i="10"/>
  <c r="D65" i="10"/>
  <c r="C57" i="10"/>
  <c r="C65" i="10"/>
  <c r="Y65" i="10" l="1"/>
  <c r="X65" i="10"/>
  <c r="Y57" i="10"/>
  <c r="X57" i="10"/>
  <c r="F9" i="15"/>
  <c r="E9" i="15"/>
  <c r="F14" i="15"/>
  <c r="F12" i="15"/>
  <c r="F11" i="15"/>
  <c r="F10" i="15"/>
  <c r="E15" i="15"/>
  <c r="E13" i="15"/>
  <c r="E14" i="15"/>
  <c r="E12" i="15"/>
  <c r="E11" i="15"/>
  <c r="E10" i="15"/>
  <c r="F15" i="15"/>
  <c r="F13" i="15"/>
  <c r="E117" i="11"/>
  <c r="C122" i="11"/>
  <c r="D122" i="11"/>
  <c r="F122" i="11"/>
  <c r="F128" i="11" s="1"/>
  <c r="C123" i="11"/>
  <c r="D123" i="11"/>
  <c r="F123" i="11"/>
  <c r="C124" i="11"/>
  <c r="D124" i="11"/>
  <c r="F124" i="11"/>
  <c r="C125" i="11"/>
  <c r="D125" i="11"/>
  <c r="F125" i="11"/>
  <c r="C126" i="11"/>
  <c r="D126" i="11"/>
  <c r="F126" i="11"/>
  <c r="C127" i="11"/>
  <c r="D127" i="11"/>
  <c r="F127" i="11"/>
  <c r="O66" i="10"/>
  <c r="E124" i="11" l="1"/>
  <c r="E123" i="11"/>
  <c r="E127" i="11"/>
  <c r="E126" i="11"/>
  <c r="E122" i="11"/>
  <c r="E125" i="11"/>
  <c r="T66" i="10" l="1"/>
  <c r="GZ12" i="3" l="1"/>
  <c r="HA12" i="3"/>
  <c r="HB12" i="3"/>
  <c r="HC12" i="3"/>
  <c r="HD12" i="3"/>
  <c r="HE12" i="3"/>
  <c r="GZ13" i="3"/>
  <c r="HA13" i="3"/>
  <c r="HB13" i="3"/>
  <c r="HC13" i="3"/>
  <c r="HD13" i="3"/>
  <c r="HE13" i="3"/>
  <c r="GZ14" i="3"/>
  <c r="HA14" i="3"/>
  <c r="HB14" i="3"/>
  <c r="GZ15" i="3"/>
  <c r="HA15" i="3"/>
  <c r="HB15" i="3"/>
  <c r="GZ16" i="3"/>
  <c r="HA16" i="3"/>
  <c r="HB16" i="3"/>
  <c r="GZ17" i="3"/>
  <c r="HA17" i="3"/>
  <c r="HB17" i="3"/>
  <c r="GZ18" i="3"/>
  <c r="HA18" i="3"/>
  <c r="HB18" i="3"/>
  <c r="GZ19" i="3"/>
  <c r="HA19" i="3"/>
  <c r="HB19" i="3"/>
  <c r="GZ20" i="3"/>
  <c r="HA20" i="3"/>
  <c r="HB20" i="3"/>
  <c r="GZ21" i="3"/>
  <c r="HA21" i="3"/>
  <c r="HB21" i="3"/>
  <c r="GZ22" i="3"/>
  <c r="HA22" i="3"/>
  <c r="HB22" i="3"/>
  <c r="GZ23" i="3"/>
  <c r="HA23" i="3"/>
  <c r="HB23" i="3"/>
  <c r="GZ28" i="3"/>
  <c r="HA28" i="3"/>
  <c r="HB28" i="3"/>
  <c r="GZ29" i="3"/>
  <c r="HA29" i="3"/>
  <c r="HB29" i="3"/>
  <c r="GZ31" i="3"/>
  <c r="HA31" i="3"/>
  <c r="HB31" i="3"/>
  <c r="GZ32" i="3"/>
  <c r="HA32" i="3"/>
  <c r="HB32" i="3"/>
  <c r="GZ33" i="3"/>
  <c r="HA33" i="3"/>
  <c r="HB33" i="3"/>
  <c r="GZ34" i="3"/>
  <c r="HA34" i="3"/>
  <c r="HB34" i="3"/>
  <c r="GZ35" i="3"/>
  <c r="HA35" i="3"/>
  <c r="HB35" i="3"/>
  <c r="GZ36" i="3"/>
  <c r="HA36" i="3"/>
  <c r="HB36" i="3"/>
  <c r="GZ37" i="3"/>
  <c r="HA37" i="3"/>
  <c r="HB37" i="3"/>
  <c r="GZ38" i="3"/>
  <c r="HA38" i="3"/>
  <c r="HB38" i="3"/>
  <c r="GZ39" i="3"/>
  <c r="HA39" i="3"/>
  <c r="HB39" i="3"/>
  <c r="GZ40" i="3"/>
  <c r="HA40" i="3"/>
  <c r="HB40" i="3"/>
  <c r="GZ41" i="3"/>
  <c r="HA41" i="3"/>
  <c r="HB41" i="3"/>
  <c r="GZ42" i="3"/>
  <c r="HA42" i="3"/>
  <c r="G60" i="11" s="1"/>
  <c r="HB42" i="3"/>
  <c r="G61" i="11" s="1"/>
  <c r="HE11" i="3"/>
  <c r="HD11" i="3"/>
  <c r="HC11" i="3"/>
  <c r="HB11" i="3"/>
  <c r="HA11" i="3"/>
  <c r="GZ11" i="3"/>
  <c r="K63" i="10" l="1"/>
  <c r="K65" i="10"/>
  <c r="GI10" i="3"/>
  <c r="GH10" i="3"/>
  <c r="GG10" i="3"/>
  <c r="HD10" i="3"/>
  <c r="HD9" i="3"/>
  <c r="HF54" i="3" l="1"/>
  <c r="Q52" i="10" s="1"/>
  <c r="HF43" i="3"/>
  <c r="Q41" i="10" s="1"/>
  <c r="HF66" i="3"/>
  <c r="HF63" i="3"/>
  <c r="Q60" i="10" s="1"/>
  <c r="HF55" i="3"/>
  <c r="Q53" i="10" s="1"/>
  <c r="HF51" i="3"/>
  <c r="Q49" i="10" s="1"/>
  <c r="HF62" i="3"/>
  <c r="Q59" i="10" s="1"/>
  <c r="HF59" i="3"/>
  <c r="Q56" i="10" s="1"/>
  <c r="HF69" i="3"/>
  <c r="Q65" i="10" s="1"/>
  <c r="HF64" i="3"/>
  <c r="Q61" i="10" s="1"/>
  <c r="HF48" i="3"/>
  <c r="Q46" i="10" s="1"/>
  <c r="HF57" i="3"/>
  <c r="HF47" i="3"/>
  <c r="Q45" i="10" s="1"/>
  <c r="HF50" i="3"/>
  <c r="Q48" i="10" s="1"/>
  <c r="HF45" i="3"/>
  <c r="Q43" i="10" s="1"/>
  <c r="HF67" i="3"/>
  <c r="Q63" i="10" s="1"/>
  <c r="HF68" i="3"/>
  <c r="Q64" i="10" s="1"/>
  <c r="HF61" i="3"/>
  <c r="Q58" i="10" s="1"/>
  <c r="HF58" i="3"/>
  <c r="Q55" i="10" s="1"/>
  <c r="HF60" i="3"/>
  <c r="Q57" i="10" s="1"/>
  <c r="HF52" i="3"/>
  <c r="Q50" i="10" s="1"/>
  <c r="HF56" i="3"/>
  <c r="Q54" i="10" s="1"/>
  <c r="HF53" i="3"/>
  <c r="Q51" i="10" s="1"/>
  <c r="HF65" i="3"/>
  <c r="Q62" i="10" s="1"/>
  <c r="HF44" i="3"/>
  <c r="Q42" i="10" s="1"/>
  <c r="HF49" i="3"/>
  <c r="Q47" i="10" s="1"/>
  <c r="HF46" i="3"/>
  <c r="Q44" i="10" s="1"/>
  <c r="HF25" i="3"/>
  <c r="Q23" i="10" s="1"/>
  <c r="HF24" i="3"/>
  <c r="Q22" i="10" s="1"/>
  <c r="HF26" i="3"/>
  <c r="Q24" i="10" s="1"/>
  <c r="HF27" i="3"/>
  <c r="Q25" i="10" s="1"/>
  <c r="HF14" i="3"/>
  <c r="Q12" i="10" s="1"/>
  <c r="HF35" i="3"/>
  <c r="Q33" i="10" s="1"/>
  <c r="HF20" i="3"/>
  <c r="Q18" i="10" s="1"/>
  <c r="HF41" i="3"/>
  <c r="Q39" i="10" s="1"/>
  <c r="HF32" i="3"/>
  <c r="Q30" i="10" s="1"/>
  <c r="HF29" i="3"/>
  <c r="Q27" i="10" s="1"/>
  <c r="HF18" i="3"/>
  <c r="Q16" i="10" s="1"/>
  <c r="HF39" i="3"/>
  <c r="Q37" i="10" s="1"/>
  <c r="HF28" i="3"/>
  <c r="Q26" i="10" s="1"/>
  <c r="HF15" i="3"/>
  <c r="Q13" i="10" s="1"/>
  <c r="HF36" i="3"/>
  <c r="Q34" i="10" s="1"/>
  <c r="HF34" i="3"/>
  <c r="Q32" i="10" s="1"/>
  <c r="HF22" i="3"/>
  <c r="Q20" i="10" s="1"/>
  <c r="HF17" i="3"/>
  <c r="Q15" i="10" s="1"/>
  <c r="HF33" i="3"/>
  <c r="Q31" i="10" s="1"/>
  <c r="HF19" i="3"/>
  <c r="Q17" i="10" s="1"/>
  <c r="HF40" i="3"/>
  <c r="Q38" i="10" s="1"/>
  <c r="HF38" i="3"/>
  <c r="Q36" i="10" s="1"/>
  <c r="HF31" i="3"/>
  <c r="Q29" i="10" s="1"/>
  <c r="HF16" i="3"/>
  <c r="Q14" i="10" s="1"/>
  <c r="HF37" i="3"/>
  <c r="Q35" i="10" s="1"/>
  <c r="HF23" i="3"/>
  <c r="Q21" i="10" s="1"/>
  <c r="HF21" i="3"/>
  <c r="Q19" i="10" s="1"/>
  <c r="HF42" i="3"/>
  <c r="Q40" i="10" s="1"/>
  <c r="HF12" i="3"/>
  <c r="Q10" i="10" s="1"/>
  <c r="HF11" i="3"/>
  <c r="Q9" i="10" s="1"/>
  <c r="HF13" i="3"/>
  <c r="Q11" i="10" s="1"/>
  <c r="U46" i="10" l="1"/>
  <c r="V46" i="10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EB71" i="3"/>
  <c r="EC71" i="3"/>
  <c r="ED71" i="3"/>
  <c r="EE71" i="3"/>
  <c r="EF71" i="3"/>
  <c r="EG71" i="3"/>
  <c r="EH71" i="3"/>
  <c r="EI71" i="3"/>
  <c r="EJ71" i="3"/>
  <c r="EK71" i="3"/>
  <c r="EL71" i="3"/>
  <c r="EM71" i="3"/>
  <c r="EN71" i="3"/>
  <c r="EO71" i="3"/>
  <c r="EP71" i="3"/>
  <c r="EQ71" i="3"/>
  <c r="ER71" i="3"/>
  <c r="ES71" i="3"/>
  <c r="ET71" i="3"/>
  <c r="EU71" i="3"/>
  <c r="EV71" i="3"/>
  <c r="EW71" i="3"/>
  <c r="EX71" i="3"/>
  <c r="EY71" i="3"/>
  <c r="EZ71" i="3"/>
  <c r="FA71" i="3"/>
  <c r="FB71" i="3"/>
  <c r="FC71" i="3"/>
  <c r="FD71" i="3"/>
  <c r="FE71" i="3"/>
  <c r="FF71" i="3"/>
  <c r="FG71" i="3"/>
  <c r="FH71" i="3"/>
  <c r="FI71" i="3"/>
  <c r="FJ71" i="3"/>
  <c r="FK71" i="3"/>
  <c r="FL71" i="3"/>
  <c r="FM71" i="3"/>
  <c r="FN71" i="3"/>
  <c r="FO71" i="3"/>
  <c r="FP71" i="3"/>
  <c r="FQ71" i="3"/>
  <c r="FR71" i="3"/>
  <c r="FS71" i="3"/>
  <c r="FT71" i="3"/>
  <c r="FU71" i="3"/>
  <c r="FV71" i="3"/>
  <c r="FW71" i="3"/>
  <c r="FX71" i="3"/>
  <c r="FY71" i="3"/>
  <c r="FZ71" i="3"/>
  <c r="GA71" i="3"/>
  <c r="GB71" i="3"/>
  <c r="GC71" i="3"/>
  <c r="CT71" i="3"/>
  <c r="CS71" i="3" l="1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I71" i="3"/>
  <c r="AH71" i="3"/>
  <c r="AG71" i="3"/>
  <c r="AF71" i="3"/>
  <c r="AE71" i="3"/>
  <c r="AC71" i="3"/>
  <c r="AB71" i="3"/>
  <c r="AA71" i="3"/>
  <c r="Y71" i="3"/>
  <c r="X71" i="3"/>
  <c r="W71" i="3"/>
  <c r="V71" i="3"/>
  <c r="U71" i="3"/>
  <c r="T71" i="3"/>
  <c r="S71" i="3"/>
  <c r="R71" i="3"/>
  <c r="Q71" i="3"/>
  <c r="P71" i="3"/>
  <c r="O71" i="3"/>
  <c r="N71" i="3"/>
  <c r="D10" i="10"/>
  <c r="G10" i="10"/>
  <c r="D11" i="10"/>
  <c r="G11" i="10"/>
  <c r="D12" i="10"/>
  <c r="G12" i="10"/>
  <c r="D13" i="10"/>
  <c r="G13" i="10"/>
  <c r="D14" i="10"/>
  <c r="G14" i="10"/>
  <c r="D15" i="10"/>
  <c r="G15" i="10"/>
  <c r="D16" i="10"/>
  <c r="G16" i="10"/>
  <c r="D17" i="10"/>
  <c r="G17" i="10"/>
  <c r="D18" i="10"/>
  <c r="G18" i="10"/>
  <c r="D19" i="10"/>
  <c r="G19" i="10"/>
  <c r="D20" i="10"/>
  <c r="G20" i="10"/>
  <c r="D21" i="10"/>
  <c r="G21" i="10"/>
  <c r="D22" i="10"/>
  <c r="G22" i="10"/>
  <c r="D23" i="10"/>
  <c r="G23" i="10"/>
  <c r="D24" i="10"/>
  <c r="G24" i="10"/>
  <c r="D25" i="10"/>
  <c r="G25" i="10"/>
  <c r="D26" i="10"/>
  <c r="G26" i="10"/>
  <c r="D27" i="10"/>
  <c r="G27" i="10"/>
  <c r="D28" i="10"/>
  <c r="G28" i="10"/>
  <c r="D29" i="10"/>
  <c r="G29" i="10"/>
  <c r="D30" i="10"/>
  <c r="G30" i="10"/>
  <c r="D31" i="10"/>
  <c r="G31" i="10"/>
  <c r="D32" i="10"/>
  <c r="G32" i="10"/>
  <c r="D33" i="10"/>
  <c r="G33" i="10"/>
  <c r="D53" i="10"/>
  <c r="G53" i="10"/>
  <c r="D54" i="10"/>
  <c r="G54" i="10"/>
  <c r="D55" i="10"/>
  <c r="G55" i="10"/>
  <c r="D56" i="10"/>
  <c r="G56" i="10"/>
  <c r="D58" i="10"/>
  <c r="G58" i="10"/>
  <c r="D59" i="10"/>
  <c r="C35" i="16" s="1"/>
  <c r="G59" i="10"/>
  <c r="G15" i="15" s="1"/>
  <c r="G60" i="10"/>
  <c r="D61" i="10"/>
  <c r="G61" i="10"/>
  <c r="D62" i="10"/>
  <c r="C38" i="16" s="1"/>
  <c r="G62" i="10"/>
  <c r="C39" i="16"/>
  <c r="G63" i="10"/>
  <c r="D64" i="10"/>
  <c r="G64" i="10"/>
  <c r="G9" i="10"/>
  <c r="C19" i="16" l="1"/>
  <c r="G9" i="15"/>
  <c r="G14" i="15"/>
  <c r="C23" i="16"/>
  <c r="C16" i="16"/>
  <c r="C14" i="16"/>
  <c r="C12" i="16"/>
  <c r="C10" i="16"/>
  <c r="C8" i="16"/>
  <c r="C6" i="16"/>
  <c r="C29" i="16"/>
  <c r="C27" i="16"/>
  <c r="C24" i="16"/>
  <c r="C22" i="16"/>
  <c r="C20" i="16"/>
  <c r="C15" i="16"/>
  <c r="C25" i="16"/>
  <c r="C21" i="16"/>
  <c r="C11" i="16"/>
  <c r="C9" i="16"/>
  <c r="C18" i="16"/>
  <c r="C26" i="16"/>
  <c r="C13" i="16"/>
  <c r="C7" i="16"/>
  <c r="C28" i="16"/>
  <c r="C31" i="16"/>
  <c r="C32" i="16"/>
  <c r="C36" i="16"/>
  <c r="C37" i="16"/>
  <c r="C17" i="16"/>
  <c r="D14" i="15"/>
  <c r="C33" i="16"/>
  <c r="D13" i="15"/>
  <c r="C30" i="16"/>
  <c r="D15" i="15"/>
  <c r="C34" i="16"/>
  <c r="D10" i="15"/>
  <c r="G13" i="15"/>
  <c r="G12" i="15"/>
  <c r="G11" i="15"/>
  <c r="G10" i="15"/>
  <c r="D63" i="10"/>
  <c r="D11" i="15" s="1"/>
  <c r="AJ70" i="3"/>
  <c r="AD70" i="3"/>
  <c r="D9" i="10"/>
  <c r="D9" i="15" s="1"/>
  <c r="C10" i="10"/>
  <c r="C11" i="10"/>
  <c r="C12" i="10"/>
  <c r="C13" i="10"/>
  <c r="C14" i="10"/>
  <c r="C15" i="10"/>
  <c r="C16" i="10"/>
  <c r="C17" i="10"/>
  <c r="R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53" i="10"/>
  <c r="C54" i="10"/>
  <c r="C55" i="10"/>
  <c r="C56" i="10"/>
  <c r="C58" i="10"/>
  <c r="C59" i="10"/>
  <c r="C60" i="10"/>
  <c r="C61" i="10"/>
  <c r="C62" i="10"/>
  <c r="C63" i="10"/>
  <c r="C64" i="10"/>
  <c r="X56" i="10" l="1"/>
  <c r="Y56" i="10"/>
  <c r="Y29" i="10"/>
  <c r="X29" i="10"/>
  <c r="Y21" i="10"/>
  <c r="X21" i="10"/>
  <c r="X64" i="10"/>
  <c r="Y64" i="10"/>
  <c r="X60" i="10"/>
  <c r="Y60" i="10"/>
  <c r="Y55" i="10"/>
  <c r="X55" i="10"/>
  <c r="X32" i="10"/>
  <c r="Y32" i="10"/>
  <c r="X28" i="10"/>
  <c r="Y28" i="10"/>
  <c r="X24" i="10"/>
  <c r="Y24" i="10"/>
  <c r="X20" i="10"/>
  <c r="Y20" i="10"/>
  <c r="X16" i="10"/>
  <c r="Y16" i="10"/>
  <c r="X12" i="10"/>
  <c r="Y12" i="10"/>
  <c r="Y59" i="10"/>
  <c r="X59" i="10"/>
  <c r="Y31" i="10"/>
  <c r="X31" i="10"/>
  <c r="Y23" i="10"/>
  <c r="X23" i="10"/>
  <c r="Y19" i="10"/>
  <c r="X19" i="10"/>
  <c r="Y15" i="10"/>
  <c r="X15" i="10"/>
  <c r="Y11" i="10"/>
  <c r="X11" i="10"/>
  <c r="Y63" i="10"/>
  <c r="X63" i="10"/>
  <c r="Y54" i="10"/>
  <c r="X54" i="10"/>
  <c r="Y27" i="10"/>
  <c r="X27" i="10"/>
  <c r="Y62" i="10"/>
  <c r="X62" i="10"/>
  <c r="Y58" i="10"/>
  <c r="X58" i="10"/>
  <c r="Y53" i="10"/>
  <c r="X53" i="10"/>
  <c r="Y30" i="10"/>
  <c r="X30" i="10"/>
  <c r="Y26" i="10"/>
  <c r="X26" i="10"/>
  <c r="Y22" i="10"/>
  <c r="X22" i="10"/>
  <c r="Y14" i="10"/>
  <c r="X14" i="10"/>
  <c r="Y10" i="10"/>
  <c r="X10" i="10"/>
  <c r="Y61" i="10"/>
  <c r="X61" i="10"/>
  <c r="Y33" i="10"/>
  <c r="X33" i="10"/>
  <c r="Y25" i="10"/>
  <c r="X25" i="10"/>
  <c r="Y17" i="10"/>
  <c r="X17" i="10"/>
  <c r="Y13" i="10"/>
  <c r="X13" i="10"/>
  <c r="E9" i="16"/>
  <c r="Z70" i="3"/>
  <c r="E14" i="16"/>
  <c r="C5" i="16"/>
  <c r="E10" i="16"/>
  <c r="E6" i="16"/>
  <c r="E36" i="16"/>
  <c r="G36" i="16"/>
  <c r="E27" i="16"/>
  <c r="G27" i="16"/>
  <c r="R29" i="10"/>
  <c r="E13" i="16"/>
  <c r="G39" i="16"/>
  <c r="C15" i="15"/>
  <c r="E35" i="16"/>
  <c r="G35" i="16"/>
  <c r="E12" i="16"/>
  <c r="E8" i="16"/>
  <c r="G38" i="16"/>
  <c r="E38" i="16"/>
  <c r="C14" i="15"/>
  <c r="G34" i="16"/>
  <c r="E34" i="16"/>
  <c r="E26" i="16"/>
  <c r="G26" i="16"/>
  <c r="E15" i="16"/>
  <c r="G15" i="16"/>
  <c r="E11" i="16"/>
  <c r="E7" i="16"/>
  <c r="C13" i="15"/>
  <c r="D12" i="15"/>
  <c r="C12" i="15"/>
  <c r="C11" i="15"/>
  <c r="C10" i="15"/>
  <c r="AD71" i="3"/>
  <c r="HB30" i="3"/>
  <c r="HB70" i="3" s="1"/>
  <c r="HC70" i="3"/>
  <c r="GZ30" i="3"/>
  <c r="HD70" i="3"/>
  <c r="HA30" i="3"/>
  <c r="HA70" i="3" s="1"/>
  <c r="HE70" i="3"/>
  <c r="Z71" i="3"/>
  <c r="AJ71" i="3"/>
  <c r="C23" i="11"/>
  <c r="C22" i="11"/>
  <c r="E23" i="11"/>
  <c r="F34" i="11"/>
  <c r="E41" i="11"/>
  <c r="F46" i="11"/>
  <c r="F22" i="11"/>
  <c r="E29" i="11"/>
  <c r="F49" i="11"/>
  <c r="F45" i="11"/>
  <c r="F41" i="11"/>
  <c r="F37" i="11"/>
  <c r="F33" i="11"/>
  <c r="F29" i="11"/>
  <c r="F25" i="11"/>
  <c r="E52" i="11"/>
  <c r="E48" i="11"/>
  <c r="E44" i="11"/>
  <c r="E40" i="11"/>
  <c r="E36" i="11"/>
  <c r="E32" i="11"/>
  <c r="E28" i="11"/>
  <c r="F51" i="11"/>
  <c r="F43" i="11"/>
  <c r="F35" i="11"/>
  <c r="F27" i="11"/>
  <c r="E50" i="11"/>
  <c r="E42" i="11"/>
  <c r="E34" i="11"/>
  <c r="F42" i="11"/>
  <c r="F30" i="11"/>
  <c r="E49" i="11"/>
  <c r="E37" i="11"/>
  <c r="F52" i="11"/>
  <c r="F48" i="11"/>
  <c r="F44" i="11"/>
  <c r="F40" i="11"/>
  <c r="F36" i="11"/>
  <c r="F32" i="11"/>
  <c r="F28" i="11"/>
  <c r="F24" i="11"/>
  <c r="E51" i="11"/>
  <c r="E47" i="11"/>
  <c r="E43" i="11"/>
  <c r="E39" i="11"/>
  <c r="E35" i="11"/>
  <c r="E31" i="11"/>
  <c r="E27" i="11"/>
  <c r="F47" i="11"/>
  <c r="F39" i="11"/>
  <c r="F31" i="11"/>
  <c r="F23" i="11"/>
  <c r="E46" i="11"/>
  <c r="E38" i="11"/>
  <c r="E30" i="11"/>
  <c r="F50" i="11"/>
  <c r="F38" i="11"/>
  <c r="F26" i="11"/>
  <c r="E45" i="11"/>
  <c r="E33" i="11"/>
  <c r="E24" i="11"/>
  <c r="D50" i="11"/>
  <c r="D46" i="11"/>
  <c r="D42" i="11"/>
  <c r="D38" i="11"/>
  <c r="D34" i="11"/>
  <c r="D30" i="11"/>
  <c r="D26" i="11"/>
  <c r="D22" i="11"/>
  <c r="D52" i="11"/>
  <c r="D44" i="11"/>
  <c r="D36" i="11"/>
  <c r="D28" i="11"/>
  <c r="E25" i="11"/>
  <c r="D47" i="11"/>
  <c r="D39" i="11"/>
  <c r="D31" i="11"/>
  <c r="D23" i="11"/>
  <c r="E22" i="11"/>
  <c r="D49" i="11"/>
  <c r="D45" i="11"/>
  <c r="D41" i="11"/>
  <c r="D37" i="11"/>
  <c r="D33" i="11"/>
  <c r="D29" i="11"/>
  <c r="D25" i="11"/>
  <c r="E26" i="11"/>
  <c r="D48" i="11"/>
  <c r="D40" i="11"/>
  <c r="D32" i="11"/>
  <c r="D24" i="11"/>
  <c r="D51" i="11"/>
  <c r="D43" i="11"/>
  <c r="D35" i="11"/>
  <c r="D27" i="11"/>
  <c r="R33" i="10"/>
  <c r="R21" i="10"/>
  <c r="R17" i="10"/>
  <c r="R32" i="10"/>
  <c r="R28" i="10"/>
  <c r="R24" i="10"/>
  <c r="R20" i="10"/>
  <c r="R16" i="10"/>
  <c r="R27" i="10"/>
  <c r="R23" i="10"/>
  <c r="R19" i="10"/>
  <c r="R15" i="10"/>
  <c r="G31" i="16"/>
  <c r="C9" i="10"/>
  <c r="C52" i="11"/>
  <c r="C48" i="11"/>
  <c r="C44" i="11"/>
  <c r="C40" i="11"/>
  <c r="C36" i="11"/>
  <c r="C32" i="11"/>
  <c r="C28" i="11"/>
  <c r="C5" i="11"/>
  <c r="C51" i="11"/>
  <c r="C47" i="11"/>
  <c r="C43" i="11"/>
  <c r="C39" i="11"/>
  <c r="C35" i="11"/>
  <c r="C31" i="11"/>
  <c r="C27" i="11"/>
  <c r="C25" i="11"/>
  <c r="H3" i="11"/>
  <c r="C50" i="11"/>
  <c r="C46" i="11"/>
  <c r="C42" i="11"/>
  <c r="C38" i="11"/>
  <c r="C34" i="11"/>
  <c r="C30" i="11"/>
  <c r="C26" i="11"/>
  <c r="H5" i="11"/>
  <c r="E3" i="11"/>
  <c r="C49" i="11"/>
  <c r="C45" i="11"/>
  <c r="C41" i="11"/>
  <c r="C37" i="11"/>
  <c r="C33" i="11"/>
  <c r="C29" i="11"/>
  <c r="C24" i="11"/>
  <c r="E5" i="11"/>
  <c r="G66" i="11" l="1"/>
  <c r="G57" i="11"/>
  <c r="G64" i="11"/>
  <c r="G59" i="11"/>
  <c r="Y9" i="10"/>
  <c r="X9" i="10"/>
  <c r="G9" i="16"/>
  <c r="G14" i="16"/>
  <c r="G13" i="16"/>
  <c r="G10" i="16"/>
  <c r="G11" i="16"/>
  <c r="G12" i="16"/>
  <c r="G6" i="16"/>
  <c r="G7" i="16"/>
  <c r="G8" i="16"/>
  <c r="E29" i="16"/>
  <c r="G40" i="11"/>
  <c r="G29" i="11"/>
  <c r="G45" i="11"/>
  <c r="G26" i="11"/>
  <c r="G42" i="11"/>
  <c r="G36" i="11"/>
  <c r="G22" i="16"/>
  <c r="G25" i="11"/>
  <c r="G39" i="11"/>
  <c r="G23" i="11"/>
  <c r="G50" i="11"/>
  <c r="G33" i="11"/>
  <c r="G49" i="11"/>
  <c r="G30" i="11"/>
  <c r="G46" i="11"/>
  <c r="G27" i="11"/>
  <c r="G43" i="11"/>
  <c r="G28" i="11"/>
  <c r="G44" i="11"/>
  <c r="E19" i="16"/>
  <c r="G37" i="11"/>
  <c r="G34" i="11"/>
  <c r="G31" i="11"/>
  <c r="G47" i="11"/>
  <c r="G32" i="11"/>
  <c r="G48" i="11"/>
  <c r="G41" i="11"/>
  <c r="G38" i="11"/>
  <c r="G35" i="11"/>
  <c r="G51" i="11"/>
  <c r="G22" i="11"/>
  <c r="C9" i="15"/>
  <c r="G19" i="16"/>
  <c r="E22" i="16"/>
  <c r="E30" i="16"/>
  <c r="G16" i="16"/>
  <c r="G17" i="16"/>
  <c r="G21" i="16"/>
  <c r="G20" i="16"/>
  <c r="E18" i="16"/>
  <c r="G29" i="16"/>
  <c r="G30" i="16"/>
  <c r="E31" i="16"/>
  <c r="E39" i="16"/>
  <c r="E20" i="16"/>
  <c r="E25" i="16"/>
  <c r="G32" i="16"/>
  <c r="E16" i="16"/>
  <c r="E23" i="16"/>
  <c r="E32" i="16"/>
  <c r="E33" i="16"/>
  <c r="G23" i="16"/>
  <c r="E17" i="16"/>
  <c r="G18" i="16"/>
  <c r="E21" i="16"/>
  <c r="G28" i="16"/>
  <c r="E37" i="16"/>
  <c r="G25" i="16"/>
  <c r="E28" i="16"/>
  <c r="G37" i="16"/>
  <c r="G33" i="16"/>
  <c r="HF30" i="3"/>
  <c r="GZ70" i="3"/>
  <c r="G52" i="11"/>
  <c r="G24" i="11"/>
  <c r="R66" i="10"/>
  <c r="E5" i="16"/>
  <c r="E24" i="16" l="1"/>
  <c r="Q28" i="10"/>
  <c r="G5" i="16"/>
  <c r="G24" i="16"/>
  <c r="C9" i="11"/>
  <c r="C10" i="11"/>
  <c r="HF70" i="3"/>
  <c r="N6" i="3"/>
  <c r="P8" i="3" l="1"/>
  <c r="N8" i="3"/>
  <c r="Q66" i="10"/>
  <c r="N7" i="3"/>
  <c r="N5" i="3" l="1"/>
  <c r="R6" i="3" l="1"/>
  <c r="T8" i="3" l="1"/>
  <c r="R8" i="3"/>
  <c r="V6" i="3"/>
  <c r="R7" i="3"/>
  <c r="V8" i="3" l="1"/>
  <c r="X8" i="3"/>
  <c r="Z6" i="3"/>
  <c r="V7" i="3"/>
  <c r="AB8" i="3" l="1"/>
  <c r="Z8" i="3"/>
  <c r="Z7" i="3"/>
  <c r="AD6" i="3"/>
  <c r="AH8" i="3" l="1"/>
  <c r="AF8" i="3"/>
  <c r="AD8" i="3"/>
  <c r="AJ6" i="3"/>
  <c r="AD7" i="3"/>
  <c r="AM9" i="3" l="1"/>
  <c r="AL9" i="3"/>
  <c r="AO9" i="3"/>
  <c r="AK9" i="3"/>
  <c r="AN8" i="3"/>
  <c r="AJ8" i="3"/>
  <c r="AN9" i="3"/>
  <c r="AJ9" i="3"/>
  <c r="AL8" i="3"/>
  <c r="AP6" i="3"/>
  <c r="AJ7" i="3"/>
  <c r="GX46" i="3" l="1"/>
  <c r="M44" i="10" s="1"/>
  <c r="GF37" i="3"/>
  <c r="GT46" i="3"/>
  <c r="GF38" i="3"/>
  <c r="GF28" i="3"/>
  <c r="GX37" i="3"/>
  <c r="M35" i="10" s="1"/>
  <c r="GT38" i="3"/>
  <c r="GV46" i="3"/>
  <c r="GT37" i="3"/>
  <c r="GX38" i="3"/>
  <c r="M36" i="10" s="1"/>
  <c r="GX28" i="3"/>
  <c r="M26" i="10" s="1"/>
  <c r="GT28" i="3"/>
  <c r="GF46" i="3"/>
  <c r="AP8" i="3"/>
  <c r="AT8" i="3"/>
  <c r="AR8" i="3"/>
  <c r="L63" i="10"/>
  <c r="P63" i="10" s="1"/>
  <c r="AV6" i="3"/>
  <c r="AP7" i="3"/>
  <c r="GW46" i="3" l="1"/>
  <c r="L44" i="10" s="1"/>
  <c r="GY46" i="3"/>
  <c r="N44" i="10" s="1"/>
  <c r="AX8" i="3"/>
  <c r="AV8" i="3"/>
  <c r="AZ8" i="3"/>
  <c r="H63" i="10"/>
  <c r="I63" i="10" s="1"/>
  <c r="S63" i="10"/>
  <c r="V63" i="10" s="1"/>
  <c r="BB6" i="3"/>
  <c r="AV7" i="3"/>
  <c r="BD8" i="3" l="1"/>
  <c r="BB8" i="3"/>
  <c r="U63" i="10"/>
  <c r="BF6" i="3"/>
  <c r="BB7" i="3"/>
  <c r="BJ8" i="3" l="1"/>
  <c r="BH8" i="3"/>
  <c r="BF8" i="3"/>
  <c r="BL6" i="3"/>
  <c r="BF7" i="3"/>
  <c r="BL8" i="3" l="1"/>
  <c r="BN8" i="3"/>
  <c r="BP8" i="3"/>
  <c r="BR6" i="3"/>
  <c r="BL7" i="3"/>
  <c r="BT8" i="3" l="1"/>
  <c r="BR8" i="3"/>
  <c r="BV8" i="3"/>
  <c r="BX6" i="3"/>
  <c r="BR7" i="3"/>
  <c r="CC9" i="3" l="1"/>
  <c r="BY9" i="3"/>
  <c r="CB9" i="3"/>
  <c r="BX9" i="3"/>
  <c r="CB8" i="3"/>
  <c r="CA9" i="3"/>
  <c r="BZ8" i="3"/>
  <c r="BZ9" i="3"/>
  <c r="BX8" i="3"/>
  <c r="CD6" i="3"/>
  <c r="BX7" i="3"/>
  <c r="GF50" i="3" l="1"/>
  <c r="GV50" i="3"/>
  <c r="GW50" i="3" s="1"/>
  <c r="GT50" i="3"/>
  <c r="GU50" i="3" s="1"/>
  <c r="K48" i="10" s="1"/>
  <c r="P48" i="10" s="1"/>
  <c r="GF49" i="3"/>
  <c r="GT49" i="3"/>
  <c r="GV49" i="3"/>
  <c r="GX49" i="3"/>
  <c r="M47" i="10" s="1"/>
  <c r="GT43" i="3"/>
  <c r="GX43" i="3"/>
  <c r="M41" i="10" s="1"/>
  <c r="GV43" i="3"/>
  <c r="GF43" i="3"/>
  <c r="GF29" i="3"/>
  <c r="GX29" i="3"/>
  <c r="M27" i="10" s="1"/>
  <c r="GT29" i="3"/>
  <c r="CH8" i="3"/>
  <c r="CF8" i="3"/>
  <c r="CD8" i="3"/>
  <c r="CJ6" i="3"/>
  <c r="CD7" i="3"/>
  <c r="CJ8" i="3" l="1"/>
  <c r="CL8" i="3"/>
  <c r="CN8" i="3"/>
  <c r="GW49" i="3"/>
  <c r="L47" i="10" s="1"/>
  <c r="GY49" i="3"/>
  <c r="N47" i="10" s="1"/>
  <c r="S48" i="10"/>
  <c r="V48" i="10" s="1"/>
  <c r="GY43" i="3"/>
  <c r="N41" i="10" s="1"/>
  <c r="GW43" i="3"/>
  <c r="L41" i="10" s="1"/>
  <c r="H65" i="10"/>
  <c r="I65" i="10" s="1"/>
  <c r="L65" i="10"/>
  <c r="P65" i="10" s="1"/>
  <c r="CP6" i="3"/>
  <c r="CJ7" i="3"/>
  <c r="U48" i="10" l="1"/>
  <c r="CR8" i="3"/>
  <c r="CP8" i="3"/>
  <c r="S65" i="10"/>
  <c r="V65" i="10" s="1"/>
  <c r="CT6" i="3"/>
  <c r="CP7" i="3"/>
  <c r="CX8" i="3" l="1"/>
  <c r="CV8" i="3"/>
  <c r="CT8" i="3"/>
  <c r="U65" i="10"/>
  <c r="CZ6" i="3"/>
  <c r="CT7" i="3"/>
  <c r="DD8" i="3" l="1"/>
  <c r="CZ8" i="3"/>
  <c r="DB8" i="3"/>
  <c r="DF6" i="3"/>
  <c r="CZ7" i="3"/>
  <c r="DF8" i="3" l="1"/>
  <c r="DH8" i="3"/>
  <c r="DJ8" i="3"/>
  <c r="DL6" i="3"/>
  <c r="DF7" i="3"/>
  <c r="DO9" i="3" l="1"/>
  <c r="DN9" i="3"/>
  <c r="DN8" i="3"/>
  <c r="DQ9" i="3"/>
  <c r="DM9" i="3"/>
  <c r="DL8" i="3"/>
  <c r="DP8" i="3"/>
  <c r="DP9" i="3"/>
  <c r="DL9" i="3"/>
  <c r="DR6" i="3"/>
  <c r="DL7" i="3"/>
  <c r="DV8" i="3" l="1"/>
  <c r="DT8" i="3"/>
  <c r="DR8" i="3"/>
  <c r="GX15" i="3"/>
  <c r="M13" i="10" s="1"/>
  <c r="GT15" i="3"/>
  <c r="GF15" i="3"/>
  <c r="DX6" i="3"/>
  <c r="DR7" i="3"/>
  <c r="EB8" i="3" l="1"/>
  <c r="DX8" i="3"/>
  <c r="DZ8" i="3"/>
  <c r="ED6" i="3"/>
  <c r="DX7" i="3"/>
  <c r="ED8" i="3" l="1"/>
  <c r="EF8" i="3"/>
  <c r="EH8" i="3"/>
  <c r="EJ6" i="3"/>
  <c r="ED7" i="3"/>
  <c r="EL8" i="3" l="1"/>
  <c r="EJ8" i="3"/>
  <c r="EN8" i="3"/>
  <c r="EP6" i="3"/>
  <c r="EJ7" i="3"/>
  <c r="ET8" i="3" l="1"/>
  <c r="ER8" i="3"/>
  <c r="EP8" i="3"/>
  <c r="EV6" i="3"/>
  <c r="EP7" i="3"/>
  <c r="EZ8" i="3" l="1"/>
  <c r="EV8" i="3"/>
  <c r="EX8" i="3"/>
  <c r="FB6" i="3"/>
  <c r="EV7" i="3"/>
  <c r="FG9" i="3" l="1"/>
  <c r="FC9" i="3"/>
  <c r="FF9" i="3"/>
  <c r="FB9" i="3"/>
  <c r="FB8" i="3"/>
  <c r="FE9" i="3"/>
  <c r="FD8" i="3"/>
  <c r="FD9" i="3"/>
  <c r="FF8" i="3"/>
  <c r="FH6" i="3"/>
  <c r="FB7" i="3"/>
  <c r="GX62" i="3" l="1"/>
  <c r="M59" i="10" s="1"/>
  <c r="GX63" i="3"/>
  <c r="M60" i="10" s="1"/>
  <c r="GT62" i="3"/>
  <c r="GF62" i="3"/>
  <c r="GT63" i="3"/>
  <c r="GF63" i="3"/>
  <c r="GV63" i="3"/>
  <c r="GV62" i="3"/>
  <c r="GX19" i="3"/>
  <c r="M17" i="10" s="1"/>
  <c r="GF17" i="3"/>
  <c r="GX35" i="3"/>
  <c r="M33" i="10" s="1"/>
  <c r="GV47" i="3"/>
  <c r="GT53" i="3"/>
  <c r="GT23" i="3"/>
  <c r="GF22" i="3"/>
  <c r="GT19" i="3"/>
  <c r="GT18" i="3"/>
  <c r="GX54" i="3"/>
  <c r="M52" i="10" s="1"/>
  <c r="GF31" i="3"/>
  <c r="GF35" i="3"/>
  <c r="GT34" i="3"/>
  <c r="GF53" i="3"/>
  <c r="GX34" i="3"/>
  <c r="M32" i="10" s="1"/>
  <c r="GX39" i="3"/>
  <c r="M37" i="10" s="1"/>
  <c r="GX31" i="3"/>
  <c r="M29" i="10" s="1"/>
  <c r="GX53" i="3"/>
  <c r="M51" i="10" s="1"/>
  <c r="GF27" i="3"/>
  <c r="GX20" i="3"/>
  <c r="M18" i="10" s="1"/>
  <c r="GF47" i="3"/>
  <c r="GT17" i="3"/>
  <c r="GV54" i="3"/>
  <c r="GT35" i="3"/>
  <c r="GF34" i="3"/>
  <c r="GT31" i="3"/>
  <c r="GF54" i="3"/>
  <c r="GT39" i="3"/>
  <c r="GF23" i="3"/>
  <c r="GT22" i="3"/>
  <c r="GX23" i="3"/>
  <c r="M21" i="10" s="1"/>
  <c r="GT54" i="3"/>
  <c r="GX47" i="3"/>
  <c r="M45" i="10" s="1"/>
  <c r="GT27" i="3"/>
  <c r="GF19" i="3"/>
  <c r="GF18" i="3"/>
  <c r="GX17" i="3"/>
  <c r="M15" i="10" s="1"/>
  <c r="G55" i="11" s="1"/>
  <c r="GX18" i="3"/>
  <c r="M16" i="10" s="1"/>
  <c r="GV53" i="3"/>
  <c r="GT20" i="3"/>
  <c r="GT47" i="3"/>
  <c r="GX22" i="3"/>
  <c r="M20" i="10" s="1"/>
  <c r="GF39" i="3"/>
  <c r="GX27" i="3"/>
  <c r="M25" i="10" s="1"/>
  <c r="GF20" i="3"/>
  <c r="GF25" i="3"/>
  <c r="GF33" i="3"/>
  <c r="GT25" i="3"/>
  <c r="GV44" i="3"/>
  <c r="GX33" i="3"/>
  <c r="M31" i="10" s="1"/>
  <c r="GX25" i="3"/>
  <c r="M23" i="10" s="1"/>
  <c r="GT44" i="3"/>
  <c r="GF44" i="3"/>
  <c r="GX44" i="3"/>
  <c r="M42" i="10" s="1"/>
  <c r="GT33" i="3"/>
  <c r="GX64" i="3"/>
  <c r="M61" i="10" s="1"/>
  <c r="GX65" i="3"/>
  <c r="M62" i="10" s="1"/>
  <c r="GF65" i="3"/>
  <c r="GV65" i="3"/>
  <c r="GV64" i="3"/>
  <c r="GT64" i="3"/>
  <c r="GF64" i="3"/>
  <c r="GT65" i="3"/>
  <c r="GX51" i="3"/>
  <c r="M49" i="10" s="1"/>
  <c r="GF51" i="3"/>
  <c r="GT51" i="3"/>
  <c r="GV51" i="3"/>
  <c r="GX42" i="3"/>
  <c r="M40" i="10" s="1"/>
  <c r="GX61" i="3"/>
  <c r="M58" i="10" s="1"/>
  <c r="GV61" i="3"/>
  <c r="GF55" i="3"/>
  <c r="GT55" i="3"/>
  <c r="GX30" i="3"/>
  <c r="M28" i="10" s="1"/>
  <c r="GX45" i="3"/>
  <c r="M43" i="10" s="1"/>
  <c r="GF24" i="3"/>
  <c r="GX16" i="3"/>
  <c r="M14" i="10" s="1"/>
  <c r="GX12" i="3"/>
  <c r="M10" i="10" s="1"/>
  <c r="GF41" i="3"/>
  <c r="GT32" i="3"/>
  <c r="GF40" i="3"/>
  <c r="GT24" i="3"/>
  <c r="GX21" i="3"/>
  <c r="M19" i="10" s="1"/>
  <c r="GX58" i="3"/>
  <c r="M55" i="10" s="1"/>
  <c r="GF58" i="3"/>
  <c r="GF59" i="3"/>
  <c r="GT61" i="3"/>
  <c r="GT16" i="3"/>
  <c r="GX41" i="3"/>
  <c r="M39" i="10" s="1"/>
  <c r="GF32" i="3"/>
  <c r="GF13" i="3"/>
  <c r="GF12" i="3"/>
  <c r="GT13" i="3"/>
  <c r="GT40" i="3"/>
  <c r="GF45" i="3"/>
  <c r="GX13" i="3"/>
  <c r="M11" i="10" s="1"/>
  <c r="GX24" i="3"/>
  <c r="M22" i="10" s="1"/>
  <c r="GF42" i="3"/>
  <c r="GT42" i="3"/>
  <c r="GX55" i="3"/>
  <c r="M53" i="10" s="1"/>
  <c r="GF61" i="3"/>
  <c r="GT58" i="3"/>
  <c r="GT59" i="3"/>
  <c r="GT30" i="3"/>
  <c r="GT26" i="3"/>
  <c r="GX52" i="3"/>
  <c r="M50" i="10" s="1"/>
  <c r="GT12" i="3"/>
  <c r="GT41" i="3"/>
  <c r="GF21" i="3"/>
  <c r="GX26" i="3"/>
  <c r="M24" i="10" s="1"/>
  <c r="GT45" i="3"/>
  <c r="GX59" i="3"/>
  <c r="M56" i="10" s="1"/>
  <c r="GV55" i="3"/>
  <c r="GV59" i="3"/>
  <c r="GV58" i="3"/>
  <c r="GF30" i="3"/>
  <c r="GF52" i="3"/>
  <c r="GX32" i="3"/>
  <c r="M30" i="10" s="1"/>
  <c r="GF16" i="3"/>
  <c r="GX40" i="3"/>
  <c r="M38" i="10" s="1"/>
  <c r="GT52" i="3"/>
  <c r="GT21" i="3"/>
  <c r="GF26" i="3"/>
  <c r="GV52" i="3"/>
  <c r="GV45" i="3"/>
  <c r="GX11" i="3"/>
  <c r="M9" i="10" s="1"/>
  <c r="M66" i="10" s="1"/>
  <c r="FJ8" i="3"/>
  <c r="FH8" i="3"/>
  <c r="FL8" i="3"/>
  <c r="FN6" i="3"/>
  <c r="FH7" i="3"/>
  <c r="FR8" i="3" l="1"/>
  <c r="FP8" i="3"/>
  <c r="FN8" i="3"/>
  <c r="GY58" i="3"/>
  <c r="N55" i="10" s="1"/>
  <c r="GW58" i="3"/>
  <c r="GW64" i="3"/>
  <c r="GY64" i="3"/>
  <c r="N61" i="10" s="1"/>
  <c r="GY47" i="3"/>
  <c r="N45" i="10" s="1"/>
  <c r="GW47" i="3"/>
  <c r="GW62" i="3"/>
  <c r="GY62" i="3"/>
  <c r="N59" i="10" s="1"/>
  <c r="GW45" i="3"/>
  <c r="GY45" i="3"/>
  <c r="N43" i="10" s="1"/>
  <c r="GY59" i="3"/>
  <c r="N56" i="10" s="1"/>
  <c r="GW59" i="3"/>
  <c r="GY51" i="3"/>
  <c r="N49" i="10" s="1"/>
  <c r="GW51" i="3"/>
  <c r="L49" i="10" s="1"/>
  <c r="GW65" i="3"/>
  <c r="GY65" i="3"/>
  <c r="N62" i="10" s="1"/>
  <c r="GW53" i="3"/>
  <c r="L51" i="10" s="1"/>
  <c r="GY53" i="3"/>
  <c r="N51" i="10" s="1"/>
  <c r="GY54" i="3"/>
  <c r="N52" i="10" s="1"/>
  <c r="GW54" i="3"/>
  <c r="L52" i="10" s="1"/>
  <c r="GY63" i="3"/>
  <c r="N60" i="10" s="1"/>
  <c r="GW63" i="3"/>
  <c r="GY55" i="3"/>
  <c r="N53" i="10" s="1"/>
  <c r="GW55" i="3"/>
  <c r="GW61" i="3"/>
  <c r="GY61" i="3"/>
  <c r="N58" i="10" s="1"/>
  <c r="GW52" i="3"/>
  <c r="L50" i="10" s="1"/>
  <c r="GY52" i="3"/>
  <c r="N50" i="10" s="1"/>
  <c r="GY44" i="3"/>
  <c r="N42" i="10" s="1"/>
  <c r="GW44" i="3"/>
  <c r="L42" i="10" s="1"/>
  <c r="FT6" i="3"/>
  <c r="FN7" i="3"/>
  <c r="FX8" i="3" l="1"/>
  <c r="FT8" i="3"/>
  <c r="FV8" i="3"/>
  <c r="FT7" i="3"/>
  <c r="GE9" i="3" l="1"/>
  <c r="GH36" i="3" s="1"/>
  <c r="GD9" i="3"/>
  <c r="GD8" i="3"/>
  <c r="FZ7" i="3"/>
  <c r="GO28" i="3" l="1"/>
  <c r="GP24" i="3"/>
  <c r="GO21" i="3"/>
  <c r="GN21" i="3"/>
  <c r="GH55" i="3"/>
  <c r="GG53" i="3"/>
  <c r="GR51" i="3"/>
  <c r="GM53" i="3"/>
  <c r="GQ25" i="3"/>
  <c r="GG20" i="3"/>
  <c r="GG42" i="3"/>
  <c r="GJ35" i="3"/>
  <c r="GH31" i="3"/>
  <c r="GI40" i="3"/>
  <c r="GG38" i="3"/>
  <c r="GO68" i="3"/>
  <c r="GN38" i="3"/>
  <c r="GM38" i="3"/>
  <c r="GM20" i="3"/>
  <c r="GP16" i="3"/>
  <c r="GN13" i="3"/>
  <c r="GQ36" i="3"/>
  <c r="GN55" i="3"/>
  <c r="GQ56" i="3"/>
  <c r="GH54" i="3"/>
  <c r="GK53" i="3"/>
  <c r="GR53" i="3"/>
  <c r="GN28" i="3"/>
  <c r="GO22" i="3"/>
  <c r="GJ50" i="3"/>
  <c r="GJ17" i="3"/>
  <c r="GK28" i="3"/>
  <c r="GL37" i="3"/>
  <c r="GG35" i="3"/>
  <c r="GG66" i="3"/>
  <c r="GM35" i="3"/>
  <c r="GO13" i="3"/>
  <c r="GN51" i="3"/>
  <c r="GR33" i="3"/>
  <c r="GN52" i="3"/>
  <c r="GI54" i="3"/>
  <c r="GL51" i="3"/>
  <c r="GO50" i="3"/>
  <c r="GH69" i="3"/>
  <c r="GN31" i="3"/>
  <c r="GR20" i="3"/>
  <c r="GI17" i="3"/>
  <c r="GL17" i="3"/>
  <c r="GH29" i="3"/>
  <c r="GO61" i="3"/>
  <c r="GK26" i="3"/>
  <c r="GK57" i="3"/>
  <c r="GR57" i="3"/>
  <c r="GL26" i="3"/>
  <c r="GR49" i="3"/>
  <c r="GJ22" i="3"/>
  <c r="GM18" i="3"/>
  <c r="GP18" i="3"/>
  <c r="GQ31" i="3"/>
  <c r="GG63" i="3"/>
  <c r="GI30" i="3"/>
  <c r="GG26" i="3"/>
  <c r="GL28" i="3"/>
  <c r="GN34" i="3"/>
  <c r="GP31" i="3"/>
  <c r="GI25" i="3"/>
  <c r="GH12" i="3"/>
  <c r="GQ42" i="3"/>
  <c r="GP40" i="3"/>
  <c r="GQ17" i="3"/>
  <c r="GG14" i="3"/>
  <c r="GQ15" i="3"/>
  <c r="GH16" i="3"/>
  <c r="GK51" i="3"/>
  <c r="GP69" i="3"/>
  <c r="GM50" i="3"/>
  <c r="GG49" i="3"/>
  <c r="GK14" i="3"/>
  <c r="GO31" i="3"/>
  <c r="GG23" i="3"/>
  <c r="GM46" i="3"/>
  <c r="GN17" i="3"/>
  <c r="GH51" i="3"/>
  <c r="GR48" i="3"/>
  <c r="GL67" i="3"/>
  <c r="GM49" i="3"/>
  <c r="GL49" i="3"/>
  <c r="GP26" i="3"/>
  <c r="GK24" i="3"/>
  <c r="GQ47" i="3"/>
  <c r="GR18" i="3"/>
  <c r="GL52" i="3"/>
  <c r="GK50" i="3"/>
  <c r="GP68" i="3"/>
  <c r="GQ50" i="3"/>
  <c r="GP17" i="3"/>
  <c r="GK39" i="3"/>
  <c r="GR13" i="3"/>
  <c r="GK41" i="3"/>
  <c r="GR41" i="3"/>
  <c r="GI39" i="3"/>
  <c r="GL38" i="3"/>
  <c r="GG69" i="3"/>
  <c r="GM34" i="3"/>
  <c r="GN20" i="3"/>
  <c r="GQ16" i="3"/>
  <c r="GL22" i="3"/>
  <c r="GO20" i="3"/>
  <c r="GO42" i="3"/>
  <c r="GJ43" i="3"/>
  <c r="GM40" i="3"/>
  <c r="GP39" i="3"/>
  <c r="GL58" i="3"/>
  <c r="GL20" i="3"/>
  <c r="GO14" i="3"/>
  <c r="GO26" i="3"/>
  <c r="GN25" i="3"/>
  <c r="GL34" i="3"/>
  <c r="GJ32" i="3"/>
  <c r="GK63" i="3"/>
  <c r="GP32" i="3"/>
  <c r="GO32" i="3"/>
  <c r="GL16" i="3"/>
  <c r="GO30" i="3"/>
  <c r="GR26" i="3"/>
  <c r="GP35" i="3"/>
  <c r="GO33" i="3"/>
  <c r="GO64" i="3"/>
  <c r="GI34" i="3"/>
  <c r="GJ19" i="3"/>
  <c r="GQ20" i="3"/>
  <c r="GP15" i="3"/>
  <c r="GK19" i="3"/>
  <c r="GQ46" i="3"/>
  <c r="GL47" i="3"/>
  <c r="GN44" i="3"/>
  <c r="GP43" i="3"/>
  <c r="GL62" i="3"/>
  <c r="GN41" i="3"/>
  <c r="GL35" i="3"/>
  <c r="GN60" i="3"/>
  <c r="GL57" i="3"/>
  <c r="GJ25" i="3"/>
  <c r="GJ65" i="3"/>
  <c r="GK61" i="3"/>
  <c r="GI61" i="3"/>
  <c r="GP66" i="3"/>
  <c r="GI64" i="3"/>
  <c r="GM52" i="3"/>
  <c r="GI60" i="3"/>
  <c r="GL69" i="3"/>
  <c r="GN63" i="3"/>
  <c r="GJ44" i="3"/>
  <c r="GJ63" i="3"/>
  <c r="GJ40" i="3"/>
  <c r="GJ59" i="3"/>
  <c r="GM65" i="3"/>
  <c r="GG48" i="3"/>
  <c r="GJ38" i="3"/>
  <c r="GR42" i="3"/>
  <c r="GQ59" i="3"/>
  <c r="GM36" i="3"/>
  <c r="GM68" i="3"/>
  <c r="GN66" i="3"/>
  <c r="GM64" i="3"/>
  <c r="GJ49" i="3"/>
  <c r="GJ41" i="3"/>
  <c r="GN69" i="3"/>
  <c r="GP50" i="3"/>
  <c r="GM29" i="3"/>
  <c r="GQ28" i="3"/>
  <c r="GI22" i="3"/>
  <c r="GQ27" i="3"/>
  <c r="GH26" i="3"/>
  <c r="GI48" i="3"/>
  <c r="GP48" i="3"/>
  <c r="GR45" i="3"/>
  <c r="GI45" i="3"/>
  <c r="GP63" i="3"/>
  <c r="GM24" i="3"/>
  <c r="GP20" i="3"/>
  <c r="GJ12" i="3"/>
  <c r="GQ32" i="3"/>
  <c r="GM33" i="3"/>
  <c r="GI29" i="3"/>
  <c r="GG27" i="3"/>
  <c r="GG61" i="3"/>
  <c r="GM31" i="3"/>
  <c r="GR17" i="3"/>
  <c r="GH14" i="3"/>
  <c r="GL14" i="3"/>
  <c r="GN12" i="3"/>
  <c r="GN48" i="3"/>
  <c r="GH67" i="3"/>
  <c r="GP47" i="3"/>
  <c r="GK46" i="3"/>
  <c r="GR46" i="3"/>
  <c r="GJ27" i="3"/>
  <c r="GL23" i="3"/>
  <c r="GK20" i="3"/>
  <c r="GO43" i="3"/>
  <c r="GG28" i="3"/>
  <c r="GL29" i="3"/>
  <c r="GG57" i="3"/>
  <c r="GJ56" i="3"/>
  <c r="GI58" i="3"/>
  <c r="GL12" i="3"/>
  <c r="GK30" i="3"/>
  <c r="GH27" i="3"/>
  <c r="GQ45" i="3"/>
  <c r="GL64" i="3"/>
  <c r="GG45" i="3"/>
  <c r="GM43" i="3"/>
  <c r="GL25" i="3"/>
  <c r="GM47" i="3"/>
  <c r="GN14" i="3"/>
  <c r="GQ14" i="3"/>
  <c r="GO52" i="3"/>
  <c r="GI59" i="3"/>
  <c r="GQ51" i="3"/>
  <c r="GL50" i="3"/>
  <c r="GG51" i="3"/>
  <c r="GI27" i="3"/>
  <c r="GK21" i="3"/>
  <c r="GQ48" i="3"/>
  <c r="GR15" i="3"/>
  <c r="GI16" i="3"/>
  <c r="GG54" i="3"/>
  <c r="GN50" i="3"/>
  <c r="GI53" i="3"/>
  <c r="GP51" i="3"/>
  <c r="GN33" i="3"/>
  <c r="GN22" i="3"/>
  <c r="GN35" i="3"/>
  <c r="GK36" i="3"/>
  <c r="GL33" i="3"/>
  <c r="GJ15" i="3"/>
  <c r="GR34" i="3"/>
  <c r="GI13" i="3"/>
  <c r="GL13" i="3"/>
  <c r="GI44" i="3"/>
  <c r="GH42" i="3"/>
  <c r="GP60" i="3"/>
  <c r="GN42" i="3"/>
  <c r="GH15" i="3"/>
  <c r="GG29" i="3"/>
  <c r="GP23" i="3"/>
  <c r="GG22" i="3"/>
  <c r="GG44" i="3"/>
  <c r="GO44" i="3"/>
  <c r="GQ41" i="3"/>
  <c r="GH41" i="3"/>
  <c r="GP59" i="3"/>
  <c r="GL31" i="3"/>
  <c r="GM27" i="3"/>
  <c r="GH25" i="3"/>
  <c r="GK23" i="3"/>
  <c r="GL45" i="3"/>
  <c r="GG46" i="3"/>
  <c r="GI43" i="3"/>
  <c r="GL42" i="3"/>
  <c r="GH61" i="3"/>
  <c r="GM16" i="3"/>
  <c r="GO12" i="3"/>
  <c r="GG32" i="3"/>
  <c r="GH20" i="3"/>
  <c r="GK33" i="3"/>
  <c r="GK64" i="3"/>
  <c r="GL32" i="3"/>
  <c r="GR29" i="3"/>
  <c r="GI31" i="3"/>
  <c r="GO58" i="3"/>
  <c r="GO23" i="3"/>
  <c r="GI47" i="3"/>
  <c r="GI14" i="3"/>
  <c r="GI21" i="3"/>
  <c r="GL21" i="3"/>
  <c r="GO34" i="3"/>
  <c r="GO65" i="3"/>
  <c r="GQ33" i="3"/>
  <c r="GK32" i="3"/>
  <c r="GR32" i="3"/>
  <c r="GI19" i="3"/>
  <c r="GL15" i="3"/>
  <c r="GR22" i="3"/>
  <c r="GL56" i="3"/>
  <c r="GK54" i="3"/>
  <c r="GN53" i="3"/>
  <c r="GQ54" i="3"/>
  <c r="GP54" i="3"/>
  <c r="GI15" i="3"/>
  <c r="GK29" i="3"/>
  <c r="GJ24" i="3"/>
  <c r="GR24" i="3"/>
  <c r="GO55" i="3"/>
  <c r="GR54" i="3"/>
  <c r="GI56" i="3"/>
  <c r="GK22" i="3"/>
  <c r="GP45" i="3"/>
  <c r="GJ18" i="3"/>
  <c r="GM14" i="3"/>
  <c r="GM25" i="3"/>
  <c r="GH39" i="3"/>
  <c r="GO69" i="3"/>
  <c r="GI38" i="3"/>
  <c r="GO36" i="3"/>
  <c r="GK37" i="3"/>
  <c r="GG64" i="3"/>
  <c r="GH47" i="3"/>
  <c r="GI69" i="3"/>
  <c r="GQ53" i="3"/>
  <c r="GJ67" i="3"/>
  <c r="GQ62" i="3"/>
  <c r="GQ58" i="3"/>
  <c r="GO57" i="3"/>
  <c r="GR62" i="3"/>
  <c r="GO54" i="3"/>
  <c r="GQ65" i="3"/>
  <c r="GH34" i="3"/>
  <c r="GN65" i="3"/>
  <c r="GM61" i="3"/>
  <c r="GO66" i="3"/>
  <c r="GM66" i="3"/>
  <c r="GO62" i="3"/>
  <c r="GM62" i="3"/>
  <c r="GH49" i="3"/>
  <c r="GK69" i="3"/>
  <c r="GN67" i="3"/>
  <c r="GK65" i="3"/>
  <c r="GR68" i="3"/>
  <c r="GH52" i="3"/>
  <c r="GM59" i="3"/>
  <c r="GO46" i="3"/>
  <c r="GN19" i="3"/>
  <c r="GN26" i="3"/>
  <c r="GQ26" i="3"/>
  <c r="GL40" i="3"/>
  <c r="GH59" i="3"/>
  <c r="GN39" i="3"/>
  <c r="GH38" i="3"/>
  <c r="GP38" i="3"/>
  <c r="GR21" i="3"/>
  <c r="GI18" i="3"/>
  <c r="GG13" i="3"/>
  <c r="GG12" i="3"/>
  <c r="GJ54" i="3"/>
  <c r="GM55" i="3"/>
  <c r="GP52" i="3"/>
  <c r="GG52" i="3"/>
  <c r="GJ52" i="3"/>
  <c r="GG21" i="3"/>
  <c r="GL44" i="3"/>
  <c r="GR16" i="3"/>
  <c r="GH13" i="3"/>
  <c r="GK13" i="3"/>
  <c r="GM41" i="3"/>
  <c r="GL39" i="3"/>
  <c r="GP57" i="3"/>
  <c r="GR39" i="3"/>
  <c r="GN24" i="3"/>
  <c r="GJ26" i="3"/>
  <c r="GH21" i="3"/>
  <c r="GO24" i="3"/>
  <c r="GI49" i="3"/>
  <c r="GQ52" i="3"/>
  <c r="GH50" i="3"/>
  <c r="GK49" i="3"/>
  <c r="GP67" i="3"/>
  <c r="GN27" i="3"/>
  <c r="GP29" i="3"/>
  <c r="GQ38" i="3"/>
  <c r="GN36" i="3"/>
  <c r="GK67" i="3"/>
  <c r="GH37" i="3"/>
  <c r="GK31" i="3"/>
  <c r="GI26" i="3"/>
  <c r="GO17" i="3"/>
  <c r="GG41" i="3"/>
  <c r="GI12" i="3"/>
  <c r="GN45" i="3"/>
  <c r="GL43" i="3"/>
  <c r="GH62" i="3"/>
  <c r="GR43" i="3"/>
  <c r="GQ43" i="3"/>
  <c r="GR25" i="3"/>
  <c r="GH22" i="3"/>
  <c r="GG19" i="3"/>
  <c r="GK42" i="3"/>
  <c r="GM13" i="3"/>
  <c r="GG47" i="3"/>
  <c r="GQ44" i="3"/>
  <c r="GL63" i="3"/>
  <c r="GK45" i="3"/>
  <c r="GK12" i="3"/>
  <c r="GH28" i="3"/>
  <c r="GP25" i="3"/>
  <c r="GR56" i="3"/>
  <c r="GG59" i="3"/>
  <c r="GL55" i="3"/>
  <c r="GK18" i="3"/>
  <c r="GO41" i="3"/>
  <c r="GO39" i="3"/>
  <c r="GI37" i="3"/>
  <c r="GQ37" i="3"/>
  <c r="GP34" i="3"/>
  <c r="GG34" i="3"/>
  <c r="GG65" i="3"/>
  <c r="GP13" i="3"/>
  <c r="GN29" i="3"/>
  <c r="GM22" i="3"/>
  <c r="GP22" i="3"/>
  <c r="GG36" i="3"/>
  <c r="GG67" i="3"/>
  <c r="GI35" i="3"/>
  <c r="GP33" i="3"/>
  <c r="GK34" i="3"/>
  <c r="GI33" i="3"/>
  <c r="GQ24" i="3"/>
  <c r="GQ23" i="3"/>
  <c r="GH24" i="3"/>
  <c r="GO37" i="3"/>
  <c r="GK68" i="3"/>
  <c r="GP36" i="3"/>
  <c r="GH35" i="3"/>
  <c r="GO35" i="3"/>
  <c r="GQ13" i="3"/>
  <c r="GM15" i="3"/>
  <c r="GP30" i="3"/>
  <c r="GM17" i="3"/>
  <c r="GK55" i="3"/>
  <c r="GJ53" i="3"/>
  <c r="GM54" i="3"/>
  <c r="GH53" i="3"/>
  <c r="GO53" i="3"/>
  <c r="GH68" i="3"/>
  <c r="GL24" i="3"/>
  <c r="GO18" i="3"/>
  <c r="GO40" i="3"/>
  <c r="GN18" i="3"/>
  <c r="GQ18" i="3"/>
  <c r="GO56" i="3"/>
  <c r="GN54" i="3"/>
  <c r="GQ55" i="3"/>
  <c r="GL54" i="3"/>
  <c r="GN16" i="3"/>
  <c r="GP12" i="3"/>
  <c r="GJ29" i="3"/>
  <c r="GL27" i="3"/>
  <c r="GN49" i="3"/>
  <c r="GI50" i="3"/>
  <c r="GK47" i="3"/>
  <c r="GN46" i="3"/>
  <c r="GH65" i="3"/>
  <c r="GM12" i="3"/>
  <c r="GL30" i="3"/>
  <c r="GJ30" i="3"/>
  <c r="GR50" i="3"/>
  <c r="GM51" i="3"/>
  <c r="GO48" i="3"/>
  <c r="GR47" i="3"/>
  <c r="GL66" i="3"/>
  <c r="GH23" i="3"/>
  <c r="GK17" i="3"/>
  <c r="GP44" i="3"/>
  <c r="GQ22" i="3"/>
  <c r="GJ31" i="3"/>
  <c r="GO25" i="3"/>
  <c r="GO60" i="3"/>
  <c r="GO27" i="3"/>
  <c r="GK27" i="3"/>
  <c r="GN32" i="3"/>
  <c r="GM60" i="3"/>
  <c r="GJ46" i="3"/>
  <c r="GH64" i="3"/>
  <c r="GH58" i="3"/>
  <c r="GG37" i="3"/>
  <c r="GR66" i="3"/>
  <c r="GH33" i="3"/>
  <c r="GI66" i="3"/>
  <c r="GJ55" i="3"/>
  <c r="GR65" i="3"/>
  <c r="GQ35" i="3"/>
  <c r="GM63" i="3"/>
  <c r="GJ61" i="3"/>
  <c r="GI63" i="3"/>
  <c r="GI68" i="3"/>
  <c r="GM58" i="3"/>
  <c r="GJ28" i="3"/>
  <c r="GO47" i="3"/>
  <c r="GR58" i="3"/>
  <c r="GN58" i="3"/>
  <c r="GQ61" i="3"/>
  <c r="GQ66" i="3"/>
  <c r="GQ49" i="3"/>
  <c r="GN68" i="3"/>
  <c r="GO45" i="3"/>
  <c r="GN64" i="3"/>
  <c r="GR63" i="3"/>
  <c r="GH56" i="3"/>
  <c r="GQ63" i="3"/>
  <c r="GP58" i="3"/>
  <c r="GI65" i="3"/>
  <c r="GI55" i="3"/>
  <c r="GG30" i="3"/>
  <c r="GG24" i="3"/>
  <c r="GH46" i="3"/>
  <c r="GR23" i="3"/>
  <c r="GI24" i="3"/>
  <c r="GG33" i="3"/>
  <c r="GQ29" i="3"/>
  <c r="GG62" i="3"/>
  <c r="GQ30" i="3"/>
  <c r="GG25" i="3"/>
  <c r="GM48" i="3"/>
  <c r="GN15" i="3"/>
  <c r="GJ47" i="3"/>
  <c r="GP65" i="3"/>
  <c r="GL46" i="3"/>
  <c r="GR44" i="3"/>
  <c r="GM45" i="3"/>
  <c r="GP21" i="3"/>
  <c r="GG16" i="3"/>
  <c r="GK43" i="3"/>
  <c r="GJ34" i="3"/>
  <c r="GQ34" i="3"/>
  <c r="GR31" i="3"/>
  <c r="GM30" i="3"/>
  <c r="GK62" i="3"/>
  <c r="GP27" i="3"/>
  <c r="GJ51" i="3"/>
  <c r="GN23" i="3"/>
  <c r="GQ19" i="3"/>
  <c r="GG31" i="3"/>
  <c r="GM44" i="3"/>
  <c r="GH63" i="3"/>
  <c r="GN43" i="3"/>
  <c r="GI42" i="3"/>
  <c r="GR12" i="3"/>
  <c r="GR35" i="3"/>
  <c r="GK25" i="3"/>
  <c r="GR30" i="3"/>
  <c r="GH32" i="3"/>
  <c r="GK58" i="3"/>
  <c r="GN57" i="3"/>
  <c r="GO59" i="3"/>
  <c r="GH30" i="3"/>
  <c r="GM23" i="3"/>
  <c r="GL18" i="3"/>
  <c r="GO16" i="3"/>
  <c r="GO38" i="3"/>
  <c r="GJ39" i="3"/>
  <c r="GI36" i="3"/>
  <c r="GK35" i="3"/>
  <c r="GK66" i="3"/>
  <c r="GM37" i="3"/>
  <c r="GJ23" i="3"/>
  <c r="GM19" i="3"/>
  <c r="GP19" i="3"/>
  <c r="GG18" i="3"/>
  <c r="GG40" i="3"/>
  <c r="GN40" i="3"/>
  <c r="GP37" i="3"/>
  <c r="GR36" i="3"/>
  <c r="GO67" i="3"/>
  <c r="GR28" i="3"/>
  <c r="GM26" i="3"/>
  <c r="GP14" i="3"/>
  <c r="GG50" i="3"/>
  <c r="GL68" i="3"/>
  <c r="GH19" i="3"/>
  <c r="GJ13" i="3"/>
  <c r="GH17" i="3"/>
  <c r="GK15" i="3"/>
  <c r="GJ58" i="3"/>
  <c r="GK60" i="3"/>
  <c r="GP56" i="3"/>
  <c r="GG56" i="3"/>
  <c r="GN56" i="3"/>
  <c r="GN37" i="3"/>
  <c r="GR52" i="3"/>
  <c r="GR19" i="3"/>
  <c r="GI20" i="3"/>
  <c r="GG58" i="3"/>
  <c r="GR55" i="3"/>
  <c r="GM57" i="3"/>
  <c r="GP55" i="3"/>
  <c r="GK56" i="3"/>
  <c r="GI32" i="3"/>
  <c r="GJ21" i="3"/>
  <c r="GM21" i="3"/>
  <c r="GM28" i="3"/>
  <c r="GJ57" i="3"/>
  <c r="GK59" i="3"/>
  <c r="GH57" i="3"/>
  <c r="GG17" i="3"/>
  <c r="GK40" i="3"/>
  <c r="GQ12" i="3"/>
  <c r="GM32" i="3"/>
  <c r="GR14" i="3"/>
  <c r="GK48" i="3"/>
  <c r="GI46" i="3"/>
  <c r="GP64" i="3"/>
  <c r="GP46" i="3"/>
  <c r="GN30" i="3"/>
  <c r="GJ64" i="3"/>
  <c r="GI23" i="3"/>
  <c r="GL19" i="3"/>
  <c r="GK16" i="3"/>
  <c r="GH45" i="3"/>
  <c r="GJ16" i="3"/>
  <c r="GP49" i="3"/>
  <c r="GN47" i="3"/>
  <c r="GH66" i="3"/>
  <c r="GH48" i="3"/>
  <c r="GO19" i="3"/>
  <c r="GG43" i="3"/>
  <c r="GL36" i="3"/>
  <c r="GR27" i="3"/>
  <c r="GI28" i="3"/>
  <c r="GP41" i="3"/>
  <c r="GL60" i="3"/>
  <c r="GR40" i="3"/>
  <c r="GH40" i="3"/>
  <c r="GH43" i="3"/>
  <c r="GL41" i="3"/>
  <c r="GG15" i="3"/>
  <c r="GP53" i="3"/>
  <c r="GI41" i="3"/>
  <c r="GJ60" i="3"/>
  <c r="GM56" i="3"/>
  <c r="GG60" i="3"/>
  <c r="GQ39" i="3"/>
  <c r="GI62" i="3"/>
  <c r="GH60" i="3"/>
  <c r="GQ67" i="3"/>
  <c r="GP62" i="3"/>
  <c r="GI67" i="3"/>
  <c r="GP28" i="3"/>
  <c r="GL61" i="3"/>
  <c r="GR60" i="3"/>
  <c r="GP61" i="3"/>
  <c r="GO51" i="3"/>
  <c r="GO63" i="3"/>
  <c r="GJ36" i="3"/>
  <c r="GJ66" i="3"/>
  <c r="GK44" i="3"/>
  <c r="GJ68" i="3"/>
  <c r="GM42" i="3"/>
  <c r="GN59" i="3"/>
  <c r="GN62" i="3"/>
  <c r="GM67" i="3"/>
  <c r="GR61" i="3"/>
  <c r="GL65" i="3"/>
  <c r="GH44" i="3"/>
  <c r="GQ69" i="3"/>
  <c r="GJ33" i="3"/>
  <c r="GL53" i="3"/>
  <c r="GR67" i="3"/>
  <c r="GI51" i="3"/>
  <c r="GO15" i="3"/>
  <c r="GR37" i="3"/>
  <c r="GJ42" i="3"/>
  <c r="GQ21" i="3"/>
  <c r="GK38" i="3"/>
  <c r="GQ57" i="3"/>
  <c r="GJ37" i="3"/>
  <c r="GR38" i="3"/>
  <c r="GO49" i="3"/>
  <c r="GJ45" i="3"/>
  <c r="GM69" i="3"/>
  <c r="GQ68" i="3"/>
  <c r="GG68" i="3"/>
  <c r="GL59" i="3"/>
  <c r="GJ69" i="3"/>
  <c r="GR59" i="3"/>
  <c r="GN61" i="3"/>
  <c r="GQ60" i="3"/>
  <c r="GG55" i="3"/>
  <c r="GS55" i="3" s="1"/>
  <c r="GU55" i="3" s="1"/>
  <c r="GR69" i="3"/>
  <c r="GM39" i="3"/>
  <c r="GG39" i="3"/>
  <c r="GO29" i="3"/>
  <c r="GQ40" i="3"/>
  <c r="GH18" i="3"/>
  <c r="GJ20" i="3"/>
  <c r="GI52" i="3"/>
  <c r="GK52" i="3"/>
  <c r="GI57" i="3"/>
  <c r="GJ62" i="3"/>
  <c r="GP42" i="3"/>
  <c r="GR64" i="3"/>
  <c r="GJ14" i="3"/>
  <c r="GJ48" i="3"/>
  <c r="GL48" i="3"/>
  <c r="GQ64" i="3"/>
  <c r="GS26" i="3"/>
  <c r="GS31" i="3"/>
  <c r="GV17" i="3"/>
  <c r="GV22" i="3"/>
  <c r="GV15" i="3"/>
  <c r="GV32" i="3"/>
  <c r="GV33" i="3"/>
  <c r="GV29" i="3"/>
  <c r="GV23" i="3"/>
  <c r="GV31" i="3"/>
  <c r="GV13" i="3"/>
  <c r="GV41" i="3"/>
  <c r="GV38" i="3"/>
  <c r="GV18" i="3"/>
  <c r="GV16" i="3"/>
  <c r="GV42" i="3"/>
  <c r="GV35" i="3"/>
  <c r="GV37" i="3"/>
  <c r="GV25" i="3"/>
  <c r="GV14" i="3"/>
  <c r="GV11" i="3"/>
  <c r="GV21" i="3"/>
  <c r="GV19" i="3"/>
  <c r="GV34" i="3"/>
  <c r="GV36" i="3"/>
  <c r="GV40" i="3"/>
  <c r="GV28" i="3"/>
  <c r="GV27" i="3"/>
  <c r="GV39" i="3"/>
  <c r="GV20" i="3"/>
  <c r="GV12" i="3"/>
  <c r="GV26" i="3"/>
  <c r="GV24" i="3"/>
  <c r="GV30" i="3"/>
  <c r="GM11" i="3"/>
  <c r="GM70" i="3" s="1"/>
  <c r="GO11" i="3"/>
  <c r="GO70" i="3" s="1"/>
  <c r="GN11" i="3"/>
  <c r="GT11" i="3"/>
  <c r="GF11" i="3"/>
  <c r="GJ11" i="3"/>
  <c r="GH11" i="3"/>
  <c r="GH70" i="3" s="1"/>
  <c r="GR11" i="3"/>
  <c r="GR70" i="3" s="1"/>
  <c r="GQ11" i="3"/>
  <c r="GP11" i="3"/>
  <c r="GP70" i="3" s="1"/>
  <c r="GL11" i="3"/>
  <c r="GI11" i="3"/>
  <c r="GI70" i="3" s="1"/>
  <c r="GK11" i="3"/>
  <c r="GK70" i="3" s="1"/>
  <c r="GG11" i="3"/>
  <c r="GS56" i="3" l="1"/>
  <c r="GU56" i="3" s="1"/>
  <c r="GL70" i="3"/>
  <c r="GS43" i="3"/>
  <c r="GU43" i="3" s="1"/>
  <c r="K41" i="10" s="1"/>
  <c r="P41" i="10" s="1"/>
  <c r="GS64" i="3"/>
  <c r="GU64" i="3" s="1"/>
  <c r="GS54" i="3"/>
  <c r="GU54" i="3" s="1"/>
  <c r="K52" i="10" s="1"/>
  <c r="P52" i="10" s="1"/>
  <c r="GS45" i="3"/>
  <c r="GU45" i="3" s="1"/>
  <c r="K43" i="10" s="1"/>
  <c r="P43" i="10" s="1"/>
  <c r="GS63" i="3"/>
  <c r="GU63" i="3" s="1"/>
  <c r="GG70" i="3"/>
  <c r="GJ70" i="3"/>
  <c r="GS58" i="3"/>
  <c r="GU58" i="3" s="1"/>
  <c r="GS62" i="3"/>
  <c r="GU62" i="3" s="1"/>
  <c r="GS65" i="3"/>
  <c r="GU65" i="3" s="1"/>
  <c r="GS61" i="3"/>
  <c r="GU61" i="3" s="1"/>
  <c r="GS69" i="3"/>
  <c r="GU69" i="3" s="1"/>
  <c r="GS66" i="3"/>
  <c r="GQ70" i="3"/>
  <c r="GS44" i="3"/>
  <c r="GU44" i="3" s="1"/>
  <c r="K42" i="10" s="1"/>
  <c r="P42" i="10" s="1"/>
  <c r="GS59" i="3"/>
  <c r="GU59" i="3" s="1"/>
  <c r="GS47" i="3"/>
  <c r="GU47" i="3" s="1"/>
  <c r="K45" i="10" s="1"/>
  <c r="P45" i="10" s="1"/>
  <c r="GS51" i="3"/>
  <c r="GU51" i="3" s="1"/>
  <c r="K49" i="10" s="1"/>
  <c r="P49" i="10" s="1"/>
  <c r="GS49" i="3"/>
  <c r="GU49" i="3" s="1"/>
  <c r="K47" i="10" s="1"/>
  <c r="P47" i="10" s="1"/>
  <c r="GS53" i="3"/>
  <c r="GU53" i="3" s="1"/>
  <c r="K51" i="10" s="1"/>
  <c r="P51" i="10" s="1"/>
  <c r="GS46" i="3"/>
  <c r="GU46" i="3" s="1"/>
  <c r="K44" i="10" s="1"/>
  <c r="P44" i="10" s="1"/>
  <c r="GS52" i="3"/>
  <c r="GU52" i="3" s="1"/>
  <c r="K50" i="10" s="1"/>
  <c r="P50" i="10" s="1"/>
  <c r="GY26" i="3"/>
  <c r="N24" i="10" s="1"/>
  <c r="GW26" i="3"/>
  <c r="GY27" i="3"/>
  <c r="N25" i="10" s="1"/>
  <c r="GW27" i="3"/>
  <c r="GY34" i="3"/>
  <c r="N32" i="10" s="1"/>
  <c r="GW34" i="3"/>
  <c r="GY14" i="3"/>
  <c r="N12" i="10" s="1"/>
  <c r="GW14" i="3"/>
  <c r="H40" i="10"/>
  <c r="I40" i="10" s="1"/>
  <c r="GY42" i="3"/>
  <c r="N40" i="10" s="1"/>
  <c r="GW42" i="3"/>
  <c r="L40" i="10" s="1"/>
  <c r="H39" i="10"/>
  <c r="I39" i="10" s="1"/>
  <c r="GW41" i="3"/>
  <c r="GY41" i="3"/>
  <c r="N39" i="10" s="1"/>
  <c r="GW29" i="3"/>
  <c r="GY29" i="3"/>
  <c r="N27" i="10" s="1"/>
  <c r="GY22" i="3"/>
  <c r="N20" i="10" s="1"/>
  <c r="GW22" i="3"/>
  <c r="GW12" i="3"/>
  <c r="GY12" i="3"/>
  <c r="N10" i="10" s="1"/>
  <c r="GW28" i="3"/>
  <c r="GY28" i="3"/>
  <c r="N26" i="10" s="1"/>
  <c r="GY19" i="3"/>
  <c r="N17" i="10" s="1"/>
  <c r="GW19" i="3"/>
  <c r="GW25" i="3"/>
  <c r="GY25" i="3"/>
  <c r="N23" i="10" s="1"/>
  <c r="GW16" i="3"/>
  <c r="GY16" i="3"/>
  <c r="N14" i="10" s="1"/>
  <c r="GW13" i="3"/>
  <c r="GY13" i="3"/>
  <c r="N11" i="10" s="1"/>
  <c r="GW33" i="3"/>
  <c r="GY33" i="3"/>
  <c r="N31" i="10" s="1"/>
  <c r="GW17" i="3"/>
  <c r="GY17" i="3"/>
  <c r="N15" i="10" s="1"/>
  <c r="GY30" i="3"/>
  <c r="N28" i="10" s="1"/>
  <c r="GW30" i="3"/>
  <c r="GW20" i="3"/>
  <c r="L18" i="10" s="1"/>
  <c r="GY20" i="3"/>
  <c r="N18" i="10" s="1"/>
  <c r="H38" i="10"/>
  <c r="I38" i="10" s="1"/>
  <c r="GW40" i="3"/>
  <c r="L38" i="10" s="1"/>
  <c r="GY40" i="3"/>
  <c r="N38" i="10" s="1"/>
  <c r="GW21" i="3"/>
  <c r="GY21" i="3"/>
  <c r="N19" i="10" s="1"/>
  <c r="H35" i="10"/>
  <c r="I35" i="10" s="1"/>
  <c r="GW37" i="3"/>
  <c r="GY37" i="3"/>
  <c r="N35" i="10" s="1"/>
  <c r="GY18" i="3"/>
  <c r="N16" i="10" s="1"/>
  <c r="GW18" i="3"/>
  <c r="L16" i="10" s="1"/>
  <c r="GY31" i="3"/>
  <c r="N29" i="10" s="1"/>
  <c r="GW31" i="3"/>
  <c r="GW32" i="3"/>
  <c r="GY32" i="3"/>
  <c r="N30" i="10" s="1"/>
  <c r="GW24" i="3"/>
  <c r="GY24" i="3"/>
  <c r="N22" i="10" s="1"/>
  <c r="H37" i="10"/>
  <c r="I37" i="10" s="1"/>
  <c r="GY39" i="3"/>
  <c r="N37" i="10" s="1"/>
  <c r="GW39" i="3"/>
  <c r="H34" i="10"/>
  <c r="I34" i="10" s="1"/>
  <c r="GW36" i="3"/>
  <c r="L34" i="10" s="1"/>
  <c r="GY36" i="3"/>
  <c r="N34" i="10" s="1"/>
  <c r="GY35" i="3"/>
  <c r="N33" i="10" s="1"/>
  <c r="GW35" i="3"/>
  <c r="H36" i="10"/>
  <c r="I36" i="10" s="1"/>
  <c r="GY38" i="3"/>
  <c r="N36" i="10" s="1"/>
  <c r="GW38" i="3"/>
  <c r="L36" i="10" s="1"/>
  <c r="GY23" i="3"/>
  <c r="N21" i="10" s="1"/>
  <c r="GW23" i="3"/>
  <c r="GY15" i="3"/>
  <c r="N13" i="10" s="1"/>
  <c r="GN70" i="3"/>
  <c r="GU26" i="3"/>
  <c r="GS35" i="3"/>
  <c r="GU35" i="3" s="1"/>
  <c r="GS30" i="3"/>
  <c r="GU30" i="3" s="1"/>
  <c r="GS24" i="3"/>
  <c r="GU24" i="3" s="1"/>
  <c r="GS28" i="3"/>
  <c r="GS12" i="3"/>
  <c r="GS19" i="3"/>
  <c r="GS15" i="3"/>
  <c r="GU15" i="3" s="1"/>
  <c r="K13" i="10" s="1"/>
  <c r="GS22" i="3"/>
  <c r="GS25" i="3"/>
  <c r="GU25" i="3" s="1"/>
  <c r="GS34" i="3"/>
  <c r="GU34" i="3" s="1"/>
  <c r="GS32" i="3"/>
  <c r="GU32" i="3" s="1"/>
  <c r="GS39" i="3"/>
  <c r="GS27" i="3"/>
  <c r="GU27" i="3" s="1"/>
  <c r="K23" i="10" s="1"/>
  <c r="GS20" i="3"/>
  <c r="GU20" i="3" s="1"/>
  <c r="K18" i="10" s="1"/>
  <c r="GS40" i="3"/>
  <c r="GU40" i="3" s="1"/>
  <c r="K38" i="10" s="1"/>
  <c r="GS14" i="3"/>
  <c r="GS17" i="3"/>
  <c r="GU17" i="3" s="1"/>
  <c r="K15" i="10" s="1"/>
  <c r="GS36" i="3"/>
  <c r="GS41" i="3"/>
  <c r="GU41" i="3" s="1"/>
  <c r="GS29" i="3"/>
  <c r="GU29" i="3" s="1"/>
  <c r="GS16" i="3"/>
  <c r="GU16" i="3" s="1"/>
  <c r="K14" i="10" s="1"/>
  <c r="GS38" i="3"/>
  <c r="GS37" i="3"/>
  <c r="GU37" i="3" s="1"/>
  <c r="L24" i="10"/>
  <c r="GS42" i="3"/>
  <c r="GS33" i="3"/>
  <c r="GU33" i="3" s="1"/>
  <c r="GS21" i="3"/>
  <c r="GU21" i="3" s="1"/>
  <c r="K19" i="10" s="1"/>
  <c r="GS23" i="3"/>
  <c r="GU23" i="3" s="1"/>
  <c r="GS18" i="3"/>
  <c r="GS13" i="3"/>
  <c r="GU13" i="3" s="1"/>
  <c r="K11" i="10" s="1"/>
  <c r="L17" i="10"/>
  <c r="L33" i="10"/>
  <c r="L61" i="10"/>
  <c r="L12" i="10"/>
  <c r="L11" i="10"/>
  <c r="L53" i="10"/>
  <c r="L13" i="10"/>
  <c r="L27" i="10"/>
  <c r="L15" i="10"/>
  <c r="L10" i="10"/>
  <c r="GY11" i="3"/>
  <c r="N9" i="10" s="1"/>
  <c r="GW11" i="3"/>
  <c r="L14" i="10"/>
  <c r="L19" i="10"/>
  <c r="H33" i="10"/>
  <c r="I33" i="10" s="1"/>
  <c r="H22" i="10"/>
  <c r="I22" i="10" s="1"/>
  <c r="H31" i="10"/>
  <c r="I31" i="10" s="1"/>
  <c r="H18" i="10"/>
  <c r="I18" i="10" s="1"/>
  <c r="H21" i="10"/>
  <c r="I21" i="10" s="1"/>
  <c r="H28" i="10"/>
  <c r="I28" i="10" s="1"/>
  <c r="H61" i="10"/>
  <c r="I61" i="10" s="1"/>
  <c r="GT70" i="3"/>
  <c r="H26" i="10"/>
  <c r="I26" i="10" s="1"/>
  <c r="H60" i="10"/>
  <c r="I60" i="10" s="1"/>
  <c r="H30" i="10"/>
  <c r="I30" i="10" s="1"/>
  <c r="H12" i="10"/>
  <c r="I12" i="10" s="1"/>
  <c r="H57" i="10"/>
  <c r="I57" i="10" s="1"/>
  <c r="H11" i="10"/>
  <c r="I11" i="10" s="1"/>
  <c r="H29" i="10"/>
  <c r="I29" i="10" s="1"/>
  <c r="H13" i="10"/>
  <c r="I13" i="10" s="1"/>
  <c r="H25" i="10"/>
  <c r="I25" i="10" s="1"/>
  <c r="H15" i="10"/>
  <c r="I15" i="10" s="1"/>
  <c r="H54" i="10"/>
  <c r="I54" i="10" s="1"/>
  <c r="L23" i="10"/>
  <c r="H23" i="10"/>
  <c r="I23" i="10" s="1"/>
  <c r="H10" i="10"/>
  <c r="I10" i="10" s="1"/>
  <c r="H9" i="10"/>
  <c r="I9" i="10" s="1"/>
  <c r="GV70" i="3"/>
  <c r="H14" i="10"/>
  <c r="I14" i="10" s="1"/>
  <c r="H62" i="10"/>
  <c r="I62" i="10" s="1"/>
  <c r="L62" i="10"/>
  <c r="H59" i="10"/>
  <c r="I59" i="10" s="1"/>
  <c r="H19" i="10"/>
  <c r="I19" i="10" s="1"/>
  <c r="H55" i="10"/>
  <c r="I55" i="10" s="1"/>
  <c r="H16" i="10"/>
  <c r="I16" i="10" s="1"/>
  <c r="H17" i="10"/>
  <c r="I17" i="10" s="1"/>
  <c r="H58" i="10"/>
  <c r="I58" i="10" s="1"/>
  <c r="L58" i="10"/>
  <c r="H64" i="10"/>
  <c r="I64" i="10" s="1"/>
  <c r="L64" i="10"/>
  <c r="H32" i="10"/>
  <c r="I32" i="10" s="1"/>
  <c r="H53" i="10"/>
  <c r="I53" i="10" s="1"/>
  <c r="H56" i="10"/>
  <c r="I56" i="10" s="1"/>
  <c r="H24" i="10"/>
  <c r="I24" i="10" s="1"/>
  <c r="H27" i="10"/>
  <c r="I27" i="10" s="1"/>
  <c r="H20" i="10"/>
  <c r="I20" i="10" s="1"/>
  <c r="GU18" i="3"/>
  <c r="K16" i="10" s="1"/>
  <c r="P16" i="10" s="1"/>
  <c r="K62" i="10"/>
  <c r="GU28" i="3"/>
  <c r="K24" i="10" s="1"/>
  <c r="P24" i="10" s="1"/>
  <c r="GU12" i="3"/>
  <c r="K10" i="10" s="1"/>
  <c r="GU42" i="3"/>
  <c r="GU39" i="3"/>
  <c r="K37" i="10" s="1"/>
  <c r="GF70" i="3"/>
  <c r="GU14" i="3"/>
  <c r="K12" i="10" s="1"/>
  <c r="P12" i="10" s="1"/>
  <c r="GU31" i="3"/>
  <c r="K64" i="10"/>
  <c r="GS11" i="3"/>
  <c r="GU22" i="3"/>
  <c r="GU19" i="3"/>
  <c r="K17" i="10" s="1"/>
  <c r="P17" i="10" s="1"/>
  <c r="GU36" i="3"/>
  <c r="GU38" i="3"/>
  <c r="K36" i="10" s="1"/>
  <c r="K59" i="10"/>
  <c r="S47" i="10" l="1"/>
  <c r="U47" i="10" s="1"/>
  <c r="S42" i="10"/>
  <c r="U42" i="10" s="1"/>
  <c r="S52" i="10"/>
  <c r="V52" i="10" s="1"/>
  <c r="S50" i="10"/>
  <c r="U50" i="10" s="1"/>
  <c r="S49" i="10"/>
  <c r="U49" i="10" s="1"/>
  <c r="S44" i="10"/>
  <c r="U44" i="10" s="1"/>
  <c r="S45" i="10"/>
  <c r="U45" i="10" s="1"/>
  <c r="S41" i="10"/>
  <c r="V41" i="10" s="1"/>
  <c r="F39" i="16" s="1"/>
  <c r="S51" i="10"/>
  <c r="U51" i="10" s="1"/>
  <c r="S43" i="10"/>
  <c r="V43" i="10" s="1"/>
  <c r="G56" i="11"/>
  <c r="P64" i="10"/>
  <c r="P10" i="10"/>
  <c r="P36" i="10"/>
  <c r="S36" i="10" s="1"/>
  <c r="U36" i="10" s="1"/>
  <c r="K22" i="10"/>
  <c r="P38" i="10"/>
  <c r="P62" i="10"/>
  <c r="P14" i="10"/>
  <c r="S14" i="10" s="1"/>
  <c r="U14" i="10" s="1"/>
  <c r="P15" i="10"/>
  <c r="S15" i="10" s="1"/>
  <c r="U15" i="10" s="1"/>
  <c r="P23" i="10"/>
  <c r="P19" i="10"/>
  <c r="P13" i="10"/>
  <c r="S13" i="10" s="1"/>
  <c r="U13" i="10" s="1"/>
  <c r="P11" i="10"/>
  <c r="S11" i="10" s="1"/>
  <c r="V11" i="10" s="1"/>
  <c r="F7" i="16" s="1"/>
  <c r="P18" i="10"/>
  <c r="L32" i="10"/>
  <c r="K31" i="10"/>
  <c r="K25" i="10"/>
  <c r="S24" i="10"/>
  <c r="V24" i="10" s="1"/>
  <c r="F20" i="16" s="1"/>
  <c r="S19" i="10"/>
  <c r="U19" i="10" s="1"/>
  <c r="L54" i="10"/>
  <c r="L37" i="10"/>
  <c r="P37" i="10" s="1"/>
  <c r="K61" i="10"/>
  <c r="K40" i="10"/>
  <c r="P40" i="10" s="1"/>
  <c r="L56" i="10"/>
  <c r="L35" i="10"/>
  <c r="K32" i="10"/>
  <c r="K34" i="10"/>
  <c r="P34" i="10" s="1"/>
  <c r="K60" i="10"/>
  <c r="K39" i="10"/>
  <c r="L55" i="10"/>
  <c r="L39" i="10"/>
  <c r="L30" i="10"/>
  <c r="K26" i="10"/>
  <c r="K33" i="10"/>
  <c r="P33" i="10" s="1"/>
  <c r="K35" i="10"/>
  <c r="L31" i="10"/>
  <c r="K29" i="10"/>
  <c r="L20" i="10"/>
  <c r="K27" i="10"/>
  <c r="K54" i="10"/>
  <c r="K58" i="10"/>
  <c r="L25" i="10"/>
  <c r="L29" i="10"/>
  <c r="L57" i="10"/>
  <c r="K53" i="10"/>
  <c r="L21" i="10"/>
  <c r="K21" i="10"/>
  <c r="L59" i="10"/>
  <c r="P59" i="10" s="1"/>
  <c r="L26" i="10"/>
  <c r="K56" i="10"/>
  <c r="K28" i="10"/>
  <c r="K20" i="10"/>
  <c r="P20" i="10" s="1"/>
  <c r="K55" i="10"/>
  <c r="K57" i="10"/>
  <c r="K30" i="10"/>
  <c r="L60" i="10"/>
  <c r="L28" i="10"/>
  <c r="L22" i="10"/>
  <c r="GS70" i="3"/>
  <c r="S16" i="10"/>
  <c r="U16" i="10" s="1"/>
  <c r="S10" i="10"/>
  <c r="U10" i="10" s="1"/>
  <c r="S23" i="10"/>
  <c r="V23" i="10" s="1"/>
  <c r="S12" i="10"/>
  <c r="V12" i="10" s="1"/>
  <c r="F8" i="16" s="1"/>
  <c r="S62" i="10"/>
  <c r="V62" i="10" s="1"/>
  <c r="GY70" i="3"/>
  <c r="L9" i="10"/>
  <c r="GW70" i="3"/>
  <c r="GU11" i="3"/>
  <c r="GU70" i="3" s="1"/>
  <c r="U43" i="10" l="1"/>
  <c r="U52" i="10"/>
  <c r="V45" i="10"/>
  <c r="V51" i="10"/>
  <c r="V44" i="10"/>
  <c r="V50" i="10"/>
  <c r="V42" i="10"/>
  <c r="V49" i="10"/>
  <c r="U41" i="10"/>
  <c r="V47" i="10"/>
  <c r="G54" i="11"/>
  <c r="P55" i="10"/>
  <c r="S55" i="10" s="1"/>
  <c r="V55" i="10" s="1"/>
  <c r="P30" i="10"/>
  <c r="S30" i="10" s="1"/>
  <c r="V30" i="10" s="1"/>
  <c r="P57" i="10"/>
  <c r="S57" i="10" s="1"/>
  <c r="V57" i="10" s="1"/>
  <c r="P32" i="10"/>
  <c r="S32" i="10" s="1"/>
  <c r="U32" i="10" s="1"/>
  <c r="P21" i="10"/>
  <c r="P35" i="10"/>
  <c r="S35" i="10" s="1"/>
  <c r="V35" i="10" s="1"/>
  <c r="F32" i="16" s="1"/>
  <c r="P56" i="10"/>
  <c r="S56" i="10" s="1"/>
  <c r="U56" i="10" s="1"/>
  <c r="P54" i="10"/>
  <c r="S54" i="10" s="1"/>
  <c r="V54" i="10" s="1"/>
  <c r="P28" i="10"/>
  <c r="S28" i="10" s="1"/>
  <c r="V28" i="10" s="1"/>
  <c r="F24" i="16" s="1"/>
  <c r="P27" i="10"/>
  <c r="S27" i="10" s="1"/>
  <c r="P60" i="10"/>
  <c r="S60" i="10" s="1"/>
  <c r="V60" i="10" s="1"/>
  <c r="P31" i="10"/>
  <c r="S31" i="10" s="1"/>
  <c r="V31" i="10" s="1"/>
  <c r="F28" i="16" s="1"/>
  <c r="P53" i="10"/>
  <c r="S53" i="10" s="1"/>
  <c r="P58" i="10"/>
  <c r="S58" i="10" s="1"/>
  <c r="P29" i="10"/>
  <c r="S29" i="10" s="1"/>
  <c r="U29" i="10" s="1"/>
  <c r="P26" i="10"/>
  <c r="S26" i="10" s="1"/>
  <c r="V26" i="10" s="1"/>
  <c r="F22" i="16" s="1"/>
  <c r="P61" i="10"/>
  <c r="S61" i="10" s="1"/>
  <c r="P39" i="10"/>
  <c r="S39" i="10" s="1"/>
  <c r="U39" i="10" s="1"/>
  <c r="P25" i="10"/>
  <c r="S25" i="10" s="1"/>
  <c r="V25" i="10" s="1"/>
  <c r="F21" i="16" s="1"/>
  <c r="P22" i="10"/>
  <c r="S22" i="10" s="1"/>
  <c r="S18" i="10"/>
  <c r="U18" i="10" s="1"/>
  <c r="S59" i="10"/>
  <c r="V59" i="10" s="1"/>
  <c r="V36" i="10"/>
  <c r="F33" i="16" s="1"/>
  <c r="S33" i="10"/>
  <c r="V33" i="10" s="1"/>
  <c r="F30" i="16" s="1"/>
  <c r="S38" i="10"/>
  <c r="U38" i="10" s="1"/>
  <c r="S40" i="10"/>
  <c r="S37" i="10"/>
  <c r="V37" i="10" s="1"/>
  <c r="F34" i="16" s="1"/>
  <c r="S34" i="10"/>
  <c r="U34" i="10" s="1"/>
  <c r="N66" i="10"/>
  <c r="L66" i="10"/>
  <c r="S20" i="10"/>
  <c r="V20" i="10" s="1"/>
  <c r="F17" i="16" s="1"/>
  <c r="S21" i="10"/>
  <c r="U21" i="10" s="1"/>
  <c r="D10" i="16"/>
  <c r="D9" i="16"/>
  <c r="D11" i="16"/>
  <c r="S17" i="10"/>
  <c r="V17" i="10" s="1"/>
  <c r="F13" i="16" s="1"/>
  <c r="U62" i="10"/>
  <c r="U24" i="10"/>
  <c r="K9" i="10"/>
  <c r="U23" i="10"/>
  <c r="U11" i="10"/>
  <c r="V19" i="10"/>
  <c r="F16" i="16" s="1"/>
  <c r="V14" i="10"/>
  <c r="F10" i="16" s="1"/>
  <c r="V15" i="10"/>
  <c r="F11" i="16" s="1"/>
  <c r="V16" i="10"/>
  <c r="F12" i="16" s="1"/>
  <c r="V10" i="10"/>
  <c r="F6" i="16" s="1"/>
  <c r="U12" i="10"/>
  <c r="V13" i="10"/>
  <c r="F9" i="16" s="1"/>
  <c r="S64" i="10"/>
  <c r="V64" i="10" s="1"/>
  <c r="G58" i="11" l="1"/>
  <c r="V40" i="10"/>
  <c r="F37" i="16" s="1"/>
  <c r="G65" i="11"/>
  <c r="V56" i="10"/>
  <c r="V53" i="10"/>
  <c r="U53" i="10"/>
  <c r="V22" i="10"/>
  <c r="F19" i="16" s="1"/>
  <c r="U22" i="10"/>
  <c r="V58" i="10"/>
  <c r="U58" i="10"/>
  <c r="V61" i="10"/>
  <c r="U61" i="10"/>
  <c r="V27" i="10"/>
  <c r="F23" i="16" s="1"/>
  <c r="U27" i="10"/>
  <c r="G53" i="11"/>
  <c r="P9" i="10"/>
  <c r="V32" i="10"/>
  <c r="F29" i="16" s="1"/>
  <c r="V18" i="10"/>
  <c r="U31" i="10"/>
  <c r="D28" i="16" s="1"/>
  <c r="U59" i="10"/>
  <c r="U25" i="10"/>
  <c r="U60" i="10"/>
  <c r="U55" i="10"/>
  <c r="U33" i="10"/>
  <c r="D30" i="16" s="1"/>
  <c r="V38" i="10"/>
  <c r="F35" i="16" s="1"/>
  <c r="U54" i="10"/>
  <c r="V39" i="10"/>
  <c r="F36" i="16" s="1"/>
  <c r="V34" i="10"/>
  <c r="F31" i="16" s="1"/>
  <c r="U40" i="10"/>
  <c r="U37" i="10"/>
  <c r="D34" i="16" s="1"/>
  <c r="U35" i="10"/>
  <c r="D32" i="16" s="1"/>
  <c r="U28" i="10"/>
  <c r="D23" i="16" s="1"/>
  <c r="U26" i="10"/>
  <c r="D22" i="16" s="1"/>
  <c r="V29" i="10"/>
  <c r="F25" i="16" s="1"/>
  <c r="U20" i="10"/>
  <c r="D17" i="16" s="1"/>
  <c r="V21" i="10"/>
  <c r="F18" i="16" s="1"/>
  <c r="U30" i="10"/>
  <c r="H10" i="15" s="1"/>
  <c r="K10" i="15" s="1"/>
  <c r="U57" i="10"/>
  <c r="D15" i="16"/>
  <c r="D27" i="16"/>
  <c r="D8" i="16"/>
  <c r="H11" i="15"/>
  <c r="K11" i="15" s="1"/>
  <c r="L11" i="15" s="1"/>
  <c r="M11" i="15" s="1"/>
  <c r="D6" i="16"/>
  <c r="D39" i="16"/>
  <c r="D38" i="16"/>
  <c r="D25" i="16"/>
  <c r="D20" i="16"/>
  <c r="D18" i="16"/>
  <c r="D19" i="16"/>
  <c r="D29" i="16"/>
  <c r="D26" i="16"/>
  <c r="D16" i="16"/>
  <c r="D36" i="16"/>
  <c r="D14" i="16"/>
  <c r="D31" i="16"/>
  <c r="H14" i="15"/>
  <c r="K14" i="15" s="1"/>
  <c r="D33" i="16"/>
  <c r="H15" i="15"/>
  <c r="K15" i="15" s="1"/>
  <c r="L15" i="15" s="1"/>
  <c r="D7" i="16"/>
  <c r="U17" i="10"/>
  <c r="K66" i="10"/>
  <c r="U64" i="10"/>
  <c r="D37" i="16" l="1"/>
  <c r="G67" i="11"/>
  <c r="F14" i="16"/>
  <c r="C8" i="11"/>
  <c r="D24" i="16"/>
  <c r="D21" i="16"/>
  <c r="D13" i="16"/>
  <c r="H13" i="15"/>
  <c r="K13" i="15" s="1"/>
  <c r="L13" i="15" s="1"/>
  <c r="H12" i="15"/>
  <c r="D12" i="16"/>
  <c r="N11" i="15"/>
  <c r="M15" i="15"/>
  <c r="N15" i="15" s="1"/>
  <c r="O15" i="15" s="1"/>
  <c r="P15" i="15" s="1"/>
  <c r="L10" i="15"/>
  <c r="L14" i="15"/>
  <c r="S9" i="10"/>
  <c r="P66" i="10"/>
  <c r="S66" i="10" l="1"/>
  <c r="M13" i="15"/>
  <c r="N13" i="15" s="1"/>
  <c r="K12" i="15"/>
  <c r="L12" i="15" s="1"/>
  <c r="Q15" i="15"/>
  <c r="R15" i="15" s="1"/>
  <c r="O11" i="15"/>
  <c r="P11" i="15" s="1"/>
  <c r="M10" i="15"/>
  <c r="N10" i="15" s="1"/>
  <c r="O10" i="15" s="1"/>
  <c r="M14" i="15"/>
  <c r="N14" i="15" s="1"/>
  <c r="V9" i="10"/>
  <c r="U9" i="10"/>
  <c r="D12" i="11" s="1"/>
  <c r="V66" i="10" l="1"/>
  <c r="V68" i="10" s="1"/>
  <c r="F5" i="16"/>
  <c r="D5" i="16"/>
  <c r="D40" i="16" s="1"/>
  <c r="O13" i="15"/>
  <c r="P13" i="15" s="1"/>
  <c r="M12" i="15"/>
  <c r="N12" i="15" s="1"/>
  <c r="O12" i="15" s="1"/>
  <c r="S15" i="15"/>
  <c r="T15" i="15" s="1"/>
  <c r="U15" i="15" s="1"/>
  <c r="Q11" i="15"/>
  <c r="O14" i="15"/>
  <c r="P10" i="15"/>
  <c r="Q10" i="15" s="1"/>
  <c r="U66" i="10"/>
  <c r="D35" i="16" s="1"/>
  <c r="H9" i="15"/>
  <c r="Q13" i="15" l="1"/>
  <c r="R13" i="15" s="1"/>
  <c r="S13" i="15" s="1"/>
  <c r="T13" i="15" s="1"/>
  <c r="U13" i="15" s="1"/>
  <c r="P12" i="15"/>
  <c r="Q12" i="15" s="1"/>
  <c r="R12" i="15" s="1"/>
  <c r="S12" i="15" s="1"/>
  <c r="R10" i="15"/>
  <c r="S10" i="15" s="1"/>
  <c r="T10" i="15" s="1"/>
  <c r="U10" i="15" s="1"/>
  <c r="P14" i="15"/>
  <c r="Q14" i="15" s="1"/>
  <c r="H16" i="15"/>
  <c r="K9" i="15"/>
  <c r="L9" i="15" s="1"/>
  <c r="R11" i="15"/>
  <c r="S11" i="15" s="1"/>
  <c r="T11" i="15" s="1"/>
  <c r="U11" i="15" s="1"/>
  <c r="T12" i="15" l="1"/>
  <c r="U12" i="15" s="1"/>
  <c r="M9" i="15"/>
  <c r="M16" i="15" s="1"/>
  <c r="L16" i="15"/>
  <c r="L8" i="15"/>
  <c r="R14" i="15"/>
  <c r="S14" i="15" s="1"/>
  <c r="K8" i="15"/>
  <c r="K16" i="15"/>
  <c r="N9" i="15" l="1"/>
  <c r="N8" i="15" s="1"/>
  <c r="M8" i="15"/>
  <c r="T14" i="15"/>
  <c r="U14" i="15" s="1"/>
  <c r="N16" i="15" l="1"/>
  <c r="O9" i="15"/>
  <c r="P9" i="15" s="1"/>
  <c r="P16" i="15" s="1"/>
  <c r="Q9" i="15" l="1"/>
  <c r="Q8" i="15" s="1"/>
  <c r="P8" i="15"/>
  <c r="O8" i="15"/>
  <c r="O16" i="15"/>
  <c r="R9" i="15" l="1"/>
  <c r="R8" i="15" s="1"/>
  <c r="Q16" i="15"/>
  <c r="S9" i="15" l="1"/>
  <c r="T9" i="15" s="1"/>
  <c r="U9" i="15" s="1"/>
  <c r="R16" i="15"/>
  <c r="S8" i="15" l="1"/>
  <c r="T8" i="15" s="1"/>
  <c r="T16" i="15"/>
  <c r="S16" i="15"/>
</calcChain>
</file>

<file path=xl/comments1.xml><?xml version="1.0" encoding="utf-8"?>
<comments xmlns="http://schemas.openxmlformats.org/spreadsheetml/2006/main">
  <authors>
    <author>gjobs_user</author>
    <author>HR</author>
  </authors>
  <commentList>
    <comment ref="J6" authorId="0">
      <text>
        <r>
          <rPr>
            <sz val="9"/>
            <color indexed="81"/>
            <rFont val="Tahoma"/>
            <family val="2"/>
          </rPr>
          <t xml:space="preserve">đồng ý tham gia BHXH (1)
Kg đồng ý tham gia (2)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Bù tiền do tháng 8 đổi giờ làm việc từ 8/3 thành 2/2/6/1 nên thiếu lương
</t>
        </r>
      </text>
    </comment>
  </commentList>
</comments>
</file>

<file path=xl/comments2.xml><?xml version="1.0" encoding="utf-8"?>
<comments xmlns="http://schemas.openxmlformats.org/spreadsheetml/2006/main">
  <authors>
    <author>HR GJOBS</author>
    <author>Admin</author>
    <author>HR</author>
  </authors>
  <commentList>
    <comment ref="GT6" authorId="0">
      <text>
        <r>
          <rPr>
            <sz val="9"/>
            <color indexed="81"/>
            <rFont val="Tahoma"/>
            <family val="2"/>
          </rPr>
          <t xml:space="preserve">Điều kiện thanh toán: Số ngày làm việc(bao gồm cả số ngày tăng ca) &gt;=3 ngày
</t>
        </r>
      </text>
    </comment>
    <comment ref="GV7" authorId="0">
      <text>
        <r>
          <rPr>
            <b/>
            <sz val="9"/>
            <color indexed="81"/>
            <rFont val="Tahoma"/>
            <family val="2"/>
          </rPr>
          <t>Không bao gồm T7, CN, ngày lễ OS đi làm tăng 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W11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làm từ 20h-22h</t>
        </r>
      </text>
    </comment>
    <comment ref="V14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Nguyễn Việt Toàn thay thế 1 ngày</t>
        </r>
      </text>
    </comment>
    <comment ref="GW15" authorId="2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trừ do nghỉ phép
</t>
        </r>
      </text>
    </comment>
    <comment ref="CJ25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Trần Văn Dương thay thế 1 ngày</t>
        </r>
      </text>
    </comment>
    <comment ref="CP25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HNE ko yêu cầu trhay thế</t>
        </r>
      </text>
    </comment>
    <comment ref="BR30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BỊ SỐT</t>
        </r>
      </text>
    </comment>
    <comment ref="EE30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về 19h</t>
        </r>
      </text>
    </comment>
    <comment ref="EJ30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làm từ 14h30</t>
        </r>
      </text>
    </comment>
    <comment ref="BR32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ốm không đi dc</t>
        </r>
      </text>
    </comment>
    <comment ref="AQ40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làm tăng ca trưa 30p</t>
        </r>
      </text>
    </comment>
    <comment ref="DR40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từ 13h</t>
        </r>
      </text>
    </comment>
    <comment ref="FH40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về 10h ốm</t>
        </r>
      </text>
    </comment>
    <comment ref="AQ41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làm tăng ca trưa 30p</t>
        </r>
      </text>
    </comment>
    <comment ref="BR43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đi muộn 0.5</t>
        </r>
      </text>
    </comment>
    <comment ref="B45" authorId="2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nhầm ID 41649 thành 41468
</t>
        </r>
      </text>
    </comment>
    <comment ref="F46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hẳn Nguyễn Duy Hải 4/9</t>
        </r>
      </text>
    </comment>
    <comment ref="AA46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hẳn Nguyễn Duy Hải 4/9</t>
        </r>
      </text>
    </comment>
    <comment ref="BL47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từ 9h</t>
        </r>
      </text>
    </comment>
    <comment ref="F48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Nguyễn Duy Hỉa 1 ngày 314k</t>
        </r>
      </text>
    </comment>
    <comment ref="W48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Nguyễn Duy Hải 1 ngày</t>
        </r>
      </text>
    </comment>
    <comment ref="F49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hẳn 18/9 do ko đáp ứng dc cv</t>
        </r>
      </text>
    </comment>
    <comment ref="BG49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làm tăng ca thay thế Trương Văn Thơm từ 17h-20h</t>
        </r>
      </text>
    </comment>
    <comment ref="CP49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về 10h sáng do ốm, ko yêu cầu thay thế</t>
        </r>
      </text>
    </comment>
    <comment ref="F50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Đỗ Văn Thái PM lên thủy đậu</t>
        </r>
      </text>
    </comment>
    <comment ref="BM50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Đỗ Văn Thái</t>
        </r>
      </text>
    </comment>
    <comment ref="BF51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đi làm từ 9h</t>
        </r>
      </text>
    </comment>
    <comment ref="F52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hẳn Nguyễn Ngọc Anh từ 12/9, ko đòng BH</t>
        </r>
      </text>
    </comment>
    <comment ref="F53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Hẳn Đỗ Văn Đức</t>
        </r>
      </text>
    </comment>
    <comment ref="F54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hẳn Dương Văn Nhật</t>
        </r>
      </text>
    </comment>
    <comment ref="CD55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từ 9h</t>
        </r>
      </text>
    </comment>
    <comment ref="CD56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từ 9h</t>
        </r>
      </text>
    </comment>
    <comment ref="F58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hẳn Honagf Trọng Phú, Phú ko đáp ứng dc cv 18/9</t>
        </r>
      </text>
    </comment>
    <comment ref="F60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 1 ngày Vũ Thị Trang</t>
        </r>
      </text>
    </comment>
    <comment ref="DG60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Vũ Thị Trang</t>
        </r>
      </text>
    </comment>
    <comment ref="EP67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từ 9h</t>
        </r>
      </text>
    </comment>
    <comment ref="EW68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Lò Văn Thảnh</t>
        </r>
      </text>
    </comment>
  </commentList>
</comments>
</file>

<file path=xl/comments3.xml><?xml version="1.0" encoding="utf-8"?>
<comments xmlns="http://schemas.openxmlformats.org/spreadsheetml/2006/main">
  <authors>
    <author>FPTSHOP 213 TNH</author>
  </authors>
  <commentList>
    <comment ref="C16" authorId="0">
      <text>
        <r>
          <rPr>
            <sz val="9"/>
            <color indexed="81"/>
            <rFont val="Tahoma"/>
            <family val="2"/>
          </rPr>
          <t xml:space="preserve">Moong Văn Dao
</t>
        </r>
      </text>
    </comment>
  </commentList>
</comments>
</file>

<file path=xl/comments4.xml><?xml version="1.0" encoding="utf-8"?>
<comments xmlns="http://schemas.openxmlformats.org/spreadsheetml/2006/main">
  <authors>
    <author>tuyendung02</author>
    <author>FPTSHOP 213 TNH</author>
  </authors>
  <commentList>
    <comment ref="W12" authorId="0">
      <text>
        <r>
          <rPr>
            <b/>
            <sz val="9"/>
            <color indexed="81"/>
            <rFont val="Tahoma"/>
            <family val="2"/>
          </rPr>
          <t>tuyendung02:</t>
        </r>
        <r>
          <rPr>
            <sz val="9"/>
            <color indexed="81"/>
            <rFont val="Tahoma"/>
            <family val="2"/>
          </rPr>
          <t xml:space="preserve">
thay thê Nguyễn Duy Hải
</t>
        </r>
      </text>
    </comment>
    <comment ref="AY13" authorId="0">
      <text>
        <r>
          <rPr>
            <b/>
            <sz val="9"/>
            <color indexed="81"/>
            <rFont val="Tahoma"/>
            <family val="2"/>
          </rPr>
          <t>tuyendung02:</t>
        </r>
        <r>
          <rPr>
            <sz val="9"/>
            <color indexed="81"/>
            <rFont val="Tahoma"/>
            <family val="2"/>
          </rPr>
          <t xml:space="preserve">
Thay thế Đỗ Văn Thái</t>
        </r>
      </text>
    </comment>
    <comment ref="BS14" authorId="0">
      <text>
        <r>
          <rPr>
            <b/>
            <sz val="9"/>
            <color indexed="81"/>
            <rFont val="Tahoma"/>
            <family val="2"/>
          </rPr>
          <t>tuyendung02:</t>
        </r>
        <r>
          <rPr>
            <sz val="9"/>
            <color indexed="81"/>
            <rFont val="Tahoma"/>
            <family val="2"/>
          </rPr>
          <t xml:space="preserve">
Thay Phạm Thế Anh
</t>
        </r>
      </text>
    </comment>
    <comment ref="DM14" authorId="0">
      <text>
        <r>
          <rPr>
            <b/>
            <sz val="9"/>
            <color indexed="81"/>
            <rFont val="Tahoma"/>
            <family val="2"/>
          </rPr>
          <t>tuyendung02:</t>
        </r>
        <r>
          <rPr>
            <sz val="9"/>
            <color indexed="81"/>
            <rFont val="Tahoma"/>
            <family val="2"/>
          </rPr>
          <t xml:space="preserve">
Thay Nguyễn Ngọc Ánh</t>
        </r>
      </text>
    </comment>
    <comment ref="CI15" authorId="0">
      <text>
        <r>
          <rPr>
            <b/>
            <sz val="9"/>
            <color indexed="81"/>
            <rFont val="Tahoma"/>
            <family val="2"/>
          </rPr>
          <t>tuyendung02:</t>
        </r>
        <r>
          <rPr>
            <sz val="9"/>
            <color indexed="81"/>
            <rFont val="Tahoma"/>
            <family val="2"/>
          </rPr>
          <t xml:space="preserve">
Thay thế Vũ Thị Trang</t>
        </r>
      </text>
    </comment>
    <comment ref="DG16" authorId="0">
      <text>
        <r>
          <rPr>
            <b/>
            <sz val="9"/>
            <color indexed="81"/>
            <rFont val="Tahoma"/>
            <family val="2"/>
          </rPr>
          <t>tuyendung02:</t>
        </r>
        <r>
          <rPr>
            <sz val="9"/>
            <color indexed="81"/>
            <rFont val="Tahoma"/>
            <family val="2"/>
          </rPr>
          <t xml:space="preserve">
Tăng cường </t>
        </r>
      </text>
    </comment>
    <comment ref="DK17" authorId="0">
      <text>
        <r>
          <rPr>
            <b/>
            <sz val="9"/>
            <color indexed="81"/>
            <rFont val="Tahoma"/>
            <family val="2"/>
          </rPr>
          <t>tuyendung02:</t>
        </r>
        <r>
          <rPr>
            <sz val="9"/>
            <color indexed="81"/>
            <rFont val="Tahoma"/>
            <family val="2"/>
          </rPr>
          <t xml:space="preserve">
Thay Lò Văn Thảnh
</t>
        </r>
      </text>
    </comment>
    <comment ref="C24" authorId="1">
      <text>
        <r>
          <rPr>
            <sz val="9"/>
            <color indexed="81"/>
            <rFont val="Tahoma"/>
            <family val="2"/>
          </rPr>
          <t xml:space="preserve">Moong Văn Dao
</t>
        </r>
      </text>
    </comment>
  </commentList>
</comments>
</file>

<file path=xl/comments5.xml><?xml version="1.0" encoding="utf-8"?>
<comments xmlns="http://schemas.openxmlformats.org/spreadsheetml/2006/main">
  <authors>
    <author>Admin</author>
    <author>FPTSHOP 213 TNH</author>
  </authors>
  <commentList>
    <comment ref="C2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hẳn Nguyễn Duy Hải 5/9</t>
        </r>
      </text>
    </comment>
    <comment ref="C92" authorId="1">
      <text>
        <r>
          <rPr>
            <b/>
            <sz val="9"/>
            <color indexed="81"/>
            <rFont val="Tahoma"/>
            <family val="2"/>
          </rPr>
          <t>FPTSHOP 213 TNH:</t>
        </r>
        <r>
          <rPr>
            <sz val="9"/>
            <color indexed="81"/>
            <rFont val="Tahoma"/>
            <family val="2"/>
          </rPr>
          <t xml:space="preserve">
Trước làm IVI
</t>
        </r>
      </text>
    </comment>
    <comment ref="C128" authorId="1">
      <text>
        <r>
          <rPr>
            <b/>
            <sz val="9"/>
            <color indexed="81"/>
            <rFont val="Tahoma"/>
            <family val="2"/>
          </rPr>
          <t xml:space="preserve">Chiện
</t>
        </r>
      </text>
    </comment>
  </commentList>
</comments>
</file>

<file path=xl/sharedStrings.xml><?xml version="1.0" encoding="utf-8"?>
<sst xmlns="http://schemas.openxmlformats.org/spreadsheetml/2006/main" count="3566" uniqueCount="1051">
  <si>
    <t>TC</t>
  </si>
  <si>
    <t>Họ tên</t>
  </si>
  <si>
    <t>CMND/CCCD</t>
  </si>
  <si>
    <t>Số</t>
  </si>
  <si>
    <t>Ngày cấp</t>
  </si>
  <si>
    <t>Nơi câp</t>
  </si>
  <si>
    <t>Ngày hết hạn HĐ</t>
  </si>
  <si>
    <t>Bộ phận</t>
  </si>
  <si>
    <t>Viêt tắt:</t>
  </si>
  <si>
    <t>WK-D: Giờ công ca ngày cuối tuần</t>
  </si>
  <si>
    <t>WK-TC:Tăng ca ngày cuối tuần</t>
  </si>
  <si>
    <t>GC1: Giờ công ca đêm</t>
  </si>
  <si>
    <t>TC1: Tăng ca ca đêm</t>
  </si>
  <si>
    <t>GC: Giờ công ca ngày</t>
  </si>
  <si>
    <t>TC: Tăng ca ca ngày</t>
  </si>
  <si>
    <t>WK-N: Giờ công ca đêm cuối tuần</t>
  </si>
  <si>
    <t>WK-TC1: Tăng ca ca đêm cuối tuần</t>
  </si>
  <si>
    <t>Số giờ làm ngày lễ, tết</t>
  </si>
  <si>
    <t>STT</t>
  </si>
  <si>
    <t>Ca HC</t>
  </si>
  <si>
    <t>Phạm Thị Huyền</t>
  </si>
  <si>
    <t>Nguyễn Thị Thủy</t>
  </si>
  <si>
    <t>Tổng số ngày đi làm/tháng</t>
  </si>
  <si>
    <t>dd/mm/yy:</t>
  </si>
  <si>
    <t>Khách hàng: HAENGSUNG ELECTRONICS</t>
  </si>
  <si>
    <t>GC2: Giờ công ca HC</t>
  </si>
  <si>
    <t>TC2: Tăng ca giờ HC</t>
  </si>
  <si>
    <t>HAE29301</t>
  </si>
  <si>
    <t>HAE29644</t>
  </si>
  <si>
    <t>HAE29645</t>
  </si>
  <si>
    <t>HAE29460</t>
  </si>
  <si>
    <t>HAE30101</t>
  </si>
  <si>
    <t>HAE30679</t>
  </si>
  <si>
    <t>HAE32272</t>
  </si>
  <si>
    <t>HAE32761</t>
  </si>
  <si>
    <t>HAE32818</t>
  </si>
  <si>
    <t>HAE35711</t>
  </si>
  <si>
    <t>HAE35569</t>
  </si>
  <si>
    <t>HAE29905</t>
  </si>
  <si>
    <t>HAE29055</t>
  </si>
  <si>
    <t>HAE38204</t>
  </si>
  <si>
    <t>HAE38205</t>
  </si>
  <si>
    <t>HAE31743</t>
  </si>
  <si>
    <t xml:space="preserve">HAE39109 </t>
  </si>
  <si>
    <t>HAE39171</t>
  </si>
  <si>
    <t>HAE39234</t>
  </si>
  <si>
    <t>HAE39235</t>
  </si>
  <si>
    <t>HAE39658</t>
  </si>
  <si>
    <t>HAE39547</t>
  </si>
  <si>
    <t>HAE39580</t>
  </si>
  <si>
    <t>HAE39657</t>
  </si>
  <si>
    <t>HAE39700</t>
  </si>
  <si>
    <t>HAE39565</t>
  </si>
  <si>
    <t xml:space="preserve">HAE34663 </t>
  </si>
  <si>
    <t xml:space="preserve">HAE39854 </t>
  </si>
  <si>
    <t xml:space="preserve">HAE39853 </t>
  </si>
  <si>
    <t>HAE39836</t>
  </si>
  <si>
    <t>HAE39839</t>
  </si>
  <si>
    <t>HAE39886</t>
  </si>
  <si>
    <t>HAE40198</t>
  </si>
  <si>
    <t>HAE33145</t>
  </si>
  <si>
    <t>HAE29187</t>
  </si>
  <si>
    <t>HAE40372</t>
  </si>
  <si>
    <t>HAE40411</t>
  </si>
  <si>
    <t>HAE39660</t>
  </si>
  <si>
    <t>HAE40491</t>
  </si>
  <si>
    <t xml:space="preserve">HAE40529 </t>
  </si>
  <si>
    <t xml:space="preserve">HAE40531 </t>
  </si>
  <si>
    <t>HAE40494</t>
  </si>
  <si>
    <t>HAE40864</t>
  </si>
  <si>
    <t>HAE40857</t>
  </si>
  <si>
    <t>Vũ Mạnh Hùng</t>
  </si>
  <si>
    <t>Phạm Văn Sơn</t>
  </si>
  <si>
    <t>Hoàng Thị Như</t>
  </si>
  <si>
    <t>Nguyễn Duy Hải</t>
  </si>
  <si>
    <t>Nguyễn Đức Toàn</t>
  </si>
  <si>
    <t>Nguyễn Văn Trọng</t>
  </si>
  <si>
    <t>Trần Thị Thúy</t>
  </si>
  <si>
    <t>Hoàng Văn Hiên</t>
  </si>
  <si>
    <t>Nguyễn Thị Thương</t>
  </si>
  <si>
    <t>Nguyễn Thị Lý</t>
  </si>
  <si>
    <t>Phạm Hồng Phong</t>
  </si>
  <si>
    <t>Nguyễn Xuân Trường</t>
  </si>
  <si>
    <t>Ngô Văn Chung</t>
  </si>
  <si>
    <t>Lương Xuân Điệp</t>
  </si>
  <si>
    <t>Hoàng Trọng Nghĩa</t>
  </si>
  <si>
    <t>Phạm Thế Anh</t>
  </si>
  <si>
    <t>Lò Văn Thuận</t>
  </si>
  <si>
    <t>Quàng Văn Mạnh</t>
  </si>
  <si>
    <t>Lò Văn Thảnh</t>
  </si>
  <si>
    <t>Đỗ Quốc Bảo</t>
  </si>
  <si>
    <t>Hoàng Thị Thu Hiền</t>
  </si>
  <si>
    <t>Trình Văn Sơn</t>
  </si>
  <si>
    <t>Hà Thị Thu</t>
  </si>
  <si>
    <t>Vi Thị Đào</t>
  </si>
  <si>
    <t>Trương Văn Thơm</t>
  </si>
  <si>
    <t>Vũ Thị Trang</t>
  </si>
  <si>
    <t>Hoàng Thị Ngọc</t>
  </si>
  <si>
    <t>Quàng Văn Tùng</t>
  </si>
  <si>
    <t>Đỗ Anh Tuấn</t>
  </si>
  <si>
    <t>Vương Tiến Sắc</t>
  </si>
  <si>
    <t>Đồng Thị Huyền Trang</t>
  </si>
  <si>
    <t>Nguyễn Thị Vân</t>
  </si>
  <si>
    <t>Nguyễn Thị Bướm</t>
  </si>
  <si>
    <t>Phạm Thu Hà</t>
  </si>
  <si>
    <t>Lương Thị Thu Phương</t>
  </si>
  <si>
    <t>Sầm Thị Hồng</t>
  </si>
  <si>
    <t>Nguyễn Thị Nghĩa</t>
  </si>
  <si>
    <t>Nguyễn Văn Hồng Hải</t>
  </si>
  <si>
    <t>Trần Thanh Hường</t>
  </si>
  <si>
    <t>Nguyễn Văn Bắc</t>
  </si>
  <si>
    <t>Nguyễn Đức Trung</t>
  </si>
  <si>
    <t>Nguyễn Văn Hậu</t>
  </si>
  <si>
    <t>Đỗ Văn Thái</t>
  </si>
  <si>
    <t>Nguyễn Ngọc Ánh</t>
  </si>
  <si>
    <t>Dương Văn Nhật</t>
  </si>
  <si>
    <t>Lương Văn Hài</t>
  </si>
  <si>
    <t>Phan Thị Ngân</t>
  </si>
  <si>
    <t>Phan Thị Mai</t>
  </si>
  <si>
    <t>Đồng Thị Kim Anh</t>
  </si>
  <si>
    <t>Lê Thị Kim Dung</t>
  </si>
  <si>
    <t>Phạm Thị Hương</t>
  </si>
  <si>
    <t>Line</t>
  </si>
  <si>
    <t>Line 4</t>
  </si>
  <si>
    <t>HNS</t>
  </si>
  <si>
    <t>Line 3</t>
  </si>
  <si>
    <t>Máy</t>
  </si>
  <si>
    <t>Line 2</t>
  </si>
  <si>
    <t xml:space="preserve">Line2 </t>
  </si>
  <si>
    <t>Ngày vào Cty (yymmdd)</t>
  </si>
  <si>
    <t/>
  </si>
  <si>
    <t>Cục Cảnh Sát</t>
  </si>
  <si>
    <t>CA Thanh Hóa</t>
  </si>
  <si>
    <t>Công an Nghệ An</t>
  </si>
  <si>
    <t>Công an Thanh Hóa</t>
  </si>
  <si>
    <t>CA Nghệ An</t>
  </si>
  <si>
    <t>Cục cảnh sát</t>
  </si>
  <si>
    <t>CA Sơn La</t>
  </si>
  <si>
    <t>CA Phú Thọ</t>
  </si>
  <si>
    <t>CA Hà Tĩnh</t>
  </si>
  <si>
    <t>CA Tuyên Quang</t>
  </si>
  <si>
    <t>Công an Hà Tĩnh</t>
  </si>
  <si>
    <t>Công an Sơn La</t>
  </si>
  <si>
    <t>PIC</t>
  </si>
  <si>
    <t>Ngô Quang Đăng</t>
  </si>
  <si>
    <t>Đoàn Thị Hoa</t>
  </si>
  <si>
    <t>031200004295</t>
  </si>
  <si>
    <t>30/05/2016</t>
  </si>
  <si>
    <t>10/07/2013</t>
  </si>
  <si>
    <t>28/08/2009</t>
  </si>
  <si>
    <t>13/10/2015</t>
  </si>
  <si>
    <t>031180003669</t>
  </si>
  <si>
    <t>01/11/2016</t>
  </si>
  <si>
    <t>14/10/2017</t>
  </si>
  <si>
    <t>14/04/2018</t>
  </si>
  <si>
    <t>030302003836</t>
  </si>
  <si>
    <t>03/04/2018</t>
  </si>
  <si>
    <t>031189006729</t>
  </si>
  <si>
    <t>28/09/2017</t>
  </si>
  <si>
    <t>071066898</t>
  </si>
  <si>
    <t>13/01/2016</t>
  </si>
  <si>
    <t>15/04/2020</t>
  </si>
  <si>
    <t>18/04/2019</t>
  </si>
  <si>
    <t>26/05/2015</t>
  </si>
  <si>
    <t>26/04/2017</t>
  </si>
  <si>
    <t>051139904</t>
  </si>
  <si>
    <t>30/03/2018</t>
  </si>
  <si>
    <t>08/06/2011</t>
  </si>
  <si>
    <t>070988216</t>
  </si>
  <si>
    <t>31/12/2015</t>
  </si>
  <si>
    <t>031191000284</t>
  </si>
  <si>
    <t>05/09/2014</t>
  </si>
  <si>
    <t>Tổng giờ:</t>
  </si>
  <si>
    <t>Tổng người:</t>
  </si>
  <si>
    <t>WK-D</t>
  </si>
  <si>
    <t>WK-TC</t>
  </si>
  <si>
    <t>WK-D1</t>
  </si>
  <si>
    <t>WK-TC1</t>
  </si>
  <si>
    <t>WK-D2</t>
  </si>
  <si>
    <t>WK-TC2</t>
  </si>
  <si>
    <t>Ngày</t>
  </si>
  <si>
    <t>Ca ngày</t>
  </si>
  <si>
    <t>Ca đêm</t>
  </si>
  <si>
    <t>Mã nhân viên:</t>
  </si>
  <si>
    <t>Họ tên:</t>
  </si>
  <si>
    <t>Ngày cấp:</t>
  </si>
  <si>
    <t>Nơi cấp:</t>
  </si>
  <si>
    <t>Tên chủ tài khoản:</t>
  </si>
  <si>
    <t>Số tài khoản ngân hàng:</t>
  </si>
  <si>
    <t>Tại ngân hàng:</t>
  </si>
  <si>
    <t>Điện thoại:………………………………………………………………..</t>
  </si>
  <si>
    <t>Face book:…………………………………………</t>
  </si>
  <si>
    <t xml:space="preserve">Tổng tiền đã nhận: </t>
  </si>
  <si>
    <t>Kí nhận</t>
  </si>
  <si>
    <t>Đơn giá/giờ</t>
  </si>
  <si>
    <t>Ngày nghỉ</t>
  </si>
  <si>
    <t xml:space="preserve">Giờ hành chính </t>
  </si>
  <si>
    <t xml:space="preserve">Tăng ca </t>
  </si>
  <si>
    <t>Ngày làm việc</t>
  </si>
  <si>
    <t>Số giờ ca đêm</t>
  </si>
  <si>
    <t>Lương /ngày</t>
  </si>
  <si>
    <t>Ghi chú</t>
  </si>
  <si>
    <t>1</t>
  </si>
  <si>
    <t>2</t>
  </si>
  <si>
    <t>3</t>
  </si>
  <si>
    <t>4</t>
  </si>
  <si>
    <t>5</t>
  </si>
  <si>
    <t>6</t>
  </si>
  <si>
    <t>PC chuyên cần (2):</t>
  </si>
  <si>
    <t>II. Tiền bồi thường:</t>
  </si>
  <si>
    <t>Nghỉ không phép:</t>
  </si>
  <si>
    <t>Mất đồng phục:</t>
  </si>
  <si>
    <t>Đồ dùng:</t>
  </si>
  <si>
    <t>Chấm dứt HĐ trái luật lao động (TPL):</t>
  </si>
  <si>
    <t>III. BHXH(10.5%)</t>
  </si>
  <si>
    <t>Xin cảm ơn sự cố gắng của anh/chị!</t>
  </si>
  <si>
    <t>PHIẾU THANH TOÁN LƯƠNG</t>
  </si>
  <si>
    <t>Tháng 1.2020 (từ ngày 17.1.2020- 22.1.2020)</t>
  </si>
  <si>
    <t>000001</t>
  </si>
  <si>
    <t>CMND:</t>
  </si>
  <si>
    <t>Điện thoại:…………………………………………………..</t>
  </si>
  <si>
    <t>Giờ vào</t>
  </si>
  <si>
    <t>Giờ ra</t>
  </si>
  <si>
    <t>Số giờ làm việc</t>
  </si>
  <si>
    <t>Lương</t>
  </si>
  <si>
    <t>200117</t>
  </si>
  <si>
    <t>200118</t>
  </si>
  <si>
    <t>200119</t>
  </si>
  <si>
    <t>200120</t>
  </si>
  <si>
    <t>200121</t>
  </si>
  <si>
    <t>200122</t>
  </si>
  <si>
    <t>Tổng</t>
  </si>
  <si>
    <t>Mã số OS</t>
  </si>
  <si>
    <t>CÔNG TY CỔ PHẦN ĐẦU TƯ GINEX</t>
  </si>
  <si>
    <t>Địa chỉ: 16/562 Nguyễn Văn Linh - Lê Chân - Hải Phòng</t>
  </si>
  <si>
    <t>THÔNG TIN OS VÀ TÀI KHOẢN NGÂN HÀNG</t>
  </si>
  <si>
    <t>Mã NV</t>
  </si>
  <si>
    <t>Họ Tên</t>
  </si>
  <si>
    <t>Năm sinh</t>
  </si>
  <si>
    <t>Tỉnh thành</t>
  </si>
  <si>
    <t>Số điện thoại</t>
  </si>
  <si>
    <t>cmnd</t>
  </si>
  <si>
    <t>Số tài khoản</t>
  </si>
  <si>
    <t>Ngân hàng</t>
  </si>
  <si>
    <t>Tên tài khoản</t>
  </si>
  <si>
    <t>Nơi cấp</t>
  </si>
  <si>
    <t>GIN0065</t>
  </si>
  <si>
    <t xml:space="preserve"> Phạm Thị Dung </t>
  </si>
  <si>
    <t>VCB Hải Phòng</t>
  </si>
  <si>
    <t>GIN0069</t>
  </si>
  <si>
    <t>HAE28993</t>
  </si>
  <si>
    <t>Lê Thị Hậu</t>
  </si>
  <si>
    <t>1013359576</t>
  </si>
  <si>
    <t>GIN0061</t>
  </si>
  <si>
    <t>HAE29978</t>
  </si>
  <si>
    <t>Nguyễn Thị Thuyết</t>
  </si>
  <si>
    <t>HAE29099</t>
  </si>
  <si>
    <t>Lê Quang Thể</t>
  </si>
  <si>
    <t>0341007187821</t>
  </si>
  <si>
    <t>HAE29139</t>
  </si>
  <si>
    <t>Lương Văn Cương</t>
  </si>
  <si>
    <t>0341007168998</t>
  </si>
  <si>
    <t>HAE29589</t>
  </si>
  <si>
    <t>Phạm Văn Tới</t>
  </si>
  <si>
    <t>0031000242574</t>
  </si>
  <si>
    <t>HAE29514</t>
  </si>
  <si>
    <t>Dương Mạnh Đức</t>
  </si>
  <si>
    <t>1013359889</t>
  </si>
  <si>
    <t>1013348275</t>
  </si>
  <si>
    <t>HAE29980</t>
  </si>
  <si>
    <t>Nguyễn Đăng Chung</t>
  </si>
  <si>
    <t>1013360122</t>
  </si>
  <si>
    <t>1013359726</t>
  </si>
  <si>
    <t>Lê Văn Quân</t>
  </si>
  <si>
    <t>Lê Văn Quân lấy tên N.X.Trường để làm việc do thiếu tuổi. TK là của Lê Văn Quân</t>
  </si>
  <si>
    <t>HAE30280</t>
  </si>
  <si>
    <t>Trần Xuân Dương</t>
  </si>
  <si>
    <t>HAE30282</t>
  </si>
  <si>
    <t>Đào Xuân Hùng</t>
  </si>
  <si>
    <t>HAE30350</t>
  </si>
  <si>
    <t>Bùi Văn Thắng</t>
  </si>
  <si>
    <t>HAE30351</t>
  </si>
  <si>
    <t>Nguyễn Văn Tý</t>
  </si>
  <si>
    <t>HAE30324</t>
  </si>
  <si>
    <t>Nguyễn Hoàng Kỳ</t>
  </si>
  <si>
    <t>1013347821</t>
  </si>
  <si>
    <t>HAE30881</t>
  </si>
  <si>
    <t>Nguyễn Thị Tho</t>
  </si>
  <si>
    <t>HAE30878</t>
  </si>
  <si>
    <t>Ngô Thị Kim Chi</t>
  </si>
  <si>
    <t>HAE30981</t>
  </si>
  <si>
    <t>Nguyễn Thị Yến</t>
  </si>
  <si>
    <t>HAE31044</t>
  </si>
  <si>
    <t>Lò Thị Quỳnh</t>
  </si>
  <si>
    <t>0031000391740</t>
  </si>
  <si>
    <t>HAE31043</t>
  </si>
  <si>
    <t>Lò Văn Cường</t>
  </si>
  <si>
    <t>1013359751</t>
  </si>
  <si>
    <t>HAE30774</t>
  </si>
  <si>
    <t>Trương Đức An</t>
  </si>
  <si>
    <t>0341007191588</t>
  </si>
  <si>
    <t>HAE31245</t>
  </si>
  <si>
    <t>Lê Đức Hiệp</t>
  </si>
  <si>
    <t>HAE29155</t>
  </si>
  <si>
    <t>Nguyễn Thị Thảo</t>
  </si>
  <si>
    <t>HAE31654</t>
  </si>
  <si>
    <t>Trần Quốc Việt</t>
  </si>
  <si>
    <t>0031000378928</t>
  </si>
  <si>
    <t>HAE31855</t>
  </si>
  <si>
    <t>Phạm Văn Mạnh</t>
  </si>
  <si>
    <t>1013359364</t>
  </si>
  <si>
    <t>HAE31748</t>
  </si>
  <si>
    <t>1013360056</t>
  </si>
  <si>
    <t>HAE32347</t>
  </si>
  <si>
    <t>Quàng Văn Hương</t>
  </si>
  <si>
    <t>1013359923</t>
  </si>
  <si>
    <t>HAE32293</t>
  </si>
  <si>
    <t>Vũ Thị Quý</t>
  </si>
  <si>
    <t>1013360214</t>
  </si>
  <si>
    <t>HAE32366</t>
  </si>
  <si>
    <t>Lê Văn Đức</t>
  </si>
  <si>
    <t>HAE32671</t>
  </si>
  <si>
    <t>Nguyễn Thu Trang</t>
  </si>
  <si>
    <t>HAE32672</t>
  </si>
  <si>
    <t>Phạm Thị Thanh Huyền</t>
  </si>
  <si>
    <t>HAE32718</t>
  </si>
  <si>
    <t>Mai Văn Hùng</t>
  </si>
  <si>
    <t>HAE32719</t>
  </si>
  <si>
    <t>Hoàng Việt Hà</t>
  </si>
  <si>
    <t>HAE32623</t>
  </si>
  <si>
    <t>Đỗ Thị Hà Vân</t>
  </si>
  <si>
    <t>HAE32663</t>
  </si>
  <si>
    <t>Phan Anh Dũng</t>
  </si>
  <si>
    <t>HAE32674</t>
  </si>
  <si>
    <t>Trần Thị Trang</t>
  </si>
  <si>
    <t>HAE32736</t>
  </si>
  <si>
    <t>Vũ Thị Toan</t>
  </si>
  <si>
    <t>1013359792</t>
  </si>
  <si>
    <t>HAE29124</t>
  </si>
  <si>
    <t>Bùi Quang Duy</t>
  </si>
  <si>
    <t>1013359871</t>
  </si>
  <si>
    <t>HAE32762</t>
  </si>
  <si>
    <t>Nguyễn Văn Lưu</t>
  </si>
  <si>
    <t>1013359798</t>
  </si>
  <si>
    <t>1013359622</t>
  </si>
  <si>
    <t>HAE32810</t>
  </si>
  <si>
    <t>Khúc Đình Quỳnh</t>
  </si>
  <si>
    <t>HAE32804</t>
  </si>
  <si>
    <t>Phan Viết Đoàn</t>
  </si>
  <si>
    <t>1013360169</t>
  </si>
  <si>
    <t>HAE33128</t>
  </si>
  <si>
    <t>Hoàng Thúy An</t>
  </si>
  <si>
    <t>1013360020</t>
  </si>
  <si>
    <t>HAE32948</t>
  </si>
  <si>
    <t>Nguyễn Thị Lan</t>
  </si>
  <si>
    <t>HAE28973</t>
  </si>
  <si>
    <t>Trần Đức Tấn</t>
  </si>
  <si>
    <t>HAE34947</t>
  </si>
  <si>
    <t>Nguyễn Như Hạo</t>
  </si>
  <si>
    <t>HAE32753</t>
  </si>
  <si>
    <t>Phạm Tuấn Anh</t>
  </si>
  <si>
    <t>HAE33159</t>
  </si>
  <si>
    <t>Nguyễn Thị Trung</t>
  </si>
  <si>
    <t>HAE33160</t>
  </si>
  <si>
    <t>Nguyễn Vũ Quang</t>
  </si>
  <si>
    <t>HAE33233</t>
  </si>
  <si>
    <t>Moong Văn Giáp</t>
  </si>
  <si>
    <t>HAE33230</t>
  </si>
  <si>
    <t>Lò Văn Thương</t>
  </si>
  <si>
    <t>HAE33231</t>
  </si>
  <si>
    <t>Moong Văn Dao</t>
  </si>
  <si>
    <t>HAE33633</t>
  </si>
  <si>
    <t>Nguyễn Thế Đạt</t>
  </si>
  <si>
    <t>HAE33787</t>
  </si>
  <si>
    <t>Bùi Duy Thành</t>
  </si>
  <si>
    <t>HAE34325</t>
  </si>
  <si>
    <t>Nguyễn Thành Công</t>
  </si>
  <si>
    <t>HAE33218</t>
  </si>
  <si>
    <t>Lê Văn Việt</t>
  </si>
  <si>
    <t>HAE33628</t>
  </si>
  <si>
    <t>Nguyễn Trọng Hoàng</t>
  </si>
  <si>
    <t>HAE33644</t>
  </si>
  <si>
    <t>Nguyễn Ngọc Anh</t>
  </si>
  <si>
    <t>HAE29676</t>
  </si>
  <si>
    <t>Đặng Thị Chiện</t>
  </si>
  <si>
    <t>HAE33636</t>
  </si>
  <si>
    <t>Nguyễn Sỹ Dũng</t>
  </si>
  <si>
    <t>HAE34099</t>
  </si>
  <si>
    <t>Nguyễn Văn Cường</t>
  </si>
  <si>
    <t>1015422678</t>
  </si>
  <si>
    <t>HAE39538</t>
  </si>
  <si>
    <t>1015423549</t>
  </si>
  <si>
    <t>HAE37997</t>
  </si>
  <si>
    <t>k làm dc vì cmt gốc mờ</t>
  </si>
  <si>
    <t>1015424108</t>
  </si>
  <si>
    <t>1015427075</t>
  </si>
  <si>
    <t>1015429133</t>
  </si>
  <si>
    <t>HAE39109</t>
  </si>
  <si>
    <t>1015431898</t>
  </si>
  <si>
    <t>1015432095</t>
  </si>
  <si>
    <t>1015421873</t>
  </si>
  <si>
    <t>1015421840</t>
  </si>
  <si>
    <t>HAE38406</t>
  </si>
  <si>
    <t>1015421793</t>
  </si>
  <si>
    <t>1015421815</t>
  </si>
  <si>
    <t>1015421759</t>
  </si>
  <si>
    <t>1015412840</t>
  </si>
  <si>
    <t>1015421720</t>
  </si>
  <si>
    <t>1015403380</t>
  </si>
  <si>
    <t>ngân hàng báo đã có số tk rồi</t>
  </si>
  <si>
    <t>1015406784</t>
  </si>
  <si>
    <t>1015422109</t>
  </si>
  <si>
    <t>1015410828</t>
  </si>
  <si>
    <t>HAE39386</t>
  </si>
  <si>
    <t>0031000381490</t>
  </si>
  <si>
    <t>1015411072</t>
  </si>
  <si>
    <t>1015418563</t>
  </si>
  <si>
    <t>HAE38616</t>
  </si>
  <si>
    <t>1015421570</t>
  </si>
  <si>
    <t>GIN0087</t>
  </si>
  <si>
    <t>Vũ Thị Như Quỳnh</t>
  </si>
  <si>
    <t>1015421801</t>
  </si>
  <si>
    <t>GIN0054</t>
  </si>
  <si>
    <t>1015421826</t>
  </si>
  <si>
    <t>GIN0058</t>
  </si>
  <si>
    <t>1015421853</t>
  </si>
  <si>
    <t>1015421876</t>
  </si>
  <si>
    <t>HAE40412</t>
  </si>
  <si>
    <t>1015421901</t>
  </si>
  <si>
    <t>CMND</t>
  </si>
  <si>
    <t>HAE39915</t>
  </si>
  <si>
    <t>HAE39713</t>
  </si>
  <si>
    <t xml:space="preserve">HAE39928 </t>
  </si>
  <si>
    <t>HAE39808</t>
  </si>
  <si>
    <t>HAE39661</t>
  </si>
  <si>
    <t>HAE35682</t>
  </si>
  <si>
    <t>HAE29094</t>
  </si>
  <si>
    <t>HAE40467</t>
  </si>
  <si>
    <t>051061781</t>
  </si>
  <si>
    <t>031098002121</t>
  </si>
  <si>
    <t>031880448</t>
  </si>
  <si>
    <t>187763330</t>
  </si>
  <si>
    <t>030944753</t>
  </si>
  <si>
    <t>032020051</t>
  </si>
  <si>
    <t>031201007883</t>
  </si>
  <si>
    <t>051041160</t>
  </si>
  <si>
    <t>051122809</t>
  </si>
  <si>
    <t>173837652</t>
  </si>
  <si>
    <t>031200001512</t>
  </si>
  <si>
    <t>031895514</t>
  </si>
  <si>
    <t>034181005598</t>
  </si>
  <si>
    <t>031052713</t>
  </si>
  <si>
    <t>031839232</t>
  </si>
  <si>
    <t>187352043</t>
  </si>
  <si>
    <t>080778112</t>
  </si>
  <si>
    <t>061094259</t>
  </si>
  <si>
    <t>044301001858</t>
  </si>
  <si>
    <t>034301009383</t>
  </si>
  <si>
    <t>031979155</t>
  </si>
  <si>
    <t>031198002261</t>
  </si>
  <si>
    <t>031198003336</t>
  </si>
  <si>
    <t>187558974</t>
  </si>
  <si>
    <t>142876504</t>
  </si>
  <si>
    <t>031300010122</t>
  </si>
  <si>
    <t>031200003984</t>
  </si>
  <si>
    <t>031099006520</t>
  </si>
  <si>
    <t>031097001182</t>
  </si>
  <si>
    <t>031095006542</t>
  </si>
  <si>
    <t>031458754</t>
  </si>
  <si>
    <t>031834450</t>
  </si>
  <si>
    <t>Vũ Văn Đức</t>
  </si>
  <si>
    <t>Dương Thị Hồng</t>
  </si>
  <si>
    <t>Bùi Văn Đoàn</t>
  </si>
  <si>
    <t>Lương Văn Tuấn</t>
  </si>
  <si>
    <t>Nguyễn Anh Tuấn</t>
  </si>
  <si>
    <t>Lò Văn Trường</t>
  </si>
  <si>
    <t>Vũ Thị Bích Ngọc</t>
  </si>
  <si>
    <t>Đỗ Thị Thảo</t>
  </si>
  <si>
    <t>PM</t>
  </si>
  <si>
    <t>26.04.2013</t>
  </si>
  <si>
    <t>CA Hải phòng</t>
  </si>
  <si>
    <t>17/11/2014</t>
  </si>
  <si>
    <t>10/08/2015</t>
  </si>
  <si>
    <t>Cục CS</t>
  </si>
  <si>
    <t>07/03/2011</t>
  </si>
  <si>
    <t>Công an Hải Phòng</t>
  </si>
  <si>
    <t>20/10/2016</t>
  </si>
  <si>
    <t>16/11/2007</t>
  </si>
  <si>
    <t>25/04/2014</t>
  </si>
  <si>
    <t>Cục cs</t>
  </si>
  <si>
    <t>031082001896</t>
  </si>
  <si>
    <t>05/06/2015</t>
  </si>
  <si>
    <t>031201002440</t>
  </si>
  <si>
    <t>06/05/2018</t>
  </si>
  <si>
    <t>031797304</t>
  </si>
  <si>
    <t>25/04/2017</t>
  </si>
  <si>
    <t>16/01/2018</t>
  </si>
  <si>
    <t>31/05/2010</t>
  </si>
  <si>
    <t>08/06/2015</t>
  </si>
  <si>
    <t>26/07/2016</t>
  </si>
  <si>
    <t>25/05/2013</t>
  </si>
  <si>
    <t>28.04.2009</t>
  </si>
  <si>
    <t>CA Yên Bái</t>
  </si>
  <si>
    <t>28/06/2013</t>
  </si>
  <si>
    <t xml:space="preserve"> CA Nghệ An</t>
  </si>
  <si>
    <t>03/08/2015</t>
  </si>
  <si>
    <t>07.02.2017</t>
  </si>
  <si>
    <t>26/04/2020</t>
  </si>
  <si>
    <t>10.10.2017</t>
  </si>
  <si>
    <t>18/09/2015</t>
  </si>
  <si>
    <t>25/12/2015</t>
  </si>
  <si>
    <t>17.10.2015</t>
  </si>
  <si>
    <t>24/06/1016</t>
  </si>
  <si>
    <t>30.05.2015</t>
  </si>
  <si>
    <t xml:space="preserve"> Công an Thanh Hóa</t>
  </si>
  <si>
    <t>17.07.2015</t>
  </si>
  <si>
    <t>24/10/2018</t>
  </si>
  <si>
    <t>CA Tỉnh Sơn La</t>
  </si>
  <si>
    <t xml:space="preserve"> 051135962</t>
  </si>
  <si>
    <t>22/01/2007</t>
  </si>
  <si>
    <t>17/06/2015</t>
  </si>
  <si>
    <t>CA Hải Dương</t>
  </si>
  <si>
    <t xml:space="preserve"> 04/10/2017</t>
  </si>
  <si>
    <t>15/09/2010</t>
  </si>
  <si>
    <t xml:space="preserve"> CA Thanh Hóa</t>
  </si>
  <si>
    <t>05/04/2016</t>
  </si>
  <si>
    <t>19/04/2016</t>
  </si>
  <si>
    <t>13/06/2018</t>
  </si>
  <si>
    <t>25/07/2019</t>
  </si>
  <si>
    <t>CA Hải Phòng</t>
  </si>
  <si>
    <t>25/06/2018</t>
  </si>
  <si>
    <t>27/06/2017</t>
  </si>
  <si>
    <t>06/12/2017</t>
  </si>
  <si>
    <t>CP</t>
  </si>
  <si>
    <t>HAE41151</t>
  </si>
  <si>
    <t>HAE41278</t>
  </si>
  <si>
    <t>Ngày vào Cty</t>
  </si>
  <si>
    <t>HAE41168</t>
  </si>
  <si>
    <t>Vũ Văn Trang</t>
  </si>
  <si>
    <t>Hoàng Văn Hòa</t>
  </si>
  <si>
    <t>Nguyễn Thị Ngọc Ánh</t>
  </si>
  <si>
    <t>031095007089</t>
  </si>
  <si>
    <t>061094273</t>
  </si>
  <si>
    <t>Số ngày đăng ký làm việc</t>
  </si>
  <si>
    <t>31/10/2020</t>
  </si>
  <si>
    <t>05/09/2020</t>
  </si>
  <si>
    <t>01/10/2020</t>
  </si>
  <si>
    <t>01/09/2020</t>
  </si>
  <si>
    <t>19/07/2020</t>
  </si>
  <si>
    <t>07/12/2020</t>
  </si>
  <si>
    <t>07/07/2020</t>
  </si>
  <si>
    <t>18/07/2020</t>
  </si>
  <si>
    <t>20/10/2020</t>
  </si>
  <si>
    <t>09/11/2020</t>
  </si>
  <si>
    <t>30/10/2020</t>
  </si>
  <si>
    <t>29/08/2020</t>
  </si>
  <si>
    <t>04/10/2020</t>
  </si>
  <si>
    <t>31/01/2021</t>
  </si>
  <si>
    <t>21/11/2020</t>
  </si>
  <si>
    <t>031088000507</t>
  </si>
  <si>
    <t>29/06/2017</t>
  </si>
  <si>
    <t>HAE41468</t>
  </si>
  <si>
    <t>HAE41649</t>
  </si>
  <si>
    <t>061113987</t>
  </si>
  <si>
    <t>24/10/2016</t>
  </si>
  <si>
    <t>Nguyễn Minh Nghĩa</t>
  </si>
  <si>
    <t>Nghỉ hẳn</t>
  </si>
  <si>
    <t>Thay Thế</t>
  </si>
  <si>
    <t>Thành tiền</t>
  </si>
  <si>
    <t>Điều kiện thanh toán</t>
  </si>
  <si>
    <t>Lương ngày hoặc giờ</t>
  </si>
  <si>
    <t>Bồi thường</t>
  </si>
  <si>
    <t>Thông tin tài khoản</t>
  </si>
  <si>
    <t>Số ngày làm chính thức/tháng</t>
  </si>
  <si>
    <t>Nghỉ có phép(CP)</t>
  </si>
  <si>
    <t>Nghỉ không phép(KP)</t>
  </si>
  <si>
    <t>Đồng phục(ĐP)</t>
  </si>
  <si>
    <t>Đồ dùng(ĐD)</t>
  </si>
  <si>
    <t>Chấm dứt hợp đồng trái quy định(TPL)</t>
  </si>
  <si>
    <t>Chấm dứt hợp đồng đúng quy định(ĐPL)</t>
  </si>
  <si>
    <t>Tổng tiền bồi thường</t>
  </si>
  <si>
    <t>Khách hàng: Haengsung</t>
  </si>
  <si>
    <t>Lương cơ sở làm căn cứ đóng BHXH:</t>
  </si>
  <si>
    <t>VND</t>
  </si>
  <si>
    <t>Chuyền</t>
  </si>
  <si>
    <t>Số ngày LV trong tháng</t>
  </si>
  <si>
    <t>ĐK tham gia BHXH</t>
  </si>
  <si>
    <t>Số NLĐ đồng ý tham gia BHXH</t>
  </si>
  <si>
    <t>Lương tháng</t>
  </si>
  <si>
    <t>Mức bồi thường</t>
  </si>
  <si>
    <t>BHXH</t>
  </si>
  <si>
    <t>PIT</t>
  </si>
  <si>
    <t>Còn lại</t>
  </si>
  <si>
    <t>Tổng chi phí tiền lương</t>
  </si>
  <si>
    <t>Tên TK</t>
  </si>
  <si>
    <t>Số TK</t>
  </si>
  <si>
    <t>Khác</t>
  </si>
  <si>
    <t xml:space="preserve">HAE39538 </t>
  </si>
  <si>
    <t xml:space="preserve">HAE39386 </t>
  </si>
  <si>
    <t xml:space="preserve">HAE39700 </t>
  </si>
  <si>
    <t>TỔNG CỘNG</t>
  </si>
  <si>
    <t>Cty CP Đầu Tư Ginex</t>
  </si>
  <si>
    <t>VI. Thực Lĩnh</t>
  </si>
  <si>
    <t>V. Đã tạm ứng:</t>
  </si>
  <si>
    <t>IV. Thuế TNCN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</si>
  <si>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</si>
  <si>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</si>
  <si>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</si>
  <si>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</si>
  <si>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</si>
  <si>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</si>
  <si>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</si>
  <si>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</si>
  <si>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</si>
  <si>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</si>
  <si>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</si>
  <si>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</si>
  <si>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</si>
  <si>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</si>
  <si>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</si>
  <si>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</si>
  <si>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</si>
  <si>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</si>
  <si>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</si>
  <si>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</si>
  <si>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</si>
  <si>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</si>
  <si>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</si>
  <si>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</si>
  <si>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</si>
  <si>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Số giờ tăng ca ca đêm</t>
  </si>
  <si>
    <t>Số giờ tăng ca ca ngày</t>
  </si>
  <si>
    <t>Số giờ ca ngày</t>
  </si>
  <si>
    <t>Lương cơ bản làm cơ sở đóng BHXH (nếu có): 4,730,000 VNĐ</t>
  </si>
  <si>
    <t>Thông tin tài khoản ngân hàng (Đề nghị các anh chị kiểm tra kỹ thông tin tin tài khoản để chuyển tiền):</t>
  </si>
  <si>
    <t>Ngày vào công ty:</t>
  </si>
  <si>
    <t>Số CMND/CCCD:</t>
  </si>
  <si>
    <t>PHIẾU THANH TOÁN LƯƠNG GINEX</t>
  </si>
  <si>
    <t>CMT</t>
  </si>
  <si>
    <t>Đ</t>
  </si>
  <si>
    <t>Form NHBL_04-66/99, Liên 1: Lưu, Liên 2: KH</t>
  </si>
  <si>
    <t>NGÂN HÀNG TMCP NGOẠI THƯƠNG VIỆT NAM</t>
  </si>
  <si>
    <t>CHỨNG TỪ GIAO DỊCH</t>
  </si>
  <si>
    <t>Chi nhánh Hải Phòng</t>
  </si>
  <si>
    <t>ỦY NHIỆM CHI- PAYMENT ORDER</t>
  </si>
  <si>
    <t>275 Lạch Tray, P. Đằng Giang</t>
  </si>
  <si>
    <t>Q.Ngô Quyền, Tp. Hải Phòng</t>
  </si>
  <si>
    <t>ĐỀ NGHỊ GHI NỢ VÀO TÀI KHOẢN</t>
  </si>
  <si>
    <t>SỐ TIỀN:</t>
  </si>
  <si>
    <t>PHÍ NH:</t>
  </si>
  <si>
    <t>Phí trong</t>
  </si>
  <si>
    <t>Số TK: 0011000612393</t>
  </si>
  <si>
    <t>Phí ngoài</t>
  </si>
  <si>
    <t>x</t>
  </si>
  <si>
    <t>Tên TK: NGUYỄN VĂN LONG</t>
  </si>
  <si>
    <t>Địa chỉ: 16/562 Nguyễn Văn Linh, HP</t>
  </si>
  <si>
    <t>Tại NH: VCB HÀ NỘI</t>
  </si>
  <si>
    <t>&amp; GHI CÓ TÀI KHOẢN</t>
  </si>
  <si>
    <t>Số TK: Theo bảng kê đính kèm</t>
  </si>
  <si>
    <t>KẾ TOÁN TRƯỞNG KÝ</t>
  </si>
  <si>
    <t>CHỦ TÀI KHOẢN KÝ &amp; ĐÓNG DẤU</t>
  </si>
  <si>
    <t xml:space="preserve">Tên TK: </t>
  </si>
  <si>
    <t xml:space="preserve">Địa chỉ: </t>
  </si>
  <si>
    <t xml:space="preserve">Tại NH: </t>
  </si>
  <si>
    <t>DÀNH CHO NGÂN HÀNG</t>
  </si>
  <si>
    <t>MÃ VAT:</t>
  </si>
  <si>
    <t>Thanh toán viên</t>
  </si>
  <si>
    <t>Kiểm soát</t>
  </si>
  <si>
    <t>Giám đốc</t>
  </si>
  <si>
    <t>Tổng từ ngày 1- ngày 31/8/2020 theo ngày (1):</t>
  </si>
  <si>
    <t>- Căn cứ Hợp đồng cung ứng lao động số 200109_01/Ginex-Haengsung.2020 ký ngày 09/01/2020</t>
  </si>
  <si>
    <t>giữa Công Ty Cổ Phần Đầu Tư Ginex và Công Ty TNHH Haengsung Electronics Việt Nam</t>
  </si>
  <si>
    <t>Mức lương làm cơ sở đóng BHXH:</t>
  </si>
  <si>
    <t>Mã</t>
  </si>
  <si>
    <t>Xã phường</t>
  </si>
  <si>
    <t>Quận/Huyện</t>
  </si>
  <si>
    <t>Thành phố</t>
  </si>
  <si>
    <t>Giới tính</t>
  </si>
  <si>
    <t>Ngày sinh</t>
  </si>
  <si>
    <t>Số CMT</t>
  </si>
  <si>
    <t>Ngày vào
yymmdd</t>
  </si>
  <si>
    <t>Ca</t>
  </si>
  <si>
    <t>Tuổi</t>
  </si>
  <si>
    <t>Ngày nghỉ
yymmdd</t>
  </si>
  <si>
    <t>Tổng sốngày làm việc</t>
  </si>
  <si>
    <t>Điều kiện đóng BHXH</t>
  </si>
  <si>
    <t>Số tiền đóng BHXH (21.5%)</t>
  </si>
  <si>
    <t>No</t>
  </si>
  <si>
    <t>Code</t>
  </si>
  <si>
    <t>Full name</t>
  </si>
  <si>
    <t>Gender</t>
  </si>
  <si>
    <t>DOB</t>
  </si>
  <si>
    <t>ID card</t>
  </si>
  <si>
    <t>Date of working</t>
  </si>
  <si>
    <t>Age</t>
  </si>
  <si>
    <t>An Lão</t>
  </si>
  <si>
    <t>Hải Phòng</t>
  </si>
  <si>
    <t>Nam</t>
  </si>
  <si>
    <t>Có tham gia BHXH</t>
  </si>
  <si>
    <t>An Dương</t>
  </si>
  <si>
    <t xml:space="preserve">An Lão </t>
  </si>
  <si>
    <t>21/11/2000</t>
  </si>
  <si>
    <t>Cục Cảnh sát</t>
  </si>
  <si>
    <t>Đêm</t>
  </si>
  <si>
    <t>Nữ</t>
  </si>
  <si>
    <t>06/02/1996</t>
  </si>
  <si>
    <t>Hải phòng</t>
  </si>
  <si>
    <t>3/9/1980</t>
  </si>
  <si>
    <t>17/05/1994</t>
  </si>
  <si>
    <t>Ngọc Lạch</t>
  </si>
  <si>
    <t>Thanh Hóa</t>
  </si>
  <si>
    <t>02.08.1999</t>
  </si>
  <si>
    <t xml:space="preserve">Trấn Yên </t>
  </si>
  <si>
    <t>Yên Bái</t>
  </si>
  <si>
    <t>28.04.1988</t>
  </si>
  <si>
    <t>32</t>
  </si>
  <si>
    <t>Quỳnh Nhai</t>
  </si>
  <si>
    <t>Sơn La</t>
  </si>
  <si>
    <t>25.01.2001</t>
  </si>
  <si>
    <t>16.01.2018</t>
  </si>
  <si>
    <t>08/08/1997</t>
  </si>
  <si>
    <t xml:space="preserve">Hướng Hóa </t>
  </si>
  <si>
    <t>Quảng Trị</t>
  </si>
  <si>
    <t>16.06.2001</t>
  </si>
  <si>
    <t>02.06.2020</t>
  </si>
  <si>
    <t>Thái Thụy</t>
  </si>
  <si>
    <t>Thái Bình</t>
  </si>
  <si>
    <t>31/05/2001</t>
  </si>
  <si>
    <t>24/06/2016</t>
  </si>
  <si>
    <t>18.06.2020</t>
  </si>
  <si>
    <t>Hương Sơn</t>
  </si>
  <si>
    <t>Hà Tĩnh</t>
  </si>
  <si>
    <t>16/03/2000</t>
  </si>
  <si>
    <t>29/04/2020</t>
  </si>
  <si>
    <t>27.06.2020</t>
  </si>
  <si>
    <t>Tân Kỳ</t>
  </si>
  <si>
    <t>Nghệ An</t>
  </si>
  <si>
    <t>16/07/1987</t>
  </si>
  <si>
    <t>29.06.2020</t>
  </si>
  <si>
    <t>33</t>
  </si>
  <si>
    <t>Châu Thái</t>
  </si>
  <si>
    <t xml:space="preserve"> Quỳ Hợp</t>
  </si>
  <si>
    <t>20/07/2001</t>
  </si>
  <si>
    <t xml:space="preserve">Tân Yên </t>
  </si>
  <si>
    <t>Hàm Yên</t>
  </si>
  <si>
    <t>Tuyên Quang</t>
  </si>
  <si>
    <t>22/10/2000</t>
  </si>
  <si>
    <t>CÔNG TY TNHH HAENGSUNG ELECTRONICS VIỆT NAM</t>
  </si>
  <si>
    <t>Nguyễn Văn Thịnh</t>
  </si>
  <si>
    <t>Cao Thị Ngân</t>
  </si>
  <si>
    <t>031094007697</t>
  </si>
  <si>
    <t>Số giờ công ngày thường</t>
  </si>
  <si>
    <t>Số giờ tăng ca ngày thường</t>
  </si>
  <si>
    <t>Số giờ làm ngày nghỉ cuối tuần</t>
  </si>
  <si>
    <t>186155466</t>
  </si>
  <si>
    <t>186035053</t>
  </si>
  <si>
    <t>187840012</t>
  </si>
  <si>
    <t>184322401</t>
  </si>
  <si>
    <t>187884819</t>
  </si>
  <si>
    <t>186857471</t>
  </si>
  <si>
    <t>175051305</t>
  </si>
  <si>
    <t>174767307</t>
  </si>
  <si>
    <t>142736145</t>
  </si>
  <si>
    <t>184320845</t>
  </si>
  <si>
    <t>184430445</t>
  </si>
  <si>
    <t>173339638</t>
  </si>
  <si>
    <t>187518449</t>
  </si>
  <si>
    <t>132353408</t>
  </si>
  <si>
    <t>030094000219</t>
  </si>
  <si>
    <t>174131590</t>
  </si>
  <si>
    <t>187643967</t>
  </si>
  <si>
    <t>187861025</t>
  </si>
  <si>
    <t>187742278</t>
  </si>
  <si>
    <t>1013014502</t>
  </si>
  <si>
    <t>1013014481</t>
  </si>
  <si>
    <t>1013013505</t>
  </si>
  <si>
    <t>1013013758</t>
  </si>
  <si>
    <t>1013014589</t>
  </si>
  <si>
    <t>1013013931</t>
  </si>
  <si>
    <t>1013014011</t>
  </si>
  <si>
    <t>1013014218</t>
  </si>
  <si>
    <t>1013014782</t>
  </si>
  <si>
    <t>31000284659</t>
  </si>
  <si>
    <t>Đã thanh toán</t>
  </si>
  <si>
    <t>HAE39854</t>
  </si>
  <si>
    <t>HAE39853</t>
  </si>
  <si>
    <t>Hải Phòng, ngày 06 tháng 08 năm 2020</t>
  </si>
  <si>
    <t>Người lập biểu</t>
  </si>
  <si>
    <t>Giám Đốc</t>
  </si>
  <si>
    <t>MNV có dấu cách</t>
  </si>
  <si>
    <t>Số CMT/CCCD</t>
  </si>
  <si>
    <t>Số tiền</t>
  </si>
  <si>
    <t>Ký nhận</t>
  </si>
  <si>
    <t>Loại tiền</t>
  </si>
  <si>
    <t>Dung đã TT bằng TM</t>
  </si>
  <si>
    <t>GIÁM ĐỐC</t>
  </si>
  <si>
    <t>ĐỀ NGHỊ CHUYỂN KHOẢN</t>
  </si>
  <si>
    <t>Tài khoản ghi nợ:</t>
  </si>
  <si>
    <t>Công tiêu chuẩn tháng</t>
  </si>
  <si>
    <t>Người lập</t>
  </si>
  <si>
    <t>Ngày (date): 11 tháng 09 năm 2020</t>
  </si>
  <si>
    <t>--------------------------------------------------------------------------------------------------------------------------------------------------------</t>
  </si>
  <si>
    <t>HAE29275</t>
  </si>
  <si>
    <t>HAE29276</t>
  </si>
  <si>
    <t>031195000509</t>
  </si>
  <si>
    <t>Lương Thị Hồng Diệu</t>
  </si>
  <si>
    <t>162809682</t>
  </si>
  <si>
    <t>Trần Thị Hằng Nga</t>
  </si>
  <si>
    <t>CA Nam Định</t>
  </si>
  <si>
    <t>K</t>
  </si>
  <si>
    <t>1016141540</t>
  </si>
  <si>
    <t>1016270372</t>
  </si>
  <si>
    <t>1016282493</t>
  </si>
  <si>
    <t>1016216873</t>
  </si>
  <si>
    <t>0351000943916</t>
  </si>
  <si>
    <t>1016123514</t>
  </si>
  <si>
    <t>1016150026</t>
  </si>
  <si>
    <t>0031000357947</t>
  </si>
  <si>
    <t>Ngô Thị Mùi</t>
  </si>
  <si>
    <t>Tổng tiền</t>
  </si>
  <si>
    <r>
      <rPr>
        <b/>
        <sz val="10"/>
        <color theme="1"/>
        <rFont val="Calibri"/>
        <family val="2"/>
        <scheme val="minor"/>
      </rPr>
      <t>BẰNG SỐ:</t>
    </r>
    <r>
      <rPr>
        <sz val="10"/>
        <color theme="1"/>
        <rFont val="Calibri"/>
        <family val="2"/>
        <scheme val="minor"/>
      </rPr>
      <t xml:space="preserve"> 318,639,500</t>
    </r>
  </si>
  <si>
    <r>
      <t>BẰNG CHỮ:</t>
    </r>
    <r>
      <rPr>
        <sz val="10"/>
        <color theme="1"/>
        <rFont val="Calibri"/>
        <family val="2"/>
        <scheme val="minor"/>
      </rPr>
      <t xml:space="preserve">  Ba trăm mười tám triệu,</t>
    </r>
  </si>
  <si>
    <t xml:space="preserve">sáu trăm ba mươi chín ngàn, </t>
  </si>
  <si>
    <t>năm trăm đồng chẵn./.</t>
  </si>
  <si>
    <t>Nguyễn Văn Long</t>
  </si>
  <si>
    <t>0011000612393_VCB Hà Nội</t>
  </si>
  <si>
    <t>Chủ tài khoản</t>
  </si>
  <si>
    <t>Nghỉ Hẳn</t>
  </si>
  <si>
    <t>Hoàng Thị Thu Hiền 16/6/2001 Quảng Trị</t>
  </si>
  <si>
    <t>19/09/2020</t>
  </si>
  <si>
    <t>16/09/2020</t>
  </si>
  <si>
    <t>KP</t>
  </si>
  <si>
    <t>Máy yêu cầu nghỉ hẳn</t>
  </si>
  <si>
    <t>Nguyễn Thị Ngọc Ánh 4/1/2001 Yên Bái</t>
  </si>
  <si>
    <t>HAE41922</t>
  </si>
  <si>
    <t>031202003227</t>
  </si>
  <si>
    <t>Đỗ Văn Đức</t>
  </si>
  <si>
    <t>HAE41906</t>
  </si>
  <si>
    <t>038302017433</t>
  </si>
  <si>
    <t>25/11/2015</t>
  </si>
  <si>
    <t>Trịnh Thị Phương</t>
  </si>
  <si>
    <t>HAE35644</t>
  </si>
  <si>
    <t>063565881</t>
  </si>
  <si>
    <t>28/03/2018</t>
  </si>
  <si>
    <t>CA Lào Cai</t>
  </si>
  <si>
    <t>Nguyễn Việt Toàn</t>
  </si>
  <si>
    <t>thay thế</t>
  </si>
  <si>
    <t>HAE42049</t>
  </si>
  <si>
    <t>070866443</t>
  </si>
  <si>
    <t>24/2/2020</t>
  </si>
  <si>
    <t>Hoàng Trọng Phú</t>
  </si>
  <si>
    <t>HAE42022</t>
  </si>
  <si>
    <t>031201010759</t>
  </si>
  <si>
    <t>Nguyễn Khắc Hiệp</t>
  </si>
  <si>
    <t>HAE42012</t>
  </si>
  <si>
    <t>031301005788</t>
  </si>
  <si>
    <t>25/7/2017</t>
  </si>
  <si>
    <t>Phạm Thị Luyện</t>
  </si>
  <si>
    <t>HAE42093</t>
  </si>
  <si>
    <t>038197004273</t>
  </si>
  <si>
    <t>Trình Thị Hạnh</t>
  </si>
  <si>
    <t>HAE42094</t>
  </si>
  <si>
    <t>187917964</t>
  </si>
  <si>
    <t>30/08/2019</t>
  </si>
  <si>
    <t>Đặng Duy Huy</t>
  </si>
  <si>
    <t>HAE42084</t>
  </si>
  <si>
    <t>188025595</t>
  </si>
  <si>
    <t>Nguyễn Thị Linh Chi</t>
  </si>
  <si>
    <t>HAE41960</t>
  </si>
  <si>
    <t>034198000755</t>
  </si>
  <si>
    <t>Nguyễn Thị Hà 11/9/1998 Thái Bình</t>
  </si>
  <si>
    <t>HAE42095</t>
  </si>
  <si>
    <t>034302007908</t>
  </si>
  <si>
    <t>Hoàng Thị Nga</t>
  </si>
  <si>
    <t>Nghỉ Hẳn ko đáp ứng dc cv</t>
  </si>
  <si>
    <t>Trần Văn Dương</t>
  </si>
  <si>
    <t>HAE42200</t>
  </si>
  <si>
    <t>25/10/2016</t>
  </si>
  <si>
    <t>Đỗ Thanh Sơn</t>
  </si>
  <si>
    <t>HAE42199</t>
  </si>
  <si>
    <t>061113994</t>
  </si>
  <si>
    <t>Hoàng Thị Thu Hiền 14/9/2002 Yên Bái</t>
  </si>
  <si>
    <t>HAE42039</t>
  </si>
  <si>
    <t>Dương Văn Phương</t>
  </si>
  <si>
    <t>HAE42210</t>
  </si>
  <si>
    <t>040490979</t>
  </si>
  <si>
    <t>CA Điện Biên</t>
  </si>
  <si>
    <t>Lương Văn Toán</t>
  </si>
  <si>
    <t>HAE42147</t>
  </si>
  <si>
    <t>142941721</t>
  </si>
  <si>
    <t>14/10/2014</t>
  </si>
  <si>
    <t>Nguyễn Công Tuấn</t>
  </si>
  <si>
    <t>Packing</t>
  </si>
  <si>
    <t>HAE42111</t>
  </si>
  <si>
    <t>142848315</t>
  </si>
  <si>
    <t>Phạm Văn Nghĩa</t>
  </si>
  <si>
    <t>HAE42198</t>
  </si>
  <si>
    <t>031302006847</t>
  </si>
  <si>
    <t>Nguyễn Thị Ngọc Ánh 7/10/2002 HP</t>
  </si>
  <si>
    <t>HAE42359</t>
  </si>
  <si>
    <t>061113985</t>
  </si>
  <si>
    <t>Hoàng Xuân Vững</t>
  </si>
  <si>
    <t>HAE42377</t>
  </si>
  <si>
    <t>036194000397</t>
  </si>
  <si>
    <t xml:space="preserve">Mai Thị Ánh </t>
  </si>
  <si>
    <t>HAE41963</t>
  </si>
  <si>
    <t>031099005436</t>
  </si>
  <si>
    <t>Nguyễn Thanh Phúc</t>
  </si>
  <si>
    <t>HAE42468</t>
  </si>
  <si>
    <t>031202005725</t>
  </si>
  <si>
    <t>Lê Hoàng Thái</t>
  </si>
  <si>
    <t>HAE42534</t>
  </si>
  <si>
    <t>031300003470</t>
  </si>
  <si>
    <t>27/10/2015</t>
  </si>
  <si>
    <t xml:space="preserve">Bùi Thị Huyền Trang </t>
  </si>
  <si>
    <t>GC</t>
  </si>
  <si>
    <t>GC1</t>
  </si>
  <si>
    <t>TC1</t>
  </si>
  <si>
    <t>GC2</t>
  </si>
  <si>
    <t>TC2</t>
  </si>
  <si>
    <t>HAENGSUNG_BẢNG CÔNG THÁNG 9.2020</t>
  </si>
  <si>
    <t>Nghỉ có phép</t>
  </si>
  <si>
    <t>Diễn giải:</t>
  </si>
  <si>
    <t>Nghỉ không phép</t>
  </si>
  <si>
    <t>Ca 1: Từ 7g30- 17g30</t>
  </si>
  <si>
    <t>WK-D: Ngày nghỉ cuối tuần ca ngày</t>
  </si>
  <si>
    <t>WK-N: Ngày nghỉ cuối tuần ca đêm</t>
  </si>
  <si>
    <t>NL-D: ngày lễ ca ngày</t>
  </si>
  <si>
    <t>NL-TC: ngày lễ tăng ca ca ngày</t>
  </si>
  <si>
    <t>Đồng phục</t>
  </si>
  <si>
    <t>ĐP</t>
  </si>
  <si>
    <t>Ca 2: Từ 18g- 2g00</t>
  </si>
  <si>
    <t>WK-TC: Ngày nghỉ cuối tuần tăng ca ca ngày</t>
  </si>
  <si>
    <t>WK-TC1: ngày nghỉ cuối tuần tăng ca ca đêm</t>
  </si>
  <si>
    <t>NL-N: ngày lễ ca đêm</t>
  </si>
  <si>
    <t>NL-TC1: ngày lễ tăng ca ca đêm</t>
  </si>
  <si>
    <t>Đồ dùng</t>
  </si>
  <si>
    <t>ĐD</t>
  </si>
  <si>
    <t>Chấm dứt HĐ trái pháp luật</t>
  </si>
  <si>
    <t>TPL</t>
  </si>
  <si>
    <t>Chấm dứt HĐ đúng pháp luật</t>
  </si>
  <si>
    <t>ĐPL</t>
  </si>
  <si>
    <t>LINE</t>
  </si>
  <si>
    <t>Ngày vào Cty 
( YY/MM/DD)</t>
  </si>
  <si>
    <t>Số CMND</t>
  </si>
  <si>
    <t>HĐLĐ</t>
  </si>
  <si>
    <t>Số giờ công thay thế và tăng cường các ngày trong tháng</t>
  </si>
  <si>
    <t>Số Tài khoản</t>
  </si>
  <si>
    <t>Từ ngày</t>
  </si>
  <si>
    <t>Đến ngày</t>
  </si>
  <si>
    <t>Ngày nghỉ việc thực tế</t>
  </si>
  <si>
    <t>Tình trạng làm việc</t>
  </si>
  <si>
    <t>Ca ngày
 8 tiếng</t>
  </si>
  <si>
    <t>Ca ngày 
11 tiếng</t>
  </si>
  <si>
    <t>Ca ngày 
13 tiếng</t>
  </si>
  <si>
    <t>WK-N</t>
  </si>
  <si>
    <t>ko phải trả tiền</t>
  </si>
  <si>
    <t>Tổng giờ</t>
  </si>
  <si>
    <t>Tổng người</t>
  </si>
  <si>
    <t xml:space="preserve"> </t>
  </si>
  <si>
    <t>DS CÔNG NHÂN CHƯA TRẢ ÁO T9</t>
  </si>
  <si>
    <t>Đơn giá</t>
  </si>
  <si>
    <t>Số áo chưa trả</t>
  </si>
  <si>
    <t>25/5/2013</t>
  </si>
  <si>
    <t>HAE42857</t>
  </si>
  <si>
    <t>Đã trả ngày 4/10</t>
  </si>
  <si>
    <t>HAENGSUNG_DANH SÁCH OS ĐỦ ĐIỀU KIỆN/KG ĐỦ ĐIỀU KIỆN ĐÓNG BHXH THÁNG 9.2020</t>
  </si>
  <si>
    <t>THÁNG 09 NĂM 2020</t>
  </si>
  <si>
    <t>031515514</t>
  </si>
  <si>
    <t>Việt Cường</t>
  </si>
  <si>
    <t>4/1/2001</t>
  </si>
  <si>
    <t>17/07/2015</t>
  </si>
  <si>
    <t>HAE41945</t>
  </si>
  <si>
    <t>Vũ Minh Tuyền</t>
  </si>
  <si>
    <t>16/1/2001</t>
  </si>
  <si>
    <t>Số tiền bằng chữ: Mười bẩy triệu, hai trăm tám mươi lăm nghìn, chín trăm năm mươi bẩy đồng./.</t>
  </si>
  <si>
    <t>Tổng:</t>
  </si>
  <si>
    <t>Hải Phòng, ngày 30 tháng 09 năm 2020</t>
  </si>
  <si>
    <t>Vũ Hiền Thu</t>
  </si>
  <si>
    <t>Ngân hàng k làm dc thẻ do CMT gốc mờ</t>
  </si>
  <si>
    <t>Ngân hàng báo có thẻ rồi không làm được thẻ nữa</t>
  </si>
  <si>
    <t>Lý do tháng này ngày mùng 2 HAE cho cả xưởng nghỉ</t>
  </si>
  <si>
    <t>Ngày vào</t>
  </si>
  <si>
    <t>Ngày hết hợp đồng</t>
  </si>
  <si>
    <t>Ngày viết đơn</t>
  </si>
  <si>
    <t>Lý do nghỉ</t>
  </si>
  <si>
    <t>Người thay thế</t>
  </si>
  <si>
    <t>17/06/2020</t>
  </si>
  <si>
    <t>về quê thu cá gấp</t>
  </si>
  <si>
    <t>15/07/2020</t>
  </si>
  <si>
    <t>về quê sang Nhật</t>
  </si>
  <si>
    <t>Trịnh Thị Hạnh</t>
  </si>
  <si>
    <t>bố bắt về đi học</t>
  </si>
  <si>
    <t>bị cho nghỉ</t>
  </si>
  <si>
    <t>đi muộn, xin nghỉ nhiều</t>
  </si>
  <si>
    <t>16/9/2020</t>
  </si>
  <si>
    <t>máy yêu cầu nghỉ do ko đáp ứng dc cv</t>
  </si>
  <si>
    <t>18/06/2020</t>
  </si>
  <si>
    <t>19/9/2020</t>
  </si>
  <si>
    <t>hết hợp đồng</t>
  </si>
  <si>
    <t>ko yêu cầu thay thế</t>
  </si>
  <si>
    <t>25/09/2020</t>
  </si>
  <si>
    <t>30/09/2020</t>
  </si>
  <si>
    <t>con nhỏ không có người trông</t>
  </si>
  <si>
    <t>HAE42632</t>
  </si>
  <si>
    <t>Nguyễn Thị Duyên</t>
  </si>
  <si>
    <t>24/09/2020</t>
  </si>
  <si>
    <t>về đi Nhật</t>
  </si>
  <si>
    <t>Bố bắt về đi học</t>
  </si>
  <si>
    <t>Mai Thị Ánh</t>
  </si>
  <si>
    <t>27/09/2020</t>
  </si>
  <si>
    <t>ko xin phép</t>
  </si>
  <si>
    <t>Bùi Thị Huyền Trang</t>
  </si>
  <si>
    <t>18/9/2020</t>
  </si>
  <si>
    <t>Chuyền yêu cầu nghỉ ko đáp ứng dc cv</t>
  </si>
  <si>
    <t>Sai tên, ID</t>
  </si>
  <si>
    <t>Trùng tên</t>
  </si>
  <si>
    <t>Mùi ứng tiền cá nhân trả cho OS</t>
  </si>
  <si>
    <t>061122035</t>
  </si>
  <si>
    <t>Đã trả ngày 5/10</t>
  </si>
  <si>
    <t>Kỳ chấm công:  từ ngày 01.09.2020 đến 30.09.2020</t>
  </si>
  <si>
    <t>BẢNG LƯƠNG OS - THÁNG 09.2020_ THANH TOÁN BẰNG TIỀN MẶT</t>
  </si>
  <si>
    <t>Kỳ lương T9.2020</t>
  </si>
  <si>
    <t>Hải Phòng, ngày 11 tháng 10 năm 2020</t>
  </si>
  <si>
    <t>Hải phòng, ngày 11 tháng 10 năm 2020</t>
  </si>
  <si>
    <r>
      <rPr>
        <b/>
        <sz val="10"/>
        <color theme="1"/>
        <rFont val="Calibri"/>
        <family val="2"/>
        <scheme val="minor"/>
      </rPr>
      <t>NỘI DUNG:</t>
    </r>
    <r>
      <rPr>
        <sz val="10"/>
        <color theme="1"/>
        <rFont val="Calibri"/>
        <family val="2"/>
        <scheme val="minor"/>
      </rPr>
      <t xml:space="preserve">  </t>
    </r>
    <r>
      <rPr>
        <b/>
        <sz val="10"/>
        <color theme="1"/>
        <rFont val="Calibri"/>
        <family val="2"/>
        <scheme val="minor"/>
      </rPr>
      <t xml:space="preserve">Công ty thanh toán tiền lương tháng 09/2020 </t>
    </r>
  </si>
  <si>
    <t>Tháng 9.2020 (Từ ngày 01.09 đến ngày hết 30/09/2020)</t>
  </si>
  <si>
    <t>BẢNG LƯƠNG OS - THÁNG 09.2020</t>
  </si>
  <si>
    <t>Ngày công tiêu chuẩn tháng 9: 23 công</t>
  </si>
  <si>
    <t>BẢNG  NGÀY CÔNG, TIỀN LƯƠNG OS TĂNG CƯỜNG - THÁNG 09.2020</t>
  </si>
  <si>
    <t>Không phải trả</t>
  </si>
  <si>
    <t>k đủ ĐK thanh toán</t>
  </si>
  <si>
    <t>Chuyên cần, đời sống và tuân thủ</t>
  </si>
  <si>
    <t>Hỗ trợ đời sống</t>
  </si>
  <si>
    <t>Khoản khác (Bù lương T8) (5):</t>
  </si>
  <si>
    <t>I. Tổng lương (1) + (2) + (3) +(4) +(5):</t>
  </si>
  <si>
    <t>PC tuân thủ (3)</t>
  </si>
  <si>
    <t>PC đời sống (4):</t>
  </si>
  <si>
    <t>Tiền lương được thanh toán vào ngày 11/10/2020.</t>
  </si>
  <si>
    <t>Thưởng chuyên cần</t>
  </si>
  <si>
    <t>Thưởng tuân thủ</t>
  </si>
  <si>
    <t>038304005153</t>
  </si>
  <si>
    <t>1016763766</t>
  </si>
  <si>
    <t>1016764597</t>
  </si>
  <si>
    <t>Lường Văn Toán</t>
  </si>
  <si>
    <t>1016765065</t>
  </si>
  <si>
    <t>1016785941</t>
  </si>
  <si>
    <t>1016786018</t>
  </si>
  <si>
    <t>1016774720</t>
  </si>
  <si>
    <t>1016764392</t>
  </si>
  <si>
    <t>1016764730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</si>
</sst>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2" formatCode="_(&quot;$&quot;* #,##0_);_(&quot;$&quot;* \(#,##0\);_(&quot;$&quot;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dd"/>
    <numFmt numFmtId="166" formatCode="_(* #,##0.0_);_(* \(#,##0.0\);_(* \-??_);_(@_)"/>
    <numFmt numFmtId="167" formatCode="_(* #,##0_);_(* \(#,##0\);_(* &quot;-&quot;?_);_(@_)"/>
    <numFmt numFmtId="168" formatCode="_(* #,##0_);_(* \(#,##0\);_(* \-??_);_(@_)"/>
    <numFmt numFmtId="169" formatCode="_(* #,##0_);_(* \(#,##0\);_(* &quot;-&quot;??_);_(@_)"/>
    <numFmt numFmtId="170" formatCode="_(* #,##0.00_);_(* \(#,##0.00\);_(* \-??_);_(@_)"/>
    <numFmt numFmtId="171" formatCode="_(* #,##0.0_);_(* \(#,##0.0\);_(* &quot;-&quot;??_);_(@_)"/>
    <numFmt numFmtId="172" formatCode="_-* #,##0\ _₫_-;\-* #,##0\ _₫_-;_-* &quot;-&quot;??\ _₫_-;_-@_-"/>
    <numFmt numFmtId="173" formatCode="0.0%"/>
    <numFmt numFmtId="174" formatCode="[$VND]\ #,##0"/>
    <numFmt numFmtId="175" formatCode="_-* #,##0.0\ _₫_-;\-* #,##0.0\ _₫_-;_-* &quot;-&quot;??\ _₫_-;_-@_-"/>
    <numFmt numFmtId="176" formatCode="mm/dd/yy;@"/>
    <numFmt numFmtId="177" formatCode="_(* #,##0.0_);_(* \(#,##0.0\);_(* &quot;-&quot;?_);_(@_)"/>
  </numFmts>
  <fonts count="7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  <charset val="163"/>
    </font>
    <font>
      <sz val="12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  <charset val="163"/>
    </font>
    <font>
      <sz val="11"/>
      <color indexed="8"/>
      <name val="맑은 고딕"/>
      <family val="2"/>
      <charset val="129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  <charset val="163"/>
    </font>
    <font>
      <sz val="11"/>
      <color rgb="FF2C3E50"/>
      <name val="Times New Roman"/>
      <family val="1"/>
    </font>
    <font>
      <sz val="11"/>
      <color indexed="8"/>
      <name val="Calibri"/>
      <family val="2"/>
      <scheme val="minor"/>
    </font>
    <font>
      <sz val="12"/>
      <name val="Times New Roman"/>
      <family val="1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2"/>
      <name val="Arial"/>
      <family val="2"/>
    </font>
    <font>
      <sz val="13"/>
      <name val=".VnTime"/>
      <family val="2"/>
    </font>
    <font>
      <sz val="12"/>
      <name val=".VnTime"/>
      <family val="2"/>
    </font>
    <font>
      <sz val="10"/>
      <name val="VNI-Times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1"/>
      <color indexed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  <charset val="163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  <charset val="1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163"/>
      <scheme val="minor"/>
    </font>
    <font>
      <sz val="10"/>
      <name val="ＭＳ Ｐゴシック"/>
      <family val="3"/>
      <charset val="128"/>
    </font>
    <font>
      <b/>
      <sz val="12"/>
      <name val="Times New Roman"/>
      <family val="1"/>
    </font>
    <font>
      <sz val="12"/>
      <name val="Times New Roman"/>
      <family val="1"/>
      <charset val="163"/>
    </font>
    <font>
      <b/>
      <sz val="16"/>
      <name val="Times New Roman"/>
      <family val="1"/>
    </font>
    <font>
      <sz val="16"/>
      <name val="Times New Roman"/>
      <family val="1"/>
      <charset val="163"/>
    </font>
    <font>
      <sz val="16"/>
      <name val="Times New Roman"/>
      <family val="1"/>
    </font>
    <font>
      <i/>
      <sz val="14"/>
      <name val="Times New Roman"/>
      <family val="1"/>
    </font>
    <font>
      <i/>
      <sz val="14"/>
      <name val="Times New Roman"/>
      <family val="1"/>
      <charset val="163"/>
    </font>
    <font>
      <sz val="14"/>
      <name val="Times New Roman"/>
      <family val="1"/>
    </font>
    <font>
      <sz val="11"/>
      <name val="Times New Roman"/>
      <family val="1"/>
      <charset val="163"/>
    </font>
    <font>
      <b/>
      <sz val="10"/>
      <name val="Times New Roman"/>
      <family val="1"/>
      <charset val="1"/>
    </font>
    <font>
      <i/>
      <sz val="11"/>
      <name val="Times New Roman"/>
      <family val="1"/>
    </font>
    <font>
      <i/>
      <sz val="11"/>
      <name val="Times New Roman"/>
      <family val="1"/>
      <charset val="163"/>
    </font>
    <font>
      <i/>
      <sz val="12"/>
      <name val="Times New Roman"/>
      <family val="1"/>
    </font>
    <font>
      <sz val="10"/>
      <color theme="1"/>
      <name val="Times New Roman"/>
      <family val="1"/>
      <charset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  <charset val="163"/>
    </font>
    <font>
      <sz val="14"/>
      <color theme="1"/>
      <name val="Times New Roman"/>
      <family val="1"/>
    </font>
    <font>
      <sz val="14"/>
      <color theme="1"/>
      <name val="Times New Roman"/>
      <family val="1"/>
      <charset val="163"/>
    </font>
    <font>
      <sz val="10"/>
      <name val="Times New Roman"/>
      <family val="1"/>
      <charset val="1"/>
    </font>
    <font>
      <sz val="11"/>
      <name val="Open Sans"/>
    </font>
    <font>
      <b/>
      <sz val="11"/>
      <color theme="1"/>
      <name val="Calibri"/>
      <family val="2"/>
      <charset val="163"/>
      <scheme val="minor"/>
    </font>
    <font>
      <i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0"/>
      <color rgb="FFFF0000"/>
      <name val="Times New Roman"/>
      <family val="1"/>
      <charset val="1"/>
    </font>
    <font>
      <sz val="11"/>
      <color rgb="FF2C3E50"/>
      <name val="Open Sans"/>
    </font>
    <font>
      <sz val="11"/>
      <color theme="1"/>
      <name val="Times New Roman"/>
      <family val="1"/>
      <charset val="1"/>
    </font>
    <font>
      <b/>
      <sz val="10"/>
      <name val="Times New Roman"/>
      <family val="1"/>
      <charset val="163"/>
    </font>
    <font>
      <sz val="10"/>
      <color indexed="10"/>
      <name val="Times New Roman"/>
      <family val="1"/>
      <charset val="1"/>
    </font>
    <font>
      <sz val="10"/>
      <color indexed="10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sz val="10"/>
      <color rgb="FFFF0000"/>
      <name val="Times New Roman"/>
      <family val="1"/>
      <charset val="163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auto="1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48">
    <xf numFmtId="0" fontId="0" fillId="0" borderId="0"/>
    <xf numFmtId="164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3" fillId="0" borderId="0"/>
    <xf numFmtId="43" fontId="5" fillId="0" borderId="0" applyFont="0" applyFill="0" applyBorder="0" applyAlignment="0" applyProtection="0"/>
    <xf numFmtId="170" fontId="4" fillId="0" borderId="0"/>
    <xf numFmtId="43" fontId="3" fillId="0" borderId="0" applyFont="0" applyFill="0" applyBorder="0" applyAlignment="0" applyProtection="0"/>
    <xf numFmtId="0" fontId="13" fillId="0" borderId="0">
      <alignment vertical="center"/>
    </xf>
    <xf numFmtId="0" fontId="14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7" fillId="0" borderId="0"/>
    <xf numFmtId="38" fontId="19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21" fillId="0" borderId="33" applyNumberFormat="0" applyAlignment="0" applyProtection="0">
      <alignment horizontal="left" vertical="center"/>
    </xf>
    <xf numFmtId="0" fontId="21" fillId="0" borderId="29">
      <alignment horizontal="left" vertical="center"/>
    </xf>
    <xf numFmtId="0" fontId="22" fillId="0" borderId="0"/>
    <xf numFmtId="0" fontId="3" fillId="0" borderId="0"/>
    <xf numFmtId="0" fontId="18" fillId="0" borderId="0"/>
    <xf numFmtId="0" fontId="23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0" fontId="20" fillId="0" borderId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2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38" fontId="20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9" fontId="5" fillId="0" borderId="0" applyFont="0" applyFill="0" applyBorder="0" applyAlignment="0" applyProtection="0"/>
    <xf numFmtId="170" fontId="4" fillId="0" borderId="0"/>
    <xf numFmtId="0" fontId="44" fillId="0" borderId="0"/>
    <xf numFmtId="164" fontId="1" fillId="0" borderId="0" applyFont="0" applyFill="0" applyBorder="0" applyAlignment="0" applyProtection="0"/>
  </cellStyleXfs>
  <cellXfs count="996">
    <xf numFmtId="0" fontId="0" fillId="0" borderId="0" xfId="0"/>
    <xf numFmtId="49" fontId="7" fillId="0" borderId="0" xfId="9" applyNumberFormat="1" applyFont="1"/>
    <xf numFmtId="49" fontId="8" fillId="0" borderId="0" xfId="9" applyNumberFormat="1" applyFont="1"/>
    <xf numFmtId="49" fontId="7" fillId="0" borderId="0" xfId="9" applyNumberFormat="1" applyFont="1" applyBorder="1"/>
    <xf numFmtId="49" fontId="8" fillId="0" borderId="0" xfId="9" applyNumberFormat="1" applyFont="1" applyBorder="1"/>
    <xf numFmtId="169" fontId="7" fillId="0" borderId="1" xfId="12" applyNumberFormat="1" applyFont="1" applyFill="1" applyBorder="1"/>
    <xf numFmtId="0" fontId="7" fillId="0" borderId="0" xfId="9" applyNumberFormat="1" applyFont="1" applyBorder="1"/>
    <xf numFmtId="0" fontId="8" fillId="0" borderId="0" xfId="9" applyNumberFormat="1" applyFont="1" applyBorder="1"/>
    <xf numFmtId="169" fontId="8" fillId="0" borderId="0" xfId="9" applyNumberFormat="1" applyFont="1" applyBorder="1" applyAlignment="1">
      <alignment horizontal="center"/>
    </xf>
    <xf numFmtId="0" fontId="8" fillId="0" borderId="0" xfId="9" applyNumberFormat="1" applyFont="1" applyBorder="1" applyAlignment="1"/>
    <xf numFmtId="49" fontId="8" fillId="0" borderId="0" xfId="9" applyNumberFormat="1" applyFont="1" applyBorder="1" applyAlignment="1">
      <alignment horizontal="center"/>
    </xf>
    <xf numFmtId="0" fontId="8" fillId="0" borderId="0" xfId="9" applyNumberFormat="1" applyFont="1"/>
    <xf numFmtId="0" fontId="7" fillId="0" borderId="0" xfId="9" applyNumberFormat="1" applyFont="1"/>
    <xf numFmtId="0" fontId="7" fillId="0" borderId="0" xfId="9" applyNumberFormat="1" applyFont="1" applyAlignment="1"/>
    <xf numFmtId="169" fontId="7" fillId="0" borderId="0" xfId="9" applyNumberFormat="1" applyFont="1" applyAlignment="1">
      <alignment horizontal="center"/>
    </xf>
    <xf numFmtId="0" fontId="8" fillId="0" borderId="0" xfId="11" applyFont="1" applyFill="1" applyBorder="1"/>
    <xf numFmtId="49" fontId="8" fillId="0" borderId="5" xfId="9" applyNumberFormat="1" applyFont="1" applyFill="1" applyBorder="1" applyAlignment="1">
      <alignment horizontal="center" vertical="center" wrapText="1"/>
    </xf>
    <xf numFmtId="49" fontId="8" fillId="0" borderId="13" xfId="9" applyNumberFormat="1" applyFont="1" applyFill="1" applyBorder="1" applyAlignment="1">
      <alignment horizontal="center" vertical="center" wrapText="1"/>
    </xf>
    <xf numFmtId="49" fontId="8" fillId="0" borderId="4" xfId="9" applyNumberFormat="1" applyFont="1" applyFill="1" applyBorder="1" applyAlignment="1">
      <alignment horizontal="center" vertical="center"/>
    </xf>
    <xf numFmtId="49" fontId="8" fillId="0" borderId="5" xfId="9" applyNumberFormat="1" applyFont="1" applyFill="1" applyBorder="1" applyAlignment="1">
      <alignment horizontal="center" vertical="center"/>
    </xf>
    <xf numFmtId="168" fontId="11" fillId="0" borderId="6" xfId="13" applyNumberFormat="1" applyFont="1" applyFill="1" applyBorder="1" applyAlignment="1">
      <alignment horizontal="center" vertical="center"/>
    </xf>
    <xf numFmtId="168" fontId="11" fillId="0" borderId="8" xfId="13" applyNumberFormat="1" applyFont="1" applyFill="1" applyBorder="1" applyAlignment="1">
      <alignment horizontal="center" vertical="center"/>
    </xf>
    <xf numFmtId="168" fontId="11" fillId="0" borderId="16" xfId="13" applyNumberFormat="1" applyFont="1" applyFill="1" applyBorder="1" applyAlignment="1">
      <alignment horizontal="center" vertical="center"/>
    </xf>
    <xf numFmtId="168" fontId="11" fillId="0" borderId="15" xfId="13" applyNumberFormat="1" applyFont="1" applyFill="1" applyBorder="1" applyAlignment="1">
      <alignment horizontal="center" vertical="center"/>
    </xf>
    <xf numFmtId="49" fontId="7" fillId="0" borderId="0" xfId="9" applyNumberFormat="1" applyFont="1" applyFill="1" applyBorder="1" applyAlignment="1">
      <alignment horizontal="center" vertical="center" wrapText="1"/>
    </xf>
    <xf numFmtId="168" fontId="11" fillId="0" borderId="0" xfId="13" applyNumberFormat="1" applyFont="1" applyFill="1" applyBorder="1" applyAlignment="1">
      <alignment horizontal="center" vertical="center"/>
    </xf>
    <xf numFmtId="49" fontId="8" fillId="0" borderId="0" xfId="9" applyNumberFormat="1" applyFont="1" applyFill="1"/>
    <xf numFmtId="169" fontId="7" fillId="0" borderId="21" xfId="12" applyNumberFormat="1" applyFont="1" applyFill="1" applyBorder="1"/>
    <xf numFmtId="0" fontId="8" fillId="0" borderId="0" xfId="9" applyNumberFormat="1" applyFont="1" applyFill="1"/>
    <xf numFmtId="49" fontId="7" fillId="0" borderId="14" xfId="9" applyNumberFormat="1" applyFont="1" applyBorder="1" applyAlignment="1">
      <alignment horizontal="left"/>
    </xf>
    <xf numFmtId="169" fontId="7" fillId="0" borderId="13" xfId="12" applyNumberFormat="1" applyFont="1" applyBorder="1" applyAlignment="1">
      <alignment horizontal="left"/>
    </xf>
    <xf numFmtId="169" fontId="7" fillId="0" borderId="23" xfId="12" applyNumberFormat="1" applyFont="1" applyBorder="1"/>
    <xf numFmtId="49" fontId="8" fillId="0" borderId="23" xfId="9" applyNumberFormat="1" applyFont="1" applyBorder="1"/>
    <xf numFmtId="169" fontId="7" fillId="0" borderId="24" xfId="12" applyNumberFormat="1" applyFont="1" applyBorder="1" applyAlignment="1">
      <alignment vertical="center"/>
    </xf>
    <xf numFmtId="169" fontId="7" fillId="3" borderId="26" xfId="12" applyNumberFormat="1" applyFont="1" applyFill="1" applyBorder="1" applyAlignment="1">
      <alignment horizontal="left"/>
    </xf>
    <xf numFmtId="169" fontId="7" fillId="3" borderId="26" xfId="12" applyNumberFormat="1" applyFont="1" applyFill="1" applyBorder="1"/>
    <xf numFmtId="49" fontId="8" fillId="3" borderId="26" xfId="9" applyNumberFormat="1" applyFont="1" applyFill="1" applyBorder="1"/>
    <xf numFmtId="169" fontId="7" fillId="3" borderId="27" xfId="12" applyNumberFormat="1" applyFont="1" applyFill="1" applyBorder="1" applyAlignment="1">
      <alignment vertical="center"/>
    </xf>
    <xf numFmtId="49" fontId="7" fillId="0" borderId="0" xfId="9" applyNumberFormat="1" applyFont="1" applyBorder="1" applyAlignment="1"/>
    <xf numFmtId="169" fontId="7" fillId="0" borderId="0" xfId="12" applyNumberFormat="1" applyFont="1" applyBorder="1" applyAlignment="1">
      <alignment horizontal="left"/>
    </xf>
    <xf numFmtId="169" fontId="7" fillId="0" borderId="0" xfId="12" applyNumberFormat="1" applyFont="1" applyBorder="1"/>
    <xf numFmtId="169" fontId="7" fillId="0" borderId="0" xfId="12" applyNumberFormat="1" applyFont="1" applyBorder="1" applyAlignment="1">
      <alignment vertical="center"/>
    </xf>
    <xf numFmtId="49" fontId="8" fillId="0" borderId="0" xfId="9" applyNumberFormat="1" applyFont="1" applyBorder="1" applyAlignment="1"/>
    <xf numFmtId="49" fontId="12" fillId="0" borderId="0" xfId="9" applyNumberFormat="1" applyFont="1"/>
    <xf numFmtId="49" fontId="8" fillId="0" borderId="28" xfId="9" applyNumberFormat="1" applyFont="1" applyBorder="1"/>
    <xf numFmtId="49" fontId="8" fillId="0" borderId="29" xfId="9" applyNumberFormat="1" applyFont="1" applyBorder="1"/>
    <xf numFmtId="49" fontId="8" fillId="0" borderId="30" xfId="9" applyNumberFormat="1" applyFont="1" applyBorder="1" applyAlignment="1">
      <alignment horizontal="center"/>
    </xf>
    <xf numFmtId="0" fontId="8" fillId="0" borderId="30" xfId="9" applyNumberFormat="1" applyFont="1" applyBorder="1" applyAlignment="1"/>
    <xf numFmtId="49" fontId="7" fillId="3" borderId="3" xfId="9" applyNumberFormat="1" applyFont="1" applyFill="1" applyBorder="1" applyAlignment="1">
      <alignment horizontal="center"/>
    </xf>
    <xf numFmtId="49" fontId="7" fillId="3" borderId="11" xfId="9" applyNumberFormat="1" applyFont="1" applyFill="1" applyBorder="1" applyAlignment="1">
      <alignment horizontal="center"/>
    </xf>
    <xf numFmtId="49" fontId="8" fillId="0" borderId="1" xfId="9" applyNumberFormat="1" applyFont="1" applyBorder="1"/>
    <xf numFmtId="0" fontId="8" fillId="0" borderId="1" xfId="9" applyNumberFormat="1" applyFont="1" applyBorder="1"/>
    <xf numFmtId="169" fontId="8" fillId="0" borderId="1" xfId="12" applyNumberFormat="1" applyFont="1" applyBorder="1"/>
    <xf numFmtId="169" fontId="8" fillId="0" borderId="13" xfId="12" applyNumberFormat="1" applyFont="1" applyBorder="1"/>
    <xf numFmtId="0" fontId="8" fillId="0" borderId="7" xfId="9" applyNumberFormat="1" applyFont="1" applyBorder="1" applyAlignment="1">
      <alignment horizontal="center"/>
    </xf>
    <xf numFmtId="0" fontId="8" fillId="0" borderId="7" xfId="9" applyNumberFormat="1" applyFont="1" applyBorder="1"/>
    <xf numFmtId="169" fontId="7" fillId="0" borderId="7" xfId="9" applyNumberFormat="1" applyFont="1" applyBorder="1"/>
    <xf numFmtId="169" fontId="7" fillId="0" borderId="15" xfId="9" applyNumberFormat="1" applyFont="1" applyBorder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11" applyFont="1" applyFill="1" applyBorder="1"/>
    <xf numFmtId="0" fontId="8" fillId="0" borderId="1" xfId="0" applyFont="1" applyFill="1" applyBorder="1" applyAlignment="1">
      <alignment horizontal="left"/>
    </xf>
    <xf numFmtId="169" fontId="8" fillId="0" borderId="1" xfId="12" applyNumberFormat="1" applyFont="1" applyFill="1" applyBorder="1"/>
    <xf numFmtId="0" fontId="8" fillId="0" borderId="0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Border="1"/>
    <xf numFmtId="0" fontId="8" fillId="0" borderId="0" xfId="0" applyFont="1" applyFill="1" applyBorder="1" applyAlignment="1">
      <alignment horizontal="center"/>
    </xf>
    <xf numFmtId="169" fontId="8" fillId="0" borderId="0" xfId="0" applyNumberFormat="1" applyFont="1" applyBorder="1"/>
    <xf numFmtId="169" fontId="8" fillId="0" borderId="0" xfId="0" applyNumberFormat="1" applyFont="1"/>
    <xf numFmtId="169" fontId="8" fillId="0" borderId="0" xfId="12" applyNumberFormat="1" applyFont="1"/>
    <xf numFmtId="0" fontId="8" fillId="0" borderId="4" xfId="0" applyFont="1" applyFill="1" applyBorder="1" applyAlignment="1">
      <alignment horizontal="center"/>
    </xf>
    <xf numFmtId="0" fontId="8" fillId="0" borderId="1" xfId="0" applyFont="1" applyFill="1" applyBorder="1"/>
    <xf numFmtId="0" fontId="16" fillId="0" borderId="1" xfId="0" applyFont="1" applyFill="1" applyBorder="1"/>
    <xf numFmtId="0" fontId="8" fillId="0" borderId="24" xfId="11" applyFont="1" applyFill="1" applyBorder="1"/>
    <xf numFmtId="0" fontId="16" fillId="0" borderId="24" xfId="0" applyFont="1" applyFill="1" applyBorder="1"/>
    <xf numFmtId="0" fontId="8" fillId="0" borderId="35" xfId="11" applyFont="1" applyFill="1" applyBorder="1"/>
    <xf numFmtId="0" fontId="10" fillId="0" borderId="30" xfId="0" applyFont="1" applyFill="1" applyBorder="1"/>
    <xf numFmtId="0" fontId="8" fillId="0" borderId="5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left"/>
    </xf>
    <xf numFmtId="0" fontId="10" fillId="0" borderId="1" xfId="21" applyFont="1" applyFill="1" applyBorder="1" applyAlignment="1">
      <alignment horizontal="left" vertical="center"/>
    </xf>
    <xf numFmtId="0" fontId="10" fillId="0" borderId="1" xfId="0" applyFont="1" applyFill="1" applyBorder="1"/>
    <xf numFmtId="0" fontId="15" fillId="0" borderId="1" xfId="11" applyFont="1" applyFill="1" applyBorder="1"/>
    <xf numFmtId="0" fontId="6" fillId="0" borderId="1" xfId="0" applyFont="1" applyFill="1" applyBorder="1" applyAlignment="1">
      <alignment horizontal="left" vertical="center"/>
    </xf>
    <xf numFmtId="0" fontId="8" fillId="0" borderId="1" xfId="11" applyFont="1" applyFill="1" applyBorder="1" applyAlignment="1">
      <alignment horizontal="left"/>
    </xf>
    <xf numFmtId="0" fontId="7" fillId="3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Continuous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12" applyNumberFormat="1" applyFont="1" applyFill="1" applyBorder="1"/>
    <xf numFmtId="14" fontId="8" fillId="0" borderId="0" xfId="0" applyNumberFormat="1" applyFont="1"/>
    <xf numFmtId="0" fontId="26" fillId="0" borderId="0" xfId="0" applyFont="1"/>
    <xf numFmtId="0" fontId="26" fillId="0" borderId="0" xfId="0" applyFont="1" applyFill="1"/>
    <xf numFmtId="0" fontId="26" fillId="0" borderId="1" xfId="0" applyFont="1" applyFill="1" applyBorder="1" applyAlignment="1">
      <alignment horizontal="left" vertical="center"/>
    </xf>
    <xf numFmtId="0" fontId="26" fillId="0" borderId="1" xfId="0" applyFont="1" applyFill="1" applyBorder="1"/>
    <xf numFmtId="166" fontId="28" fillId="5" borderId="1" xfId="13" applyNumberFormat="1" applyFont="1" applyFill="1" applyBorder="1"/>
    <xf numFmtId="0" fontId="26" fillId="5" borderId="1" xfId="0" applyFont="1" applyFill="1" applyBorder="1"/>
    <xf numFmtId="166" fontId="28" fillId="0" borderId="1" xfId="13" applyNumberFormat="1" applyFont="1" applyFill="1" applyBorder="1"/>
    <xf numFmtId="166" fontId="28" fillId="3" borderId="1" xfId="13" applyNumberFormat="1" applyFont="1" applyFill="1" applyBorder="1"/>
    <xf numFmtId="166" fontId="28" fillId="0" borderId="1" xfId="7" applyNumberFormat="1" applyFont="1" applyFill="1" applyBorder="1" applyAlignment="1" applyProtection="1">
      <alignment horizontal="center" vertical="center"/>
    </xf>
    <xf numFmtId="166" fontId="28" fillId="3" borderId="1" xfId="7" applyNumberFormat="1" applyFont="1" applyFill="1" applyBorder="1" applyAlignment="1" applyProtection="1">
      <alignment horizontal="center" vertical="center"/>
    </xf>
    <xf numFmtId="166" fontId="28" fillId="0" borderId="1" xfId="7" applyNumberFormat="1" applyFont="1" applyFill="1" applyBorder="1" applyAlignment="1" applyProtection="1">
      <alignment horizontal="left" vertical="center"/>
    </xf>
    <xf numFmtId="166" fontId="28" fillId="5" borderId="1" xfId="7" applyNumberFormat="1" applyFont="1" applyFill="1" applyBorder="1" applyAlignment="1" applyProtection="1">
      <alignment horizontal="left" vertical="center"/>
    </xf>
    <xf numFmtId="166" fontId="28" fillId="5" borderId="1" xfId="7" applyNumberFormat="1" applyFont="1" applyFill="1" applyBorder="1" applyAlignment="1" applyProtection="1">
      <alignment horizontal="center" vertical="center"/>
    </xf>
    <xf numFmtId="167" fontId="28" fillId="0" borderId="1" xfId="6" applyNumberFormat="1" applyFont="1" applyFill="1" applyBorder="1" applyAlignment="1">
      <alignment horizontal="center" vertical="center" wrapText="1"/>
    </xf>
    <xf numFmtId="0" fontId="25" fillId="3" borderId="4" xfId="0" applyFont="1" applyFill="1" applyBorder="1"/>
    <xf numFmtId="0" fontId="25" fillId="3" borderId="1" xfId="0" applyFont="1" applyFill="1" applyBorder="1"/>
    <xf numFmtId="166" fontId="25" fillId="3" borderId="1" xfId="0" applyNumberFormat="1" applyFont="1" applyFill="1" applyBorder="1"/>
    <xf numFmtId="0" fontId="25" fillId="3" borderId="6" xfId="0" applyFont="1" applyFill="1" applyBorder="1"/>
    <xf numFmtId="0" fontId="25" fillId="3" borderId="7" xfId="0" applyFont="1" applyFill="1" applyBorder="1"/>
    <xf numFmtId="168" fontId="27" fillId="3" borderId="7" xfId="6" applyNumberFormat="1" applyFont="1" applyFill="1" applyBorder="1" applyAlignment="1">
      <alignment vertical="center"/>
    </xf>
    <xf numFmtId="0" fontId="25" fillId="3" borderId="7" xfId="0" applyFont="1" applyFill="1" applyBorder="1" applyAlignment="1"/>
    <xf numFmtId="0" fontId="26" fillId="0" borderId="0" xfId="0" applyFont="1" applyFill="1" applyAlignment="1"/>
    <xf numFmtId="0" fontId="8" fillId="0" borderId="0" xfId="0" applyFont="1" applyFill="1"/>
    <xf numFmtId="0" fontId="7" fillId="2" borderId="9" xfId="0" applyFont="1" applyFill="1" applyBorder="1"/>
    <xf numFmtId="14" fontId="7" fillId="0" borderId="0" xfId="0" applyNumberFormat="1" applyFont="1" applyFill="1" applyAlignment="1">
      <alignment horizontal="centerContinuous"/>
    </xf>
    <xf numFmtId="0" fontId="7" fillId="0" borderId="0" xfId="0" applyFont="1" applyFill="1" applyAlignment="1">
      <alignment horizontal="centerContinuous"/>
    </xf>
    <xf numFmtId="0" fontId="8" fillId="0" borderId="3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66" fontId="29" fillId="0" borderId="1" xfId="7" applyNumberFormat="1" applyFont="1" applyFill="1" applyBorder="1" applyAlignment="1" applyProtection="1">
      <alignment horizontal="center" vertical="center"/>
    </xf>
    <xf numFmtId="166" fontId="29" fillId="5" borderId="1" xfId="7" applyNumberFormat="1" applyFont="1" applyFill="1" applyBorder="1" applyAlignment="1" applyProtection="1">
      <alignment horizontal="left" vertical="center"/>
    </xf>
    <xf numFmtId="166" fontId="8" fillId="0" borderId="1" xfId="0" applyNumberFormat="1" applyFont="1" applyFill="1" applyBorder="1"/>
    <xf numFmtId="167" fontId="29" fillId="0" borderId="1" xfId="6" applyNumberFormat="1" applyFont="1" applyFill="1" applyBorder="1" applyAlignment="1">
      <alignment horizontal="center" vertical="center" wrapText="1"/>
    </xf>
    <xf numFmtId="166" fontId="11" fillId="0" borderId="1" xfId="7" applyNumberFormat="1" applyFont="1" applyFill="1" applyBorder="1" applyAlignment="1" applyProtection="1">
      <alignment horizontal="center" vertical="center"/>
    </xf>
    <xf numFmtId="0" fontId="30" fillId="5" borderId="1" xfId="6" applyFont="1" applyFill="1" applyBorder="1" applyAlignment="1">
      <alignment horizontal="center" vertical="center"/>
    </xf>
    <xf numFmtId="0" fontId="8" fillId="6" borderId="0" xfId="0" applyFont="1" applyFill="1"/>
    <xf numFmtId="166" fontId="29" fillId="6" borderId="1" xfId="13" applyNumberFormat="1" applyFont="1" applyFill="1" applyBorder="1" applyAlignment="1" applyProtection="1">
      <alignment horizontal="left" vertical="center"/>
    </xf>
    <xf numFmtId="166" fontId="29" fillId="6" borderId="1" xfId="7" applyNumberFormat="1" applyFont="1" applyFill="1" applyBorder="1" applyAlignment="1" applyProtection="1">
      <alignment horizontal="center" vertical="center"/>
    </xf>
    <xf numFmtId="166" fontId="28" fillId="6" borderId="1" xfId="7" applyNumberFormat="1" applyFont="1" applyFill="1" applyBorder="1" applyAlignment="1" applyProtection="1">
      <alignment horizontal="center" vertical="center"/>
    </xf>
    <xf numFmtId="0" fontId="26" fillId="6" borderId="1" xfId="0" applyFont="1" applyFill="1" applyBorder="1"/>
    <xf numFmtId="168" fontId="27" fillId="6" borderId="7" xfId="6" applyNumberFormat="1" applyFont="1" applyFill="1" applyBorder="1" applyAlignment="1">
      <alignment vertical="center"/>
    </xf>
    <xf numFmtId="0" fontId="26" fillId="6" borderId="0" xfId="0" applyFont="1" applyFill="1"/>
    <xf numFmtId="166" fontId="29" fillId="6" borderId="1" xfId="13" applyNumberFormat="1" applyFont="1" applyFill="1" applyBorder="1"/>
    <xf numFmtId="0" fontId="8" fillId="6" borderId="1" xfId="0" applyFont="1" applyFill="1" applyBorder="1"/>
    <xf numFmtId="166" fontId="8" fillId="6" borderId="1" xfId="7" applyNumberFormat="1" applyFont="1" applyFill="1" applyBorder="1"/>
    <xf numFmtId="166" fontId="29" fillId="6" borderId="1" xfId="7" applyNumberFormat="1" applyFont="1" applyFill="1" applyBorder="1" applyAlignment="1" applyProtection="1">
      <alignment horizontal="left" vertical="center"/>
    </xf>
    <xf numFmtId="0" fontId="8" fillId="0" borderId="31" xfId="0" quotePrefix="1" applyFont="1" applyFill="1" applyBorder="1" applyAlignment="1">
      <alignment horizontal="left" vertical="center"/>
    </xf>
    <xf numFmtId="0" fontId="33" fillId="0" borderId="1" xfId="0" applyFont="1" applyFill="1" applyBorder="1" applyAlignment="1">
      <alignment horizontal="left" vertical="center"/>
    </xf>
    <xf numFmtId="0" fontId="33" fillId="0" borderId="1" xfId="0" applyFont="1" applyFill="1" applyBorder="1"/>
    <xf numFmtId="166" fontId="33" fillId="0" borderId="1" xfId="7" applyNumberFormat="1" applyFont="1" applyFill="1" applyBorder="1" applyAlignment="1" applyProtection="1">
      <alignment horizontal="center" vertical="center"/>
    </xf>
    <xf numFmtId="0" fontId="34" fillId="0" borderId="0" xfId="0" applyFont="1" applyFill="1"/>
    <xf numFmtId="166" fontId="26" fillId="6" borderId="1" xfId="7" applyNumberFormat="1" applyFont="1" applyFill="1" applyBorder="1"/>
    <xf numFmtId="0" fontId="8" fillId="7" borderId="1" xfId="11" applyFont="1" applyFill="1" applyBorder="1"/>
    <xf numFmtId="0" fontId="9" fillId="0" borderId="1" xfId="0" applyFont="1" applyBorder="1"/>
    <xf numFmtId="0" fontId="35" fillId="0" borderId="1" xfId="6" applyFont="1" applyFill="1" applyBorder="1" applyAlignment="1">
      <alignment horizontal="left" vertical="center" wrapText="1"/>
    </xf>
    <xf numFmtId="49" fontId="7" fillId="3" borderId="18" xfId="9" applyNumberFormat="1" applyFont="1" applyFill="1" applyBorder="1" applyAlignment="1">
      <alignment horizontal="center" vertical="center" wrapText="1"/>
    </xf>
    <xf numFmtId="49" fontId="7" fillId="3" borderId="19" xfId="9" applyNumberFormat="1" applyFont="1" applyFill="1" applyBorder="1" applyAlignment="1">
      <alignment horizontal="center" vertical="center" wrapText="1"/>
    </xf>
    <xf numFmtId="49" fontId="7" fillId="0" borderId="22" xfId="9" applyNumberFormat="1" applyFont="1" applyBorder="1" applyAlignment="1">
      <alignment horizontal="left"/>
    </xf>
    <xf numFmtId="49" fontId="7" fillId="0" borderId="23" xfId="9" applyNumberFormat="1" applyFont="1" applyBorder="1" applyAlignment="1">
      <alignment horizontal="left"/>
    </xf>
    <xf numFmtId="0" fontId="26" fillId="0" borderId="3" xfId="0" applyFont="1" applyFill="1" applyBorder="1" applyAlignment="1">
      <alignment horizontal="centerContinuous"/>
    </xf>
    <xf numFmtId="0" fontId="8" fillId="0" borderId="3" xfId="0" applyFont="1" applyFill="1" applyBorder="1" applyAlignment="1">
      <alignment horizontal="centerContinuous"/>
    </xf>
    <xf numFmtId="0" fontId="11" fillId="0" borderId="1" xfId="6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6" fillId="0" borderId="3" xfId="0" applyFont="1" applyFill="1" applyBorder="1" applyAlignment="1">
      <alignment horizontal="left" vertical="center"/>
    </xf>
    <xf numFmtId="0" fontId="26" fillId="0" borderId="10" xfId="0" applyFont="1" applyFill="1" applyBorder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172" fontId="26" fillId="0" borderId="1" xfId="7" applyNumberFormat="1" applyFont="1" applyFill="1" applyBorder="1"/>
    <xf numFmtId="0" fontId="26" fillId="0" borderId="5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172" fontId="8" fillId="6" borderId="1" xfId="7" applyNumberFormat="1" applyFont="1" applyFill="1" applyBorder="1"/>
    <xf numFmtId="14" fontId="8" fillId="6" borderId="1" xfId="7" applyNumberFormat="1" applyFont="1" applyFill="1" applyBorder="1" applyAlignment="1">
      <alignment horizontal="left"/>
    </xf>
    <xf numFmtId="172" fontId="26" fillId="3" borderId="1" xfId="7" applyNumberFormat="1" applyFont="1" applyFill="1" applyBorder="1"/>
    <xf numFmtId="0" fontId="26" fillId="3" borderId="5" xfId="0" applyFont="1" applyFill="1" applyBorder="1" applyAlignment="1">
      <alignment horizontal="left" vertical="center"/>
    </xf>
    <xf numFmtId="169" fontId="8" fillId="0" borderId="0" xfId="25" applyNumberFormat="1" applyFont="1"/>
    <xf numFmtId="169" fontId="8" fillId="0" borderId="0" xfId="25" applyNumberFormat="1" applyFont="1" applyAlignment="1"/>
    <xf numFmtId="169" fontId="7" fillId="0" borderId="3" xfId="25" applyNumberFormat="1" applyFont="1" applyFill="1" applyBorder="1" applyAlignment="1">
      <alignment horizontal="centerContinuous" vertical="center" wrapText="1"/>
    </xf>
    <xf numFmtId="0" fontId="7" fillId="0" borderId="3" xfId="0" applyFont="1" applyFill="1" applyBorder="1" applyAlignment="1">
      <alignment horizontal="center"/>
    </xf>
    <xf numFmtId="0" fontId="7" fillId="0" borderId="34" xfId="0" applyFont="1" applyBorder="1"/>
    <xf numFmtId="169" fontId="7" fillId="0" borderId="1" xfId="25" applyNumberFormat="1" applyFont="1" applyFill="1" applyBorder="1" applyAlignment="1">
      <alignment horizontal="center" vertical="center" wrapText="1"/>
    </xf>
    <xf numFmtId="173" fontId="7" fillId="0" borderId="1" xfId="44" applyNumberFormat="1" applyFont="1" applyFill="1" applyBorder="1" applyAlignment="1">
      <alignment horizontal="center" vertical="center" wrapText="1"/>
    </xf>
    <xf numFmtId="0" fontId="7" fillId="0" borderId="24" xfId="0" applyFont="1" applyBorder="1"/>
    <xf numFmtId="0" fontId="8" fillId="0" borderId="1" xfId="0" applyFont="1" applyFill="1" applyBorder="1" applyAlignment="1">
      <alignment horizontal="center"/>
    </xf>
    <xf numFmtId="0" fontId="29" fillId="0" borderId="4" xfId="6" applyFont="1" applyFill="1" applyBorder="1" applyAlignment="1">
      <alignment horizontal="center" vertical="center"/>
    </xf>
    <xf numFmtId="43" fontId="8" fillId="0" borderId="1" xfId="25" applyFont="1" applyFill="1" applyBorder="1" applyAlignment="1">
      <alignment horizontal="center"/>
    </xf>
    <xf numFmtId="169" fontId="8" fillId="0" borderId="1" xfId="25" applyNumberFormat="1" applyFont="1" applyFill="1" applyBorder="1"/>
    <xf numFmtId="169" fontId="8" fillId="0" borderId="1" xfId="25" applyNumberFormat="1" applyFont="1" applyFill="1" applyBorder="1" applyAlignment="1">
      <alignment horizontal="right"/>
    </xf>
    <xf numFmtId="169" fontId="8" fillId="0" borderId="1" xfId="0" applyNumberFormat="1" applyFont="1" applyFill="1" applyBorder="1"/>
    <xf numFmtId="0" fontId="29" fillId="0" borderId="5" xfId="6" applyFont="1" applyFill="1" applyBorder="1" applyAlignment="1">
      <alignment horizontal="left" vertical="center"/>
    </xf>
    <xf numFmtId="0" fontId="8" fillId="6" borderId="24" xfId="11" applyFont="1" applyFill="1" applyBorder="1"/>
    <xf numFmtId="0" fontId="8" fillId="0" borderId="5" xfId="0" applyFont="1" applyFill="1" applyBorder="1"/>
    <xf numFmtId="0" fontId="8" fillId="8" borderId="24" xfId="11" applyFont="1" applyFill="1" applyBorder="1"/>
    <xf numFmtId="0" fontId="29" fillId="0" borderId="5" xfId="6" applyFont="1" applyFill="1" applyBorder="1" applyAlignment="1">
      <alignment vertical="center"/>
    </xf>
    <xf numFmtId="0" fontId="8" fillId="7" borderId="24" xfId="11" applyFont="1" applyFill="1" applyBorder="1"/>
    <xf numFmtId="0" fontId="8" fillId="0" borderId="24" xfId="0" applyFont="1" applyFill="1" applyBorder="1"/>
    <xf numFmtId="0" fontId="8" fillId="8" borderId="24" xfId="0" applyFont="1" applyFill="1" applyBorder="1"/>
    <xf numFmtId="0" fontId="8" fillId="0" borderId="24" xfId="0" applyFont="1" applyBorder="1"/>
    <xf numFmtId="0" fontId="7" fillId="0" borderId="6" xfId="0" applyFont="1" applyFill="1" applyBorder="1"/>
    <xf numFmtId="0" fontId="7" fillId="0" borderId="7" xfId="0" applyFont="1" applyFill="1" applyBorder="1"/>
    <xf numFmtId="169" fontId="7" fillId="0" borderId="7" xfId="25" applyNumberFormat="1" applyFont="1" applyFill="1" applyBorder="1"/>
    <xf numFmtId="169" fontId="7" fillId="0" borderId="7" xfId="0" applyNumberFormat="1" applyFont="1" applyFill="1" applyBorder="1"/>
    <xf numFmtId="169" fontId="7" fillId="0" borderId="7" xfId="0" applyNumberFormat="1" applyFont="1" applyFill="1" applyBorder="1" applyAlignment="1">
      <alignment horizontal="left"/>
    </xf>
    <xf numFmtId="0" fontId="7" fillId="0" borderId="8" xfId="0" applyFont="1" applyFill="1" applyBorder="1"/>
    <xf numFmtId="0" fontId="8" fillId="0" borderId="27" xfId="0" applyFont="1" applyBorder="1"/>
    <xf numFmtId="49" fontId="8" fillId="0" borderId="4" xfId="9" applyNumberFormat="1" applyFont="1" applyBorder="1" applyAlignment="1">
      <alignment horizontal="center"/>
    </xf>
    <xf numFmtId="49" fontId="7" fillId="3" borderId="2" xfId="9" applyNumberFormat="1" applyFont="1" applyFill="1" applyBorder="1" applyAlignment="1">
      <alignment horizontal="center"/>
    </xf>
    <xf numFmtId="169" fontId="7" fillId="0" borderId="0" xfId="25" applyNumberFormat="1" applyFont="1"/>
    <xf numFmtId="49" fontId="11" fillId="0" borderId="0" xfId="9" applyNumberFormat="1" applyFont="1" applyBorder="1" applyAlignment="1"/>
    <xf numFmtId="169" fontId="7" fillId="3" borderId="26" xfId="25" applyNumberFormat="1" applyFont="1" applyFill="1" applyBorder="1"/>
    <xf numFmtId="169" fontId="7" fillId="0" borderId="38" xfId="25" applyNumberFormat="1" applyFont="1" applyBorder="1" applyAlignment="1">
      <alignment horizontal="center"/>
    </xf>
    <xf numFmtId="169" fontId="7" fillId="0" borderId="23" xfId="25" applyNumberFormat="1" applyFont="1" applyBorder="1" applyAlignment="1">
      <alignment horizontal="left"/>
    </xf>
    <xf numFmtId="169" fontId="7" fillId="0" borderId="39" xfId="12" applyNumberFormat="1" applyFont="1" applyBorder="1"/>
    <xf numFmtId="169" fontId="7" fillId="0" borderId="23" xfId="25" applyNumberFormat="1" applyFont="1" applyBorder="1" applyAlignment="1">
      <alignment horizontal="center"/>
    </xf>
    <xf numFmtId="169" fontId="7" fillId="0" borderId="1" xfId="25" applyNumberFormat="1" applyFont="1" applyBorder="1" applyAlignment="1">
      <alignment horizontal="center"/>
    </xf>
    <xf numFmtId="0" fontId="37" fillId="0" borderId="23" xfId="6" applyFont="1" applyFill="1" applyBorder="1" applyAlignment="1">
      <alignment vertical="center" wrapText="1"/>
    </xf>
    <xf numFmtId="169" fontId="7" fillId="0" borderId="38" xfId="12" applyNumberFormat="1" applyFont="1" applyBorder="1"/>
    <xf numFmtId="169" fontId="7" fillId="0" borderId="39" xfId="25" applyNumberFormat="1" applyFont="1" applyBorder="1" applyAlignment="1">
      <alignment horizontal="center"/>
    </xf>
    <xf numFmtId="169" fontId="8" fillId="0" borderId="0" xfId="25" applyNumberFormat="1" applyFont="1" applyFill="1"/>
    <xf numFmtId="169" fontId="7" fillId="2" borderId="40" xfId="12" applyNumberFormat="1" applyFont="1" applyFill="1" applyBorder="1"/>
    <xf numFmtId="169" fontId="7" fillId="2" borderId="41" xfId="12" applyNumberFormat="1" applyFont="1" applyFill="1" applyBorder="1"/>
    <xf numFmtId="49" fontId="8" fillId="2" borderId="41" xfId="9" applyNumberFormat="1" applyFont="1" applyFill="1" applyBorder="1" applyAlignment="1">
      <alignment horizontal="center" vertical="center"/>
    </xf>
    <xf numFmtId="49" fontId="12" fillId="2" borderId="42" xfId="9" applyNumberFormat="1" applyFont="1" applyFill="1" applyBorder="1" applyAlignment="1">
      <alignment horizontal="left"/>
    </xf>
    <xf numFmtId="49" fontId="8" fillId="6" borderId="20" xfId="9" applyNumberFormat="1" applyFont="1" applyFill="1" applyBorder="1" applyAlignment="1">
      <alignment horizontal="center"/>
    </xf>
    <xf numFmtId="49" fontId="8" fillId="6" borderId="0" xfId="9" applyNumberFormat="1" applyFont="1" applyFill="1"/>
    <xf numFmtId="169" fontId="8" fillId="6" borderId="0" xfId="25" applyNumberFormat="1" applyFont="1" applyFill="1"/>
    <xf numFmtId="49" fontId="7" fillId="3" borderId="17" xfId="9" applyNumberFormat="1" applyFont="1" applyFill="1" applyBorder="1" applyAlignment="1">
      <alignment horizontal="center" vertical="center" wrapText="1"/>
    </xf>
    <xf numFmtId="49" fontId="8" fillId="0" borderId="14" xfId="9" applyNumberFormat="1" applyFont="1" applyFill="1" applyBorder="1" applyAlignment="1">
      <alignment horizontal="center" vertical="center" wrapText="1"/>
    </xf>
    <xf numFmtId="49" fontId="8" fillId="0" borderId="4" xfId="9" applyNumberFormat="1" applyFont="1" applyFill="1" applyBorder="1" applyAlignment="1">
      <alignment horizontal="center" vertical="center" wrapText="1"/>
    </xf>
    <xf numFmtId="169" fontId="7" fillId="7" borderId="0" xfId="9" applyNumberFormat="1" applyFont="1" applyFill="1" applyAlignment="1">
      <alignment horizontal="center"/>
    </xf>
    <xf numFmtId="0" fontId="7" fillId="0" borderId="9" xfId="9" applyNumberFormat="1" applyFont="1" applyBorder="1" applyAlignment="1">
      <alignment horizontal="center"/>
    </xf>
    <xf numFmtId="0" fontId="7" fillId="0" borderId="0" xfId="9" applyNumberFormat="1" applyFont="1" applyBorder="1" applyAlignment="1">
      <alignment horizontal="center"/>
    </xf>
    <xf numFmtId="0" fontId="8" fillId="0" borderId="9" xfId="9" applyNumberFormat="1" applyFont="1" applyBorder="1" applyAlignment="1">
      <alignment horizontal="center"/>
    </xf>
    <xf numFmtId="0" fontId="8" fillId="6" borderId="1" xfId="0" quotePrefix="1" applyNumberFormat="1" applyFont="1" applyFill="1" applyBorder="1" applyAlignment="1">
      <alignment horizontal="left"/>
    </xf>
    <xf numFmtId="0" fontId="8" fillId="0" borderId="1" xfId="0" quotePrefix="1" applyNumberFormat="1" applyFont="1" applyFill="1" applyBorder="1" applyAlignment="1">
      <alignment horizontal="left"/>
    </xf>
    <xf numFmtId="0" fontId="0" fillId="0" borderId="43" xfId="0" applyBorder="1"/>
    <xf numFmtId="0" fontId="39" fillId="0" borderId="43" xfId="0" applyFont="1" applyBorder="1"/>
    <xf numFmtId="169" fontId="0" fillId="0" borderId="0" xfId="25" applyNumberFormat="1" applyFont="1"/>
    <xf numFmtId="0" fontId="40" fillId="0" borderId="45" xfId="0" applyFont="1" applyBorder="1"/>
    <xf numFmtId="0" fontId="41" fillId="0" borderId="45" xfId="0" applyFont="1" applyBorder="1"/>
    <xf numFmtId="0" fontId="0" fillId="0" borderId="45" xfId="0" applyBorder="1"/>
    <xf numFmtId="0" fontId="40" fillId="0" borderId="45" xfId="0" applyFont="1" applyBorder="1" applyAlignment="1">
      <alignment horizontal="centerContinuous"/>
    </xf>
    <xf numFmtId="0" fontId="0" fillId="0" borderId="45" xfId="0" applyBorder="1" applyAlignment="1">
      <alignment horizontal="centerContinuous"/>
    </xf>
    <xf numFmtId="0" fontId="0" fillId="0" borderId="46" xfId="0" applyBorder="1" applyAlignment="1">
      <alignment horizontal="centerContinuous"/>
    </xf>
    <xf numFmtId="0" fontId="39" fillId="0" borderId="0" xfId="0" applyFont="1" applyBorder="1"/>
    <xf numFmtId="0" fontId="0" fillId="0" borderId="0" xfId="0" applyBorder="1"/>
    <xf numFmtId="0" fontId="36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48" xfId="0" applyBorder="1" applyAlignment="1">
      <alignment horizontal="centerContinuous"/>
    </xf>
    <xf numFmtId="0" fontId="39" fillId="0" borderId="0" xfId="0" applyFont="1" applyFill="1" applyBorder="1"/>
    <xf numFmtId="0" fontId="0" fillId="0" borderId="0" xfId="0" applyFill="1" applyBorder="1" applyAlignment="1">
      <alignment horizontal="centerContinuous"/>
    </xf>
    <xf numFmtId="0" fontId="0" fillId="0" borderId="48" xfId="0" applyBorder="1"/>
    <xf numFmtId="0" fontId="0" fillId="0" borderId="0" xfId="0" applyBorder="1" applyAlignment="1">
      <alignment horizontal="center" vertical="center" wrapText="1"/>
    </xf>
    <xf numFmtId="0" fontId="42" fillId="0" borderId="0" xfId="0" applyFont="1" applyBorder="1"/>
    <xf numFmtId="0" fontId="39" fillId="0" borderId="9" xfId="0" applyFont="1" applyBorder="1"/>
    <xf numFmtId="0" fontId="41" fillId="0" borderId="9" xfId="0" applyFont="1" applyBorder="1" applyAlignment="1">
      <alignment horizontal="center"/>
    </xf>
    <xf numFmtId="0" fontId="41" fillId="0" borderId="0" xfId="0" applyFont="1" applyBorder="1"/>
    <xf numFmtId="0" fontId="41" fillId="0" borderId="9" xfId="0" applyFont="1" applyBorder="1"/>
    <xf numFmtId="0" fontId="42" fillId="0" borderId="49" xfId="0" applyFont="1" applyBorder="1"/>
    <xf numFmtId="0" fontId="41" fillId="0" borderId="46" xfId="0" applyFont="1" applyBorder="1"/>
    <xf numFmtId="0" fontId="39" fillId="0" borderId="32" xfId="0" applyFont="1" applyBorder="1"/>
    <xf numFmtId="0" fontId="41" fillId="0" borderId="48" xfId="0" applyFont="1" applyBorder="1"/>
    <xf numFmtId="0" fontId="41" fillId="0" borderId="50" xfId="0" applyFont="1" applyBorder="1"/>
    <xf numFmtId="0" fontId="41" fillId="0" borderId="51" xfId="0" applyFont="1" applyBorder="1"/>
    <xf numFmtId="0" fontId="39" fillId="0" borderId="9" xfId="0" applyFont="1" applyFill="1" applyBorder="1"/>
    <xf numFmtId="0" fontId="39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Continuous"/>
    </xf>
    <xf numFmtId="0" fontId="39" fillId="0" borderId="48" xfId="0" applyFont="1" applyBorder="1" applyAlignment="1">
      <alignment horizontal="centerContinuous"/>
    </xf>
    <xf numFmtId="0" fontId="39" fillId="0" borderId="9" xfId="0" applyFont="1" applyFill="1" applyBorder="1" applyAlignment="1">
      <alignment horizontal="left" vertical="center" wrapText="1"/>
    </xf>
    <xf numFmtId="0" fontId="39" fillId="0" borderId="9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40" fillId="0" borderId="45" xfId="0" applyFont="1" applyBorder="1" applyAlignment="1">
      <alignment horizontal="left"/>
    </xf>
    <xf numFmtId="0" fontId="40" fillId="0" borderId="46" xfId="0" applyFont="1" applyBorder="1"/>
    <xf numFmtId="0" fontId="40" fillId="0" borderId="0" xfId="0" applyFont="1"/>
    <xf numFmtId="169" fontId="40" fillId="0" borderId="0" xfId="25" applyNumberFormat="1" applyFont="1"/>
    <xf numFmtId="0" fontId="40" fillId="0" borderId="0" xfId="0" applyFont="1" applyBorder="1"/>
    <xf numFmtId="0" fontId="40" fillId="0" borderId="48" xfId="0" applyFont="1" applyBorder="1"/>
    <xf numFmtId="0" fontId="40" fillId="0" borderId="0" xfId="0" applyFont="1" applyBorder="1" applyAlignment="1">
      <alignment horizontal="left"/>
    </xf>
    <xf numFmtId="0" fontId="40" fillId="0" borderId="0" xfId="0" applyFont="1" applyBorder="1" applyAlignment="1">
      <alignment horizontal="centerContinuous"/>
    </xf>
    <xf numFmtId="0" fontId="40" fillId="0" borderId="48" xfId="0" applyFont="1" applyBorder="1" applyAlignment="1">
      <alignment horizontal="centerContinuous"/>
    </xf>
    <xf numFmtId="0" fontId="0" fillId="0" borderId="43" xfId="0" applyBorder="1" applyAlignment="1">
      <alignment horizontal="center" vertical="center" wrapText="1"/>
    </xf>
    <xf numFmtId="0" fontId="40" fillId="0" borderId="43" xfId="0" applyFont="1" applyBorder="1"/>
    <xf numFmtId="0" fontId="40" fillId="0" borderId="51" xfId="0" applyFont="1" applyBorder="1"/>
    <xf numFmtId="0" fontId="39" fillId="0" borderId="0" xfId="0" applyFont="1"/>
    <xf numFmtId="0" fontId="39" fillId="0" borderId="45" xfId="0" applyFont="1" applyBorder="1"/>
    <xf numFmtId="0" fontId="0" fillId="0" borderId="32" xfId="0" applyBorder="1"/>
    <xf numFmtId="0" fontId="43" fillId="0" borderId="0" xfId="0" applyFont="1" applyBorder="1"/>
    <xf numFmtId="0" fontId="39" fillId="0" borderId="9" xfId="0" applyFont="1" applyBorder="1" applyAlignment="1">
      <alignment horizontal="left" vertical="center" wrapText="1"/>
    </xf>
    <xf numFmtId="0" fontId="39" fillId="0" borderId="9" xfId="0" applyFont="1" applyBorder="1" applyAlignment="1">
      <alignment wrapText="1"/>
    </xf>
    <xf numFmtId="0" fontId="39" fillId="0" borderId="9" xfId="0" applyFont="1" applyBorder="1" applyAlignment="1">
      <alignment vertical="center" wrapText="1"/>
    </xf>
    <xf numFmtId="0" fontId="8" fillId="0" borderId="0" xfId="0" applyNumberFormat="1" applyFont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0" fontId="7" fillId="0" borderId="7" xfId="0" applyNumberFormat="1" applyFont="1" applyFill="1" applyBorder="1" applyAlignment="1">
      <alignment horizontal="center"/>
    </xf>
    <xf numFmtId="49" fontId="8" fillId="0" borderId="20" xfId="9" applyNumberFormat="1" applyFont="1" applyFill="1" applyBorder="1" applyAlignment="1">
      <alignment horizontal="center"/>
    </xf>
    <xf numFmtId="14" fontId="8" fillId="0" borderId="1" xfId="9" applyNumberFormat="1" applyFont="1" applyFill="1" applyBorder="1" applyAlignment="1">
      <alignment horizontal="center" vertical="center"/>
    </xf>
    <xf numFmtId="14" fontId="8" fillId="9" borderId="1" xfId="9" applyNumberFormat="1" applyFont="1" applyFill="1" applyBorder="1" applyAlignment="1">
      <alignment horizontal="center" vertical="center"/>
    </xf>
    <xf numFmtId="169" fontId="7" fillId="9" borderId="1" xfId="12" applyNumberFormat="1" applyFont="1" applyFill="1" applyBorder="1"/>
    <xf numFmtId="169" fontId="7" fillId="9" borderId="21" xfId="12" applyNumberFormat="1" applyFont="1" applyFill="1" applyBorder="1"/>
    <xf numFmtId="0" fontId="45" fillId="0" borderId="0" xfId="46" applyFont="1" applyFill="1" applyBorder="1" applyAlignment="1">
      <alignment vertical="center"/>
    </xf>
    <xf numFmtId="0" fontId="46" fillId="0" borderId="0" xfId="46" applyFont="1" applyFill="1" applyBorder="1" applyAlignment="1">
      <alignment vertical="center"/>
    </xf>
    <xf numFmtId="0" fontId="18" fillId="0" borderId="0" xfId="46" applyFont="1" applyFill="1" applyBorder="1" applyAlignment="1">
      <alignment vertical="center"/>
    </xf>
    <xf numFmtId="49" fontId="45" fillId="0" borderId="0" xfId="46" applyNumberFormat="1" applyFont="1" applyFill="1" applyBorder="1" applyAlignment="1">
      <alignment horizontal="center" vertical="center"/>
    </xf>
    <xf numFmtId="0" fontId="45" fillId="0" borderId="0" xfId="46" applyNumberFormat="1" applyFont="1" applyFill="1" applyBorder="1" applyAlignment="1">
      <alignment horizontal="center" vertical="center"/>
    </xf>
    <xf numFmtId="49" fontId="45" fillId="0" borderId="0" xfId="46" applyNumberFormat="1" applyFont="1" applyFill="1" applyBorder="1" applyAlignment="1">
      <alignment vertical="center"/>
    </xf>
    <xf numFmtId="0" fontId="45" fillId="0" borderId="0" xfId="46" applyFont="1" applyFill="1" applyBorder="1" applyAlignment="1">
      <alignment horizontal="center" vertical="center"/>
    </xf>
    <xf numFmtId="14" fontId="45" fillId="0" borderId="0" xfId="46" applyNumberFormat="1" applyFont="1" applyFill="1" applyBorder="1" applyAlignment="1">
      <alignment vertical="center"/>
    </xf>
    <xf numFmtId="0" fontId="49" fillId="0" borderId="0" xfId="46" applyFont="1" applyFill="1" applyBorder="1" applyAlignment="1">
      <alignment horizontal="center" vertical="center"/>
    </xf>
    <xf numFmtId="0" fontId="49" fillId="0" borderId="0" xfId="46" applyFont="1" applyFill="1" applyBorder="1" applyAlignment="1">
      <alignment vertical="center"/>
    </xf>
    <xf numFmtId="14" fontId="49" fillId="0" borderId="0" xfId="46" applyNumberFormat="1" applyFont="1" applyFill="1" applyBorder="1" applyAlignment="1">
      <alignment vertical="center"/>
    </xf>
    <xf numFmtId="0" fontId="50" fillId="0" borderId="0" xfId="46" quotePrefix="1" applyFont="1" applyFill="1" applyBorder="1" applyAlignment="1">
      <alignment horizontal="left" vertical="center"/>
    </xf>
    <xf numFmtId="0" fontId="50" fillId="0" borderId="0" xfId="46" applyFont="1" applyFill="1" applyBorder="1" applyAlignment="1">
      <alignment vertical="center"/>
    </xf>
    <xf numFmtId="0" fontId="51" fillId="0" borderId="0" xfId="46" applyFont="1" applyFill="1" applyBorder="1" applyAlignment="1">
      <alignment vertical="center"/>
    </xf>
    <xf numFmtId="49" fontId="50" fillId="0" borderId="0" xfId="46" applyNumberFormat="1" applyFont="1" applyFill="1" applyBorder="1" applyAlignment="1">
      <alignment vertical="center"/>
    </xf>
    <xf numFmtId="0" fontId="50" fillId="0" borderId="0" xfId="46" applyNumberFormat="1" applyFont="1" applyFill="1" applyBorder="1" applyAlignment="1">
      <alignment vertical="center"/>
    </xf>
    <xf numFmtId="0" fontId="52" fillId="0" borderId="0" xfId="46" applyFont="1" applyFill="1" applyBorder="1" applyAlignment="1">
      <alignment vertical="center"/>
    </xf>
    <xf numFmtId="49" fontId="52" fillId="0" borderId="0" xfId="46" applyNumberFormat="1" applyFont="1" applyFill="1" applyBorder="1" applyAlignment="1">
      <alignment vertical="center"/>
    </xf>
    <xf numFmtId="0" fontId="52" fillId="0" borderId="0" xfId="46" applyFont="1" applyFill="1" applyBorder="1" applyAlignment="1">
      <alignment horizontal="center" vertical="center"/>
    </xf>
    <xf numFmtId="14" fontId="52" fillId="0" borderId="0" xfId="46" applyNumberFormat="1" applyFont="1" applyFill="1" applyBorder="1" applyAlignment="1">
      <alignment vertical="center"/>
    </xf>
    <xf numFmtId="0" fontId="50" fillId="0" borderId="0" xfId="46" applyFont="1" applyFill="1" applyBorder="1" applyAlignment="1">
      <alignment horizontal="left" vertical="center"/>
    </xf>
    <xf numFmtId="0" fontId="18" fillId="0" borderId="0" xfId="46" applyFont="1" applyFill="1" applyBorder="1" applyAlignment="1">
      <alignment horizontal="left" vertical="center"/>
    </xf>
    <xf numFmtId="0" fontId="48" fillId="0" borderId="0" xfId="46" applyFont="1" applyFill="1" applyBorder="1" applyAlignment="1">
      <alignment vertical="center"/>
    </xf>
    <xf numFmtId="172" fontId="18" fillId="0" borderId="0" xfId="47" applyNumberFormat="1" applyFont="1" applyFill="1" applyBorder="1" applyAlignment="1">
      <alignment vertical="center"/>
    </xf>
    <xf numFmtId="172" fontId="29" fillId="0" borderId="0" xfId="47" applyNumberFormat="1" applyFont="1" applyFill="1" applyBorder="1" applyAlignment="1">
      <alignment vertical="center"/>
    </xf>
    <xf numFmtId="49" fontId="49" fillId="0" borderId="0" xfId="46" applyNumberFormat="1" applyFont="1" applyFill="1" applyBorder="1" applyAlignment="1">
      <alignment vertical="center"/>
    </xf>
    <xf numFmtId="0" fontId="49" fillId="0" borderId="0" xfId="46" applyNumberFormat="1" applyFont="1" applyFill="1" applyBorder="1" applyAlignment="1">
      <alignment vertical="center"/>
    </xf>
    <xf numFmtId="174" fontId="29" fillId="0" borderId="0" xfId="47" applyNumberFormat="1" applyFont="1" applyFill="1" applyBorder="1" applyAlignment="1">
      <alignment vertical="center"/>
    </xf>
    <xf numFmtId="0" fontId="11" fillId="0" borderId="2" xfId="46" applyFont="1" applyFill="1" applyBorder="1" applyAlignment="1">
      <alignment horizontal="center" vertical="center"/>
    </xf>
    <xf numFmtId="0" fontId="11" fillId="0" borderId="3" xfId="46" applyFont="1" applyFill="1" applyBorder="1" applyAlignment="1">
      <alignment horizontal="center" vertical="center"/>
    </xf>
    <xf numFmtId="0" fontId="53" fillId="0" borderId="3" xfId="46" applyFont="1" applyFill="1" applyBorder="1" applyAlignment="1">
      <alignment horizontal="center" vertical="center"/>
    </xf>
    <xf numFmtId="0" fontId="54" fillId="0" borderId="3" xfId="6" applyFont="1" applyFill="1" applyBorder="1" applyAlignment="1">
      <alignment vertical="center" wrapText="1"/>
    </xf>
    <xf numFmtId="49" fontId="11" fillId="0" borderId="3" xfId="46" applyNumberFormat="1" applyFont="1" applyFill="1" applyBorder="1" applyAlignment="1">
      <alignment horizontal="center" vertical="center"/>
    </xf>
    <xf numFmtId="0" fontId="11" fillId="0" borderId="3" xfId="46" applyNumberFormat="1" applyFont="1" applyFill="1" applyBorder="1" applyAlignment="1">
      <alignment horizontal="center" vertical="center"/>
    </xf>
    <xf numFmtId="0" fontId="11" fillId="0" borderId="3" xfId="46" applyFont="1" applyFill="1" applyBorder="1" applyAlignment="1">
      <alignment horizontal="center" vertical="center" wrapText="1"/>
    </xf>
    <xf numFmtId="0" fontId="11" fillId="7" borderId="3" xfId="46" applyFont="1" applyFill="1" applyBorder="1" applyAlignment="1">
      <alignment horizontal="center" vertical="center"/>
    </xf>
    <xf numFmtId="0" fontId="11" fillId="6" borderId="3" xfId="46" applyFont="1" applyFill="1" applyBorder="1" applyAlignment="1">
      <alignment horizontal="center" vertical="center"/>
    </xf>
    <xf numFmtId="49" fontId="11" fillId="0" borderId="3" xfId="46" applyNumberFormat="1" applyFont="1" applyFill="1" applyBorder="1" applyAlignment="1">
      <alignment horizontal="center" vertical="center" wrapText="1"/>
    </xf>
    <xf numFmtId="172" fontId="11" fillId="0" borderId="3" xfId="47" applyNumberFormat="1" applyFont="1" applyFill="1" applyBorder="1" applyAlignment="1">
      <alignment horizontal="center" vertical="center" wrapText="1"/>
    </xf>
    <xf numFmtId="0" fontId="11" fillId="0" borderId="10" xfId="46" applyFont="1" applyFill="1" applyBorder="1" applyAlignment="1">
      <alignment horizontal="center" vertical="center"/>
    </xf>
    <xf numFmtId="0" fontId="55" fillId="0" borderId="4" xfId="46" applyFont="1" applyFill="1" applyBorder="1" applyAlignment="1">
      <alignment horizontal="center" vertical="center"/>
    </xf>
    <xf numFmtId="0" fontId="55" fillId="0" borderId="1" xfId="46" applyFont="1" applyFill="1" applyBorder="1" applyAlignment="1">
      <alignment horizontal="center" vertical="center"/>
    </xf>
    <xf numFmtId="0" fontId="56" fillId="0" borderId="1" xfId="46" applyFont="1" applyFill="1" applyBorder="1" applyAlignment="1">
      <alignment horizontal="center" vertical="center"/>
    </xf>
    <xf numFmtId="49" fontId="55" fillId="0" borderId="1" xfId="46" applyNumberFormat="1" applyFont="1" applyFill="1" applyBorder="1" applyAlignment="1">
      <alignment horizontal="center" vertical="center"/>
    </xf>
    <xf numFmtId="0" fontId="55" fillId="0" borderId="1" xfId="46" applyNumberFormat="1" applyFont="1" applyFill="1" applyBorder="1" applyAlignment="1">
      <alignment horizontal="center" vertical="center"/>
    </xf>
    <xf numFmtId="0" fontId="55" fillId="0" borderId="1" xfId="46" applyFont="1" applyFill="1" applyBorder="1" applyAlignment="1">
      <alignment horizontal="center" vertical="center" wrapText="1"/>
    </xf>
    <xf numFmtId="0" fontId="55" fillId="7" borderId="1" xfId="46" applyFont="1" applyFill="1" applyBorder="1" applyAlignment="1">
      <alignment horizontal="center" vertical="center"/>
    </xf>
    <xf numFmtId="0" fontId="55" fillId="6" borderId="1" xfId="46" applyFont="1" applyFill="1" applyBorder="1" applyAlignment="1">
      <alignment horizontal="center" vertical="center"/>
    </xf>
    <xf numFmtId="172" fontId="55" fillId="0" borderId="1" xfId="47" applyNumberFormat="1" applyFont="1" applyFill="1" applyBorder="1" applyAlignment="1">
      <alignment horizontal="center" vertical="center"/>
    </xf>
    <xf numFmtId="0" fontId="55" fillId="0" borderId="5" xfId="46" applyFont="1" applyFill="1" applyBorder="1" applyAlignment="1">
      <alignment vertical="center"/>
    </xf>
    <xf numFmtId="0" fontId="57" fillId="0" borderId="0" xfId="46" applyFont="1" applyFill="1" applyBorder="1" applyAlignment="1">
      <alignment vertical="center"/>
    </xf>
    <xf numFmtId="0" fontId="29" fillId="0" borderId="4" xfId="46" applyNumberFormat="1" applyFont="1" applyFill="1" applyBorder="1" applyAlignment="1">
      <alignment horizontal="center" vertical="center"/>
    </xf>
    <xf numFmtId="0" fontId="8" fillId="0" borderId="1" xfId="18" applyFont="1" applyFill="1" applyBorder="1"/>
    <xf numFmtId="0" fontId="29" fillId="0" borderId="1" xfId="18" applyFont="1" applyFill="1" applyBorder="1" applyAlignment="1">
      <alignment horizontal="left" vertical="center" wrapText="1"/>
    </xf>
    <xf numFmtId="49" fontId="29" fillId="0" borderId="1" xfId="18" quotePrefix="1" applyNumberFormat="1" applyFont="1" applyFill="1" applyBorder="1"/>
    <xf numFmtId="0" fontId="8" fillId="0" borderId="1" xfId="18" applyFont="1" applyFill="1" applyBorder="1" applyAlignment="1">
      <alignment horizontal="center" vertical="center"/>
    </xf>
    <xf numFmtId="14" fontId="29" fillId="0" borderId="1" xfId="46" applyNumberFormat="1" applyFont="1" applyFill="1" applyBorder="1" applyAlignment="1">
      <alignment horizontal="center" vertical="center"/>
    </xf>
    <xf numFmtId="0" fontId="29" fillId="0" borderId="1" xfId="46" applyNumberFormat="1" applyFont="1" applyFill="1" applyBorder="1" applyAlignment="1">
      <alignment horizontal="center" vertical="center"/>
    </xf>
    <xf numFmtId="0" fontId="29" fillId="7" borderId="1" xfId="46" applyFont="1" applyFill="1" applyBorder="1" applyAlignment="1">
      <alignment horizontal="center" vertical="center"/>
    </xf>
    <xf numFmtId="0" fontId="29" fillId="6" borderId="1" xfId="46" applyFont="1" applyFill="1" applyBorder="1" applyAlignment="1">
      <alignment horizontal="center" vertical="center"/>
    </xf>
    <xf numFmtId="49" fontId="8" fillId="0" borderId="1" xfId="18" applyNumberFormat="1" applyFont="1" applyFill="1" applyBorder="1" applyAlignment="1">
      <alignment horizontal="right" vertical="center"/>
    </xf>
    <xf numFmtId="0" fontId="29" fillId="0" borderId="1" xfId="46" applyFont="1" applyFill="1" applyBorder="1" applyAlignment="1">
      <alignment horizontal="center" vertical="center"/>
    </xf>
    <xf numFmtId="172" fontId="29" fillId="0" borderId="1" xfId="47" applyNumberFormat="1" applyFont="1" applyFill="1" applyBorder="1" applyAlignment="1">
      <alignment horizontal="center" vertical="center"/>
    </xf>
    <xf numFmtId="0" fontId="29" fillId="0" borderId="5" xfId="46" applyFont="1" applyFill="1" applyBorder="1" applyAlignment="1">
      <alignment vertical="center"/>
    </xf>
    <xf numFmtId="49" fontId="8" fillId="0" borderId="1" xfId="18" quotePrefix="1" applyNumberFormat="1" applyFont="1" applyFill="1" applyBorder="1" applyAlignment="1">
      <alignment horizontal="center" vertical="center"/>
    </xf>
    <xf numFmtId="0" fontId="29" fillId="0" borderId="1" xfId="18" quotePrefix="1" applyNumberFormat="1" applyFont="1" applyFill="1" applyBorder="1"/>
    <xf numFmtId="0" fontId="58" fillId="0" borderId="1" xfId="46" applyFont="1" applyFill="1" applyBorder="1"/>
    <xf numFmtId="0" fontId="35" fillId="0" borderId="1" xfId="46" applyFont="1" applyFill="1" applyBorder="1" applyAlignment="1">
      <alignment horizontal="left" vertical="center" wrapText="1"/>
    </xf>
    <xf numFmtId="49" fontId="35" fillId="0" borderId="1" xfId="46" quotePrefix="1" applyNumberFormat="1" applyFont="1" applyFill="1" applyBorder="1" applyAlignment="1">
      <alignment horizontal="left" vertical="center" wrapText="1"/>
    </xf>
    <xf numFmtId="0" fontId="9" fillId="0" borderId="1" xfId="46" applyFont="1" applyFill="1" applyBorder="1"/>
    <xf numFmtId="0" fontId="15" fillId="6" borderId="1" xfId="18" applyFont="1" applyFill="1" applyBorder="1"/>
    <xf numFmtId="49" fontId="29" fillId="0" borderId="1" xfId="46" applyNumberFormat="1" applyFont="1" applyFill="1" applyBorder="1" applyAlignment="1">
      <alignment horizontal="center" vertical="center"/>
    </xf>
    <xf numFmtId="14" fontId="35" fillId="0" borderId="1" xfId="6" applyNumberFormat="1" applyFont="1" applyFill="1" applyBorder="1" applyAlignment="1">
      <alignment horizontal="left" vertical="center" wrapText="1"/>
    </xf>
    <xf numFmtId="0" fontId="35" fillId="0" borderId="1" xfId="6" applyFont="1" applyFill="1" applyBorder="1" applyAlignment="1">
      <alignment horizontal="center" vertical="center" wrapText="1"/>
    </xf>
    <xf numFmtId="0" fontId="9" fillId="6" borderId="1" xfId="18" applyFont="1" applyFill="1" applyBorder="1"/>
    <xf numFmtId="49" fontId="29" fillId="0" borderId="1" xfId="46" quotePrefix="1" applyNumberFormat="1" applyFont="1" applyFill="1" applyBorder="1" applyAlignment="1">
      <alignment horizontal="center" vertical="center"/>
    </xf>
    <xf numFmtId="49" fontId="35" fillId="0" borderId="1" xfId="46" applyNumberFormat="1" applyFont="1" applyFill="1" applyBorder="1" applyAlignment="1">
      <alignment horizontal="left" vertical="center" wrapText="1"/>
    </xf>
    <xf numFmtId="0" fontId="58" fillId="0" borderId="1" xfId="18" applyFont="1" applyFill="1" applyBorder="1"/>
    <xf numFmtId="0" fontId="8" fillId="0" borderId="1" xfId="18" quotePrefix="1" applyFont="1" applyFill="1" applyBorder="1" applyAlignment="1">
      <alignment horizontal="center" vertical="center"/>
    </xf>
    <xf numFmtId="0" fontId="35" fillId="0" borderId="1" xfId="6" quotePrefix="1" applyFont="1" applyFill="1" applyBorder="1" applyAlignment="1">
      <alignment horizontal="left" vertical="center" wrapText="1"/>
    </xf>
    <xf numFmtId="0" fontId="58" fillId="0" borderId="9" xfId="11" applyFont="1" applyFill="1" applyBorder="1"/>
    <xf numFmtId="0" fontId="3" fillId="0" borderId="9" xfId="11" applyBorder="1"/>
    <xf numFmtId="0" fontId="11" fillId="0" borderId="6" xfId="46" applyFont="1" applyFill="1" applyBorder="1" applyAlignment="1">
      <alignment horizontal="left" vertical="center"/>
    </xf>
    <xf numFmtId="0" fontId="7" fillId="0" borderId="7" xfId="18" applyFont="1" applyFill="1" applyBorder="1"/>
    <xf numFmtId="0" fontId="11" fillId="0" borderId="7" xfId="18" applyFont="1" applyFill="1" applyBorder="1" applyAlignment="1">
      <alignment horizontal="left" vertical="center" wrapText="1"/>
    </xf>
    <xf numFmtId="49" fontId="11" fillId="0" borderId="7" xfId="46" applyNumberFormat="1" applyFont="1" applyFill="1" applyBorder="1" applyAlignment="1">
      <alignment horizontal="center" vertical="center"/>
    </xf>
    <xf numFmtId="49" fontId="11" fillId="0" borderId="7" xfId="18" quotePrefix="1" applyNumberFormat="1" applyFont="1" applyFill="1" applyBorder="1"/>
    <xf numFmtId="0" fontId="11" fillId="0" borderId="7" xfId="18" quotePrefix="1" applyNumberFormat="1" applyFont="1" applyFill="1" applyBorder="1"/>
    <xf numFmtId="0" fontId="7" fillId="0" borderId="7" xfId="18" applyFont="1" applyFill="1" applyBorder="1" applyAlignment="1">
      <alignment horizontal="center" vertical="center"/>
    </xf>
    <xf numFmtId="14" fontId="11" fillId="0" borderId="7" xfId="46" applyNumberFormat="1" applyFont="1" applyFill="1" applyBorder="1" applyAlignment="1">
      <alignment horizontal="center" vertical="center"/>
    </xf>
    <xf numFmtId="0" fontId="11" fillId="0" borderId="7" xfId="46" applyFont="1" applyFill="1" applyBorder="1" applyAlignment="1">
      <alignment horizontal="center" vertical="center"/>
    </xf>
    <xf numFmtId="0" fontId="11" fillId="0" borderId="7" xfId="46" applyFont="1" applyFill="1" applyBorder="1" applyAlignment="1">
      <alignment vertical="center"/>
    </xf>
    <xf numFmtId="49" fontId="7" fillId="0" borderId="7" xfId="18" applyNumberFormat="1" applyFont="1" applyFill="1" applyBorder="1" applyAlignment="1">
      <alignment horizontal="right" vertical="center"/>
    </xf>
    <xf numFmtId="14" fontId="29" fillId="0" borderId="7" xfId="46" applyNumberFormat="1" applyFont="1" applyFill="1" applyBorder="1" applyAlignment="1">
      <alignment horizontal="center" vertical="center"/>
    </xf>
    <xf numFmtId="0" fontId="11" fillId="0" borderId="8" xfId="46" applyFont="1" applyFill="1" applyBorder="1" applyAlignment="1">
      <alignment vertical="center"/>
    </xf>
    <xf numFmtId="0" fontId="45" fillId="0" borderId="0" xfId="46" applyFont="1" applyFill="1" applyBorder="1" applyAlignment="1">
      <alignment horizontal="left" vertical="center"/>
    </xf>
    <xf numFmtId="0" fontId="59" fillId="0" borderId="0" xfId="18" applyFont="1" applyFill="1" applyBorder="1"/>
    <xf numFmtId="0" fontId="60" fillId="0" borderId="0" xfId="18" applyFont="1" applyFill="1" applyBorder="1"/>
    <xf numFmtId="0" fontId="45" fillId="0" borderId="0" xfId="18" applyFont="1" applyFill="1" applyBorder="1" applyAlignment="1">
      <alignment horizontal="left" vertical="center" wrapText="1"/>
    </xf>
    <xf numFmtId="49" fontId="45" fillId="0" borderId="0" xfId="18" quotePrefix="1" applyNumberFormat="1" applyFont="1" applyFill="1" applyBorder="1"/>
    <xf numFmtId="0" fontId="45" fillId="0" borderId="0" xfId="18" quotePrefix="1" applyNumberFormat="1" applyFont="1" applyFill="1" applyBorder="1"/>
    <xf numFmtId="0" fontId="59" fillId="0" borderId="0" xfId="18" applyFont="1" applyFill="1" applyBorder="1" applyAlignment="1">
      <alignment horizontal="center" vertical="center"/>
    </xf>
    <xf numFmtId="14" fontId="45" fillId="0" borderId="0" xfId="46" applyNumberFormat="1" applyFont="1" applyFill="1" applyBorder="1" applyAlignment="1">
      <alignment horizontal="center" vertical="center"/>
    </xf>
    <xf numFmtId="0" fontId="52" fillId="0" borderId="0" xfId="46" applyFont="1" applyFill="1" applyBorder="1" applyAlignment="1">
      <alignment horizontal="left" vertical="center"/>
    </xf>
    <xf numFmtId="0" fontId="61" fillId="0" borderId="0" xfId="18" applyFont="1" applyFill="1" applyBorder="1"/>
    <xf numFmtId="0" fontId="62" fillId="0" borderId="0" xfId="18" applyFont="1" applyFill="1" applyBorder="1"/>
    <xf numFmtId="0" fontId="52" fillId="0" borderId="0" xfId="18" applyFont="1" applyFill="1" applyBorder="1" applyAlignment="1">
      <alignment horizontal="left" vertical="center" wrapText="1"/>
    </xf>
    <xf numFmtId="49" fontId="52" fillId="0" borderId="0" xfId="46" applyNumberFormat="1" applyFont="1" applyFill="1" applyBorder="1" applyAlignment="1">
      <alignment horizontal="center" vertical="center"/>
    </xf>
    <xf numFmtId="49" fontId="52" fillId="0" borderId="0" xfId="18" quotePrefix="1" applyNumberFormat="1" applyFont="1" applyFill="1" applyBorder="1"/>
    <xf numFmtId="0" fontId="52" fillId="0" borderId="0" xfId="18" quotePrefix="1" applyNumberFormat="1" applyFont="1" applyFill="1" applyBorder="1"/>
    <xf numFmtId="0" fontId="61" fillId="0" borderId="0" xfId="18" applyFont="1" applyFill="1" applyBorder="1" applyAlignment="1">
      <alignment horizontal="center" vertical="center"/>
    </xf>
    <xf numFmtId="14" fontId="52" fillId="0" borderId="0" xfId="46" applyNumberFormat="1" applyFont="1" applyFill="1" applyBorder="1" applyAlignment="1">
      <alignment horizontal="center" vertical="center"/>
    </xf>
    <xf numFmtId="0" fontId="29" fillId="0" borderId="0" xfId="46" applyFont="1" applyFill="1" applyBorder="1" applyAlignment="1">
      <alignment horizontal="center" vertical="center"/>
    </xf>
    <xf numFmtId="0" fontId="8" fillId="0" borderId="0" xfId="18" applyFont="1" applyFill="1" applyBorder="1"/>
    <xf numFmtId="0" fontId="15" fillId="0" borderId="0" xfId="18" applyFont="1" applyFill="1" applyBorder="1"/>
    <xf numFmtId="0" fontId="29" fillId="0" borderId="0" xfId="18" applyFont="1" applyFill="1" applyBorder="1" applyAlignment="1">
      <alignment horizontal="left" vertical="center" wrapText="1"/>
    </xf>
    <xf numFmtId="49" fontId="29" fillId="0" borderId="0" xfId="46" applyNumberFormat="1" applyFont="1" applyFill="1" applyBorder="1" applyAlignment="1">
      <alignment horizontal="center" vertical="center"/>
    </xf>
    <xf numFmtId="49" fontId="29" fillId="0" borderId="0" xfId="18" quotePrefix="1" applyNumberFormat="1" applyFont="1" applyFill="1" applyBorder="1"/>
    <xf numFmtId="0" fontId="29" fillId="0" borderId="0" xfId="18" quotePrefix="1" applyNumberFormat="1" applyFont="1" applyFill="1" applyBorder="1"/>
    <xf numFmtId="0" fontId="8" fillId="0" borderId="0" xfId="18" applyFont="1" applyFill="1" applyBorder="1" applyAlignment="1">
      <alignment horizontal="center" vertical="center"/>
    </xf>
    <xf numFmtId="14" fontId="29" fillId="0" borderId="0" xfId="46" applyNumberFormat="1" applyFont="1" applyFill="1" applyBorder="1" applyAlignment="1">
      <alignment horizontal="center" vertical="center"/>
    </xf>
    <xf numFmtId="0" fontId="29" fillId="0" borderId="0" xfId="46" applyFont="1" applyFill="1" applyBorder="1" applyAlignment="1">
      <alignment vertical="center"/>
    </xf>
    <xf numFmtId="0" fontId="29" fillId="0" borderId="0" xfId="46" applyFont="1" applyFill="1" applyBorder="1" applyAlignment="1">
      <alignment horizontal="left" vertical="center"/>
    </xf>
    <xf numFmtId="0" fontId="53" fillId="0" borderId="0" xfId="6" applyFont="1" applyFill="1" applyBorder="1" applyAlignment="1">
      <alignment horizontal="left" vertical="center" wrapText="1"/>
    </xf>
    <xf numFmtId="0" fontId="29" fillId="0" borderId="0" xfId="6" applyFont="1" applyFill="1" applyBorder="1" applyAlignment="1">
      <alignment horizontal="left" vertical="center" wrapText="1"/>
    </xf>
    <xf numFmtId="0" fontId="58" fillId="0" borderId="0" xfId="18" applyFont="1" applyFill="1" applyBorder="1"/>
    <xf numFmtId="0" fontId="53" fillId="0" borderId="0" xfId="18" applyFont="1" applyFill="1" applyBorder="1" applyAlignment="1">
      <alignment horizontal="left" vertical="center" wrapText="1"/>
    </xf>
    <xf numFmtId="0" fontId="35" fillId="0" borderId="0" xfId="18" applyFont="1" applyFill="1" applyBorder="1" applyAlignment="1">
      <alignment horizontal="left" vertical="center" wrapText="1"/>
    </xf>
    <xf numFmtId="0" fontId="63" fillId="0" borderId="0" xfId="18" applyFont="1" applyFill="1" applyBorder="1" applyAlignment="1">
      <alignment horizontal="left" vertical="center" wrapText="1"/>
    </xf>
    <xf numFmtId="49" fontId="63" fillId="0" borderId="0" xfId="18" applyNumberFormat="1" applyFont="1" applyFill="1" applyBorder="1" applyAlignment="1">
      <alignment horizontal="center" vertical="center" wrapText="1"/>
    </xf>
    <xf numFmtId="49" fontId="63" fillId="0" borderId="0" xfId="18" applyNumberFormat="1" applyFont="1" applyFill="1" applyBorder="1" applyAlignment="1">
      <alignment horizontal="left" vertical="center" wrapText="1"/>
    </xf>
    <xf numFmtId="0" fontId="63" fillId="0" borderId="0" xfId="18" applyNumberFormat="1" applyFont="1" applyFill="1" applyBorder="1" applyAlignment="1">
      <alignment horizontal="left" vertical="center" wrapText="1"/>
    </xf>
    <xf numFmtId="0" fontId="9" fillId="0" borderId="0" xfId="18" applyFont="1" applyFill="1" applyBorder="1"/>
    <xf numFmtId="0" fontId="53" fillId="0" borderId="0" xfId="18" applyFont="1" applyFill="1" applyBorder="1"/>
    <xf numFmtId="0" fontId="29" fillId="0" borderId="0" xfId="18" applyFont="1" applyFill="1" applyBorder="1"/>
    <xf numFmtId="49" fontId="64" fillId="0" borderId="0" xfId="18" quotePrefix="1" applyNumberFormat="1" applyFont="1" applyFill="1" applyBorder="1"/>
    <xf numFmtId="0" fontId="64" fillId="0" borderId="0" xfId="18" quotePrefix="1" applyNumberFormat="1" applyFont="1" applyFill="1" applyBorder="1"/>
    <xf numFmtId="49" fontId="46" fillId="0" borderId="0" xfId="46" applyNumberFormat="1" applyFont="1" applyFill="1" applyBorder="1" applyAlignment="1">
      <alignment horizontal="center" vertical="center"/>
    </xf>
    <xf numFmtId="49" fontId="18" fillId="0" borderId="0" xfId="46" applyNumberFormat="1" applyFont="1" applyFill="1" applyBorder="1" applyAlignment="1">
      <alignment horizontal="center" vertical="center"/>
    </xf>
    <xf numFmtId="0" fontId="18" fillId="0" borderId="0" xfId="46" applyNumberFormat="1" applyFont="1" applyFill="1" applyBorder="1" applyAlignment="1">
      <alignment horizontal="center" vertical="center"/>
    </xf>
    <xf numFmtId="49" fontId="18" fillId="0" borderId="0" xfId="46" applyNumberFormat="1" applyFont="1" applyFill="1" applyBorder="1" applyAlignment="1">
      <alignment vertical="center"/>
    </xf>
    <xf numFmtId="14" fontId="18" fillId="0" borderId="0" xfId="46" applyNumberFormat="1" applyFont="1" applyFill="1" applyBorder="1" applyAlignment="1">
      <alignment vertical="center"/>
    </xf>
    <xf numFmtId="0" fontId="8" fillId="0" borderId="0" xfId="0" applyNumberFormat="1" applyFont="1"/>
    <xf numFmtId="0" fontId="8" fillId="0" borderId="7" xfId="0" applyFont="1" applyFill="1" applyBorder="1"/>
    <xf numFmtId="175" fontId="26" fillId="3" borderId="1" xfId="7" applyNumberFormat="1" applyFont="1" applyFill="1" applyBorder="1"/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9" fontId="7" fillId="3" borderId="3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8" fillId="0" borderId="1" xfId="11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1" xfId="0" quotePrefix="1" applyNumberFormat="1" applyFont="1" applyFill="1" applyBorder="1" applyAlignment="1">
      <alignment horizontal="left" vertical="center"/>
    </xf>
    <xf numFmtId="49" fontId="8" fillId="0" borderId="0" xfId="0" quotePrefix="1" applyNumberFormat="1" applyFont="1"/>
    <xf numFmtId="49" fontId="8" fillId="0" borderId="0" xfId="0" applyNumberFormat="1" applyFont="1"/>
    <xf numFmtId="49" fontId="9" fillId="0" borderId="1" xfId="11" applyNumberFormat="1" applyFont="1" applyFill="1" applyBorder="1" applyAlignment="1">
      <alignment horizontal="left"/>
    </xf>
    <xf numFmtId="49" fontId="8" fillId="0" borderId="0" xfId="0" applyNumberFormat="1" applyFont="1" applyAlignment="1">
      <alignment horizontal="left"/>
    </xf>
    <xf numFmtId="49" fontId="8" fillId="0" borderId="1" xfId="0" quotePrefix="1" applyNumberFormat="1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0" fontId="8" fillId="7" borderId="1" xfId="0" applyFont="1" applyFill="1" applyBorder="1"/>
    <xf numFmtId="0" fontId="29" fillId="6" borderId="1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centerContinuous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169" fontId="8" fillId="0" borderId="1" xfId="25" applyNumberFormat="1" applyFont="1" applyBorder="1"/>
    <xf numFmtId="0" fontId="8" fillId="0" borderId="13" xfId="0" applyFont="1" applyBorder="1" applyAlignment="1">
      <alignment horizontal="left"/>
    </xf>
    <xf numFmtId="0" fontId="8" fillId="0" borderId="5" xfId="11" applyFont="1" applyFill="1" applyBorder="1"/>
    <xf numFmtId="0" fontId="10" fillId="6" borderId="9" xfId="0" applyFont="1" applyFill="1" applyBorder="1"/>
    <xf numFmtId="0" fontId="8" fillId="0" borderId="1" xfId="0" applyFont="1" applyBorder="1"/>
    <xf numFmtId="0" fontId="8" fillId="7" borderId="1" xfId="0" applyFont="1" applyFill="1" applyBorder="1" applyAlignment="1">
      <alignment horizontal="left"/>
    </xf>
    <xf numFmtId="0" fontId="8" fillId="7" borderId="5" xfId="11" applyFont="1" applyFill="1" applyBorder="1"/>
    <xf numFmtId="0" fontId="16" fillId="7" borderId="1" xfId="0" applyFont="1" applyFill="1" applyBorder="1"/>
    <xf numFmtId="0" fontId="16" fillId="7" borderId="5" xfId="0" applyFont="1" applyFill="1" applyBorder="1"/>
    <xf numFmtId="0" fontId="16" fillId="0" borderId="1" xfId="0" applyFont="1" applyBorder="1"/>
    <xf numFmtId="0" fontId="16" fillId="0" borderId="5" xfId="0" applyFont="1" applyBorder="1"/>
    <xf numFmtId="0" fontId="8" fillId="10" borderId="1" xfId="11" applyFont="1" applyFill="1" applyBorder="1"/>
    <xf numFmtId="0" fontId="8" fillId="10" borderId="5" xfId="11" applyFont="1" applyFill="1" applyBorder="1"/>
    <xf numFmtId="0" fontId="10" fillId="0" borderId="9" xfId="11" applyFont="1" applyFill="1" applyBorder="1" applyAlignment="1">
      <alignment horizontal="left"/>
    </xf>
    <xf numFmtId="0" fontId="10" fillId="6" borderId="9" xfId="0" applyFont="1" applyFill="1" applyBorder="1" applyAlignment="1">
      <alignment horizontal="left"/>
    </xf>
    <xf numFmtId="169" fontId="8" fillId="0" borderId="36" xfId="25" applyNumberFormat="1" applyFont="1" applyBorder="1"/>
    <xf numFmtId="0" fontId="8" fillId="0" borderId="53" xfId="0" applyFont="1" applyBorder="1" applyAlignment="1">
      <alignment horizontal="left"/>
    </xf>
    <xf numFmtId="0" fontId="8" fillId="0" borderId="54" xfId="11" applyFont="1" applyFill="1" applyBorder="1"/>
    <xf numFmtId="0" fontId="10" fillId="0" borderId="9" xfId="0" applyFont="1" applyBorder="1" applyAlignment="1">
      <alignment horizontal="left"/>
    </xf>
    <xf numFmtId="49" fontId="10" fillId="6" borderId="9" xfId="0" applyNumberFormat="1" applyFont="1" applyFill="1" applyBorder="1" applyAlignment="1">
      <alignment horizontal="left"/>
    </xf>
    <xf numFmtId="0" fontId="8" fillId="0" borderId="36" xfId="0" applyFont="1" applyBorder="1"/>
    <xf numFmtId="0" fontId="10" fillId="6" borderId="9" xfId="21" applyFont="1" applyFill="1" applyBorder="1" applyAlignment="1">
      <alignment horizontal="left" vertical="center"/>
    </xf>
    <xf numFmtId="0" fontId="26" fillId="0" borderId="9" xfId="11" applyFont="1" applyFill="1" applyBorder="1"/>
    <xf numFmtId="0" fontId="10" fillId="0" borderId="9" xfId="0" applyFont="1" applyFill="1" applyBorder="1"/>
    <xf numFmtId="0" fontId="18" fillId="0" borderId="9" xfId="0" applyFont="1" applyFill="1" applyBorder="1" applyAlignment="1">
      <alignment horizontal="left" vertical="center"/>
    </xf>
    <xf numFmtId="0" fontId="8" fillId="0" borderId="36" xfId="11" applyFont="1" applyFill="1" applyBorder="1"/>
    <xf numFmtId="0" fontId="8" fillId="0" borderId="36" xfId="0" applyFont="1" applyBorder="1" applyAlignment="1">
      <alignment horizontal="left"/>
    </xf>
    <xf numFmtId="0" fontId="8" fillId="3" borderId="7" xfId="0" applyFont="1" applyFill="1" applyBorder="1"/>
    <xf numFmtId="169" fontId="8" fillId="3" borderId="7" xfId="25" applyNumberFormat="1" applyFont="1" applyFill="1" applyBorder="1"/>
    <xf numFmtId="0" fontId="8" fillId="3" borderId="8" xfId="0" applyFont="1" applyFill="1" applyBorder="1"/>
    <xf numFmtId="0" fontId="8" fillId="3" borderId="0" xfId="0" applyFont="1" applyFill="1" applyBorder="1"/>
    <xf numFmtId="169" fontId="8" fillId="3" borderId="0" xfId="25" applyNumberFormat="1" applyFont="1" applyFill="1" applyBorder="1"/>
    <xf numFmtId="0" fontId="8" fillId="3" borderId="37" xfId="0" applyFont="1" applyFill="1" applyBorder="1"/>
    <xf numFmtId="169" fontId="8" fillId="0" borderId="0" xfId="25" applyNumberFormat="1" applyFont="1" applyFill="1" applyBorder="1"/>
    <xf numFmtId="0" fontId="8" fillId="0" borderId="37" xfId="0" applyFont="1" applyFill="1" applyBorder="1" applyAlignment="1">
      <alignment horizontal="center"/>
    </xf>
    <xf numFmtId="171" fontId="8" fillId="0" borderId="0" xfId="0" applyNumberFormat="1" applyFont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/>
    <xf numFmtId="0" fontId="0" fillId="0" borderId="0" xfId="0" applyAlignment="1">
      <alignment horizontal="right"/>
    </xf>
    <xf numFmtId="169" fontId="0" fillId="0" borderId="0" xfId="25" applyNumberFormat="1" applyFont="1" applyAlignment="1"/>
    <xf numFmtId="0" fontId="0" fillId="0" borderId="0" xfId="0" applyAlignment="1">
      <alignment horizontal="center"/>
    </xf>
    <xf numFmtId="0" fontId="1" fillId="0" borderId="1" xfId="0" applyFont="1" applyFill="1" applyBorder="1"/>
    <xf numFmtId="0" fontId="1" fillId="0" borderId="0" xfId="0" applyFont="1" applyFill="1"/>
    <xf numFmtId="0" fontId="1" fillId="0" borderId="5" xfId="0" applyFont="1" applyFill="1" applyBorder="1"/>
    <xf numFmtId="0" fontId="36" fillId="0" borderId="0" xfId="0" applyFont="1"/>
    <xf numFmtId="169" fontId="0" fillId="0" borderId="0" xfId="0" applyNumberFormat="1"/>
    <xf numFmtId="169" fontId="7" fillId="0" borderId="0" xfId="0" applyNumberFormat="1" applyFont="1"/>
    <xf numFmtId="0" fontId="8" fillId="0" borderId="0" xfId="0" applyFont="1" applyAlignment="1">
      <alignment horizontal="centerContinuous"/>
    </xf>
    <xf numFmtId="0" fontId="0" fillId="0" borderId="3" xfId="0" applyFont="1" applyFill="1" applyBorder="1"/>
    <xf numFmtId="0" fontId="0" fillId="0" borderId="10" xfId="0" applyFont="1" applyFill="1" applyBorder="1"/>
    <xf numFmtId="169" fontId="5" fillId="0" borderId="1" xfId="25" applyNumberFormat="1" applyFont="1" applyFill="1" applyBorder="1"/>
    <xf numFmtId="0" fontId="0" fillId="0" borderId="5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6" fillId="0" borderId="1" xfId="0" applyFont="1" applyFill="1" applyBorder="1"/>
    <xf numFmtId="169" fontId="1" fillId="0" borderId="5" xfId="25" applyNumberFormat="1" applyFont="1" applyFill="1" applyBorder="1"/>
    <xf numFmtId="169" fontId="1" fillId="0" borderId="1" xfId="25" applyNumberFormat="1" applyFont="1" applyFill="1" applyBorder="1"/>
    <xf numFmtId="0" fontId="36" fillId="0" borderId="6" xfId="0" applyFont="1" applyFill="1" applyBorder="1"/>
    <xf numFmtId="0" fontId="36" fillId="0" borderId="7" xfId="0" applyFont="1" applyFill="1" applyBorder="1"/>
    <xf numFmtId="0" fontId="36" fillId="0" borderId="7" xfId="0" applyFont="1" applyFill="1" applyBorder="1" applyAlignment="1">
      <alignment horizontal="right"/>
    </xf>
    <xf numFmtId="169" fontId="36" fillId="0" borderId="7" xfId="25" applyNumberFormat="1" applyFont="1" applyFill="1" applyBorder="1"/>
    <xf numFmtId="0" fontId="36" fillId="0" borderId="8" xfId="0" applyFont="1" applyFill="1" applyBorder="1"/>
    <xf numFmtId="0" fontId="0" fillId="0" borderId="0" xfId="0" applyFont="1" applyFill="1"/>
    <xf numFmtId="0" fontId="65" fillId="0" borderId="0" xfId="0" applyFont="1" applyFill="1"/>
    <xf numFmtId="169" fontId="1" fillId="0" borderId="0" xfId="0" applyNumberFormat="1" applyFont="1" applyFill="1"/>
    <xf numFmtId="0" fontId="36" fillId="0" borderId="0" xfId="0" applyFont="1" applyFill="1"/>
    <xf numFmtId="49" fontId="7" fillId="0" borderId="55" xfId="9" applyNumberFormat="1" applyFont="1" applyBorder="1" applyAlignment="1">
      <alignment horizontal="left"/>
    </xf>
    <xf numFmtId="49" fontId="7" fillId="0" borderId="56" xfId="9" applyNumberFormat="1" applyFont="1" applyBorder="1" applyAlignment="1">
      <alignment horizontal="left"/>
    </xf>
    <xf numFmtId="169" fontId="7" fillId="0" borderId="53" xfId="12" applyNumberFormat="1" applyFont="1" applyBorder="1" applyAlignment="1">
      <alignment horizontal="left"/>
    </xf>
    <xf numFmtId="49" fontId="8" fillId="0" borderId="38" xfId="9" applyNumberFormat="1" applyFont="1" applyBorder="1"/>
    <xf numFmtId="169" fontId="7" fillId="0" borderId="35" xfId="12" applyNumberFormat="1" applyFont="1" applyBorder="1" applyAlignment="1">
      <alignment vertical="center"/>
    </xf>
    <xf numFmtId="49" fontId="7" fillId="0" borderId="57" xfId="9" applyNumberFormat="1" applyFont="1" applyBorder="1" applyAlignment="1">
      <alignment horizontal="left"/>
    </xf>
    <xf numFmtId="49" fontId="7" fillId="0" borderId="39" xfId="9" applyNumberFormat="1" applyFont="1" applyBorder="1" applyAlignment="1">
      <alignment horizontal="left"/>
    </xf>
    <xf numFmtId="169" fontId="7" fillId="0" borderId="31" xfId="25" applyNumberFormat="1" applyFont="1" applyBorder="1" applyAlignment="1">
      <alignment horizontal="center"/>
    </xf>
    <xf numFmtId="49" fontId="8" fillId="0" borderId="39" xfId="9" applyNumberFormat="1" applyFont="1" applyBorder="1"/>
    <xf numFmtId="169" fontId="7" fillId="0" borderId="58" xfId="12" applyNumberFormat="1" applyFont="1" applyBorder="1" applyAlignment="1">
      <alignment vertical="center"/>
    </xf>
    <xf numFmtId="49" fontId="7" fillId="2" borderId="28" xfId="9" applyNumberFormat="1" applyFont="1" applyFill="1" applyBorder="1" applyAlignment="1">
      <alignment horizontal="left"/>
    </xf>
    <xf numFmtId="49" fontId="7" fillId="2" borderId="29" xfId="9" applyNumberFormat="1" applyFont="1" applyFill="1" applyBorder="1" applyAlignment="1">
      <alignment horizontal="left"/>
    </xf>
    <xf numFmtId="169" fontId="7" fillId="2" borderId="29" xfId="12" applyNumberFormat="1" applyFont="1" applyFill="1" applyBorder="1" applyAlignment="1">
      <alignment horizontal="left"/>
    </xf>
    <xf numFmtId="169" fontId="7" fillId="2" borderId="29" xfId="12" applyNumberFormat="1" applyFont="1" applyFill="1" applyBorder="1"/>
    <xf numFmtId="49" fontId="8" fillId="2" borderId="29" xfId="9" applyNumberFormat="1" applyFont="1" applyFill="1" applyBorder="1"/>
    <xf numFmtId="169" fontId="7" fillId="2" borderId="29" xfId="25" applyNumberFormat="1" applyFont="1" applyFill="1" applyBorder="1"/>
    <xf numFmtId="169" fontId="7" fillId="2" borderId="30" xfId="12" applyNumberFormat="1" applyFont="1" applyFill="1" applyBorder="1" applyAlignment="1">
      <alignment vertical="center"/>
    </xf>
    <xf numFmtId="169" fontId="7" fillId="2" borderId="29" xfId="25" applyNumberFormat="1" applyFont="1" applyFill="1" applyBorder="1" applyAlignment="1">
      <alignment horizontal="center"/>
    </xf>
    <xf numFmtId="172" fontId="1" fillId="0" borderId="1" xfId="7" applyNumberFormat="1" applyFont="1" applyFill="1" applyBorder="1"/>
    <xf numFmtId="172" fontId="36" fillId="0" borderId="7" xfId="7" applyNumberFormat="1" applyFont="1" applyFill="1" applyBorder="1"/>
    <xf numFmtId="0" fontId="8" fillId="0" borderId="1" xfId="25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67" fillId="0" borderId="0" xfId="0" applyFont="1" applyFill="1"/>
    <xf numFmtId="0" fontId="68" fillId="0" borderId="0" xfId="0" applyFont="1" applyFill="1"/>
    <xf numFmtId="0" fontId="59" fillId="0" borderId="0" xfId="0" applyFont="1"/>
    <xf numFmtId="0" fontId="0" fillId="0" borderId="12" xfId="0" applyFont="1" applyFill="1" applyBorder="1"/>
    <xf numFmtId="169" fontId="5" fillId="0" borderId="14" xfId="25" applyNumberFormat="1" applyFont="1" applyFill="1" applyBorder="1"/>
    <xf numFmtId="0" fontId="36" fillId="0" borderId="14" xfId="0" applyFont="1" applyFill="1" applyBorder="1"/>
    <xf numFmtId="172" fontId="1" fillId="0" borderId="14" xfId="7" applyNumberFormat="1" applyFont="1" applyFill="1" applyBorder="1"/>
    <xf numFmtId="0" fontId="36" fillId="0" borderId="16" xfId="0" applyFont="1" applyFill="1" applyBorder="1"/>
    <xf numFmtId="0" fontId="36" fillId="0" borderId="0" xfId="0" applyFont="1" applyAlignment="1">
      <alignment horizontal="right"/>
    </xf>
    <xf numFmtId="0" fontId="36" fillId="0" borderId="0" xfId="0" applyFont="1" applyAlignment="1">
      <alignment horizontal="left"/>
    </xf>
    <xf numFmtId="0" fontId="0" fillId="0" borderId="0" xfId="0" applyBorder="1" applyAlignment="1">
      <alignment horizontal="centerContinuous" vertical="center" wrapText="1"/>
    </xf>
    <xf numFmtId="0" fontId="40" fillId="0" borderId="0" xfId="0" applyFont="1" applyBorder="1" applyAlignment="1">
      <alignment horizontal="centerContinuous" vertical="center"/>
    </xf>
    <xf numFmtId="0" fontId="0" fillId="0" borderId="0" xfId="0" quotePrefix="1" applyBorder="1" applyAlignment="1">
      <alignment horizontal="centerContinuous" vertical="center" wrapText="1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49" fontId="8" fillId="0" borderId="1" xfId="0" applyNumberFormat="1" applyFont="1" applyBorder="1" applyAlignment="1">
      <alignment horizontal="left"/>
    </xf>
    <xf numFmtId="49" fontId="8" fillId="0" borderId="1" xfId="0" quotePrefix="1" applyNumberFormat="1" applyFont="1" applyBorder="1" applyAlignment="1">
      <alignment horizontal="left"/>
    </xf>
    <xf numFmtId="49" fontId="8" fillId="7" borderId="1" xfId="0" applyNumberFormat="1" applyFont="1" applyFill="1" applyBorder="1" applyAlignment="1">
      <alignment horizontal="left"/>
    </xf>
    <xf numFmtId="49" fontId="8" fillId="0" borderId="9" xfId="0" quotePrefix="1" applyNumberFormat="1" applyFont="1" applyBorder="1" applyAlignment="1">
      <alignment horizontal="left"/>
    </xf>
    <xf numFmtId="49" fontId="8" fillId="0" borderId="0" xfId="0" quotePrefix="1" applyNumberFormat="1" applyFont="1" applyBorder="1" applyAlignment="1">
      <alignment horizontal="left"/>
    </xf>
    <xf numFmtId="49" fontId="8" fillId="0" borderId="36" xfId="0" applyNumberFormat="1" applyFont="1" applyBorder="1" applyAlignment="1">
      <alignment horizontal="left"/>
    </xf>
    <xf numFmtId="49" fontId="8" fillId="3" borderId="7" xfId="0" applyNumberFormat="1" applyFont="1" applyFill="1" applyBorder="1" applyAlignment="1">
      <alignment horizontal="left"/>
    </xf>
    <xf numFmtId="49" fontId="8" fillId="3" borderId="0" xfId="0" applyNumberFormat="1" applyFont="1" applyFill="1" applyBorder="1" applyAlignment="1">
      <alignment horizontal="left"/>
    </xf>
    <xf numFmtId="0" fontId="8" fillId="3" borderId="53" xfId="0" applyFont="1" applyFill="1" applyBorder="1" applyAlignment="1">
      <alignment horizontal="left"/>
    </xf>
    <xf numFmtId="0" fontId="8" fillId="3" borderId="45" xfId="0" applyFont="1" applyFill="1" applyBorder="1" applyAlignment="1">
      <alignment horizontal="left"/>
    </xf>
    <xf numFmtId="0" fontId="8" fillId="0" borderId="1" xfId="11" applyNumberFormat="1" applyFont="1" applyFill="1" applyBorder="1"/>
    <xf numFmtId="0" fontId="10" fillId="0" borderId="9" xfId="0" applyFont="1" applyFill="1" applyBorder="1" applyAlignment="1">
      <alignment horizontal="left"/>
    </xf>
    <xf numFmtId="169" fontId="8" fillId="0" borderId="36" xfId="25" applyNumberFormat="1" applyFont="1" applyFill="1" applyBorder="1"/>
    <xf numFmtId="49" fontId="8" fillId="0" borderId="9" xfId="0" quotePrefix="1" applyNumberFormat="1" applyFont="1" applyFill="1" applyBorder="1" applyAlignment="1">
      <alignment horizontal="left"/>
    </xf>
    <xf numFmtId="49" fontId="10" fillId="0" borderId="9" xfId="0" applyNumberFormat="1" applyFont="1" applyFill="1" applyBorder="1" applyAlignment="1">
      <alignment horizontal="left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" fillId="3" borderId="7" xfId="0" applyFont="1" applyFill="1" applyBorder="1" applyAlignment="1">
      <alignment horizontal="center" vertical="center"/>
    </xf>
    <xf numFmtId="169" fontId="7" fillId="3" borderId="7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172" fontId="0" fillId="0" borderId="0" xfId="7" applyNumberFormat="1" applyFont="1" applyFill="1"/>
    <xf numFmtId="169" fontId="8" fillId="0" borderId="0" xfId="0" applyNumberFormat="1" applyFont="1" applyFill="1"/>
    <xf numFmtId="0" fontId="11" fillId="6" borderId="1" xfId="6" applyNumberFormat="1" applyFont="1" applyFill="1" applyBorder="1" applyAlignment="1">
      <alignment horizontal="center" vertical="center" wrapText="1"/>
    </xf>
    <xf numFmtId="172" fontId="11" fillId="0" borderId="1" xfId="7" applyNumberFormat="1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left" vertical="center"/>
    </xf>
    <xf numFmtId="169" fontId="8" fillId="0" borderId="0" xfId="0" applyNumberFormat="1" applyFont="1" applyAlignment="1">
      <alignment horizontal="left"/>
    </xf>
    <xf numFmtId="0" fontId="7" fillId="0" borderId="0" xfId="0" applyFont="1" applyAlignment="1">
      <alignment horizontal="centerContinuous"/>
    </xf>
    <xf numFmtId="169" fontId="36" fillId="0" borderId="0" xfId="25" applyNumberFormat="1" applyFont="1" applyFill="1" applyBorder="1"/>
    <xf numFmtId="0" fontId="7" fillId="0" borderId="0" xfId="0" applyFont="1" applyBorder="1"/>
    <xf numFmtId="0" fontId="8" fillId="0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8" fillId="0" borderId="0" xfId="46" applyFont="1" applyFill="1" applyBorder="1" applyAlignment="1">
      <alignment horizontal="center" vertical="center"/>
    </xf>
    <xf numFmtId="0" fontId="8" fillId="6" borderId="1" xfId="11" applyFont="1" applyFill="1" applyBorder="1"/>
    <xf numFmtId="14" fontId="8" fillId="6" borderId="1" xfId="7" applyNumberFormat="1" applyFont="1" applyFill="1" applyBorder="1" applyAlignment="1">
      <alignment horizontal="right"/>
    </xf>
    <xf numFmtId="166" fontId="63" fillId="0" borderId="1" xfId="13" applyNumberFormat="1" applyFont="1" applyFill="1" applyBorder="1" applyAlignment="1" applyProtection="1">
      <alignment horizontal="center" vertical="center"/>
    </xf>
    <xf numFmtId="166" fontId="63" fillId="2" borderId="1" xfId="13" applyNumberFormat="1" applyFont="1" applyFill="1" applyBorder="1" applyAlignment="1" applyProtection="1">
      <alignment horizontal="center" vertical="center"/>
    </xf>
    <xf numFmtId="166" fontId="63" fillId="0" borderId="1" xfId="13" applyNumberFormat="1" applyFont="1" applyFill="1" applyBorder="1" applyAlignment="1" applyProtection="1">
      <alignment horizontal="left" vertical="center"/>
    </xf>
    <xf numFmtId="166" fontId="63" fillId="5" borderId="1" xfId="13" applyNumberFormat="1" applyFont="1" applyFill="1" applyBorder="1" applyAlignment="1" applyProtection="1">
      <alignment horizontal="left" vertical="center"/>
    </xf>
    <xf numFmtId="166" fontId="63" fillId="5" borderId="1" xfId="13" applyNumberFormat="1" applyFont="1" applyFill="1" applyBorder="1" applyAlignment="1" applyProtection="1">
      <alignment horizontal="center" vertical="center"/>
    </xf>
    <xf numFmtId="0" fontId="30" fillId="2" borderId="1" xfId="6" applyFont="1" applyFill="1" applyBorder="1" applyAlignment="1">
      <alignment horizontal="center" vertical="center"/>
    </xf>
    <xf numFmtId="166" fontId="29" fillId="11" borderId="1" xfId="7" applyNumberFormat="1" applyFont="1" applyFill="1" applyBorder="1" applyAlignment="1" applyProtection="1">
      <alignment horizontal="left" vertical="center"/>
    </xf>
    <xf numFmtId="0" fontId="30" fillId="11" borderId="1" xfId="6" applyFont="1" applyFill="1" applyBorder="1" applyAlignment="1">
      <alignment horizontal="center" vertical="center"/>
    </xf>
    <xf numFmtId="0" fontId="8" fillId="11" borderId="1" xfId="0" applyFont="1" applyFill="1" applyBorder="1"/>
    <xf numFmtId="166" fontId="29" fillId="11" borderId="1" xfId="7" applyNumberFormat="1" applyFont="1" applyFill="1" applyBorder="1" applyAlignment="1" applyProtection="1">
      <alignment horizontal="center" vertical="center"/>
    </xf>
    <xf numFmtId="166" fontId="29" fillId="2" borderId="1" xfId="7" applyNumberFormat="1" applyFont="1" applyFill="1" applyBorder="1" applyAlignment="1" applyProtection="1">
      <alignment horizontal="center" vertical="center"/>
    </xf>
    <xf numFmtId="166" fontId="8" fillId="6" borderId="1" xfId="7" applyNumberFormat="1" applyFont="1" applyFill="1" applyBorder="1" applyAlignment="1" applyProtection="1">
      <alignment horizontal="left" vertical="center"/>
    </xf>
    <xf numFmtId="166" fontId="8" fillId="2" borderId="1" xfId="7" applyNumberFormat="1" applyFont="1" applyFill="1" applyBorder="1" applyAlignment="1" applyProtection="1">
      <alignment horizontal="center" vertical="center"/>
    </xf>
    <xf numFmtId="166" fontId="33" fillId="2" borderId="1" xfId="7" applyNumberFormat="1" applyFont="1" applyFill="1" applyBorder="1" applyAlignment="1" applyProtection="1">
      <alignment horizontal="center" vertical="center"/>
    </xf>
    <xf numFmtId="166" fontId="29" fillId="2" borderId="1" xfId="13" applyNumberFormat="1" applyFont="1" applyFill="1" applyBorder="1"/>
    <xf numFmtId="166" fontId="8" fillId="6" borderId="1" xfId="7" applyNumberFormat="1" applyFont="1" applyFill="1" applyBorder="1" applyAlignment="1" applyProtection="1">
      <alignment horizontal="center" vertical="center"/>
    </xf>
    <xf numFmtId="0" fontId="33" fillId="6" borderId="1" xfId="11" applyFont="1" applyFill="1" applyBorder="1"/>
    <xf numFmtId="0" fontId="33" fillId="6" borderId="1" xfId="0" applyFont="1" applyFill="1" applyBorder="1" applyAlignment="1">
      <alignment horizontal="left" vertical="center"/>
    </xf>
    <xf numFmtId="14" fontId="8" fillId="6" borderId="1" xfId="7" applyNumberFormat="1" applyFont="1" applyFill="1" applyBorder="1" applyAlignment="1">
      <alignment horizontal="center" vertical="center"/>
    </xf>
    <xf numFmtId="166" fontId="69" fillId="0" borderId="1" xfId="13" applyNumberFormat="1" applyFont="1" applyFill="1" applyBorder="1" applyAlignment="1" applyProtection="1">
      <alignment horizontal="left" vertical="center"/>
    </xf>
    <xf numFmtId="166" fontId="29" fillId="2" borderId="1" xfId="7" applyNumberFormat="1" applyFont="1" applyFill="1" applyBorder="1" applyAlignment="1" applyProtection="1">
      <alignment horizontal="left" vertical="center"/>
    </xf>
    <xf numFmtId="0" fontId="29" fillId="2" borderId="1" xfId="6" applyFont="1" applyFill="1" applyBorder="1" applyAlignment="1">
      <alignment horizontal="center" vertical="center"/>
    </xf>
    <xf numFmtId="0" fontId="29" fillId="6" borderId="1" xfId="11" applyFont="1" applyFill="1" applyBorder="1"/>
    <xf numFmtId="166" fontId="8" fillId="11" borderId="1" xfId="7" applyNumberFormat="1" applyFont="1" applyFill="1" applyBorder="1"/>
    <xf numFmtId="0" fontId="33" fillId="6" borderId="1" xfId="0" applyFont="1" applyFill="1" applyBorder="1" applyAlignment="1">
      <alignment horizontal="left"/>
    </xf>
    <xf numFmtId="166" fontId="63" fillId="6" borderId="1" xfId="13" applyNumberFormat="1" applyFont="1" applyFill="1" applyBorder="1" applyAlignment="1" applyProtection="1">
      <alignment horizontal="center" vertical="center"/>
    </xf>
    <xf numFmtId="166" fontId="63" fillId="6" borderId="1" xfId="13" applyNumberFormat="1" applyFont="1" applyFill="1" applyBorder="1" applyAlignment="1" applyProtection="1">
      <alignment horizontal="left" vertical="center"/>
    </xf>
    <xf numFmtId="0" fontId="33" fillId="6" borderId="1" xfId="0" applyFont="1" applyFill="1" applyBorder="1"/>
    <xf numFmtId="0" fontId="9" fillId="6" borderId="1" xfId="0" applyFont="1" applyFill="1" applyBorder="1" applyAlignment="1">
      <alignment vertical="center"/>
    </xf>
    <xf numFmtId="166" fontId="63" fillId="2" borderId="1" xfId="13" applyNumberFormat="1" applyFont="1" applyFill="1" applyBorder="1" applyAlignment="1" applyProtection="1">
      <alignment horizontal="left" vertical="center"/>
    </xf>
    <xf numFmtId="166" fontId="8" fillId="2" borderId="1" xfId="7" applyNumberFormat="1" applyFont="1" applyFill="1" applyBorder="1"/>
    <xf numFmtId="14" fontId="8" fillId="6" borderId="1" xfId="0" applyNumberFormat="1" applyFont="1" applyFill="1" applyBorder="1" applyAlignment="1">
      <alignment horizontal="left" vertical="center"/>
    </xf>
    <xf numFmtId="0" fontId="26" fillId="6" borderId="1" xfId="0" applyFont="1" applyFill="1" applyBorder="1" applyAlignment="1">
      <alignment horizontal="left" vertical="center"/>
    </xf>
    <xf numFmtId="166" fontId="28" fillId="6" borderId="1" xfId="7" applyNumberFormat="1" applyFont="1" applyFill="1" applyBorder="1" applyAlignment="1" applyProtection="1">
      <alignment horizontal="left" vertical="center"/>
    </xf>
    <xf numFmtId="166" fontId="26" fillId="11" borderId="1" xfId="7" applyNumberFormat="1" applyFont="1" applyFill="1" applyBorder="1"/>
    <xf numFmtId="0" fontId="26" fillId="11" borderId="1" xfId="0" applyFont="1" applyFill="1" applyBorder="1"/>
    <xf numFmtId="166" fontId="28" fillId="11" borderId="1" xfId="7" applyNumberFormat="1" applyFont="1" applyFill="1" applyBorder="1" applyAlignment="1" applyProtection="1">
      <alignment horizontal="left" vertical="center"/>
    </xf>
    <xf numFmtId="14" fontId="26" fillId="0" borderId="1" xfId="0" applyNumberFormat="1" applyFont="1" applyFill="1" applyBorder="1" applyAlignment="1">
      <alignment horizontal="center" vertical="center"/>
    </xf>
    <xf numFmtId="0" fontId="26" fillId="2" borderId="1" xfId="0" applyFont="1" applyFill="1" applyBorder="1"/>
    <xf numFmtId="166" fontId="69" fillId="5" borderId="1" xfId="13" applyNumberFormat="1" applyFont="1" applyFill="1" applyBorder="1" applyAlignment="1" applyProtection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1" xfId="0" applyFont="1" applyFill="1" applyBorder="1"/>
    <xf numFmtId="166" fontId="34" fillId="6" borderId="1" xfId="7" applyNumberFormat="1" applyFont="1" applyFill="1" applyBorder="1" applyAlignment="1" applyProtection="1">
      <alignment horizontal="left" vertical="center"/>
    </xf>
    <xf numFmtId="166" fontId="28" fillId="11" borderId="1" xfId="7" applyNumberFormat="1" applyFont="1" applyFill="1" applyBorder="1" applyAlignment="1" applyProtection="1">
      <alignment horizontal="center" vertical="center"/>
    </xf>
    <xf numFmtId="0" fontId="8" fillId="0" borderId="1" xfId="0" quotePrefix="1" applyFont="1" applyFill="1" applyBorder="1" applyAlignment="1">
      <alignment horizontal="left" vertical="center"/>
    </xf>
    <xf numFmtId="14" fontId="8" fillId="0" borderId="1" xfId="0" applyNumberFormat="1" applyFont="1" applyFill="1" applyBorder="1" applyAlignment="1">
      <alignment horizontal="left" vertical="center"/>
    </xf>
    <xf numFmtId="14" fontId="33" fillId="0" borderId="1" xfId="0" applyNumberFormat="1" applyFont="1" applyFill="1" applyBorder="1" applyAlignment="1">
      <alignment horizontal="left" vertical="center"/>
    </xf>
    <xf numFmtId="0" fontId="70" fillId="0" borderId="1" xfId="0" applyFont="1" applyBorder="1"/>
    <xf numFmtId="176" fontId="9" fillId="0" borderId="1" xfId="0" quotePrefix="1" applyNumberFormat="1" applyFont="1" applyFill="1" applyBorder="1" applyAlignment="1">
      <alignment horizontal="left"/>
    </xf>
    <xf numFmtId="0" fontId="71" fillId="6" borderId="1" xfId="0" applyFont="1" applyFill="1" applyBorder="1"/>
    <xf numFmtId="166" fontId="28" fillId="2" borderId="1" xfId="7" applyNumberFormat="1" applyFont="1" applyFill="1" applyBorder="1" applyAlignment="1" applyProtection="1">
      <alignment horizontal="center" vertical="center"/>
    </xf>
    <xf numFmtId="14" fontId="29" fillId="0" borderId="1" xfId="18" quotePrefix="1" applyNumberFormat="1" applyFont="1" applyFill="1" applyBorder="1"/>
    <xf numFmtId="14" fontId="8" fillId="0" borderId="1" xfId="0" quotePrefix="1" applyNumberFormat="1" applyFont="1" applyFill="1" applyBorder="1" applyAlignment="1">
      <alignment horizontal="left" vertical="center"/>
    </xf>
    <xf numFmtId="166" fontId="29" fillId="11" borderId="1" xfId="13" applyNumberFormat="1" applyFont="1" applyFill="1" applyBorder="1"/>
    <xf numFmtId="0" fontId="11" fillId="2" borderId="1" xfId="6" applyNumberFormat="1" applyFont="1" applyFill="1" applyBorder="1" applyAlignment="1">
      <alignment horizontal="center" vertical="center" wrapText="1"/>
    </xf>
    <xf numFmtId="0" fontId="11" fillId="11" borderId="1" xfId="6" applyNumberFormat="1" applyFont="1" applyFill="1" applyBorder="1" applyAlignment="1">
      <alignment horizontal="center" vertical="center" wrapText="1"/>
    </xf>
    <xf numFmtId="172" fontId="26" fillId="3" borderId="7" xfId="7" applyNumberFormat="1" applyFont="1" applyFill="1" applyBorder="1"/>
    <xf numFmtId="0" fontId="26" fillId="3" borderId="7" xfId="0" applyFont="1" applyFill="1" applyBorder="1"/>
    <xf numFmtId="0" fontId="26" fillId="3" borderId="7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left" vertical="center"/>
    </xf>
    <xf numFmtId="0" fontId="26" fillId="3" borderId="8" xfId="0" applyFont="1" applyFill="1" applyBorder="1" applyAlignment="1">
      <alignment horizontal="left" vertical="center"/>
    </xf>
    <xf numFmtId="0" fontId="9" fillId="0" borderId="0" xfId="0" applyFont="1" applyFill="1"/>
    <xf numFmtId="0" fontId="72" fillId="0" borderId="0" xfId="6" applyFont="1" applyFill="1" applyBorder="1" applyAlignment="1">
      <alignment horizontal="left" vertical="center"/>
    </xf>
    <xf numFmtId="0" fontId="72" fillId="0" borderId="0" xfId="6" applyFont="1" applyFill="1" applyBorder="1" applyAlignment="1">
      <alignment horizontal="center" vertical="center"/>
    </xf>
    <xf numFmtId="0" fontId="72" fillId="0" borderId="0" xfId="6" applyFont="1" applyFill="1" applyBorder="1" applyAlignment="1">
      <alignment vertical="center"/>
    </xf>
    <xf numFmtId="0" fontId="27" fillId="0" borderId="0" xfId="6" applyFont="1" applyFill="1" applyBorder="1" applyAlignment="1">
      <alignment vertical="center"/>
    </xf>
    <xf numFmtId="0" fontId="27" fillId="0" borderId="0" xfId="6" applyFont="1" applyFill="1" applyBorder="1" applyAlignment="1">
      <alignment horizontal="center" vertical="center"/>
    </xf>
    <xf numFmtId="0" fontId="73" fillId="0" borderId="0" xfId="6" applyFont="1" applyFill="1" applyAlignment="1">
      <alignment horizontal="center" vertical="center"/>
    </xf>
    <xf numFmtId="0" fontId="35" fillId="0" borderId="0" xfId="6" applyFont="1" applyFill="1" applyAlignment="1">
      <alignment horizontal="center" vertical="center"/>
    </xf>
    <xf numFmtId="0" fontId="35" fillId="0" borderId="0" xfId="6" applyFont="1" applyFill="1" applyBorder="1" applyAlignment="1">
      <alignment horizontal="left" vertical="center"/>
    </xf>
    <xf numFmtId="0" fontId="35" fillId="0" borderId="0" xfId="6" applyFont="1" applyFill="1" applyBorder="1" applyAlignment="1">
      <alignment horizontal="center" vertical="center"/>
    </xf>
    <xf numFmtId="0" fontId="35" fillId="0" borderId="0" xfId="6" applyFont="1" applyFill="1" applyBorder="1" applyAlignment="1">
      <alignment vertical="center"/>
    </xf>
    <xf numFmtId="0" fontId="28" fillId="0" borderId="0" xfId="6" applyFont="1" applyFill="1" applyBorder="1" applyAlignment="1">
      <alignment vertical="center"/>
    </xf>
    <xf numFmtId="0" fontId="28" fillId="0" borderId="0" xfId="6" applyFont="1" applyFill="1" applyBorder="1" applyAlignment="1">
      <alignment horizontal="center" vertical="center"/>
    </xf>
    <xf numFmtId="0" fontId="74" fillId="0" borderId="0" xfId="6" applyFont="1" applyFill="1" applyAlignment="1">
      <alignment horizontal="center" vertical="center"/>
    </xf>
    <xf numFmtId="0" fontId="28" fillId="0" borderId="0" xfId="6" applyFont="1" applyFill="1" applyBorder="1" applyAlignment="1">
      <alignment horizontal="left" vertical="center"/>
    </xf>
    <xf numFmtId="0" fontId="35" fillId="0" borderId="0" xfId="6" applyFont="1" applyFill="1" applyAlignment="1">
      <alignment horizontal="center" vertical="center" wrapText="1"/>
    </xf>
    <xf numFmtId="0" fontId="72" fillId="0" borderId="3" xfId="6" applyFont="1" applyFill="1" applyBorder="1" applyAlignment="1">
      <alignment horizontal="centerContinuous" vertical="center"/>
    </xf>
    <xf numFmtId="0" fontId="75" fillId="0" borderId="3" xfId="0" applyFont="1" applyFill="1" applyBorder="1" applyAlignment="1">
      <alignment horizontal="centerContinuous"/>
    </xf>
    <xf numFmtId="0" fontId="27" fillId="0" borderId="3" xfId="6" applyFont="1" applyFill="1" applyBorder="1" applyAlignment="1">
      <alignment horizontal="centerContinuous" vertical="center"/>
    </xf>
    <xf numFmtId="0" fontId="27" fillId="0" borderId="0" xfId="6" applyFont="1" applyFill="1" applyAlignment="1">
      <alignment horizontal="center" vertical="center"/>
    </xf>
    <xf numFmtId="0" fontId="27" fillId="0" borderId="61" xfId="6" applyFont="1" applyFill="1" applyBorder="1" applyAlignment="1">
      <alignment horizontal="center" vertical="center" wrapText="1"/>
    </xf>
    <xf numFmtId="0" fontId="27" fillId="0" borderId="62" xfId="6" applyFont="1" applyFill="1" applyBorder="1" applyAlignment="1">
      <alignment horizontal="center" vertical="center" wrapText="1"/>
    </xf>
    <xf numFmtId="0" fontId="27" fillId="0" borderId="1" xfId="6" applyFont="1" applyFill="1" applyBorder="1" applyAlignment="1">
      <alignment horizontal="center" vertical="center" wrapText="1"/>
    </xf>
    <xf numFmtId="0" fontId="27" fillId="0" borderId="0" xfId="6" applyFont="1" applyFill="1" applyAlignment="1">
      <alignment horizontal="center" vertical="center" wrapText="1"/>
    </xf>
    <xf numFmtId="0" fontId="27" fillId="6" borderId="1" xfId="6" applyFont="1" applyFill="1" applyBorder="1" applyAlignment="1">
      <alignment horizontal="center" vertical="center" wrapText="1"/>
    </xf>
    <xf numFmtId="0" fontId="27" fillId="3" borderId="1" xfId="6" applyFont="1" applyFill="1" applyBorder="1" applyAlignment="1">
      <alignment horizontal="center" vertical="center" wrapText="1"/>
    </xf>
    <xf numFmtId="0" fontId="27" fillId="5" borderId="1" xfId="6" applyFont="1" applyFill="1" applyBorder="1" applyAlignment="1">
      <alignment horizontal="center" vertical="center" wrapText="1"/>
    </xf>
    <xf numFmtId="169" fontId="27" fillId="0" borderId="1" xfId="25" applyNumberFormat="1" applyFont="1" applyFill="1" applyBorder="1" applyAlignment="1">
      <alignment horizontal="center" vertical="center" wrapText="1"/>
    </xf>
    <xf numFmtId="0" fontId="28" fillId="0" borderId="4" xfId="6" applyFont="1" applyFill="1" applyBorder="1" applyAlignment="1">
      <alignment horizontal="center" vertical="center" wrapText="1"/>
    </xf>
    <xf numFmtId="0" fontId="28" fillId="0" borderId="1" xfId="6" applyFont="1" applyFill="1" applyBorder="1" applyAlignment="1">
      <alignment horizontal="center" vertical="center" wrapText="1"/>
    </xf>
    <xf numFmtId="0" fontId="28" fillId="5" borderId="4" xfId="6" applyFont="1" applyFill="1" applyBorder="1" applyAlignment="1">
      <alignment horizontal="center" vertical="center" wrapText="1"/>
    </xf>
    <xf numFmtId="0" fontId="28" fillId="5" borderId="1" xfId="6" applyFont="1" applyFill="1" applyBorder="1" applyAlignment="1">
      <alignment horizontal="center" vertical="center" wrapText="1"/>
    </xf>
    <xf numFmtId="0" fontId="28" fillId="0" borderId="0" xfId="6" applyFont="1" applyFill="1" applyAlignment="1">
      <alignment horizontal="center" vertical="center" wrapText="1"/>
    </xf>
    <xf numFmtId="0" fontId="35" fillId="0" borderId="4" xfId="6" applyFont="1" applyFill="1" applyBorder="1" applyAlignment="1">
      <alignment horizontal="center" vertical="center"/>
    </xf>
    <xf numFmtId="0" fontId="9" fillId="0" borderId="31" xfId="11" applyFont="1" applyFill="1" applyBorder="1"/>
    <xf numFmtId="0" fontId="9" fillId="0" borderId="1" xfId="11" applyFont="1" applyFill="1" applyBorder="1" applyAlignment="1">
      <alignment horizontal="center" vertical="center"/>
    </xf>
    <xf numFmtId="0" fontId="9" fillId="0" borderId="1" xfId="11" applyFont="1" applyFill="1" applyBorder="1" applyAlignment="1">
      <alignment horizontal="center"/>
    </xf>
    <xf numFmtId="0" fontId="76" fillId="0" borderId="1" xfId="0" quotePrefix="1" applyFont="1" applyFill="1" applyBorder="1" applyAlignment="1">
      <alignment horizontal="left"/>
    </xf>
    <xf numFmtId="0" fontId="76" fillId="0" borderId="1" xfId="6" applyFont="1" applyFill="1" applyBorder="1" applyAlignment="1">
      <alignment horizontal="left" vertical="center" wrapText="1"/>
    </xf>
    <xf numFmtId="0" fontId="9" fillId="0" borderId="1" xfId="11" applyFont="1" applyFill="1" applyBorder="1" applyAlignment="1">
      <alignment horizontal="right"/>
    </xf>
    <xf numFmtId="0" fontId="9" fillId="0" borderId="1" xfId="11" quotePrefix="1" applyFont="1" applyFill="1" applyBorder="1" applyAlignment="1">
      <alignment horizontal="right"/>
    </xf>
    <xf numFmtId="0" fontId="35" fillId="0" borderId="1" xfId="6" applyFont="1" applyFill="1" applyBorder="1" applyAlignment="1">
      <alignment horizontal="right" vertical="center" wrapText="1"/>
    </xf>
    <xf numFmtId="166" fontId="35" fillId="0" borderId="1" xfId="13" applyNumberFormat="1" applyFont="1" applyFill="1" applyBorder="1"/>
    <xf numFmtId="166" fontId="35" fillId="3" borderId="1" xfId="13" applyNumberFormat="1" applyFont="1" applyFill="1" applyBorder="1"/>
    <xf numFmtId="166" fontId="35" fillId="5" borderId="1" xfId="13" applyNumberFormat="1" applyFont="1" applyFill="1" applyBorder="1"/>
    <xf numFmtId="171" fontId="35" fillId="5" borderId="1" xfId="25" applyNumberFormat="1" applyFont="1" applyFill="1" applyBorder="1"/>
    <xf numFmtId="166" fontId="35" fillId="5" borderId="1" xfId="13" applyNumberFormat="1" applyFont="1" applyFill="1" applyBorder="1" applyAlignment="1" applyProtection="1">
      <alignment horizontal="center" vertical="center"/>
    </xf>
    <xf numFmtId="171" fontId="35" fillId="0" borderId="1" xfId="25" applyNumberFormat="1" applyFont="1" applyFill="1" applyBorder="1"/>
    <xf numFmtId="166" fontId="35" fillId="3" borderId="1" xfId="13" applyNumberFormat="1" applyFont="1" applyFill="1" applyBorder="1" applyAlignment="1" applyProtection="1">
      <alignment horizontal="center" vertical="center"/>
    </xf>
    <xf numFmtId="166" fontId="27" fillId="0" borderId="1" xfId="13" applyNumberFormat="1" applyFont="1" applyFill="1" applyBorder="1" applyAlignment="1">
      <alignment horizontal="center" vertical="center"/>
    </xf>
    <xf numFmtId="166" fontId="35" fillId="0" borderId="1" xfId="13" applyNumberFormat="1" applyFont="1" applyFill="1" applyBorder="1" applyAlignment="1" applyProtection="1">
      <alignment horizontal="center" vertical="center"/>
    </xf>
    <xf numFmtId="171" fontId="35" fillId="3" borderId="1" xfId="25" applyNumberFormat="1" applyFont="1" applyFill="1" applyBorder="1" applyAlignment="1" applyProtection="1">
      <alignment horizontal="center" vertical="center"/>
    </xf>
    <xf numFmtId="0" fontId="35" fillId="3" borderId="1" xfId="13" applyNumberFormat="1" applyFont="1" applyFill="1" applyBorder="1" applyAlignment="1" applyProtection="1">
      <alignment horizontal="center" vertical="center"/>
    </xf>
    <xf numFmtId="171" fontId="35" fillId="0" borderId="1" xfId="25" applyNumberFormat="1" applyFont="1" applyFill="1" applyBorder="1" applyAlignment="1" applyProtection="1">
      <alignment horizontal="center" vertical="center"/>
    </xf>
    <xf numFmtId="166" fontId="72" fillId="0" borderId="1" xfId="13" applyNumberFormat="1" applyFont="1" applyFill="1" applyBorder="1" applyAlignment="1" applyProtection="1">
      <alignment horizontal="center" vertical="center"/>
    </xf>
    <xf numFmtId="167" fontId="72" fillId="0" borderId="1" xfId="6" applyNumberFormat="1" applyFont="1" applyFill="1" applyBorder="1" applyAlignment="1">
      <alignment horizontal="center" vertical="center"/>
    </xf>
    <xf numFmtId="167" fontId="35" fillId="0" borderId="1" xfId="6" applyNumberFormat="1" applyFont="1" applyFill="1" applyBorder="1" applyAlignment="1">
      <alignment horizontal="center" vertical="center" wrapText="1"/>
    </xf>
    <xf numFmtId="49" fontId="35" fillId="0" borderId="1" xfId="6" applyNumberFormat="1" applyFont="1" applyFill="1" applyBorder="1" applyAlignment="1">
      <alignment horizontal="left" vertical="center" wrapText="1"/>
    </xf>
    <xf numFmtId="0" fontId="35" fillId="0" borderId="5" xfId="6" applyFont="1" applyFill="1" applyBorder="1" applyAlignment="1">
      <alignment horizontal="center" vertical="center" wrapText="1"/>
    </xf>
    <xf numFmtId="0" fontId="76" fillId="0" borderId="31" xfId="11" applyFont="1" applyFill="1" applyBorder="1"/>
    <xf numFmtId="0" fontId="76" fillId="0" borderId="1" xfId="0" applyFont="1" applyBorder="1"/>
    <xf numFmtId="0" fontId="76" fillId="0" borderId="1" xfId="11" applyFont="1" applyFill="1" applyBorder="1" applyAlignment="1">
      <alignment horizontal="center" vertical="center"/>
    </xf>
    <xf numFmtId="171" fontId="28" fillId="5" borderId="1" xfId="25" applyNumberFormat="1" applyFont="1" applyFill="1" applyBorder="1"/>
    <xf numFmtId="166" fontId="28" fillId="5" borderId="1" xfId="13" applyNumberFormat="1" applyFont="1" applyFill="1" applyBorder="1" applyAlignment="1" applyProtection="1">
      <alignment horizontal="center" vertical="center"/>
    </xf>
    <xf numFmtId="171" fontId="28" fillId="6" borderId="1" xfId="25" applyNumberFormat="1" applyFont="1" applyFill="1" applyBorder="1"/>
    <xf numFmtId="166" fontId="28" fillId="3" borderId="1" xfId="13" applyNumberFormat="1" applyFont="1" applyFill="1" applyBorder="1" applyAlignment="1" applyProtection="1">
      <alignment horizontal="center" vertical="center"/>
    </xf>
    <xf numFmtId="166" fontId="28" fillId="0" borderId="1" xfId="13" applyNumberFormat="1" applyFont="1" applyFill="1" applyBorder="1" applyAlignment="1" applyProtection="1">
      <alignment horizontal="center" vertical="center"/>
    </xf>
    <xf numFmtId="171" fontId="28" fillId="3" borderId="1" xfId="25" applyNumberFormat="1" applyFont="1" applyFill="1" applyBorder="1" applyAlignment="1" applyProtection="1">
      <alignment horizontal="center" vertical="center"/>
    </xf>
    <xf numFmtId="0" fontId="28" fillId="3" borderId="1" xfId="13" applyNumberFormat="1" applyFont="1" applyFill="1" applyBorder="1" applyAlignment="1" applyProtection="1">
      <alignment horizontal="center" vertical="center"/>
    </xf>
    <xf numFmtId="171" fontId="28" fillId="0" borderId="1" xfId="25" applyNumberFormat="1" applyFont="1" applyFill="1" applyBorder="1" applyAlignment="1" applyProtection="1">
      <alignment horizontal="center" vertical="center"/>
    </xf>
    <xf numFmtId="166" fontId="28" fillId="6" borderId="1" xfId="13" applyNumberFormat="1" applyFont="1" applyFill="1" applyBorder="1" applyAlignment="1" applyProtection="1">
      <alignment horizontal="center" vertical="center"/>
    </xf>
    <xf numFmtId="49" fontId="28" fillId="0" borderId="1" xfId="11" applyNumberFormat="1" applyFont="1" applyFill="1" applyBorder="1" applyAlignment="1">
      <alignment horizontal="left"/>
    </xf>
    <xf numFmtId="0" fontId="28" fillId="0" borderId="1" xfId="11" applyFont="1" applyFill="1" applyBorder="1" applyAlignment="1">
      <alignment horizontal="left"/>
    </xf>
    <xf numFmtId="0" fontId="34" fillId="0" borderId="5" xfId="6" applyFont="1" applyFill="1" applyBorder="1" applyAlignment="1">
      <alignment horizontal="left" vertical="center"/>
    </xf>
    <xf numFmtId="0" fontId="26" fillId="0" borderId="1" xfId="11" applyFont="1" applyFill="1" applyBorder="1" applyAlignment="1">
      <alignment horizontal="center" vertical="center"/>
    </xf>
    <xf numFmtId="14" fontId="9" fillId="0" borderId="1" xfId="11" applyNumberFormat="1" applyFont="1" applyFill="1" applyBorder="1" applyAlignment="1">
      <alignment horizontal="right"/>
    </xf>
    <xf numFmtId="171" fontId="28" fillId="3" borderId="1" xfId="25" applyNumberFormat="1" applyFont="1" applyFill="1" applyBorder="1" applyAlignment="1" applyProtection="1">
      <alignment horizontal="center" vertical="center" wrapText="1"/>
    </xf>
    <xf numFmtId="49" fontId="28" fillId="0" borderId="1" xfId="6" applyNumberFormat="1" applyFont="1" applyFill="1" applyBorder="1" applyAlignment="1">
      <alignment horizontal="left" vertical="center" wrapText="1"/>
    </xf>
    <xf numFmtId="0" fontId="28" fillId="0" borderId="1" xfId="6" applyFont="1" applyFill="1" applyBorder="1" applyAlignment="1">
      <alignment horizontal="left" vertical="center" wrapText="1"/>
    </xf>
    <xf numFmtId="0" fontId="28" fillId="0" borderId="5" xfId="6" applyFont="1" applyFill="1" applyBorder="1" applyAlignment="1">
      <alignment horizontal="center" vertical="center" wrapText="1"/>
    </xf>
    <xf numFmtId="171" fontId="28" fillId="0" borderId="1" xfId="25" applyNumberFormat="1" applyFont="1" applyFill="1" applyBorder="1"/>
    <xf numFmtId="171" fontId="28" fillId="0" borderId="36" xfId="25" applyNumberFormat="1" applyFont="1" applyFill="1" applyBorder="1" applyAlignment="1">
      <alignment horizontal="center" vertical="center"/>
    </xf>
    <xf numFmtId="171" fontId="28" fillId="0" borderId="1" xfId="25" applyNumberFormat="1" applyFont="1" applyFill="1" applyBorder="1" applyAlignment="1" applyProtection="1">
      <alignment horizontal="left" vertical="center"/>
    </xf>
    <xf numFmtId="0" fontId="28" fillId="0" borderId="1" xfId="6" applyFont="1" applyFill="1" applyBorder="1" applyAlignment="1">
      <alignment horizontal="left" vertical="center"/>
    </xf>
    <xf numFmtId="49" fontId="76" fillId="0" borderId="1" xfId="11" applyNumberFormat="1" applyFont="1" applyFill="1" applyBorder="1" applyAlignment="1">
      <alignment horizontal="left"/>
    </xf>
    <xf numFmtId="0" fontId="76" fillId="0" borderId="1" xfId="11" applyFont="1" applyFill="1" applyBorder="1" applyAlignment="1">
      <alignment horizontal="left"/>
    </xf>
    <xf numFmtId="0" fontId="26" fillId="0" borderId="1" xfId="11" applyFont="1" applyFill="1" applyBorder="1"/>
    <xf numFmtId="0" fontId="9" fillId="0" borderId="1" xfId="11" applyFont="1" applyFill="1" applyBorder="1" applyAlignment="1">
      <alignment horizontal="left"/>
    </xf>
    <xf numFmtId="14" fontId="9" fillId="0" borderId="1" xfId="11" quotePrefix="1" applyNumberFormat="1" applyFont="1" applyFill="1" applyBorder="1" applyAlignment="1">
      <alignment horizontal="right"/>
    </xf>
    <xf numFmtId="0" fontId="28" fillId="0" borderId="4" xfId="6" applyFont="1" applyFill="1" applyBorder="1" applyAlignment="1">
      <alignment horizontal="center" vertical="center"/>
    </xf>
    <xf numFmtId="0" fontId="26" fillId="0" borderId="1" xfId="11" applyFont="1" applyFill="1" applyBorder="1" applyAlignment="1">
      <alignment horizontal="center"/>
    </xf>
    <xf numFmtId="166" fontId="27" fillId="0" borderId="1" xfId="13" applyNumberFormat="1" applyFont="1" applyFill="1" applyBorder="1" applyAlignment="1" applyProtection="1">
      <alignment horizontal="center" vertical="center"/>
    </xf>
    <xf numFmtId="167" fontId="27" fillId="0" borderId="1" xfId="6" applyNumberFormat="1" applyFont="1" applyFill="1" applyBorder="1" applyAlignment="1">
      <alignment horizontal="center" vertical="center"/>
    </xf>
    <xf numFmtId="0" fontId="72" fillId="0" borderId="4" xfId="6" applyFont="1" applyFill="1" applyBorder="1" applyAlignment="1">
      <alignment horizontal="center" vertical="center"/>
    </xf>
    <xf numFmtId="0" fontId="9" fillId="0" borderId="1" xfId="11" applyFont="1" applyFill="1" applyBorder="1"/>
    <xf numFmtId="0" fontId="72" fillId="0" borderId="1" xfId="6" applyFont="1" applyFill="1" applyBorder="1" applyAlignment="1">
      <alignment horizontal="center" vertical="center" wrapText="1"/>
    </xf>
    <xf numFmtId="0" fontId="72" fillId="0" borderId="1" xfId="6" applyFont="1" applyFill="1" applyBorder="1" applyAlignment="1">
      <alignment horizontal="center" vertical="center"/>
    </xf>
    <xf numFmtId="166" fontId="72" fillId="3" borderId="1" xfId="13" applyNumberFormat="1" applyFont="1" applyFill="1" applyBorder="1" applyAlignment="1" applyProtection="1">
      <alignment horizontal="center" vertical="center"/>
    </xf>
    <xf numFmtId="166" fontId="72" fillId="5" borderId="1" xfId="13" applyNumberFormat="1" applyFont="1" applyFill="1" applyBorder="1" applyAlignment="1" applyProtection="1">
      <alignment horizontal="center" vertical="center"/>
    </xf>
    <xf numFmtId="177" fontId="72" fillId="0" borderId="1" xfId="6" applyNumberFormat="1" applyFont="1" applyFill="1" applyBorder="1" applyAlignment="1">
      <alignment horizontal="center" vertical="center"/>
    </xf>
    <xf numFmtId="0" fontId="72" fillId="0" borderId="5" xfId="6" applyFont="1" applyFill="1" applyBorder="1" applyAlignment="1">
      <alignment horizontal="center" vertical="center"/>
    </xf>
    <xf numFmtId="0" fontId="72" fillId="0" borderId="0" xfId="6" applyFont="1" applyFill="1" applyAlignment="1">
      <alignment horizontal="center" vertical="center"/>
    </xf>
    <xf numFmtId="168" fontId="72" fillId="0" borderId="1" xfId="13" applyNumberFormat="1" applyFont="1" applyFill="1" applyBorder="1" applyAlignment="1" applyProtection="1">
      <alignment horizontal="center" vertical="center"/>
    </xf>
    <xf numFmtId="168" fontId="72" fillId="3" borderId="1" xfId="13" applyNumberFormat="1" applyFont="1" applyFill="1" applyBorder="1" applyAlignment="1" applyProtection="1">
      <alignment horizontal="center" vertical="center"/>
    </xf>
    <xf numFmtId="168" fontId="72" fillId="5" borderId="1" xfId="13" applyNumberFormat="1" applyFont="1" applyFill="1" applyBorder="1" applyAlignment="1" applyProtection="1">
      <alignment horizontal="center" vertical="center"/>
    </xf>
    <xf numFmtId="0" fontId="72" fillId="0" borderId="14" xfId="6" applyFont="1" applyFill="1" applyBorder="1" applyAlignment="1">
      <alignment horizontal="center" vertical="center"/>
    </xf>
    <xf numFmtId="0" fontId="72" fillId="0" borderId="6" xfId="6" applyFont="1" applyFill="1" applyBorder="1" applyAlignment="1">
      <alignment horizontal="center" vertical="center"/>
    </xf>
    <xf numFmtId="16" fontId="9" fillId="0" borderId="7" xfId="18" quotePrefix="1" applyNumberFormat="1" applyFont="1" applyFill="1" applyBorder="1" applyAlignment="1">
      <alignment horizontal="center" vertical="center"/>
    </xf>
    <xf numFmtId="0" fontId="72" fillId="0" borderId="7" xfId="6" applyFont="1" applyFill="1" applyBorder="1" applyAlignment="1">
      <alignment horizontal="center" vertical="center" wrapText="1"/>
    </xf>
    <xf numFmtId="0" fontId="72" fillId="0" borderId="7" xfId="6" applyFont="1" applyFill="1" applyBorder="1" applyAlignment="1">
      <alignment horizontal="center" vertical="center"/>
    </xf>
    <xf numFmtId="168" fontId="72" fillId="0" borderId="7" xfId="13" applyNumberFormat="1" applyFont="1" applyFill="1" applyBorder="1" applyAlignment="1" applyProtection="1">
      <alignment horizontal="center" vertical="center"/>
    </xf>
    <xf numFmtId="168" fontId="72" fillId="3" borderId="7" xfId="13" applyNumberFormat="1" applyFont="1" applyFill="1" applyBorder="1" applyAlignment="1" applyProtection="1">
      <alignment horizontal="center" vertical="center"/>
    </xf>
    <xf numFmtId="168" fontId="72" fillId="5" borderId="7" xfId="13" applyNumberFormat="1" applyFont="1" applyFill="1" applyBorder="1" applyAlignment="1" applyProtection="1">
      <alignment horizontal="center" vertical="center"/>
    </xf>
    <xf numFmtId="168" fontId="72" fillId="6" borderId="7" xfId="13" applyNumberFormat="1" applyFont="1" applyFill="1" applyBorder="1" applyAlignment="1" applyProtection="1">
      <alignment horizontal="center" vertical="center"/>
    </xf>
    <xf numFmtId="0" fontId="74" fillId="0" borderId="7" xfId="6" applyFont="1" applyFill="1" applyBorder="1" applyAlignment="1">
      <alignment horizontal="center" vertical="center"/>
    </xf>
    <xf numFmtId="0" fontId="35" fillId="3" borderId="7" xfId="6" applyFont="1" applyFill="1" applyBorder="1" applyAlignment="1">
      <alignment horizontal="center" vertical="center"/>
    </xf>
    <xf numFmtId="167" fontId="72" fillId="0" borderId="7" xfId="6" applyNumberFormat="1" applyFont="1" applyFill="1" applyBorder="1" applyAlignment="1">
      <alignment horizontal="center" vertical="center"/>
    </xf>
    <xf numFmtId="0" fontId="72" fillId="0" borderId="8" xfId="6" applyFont="1" applyFill="1" applyBorder="1" applyAlignment="1">
      <alignment horizontal="center" vertical="center"/>
    </xf>
    <xf numFmtId="0" fontId="9" fillId="0" borderId="0" xfId="11" applyFont="1" applyFill="1" applyBorder="1" applyAlignment="1">
      <alignment horizontal="center"/>
    </xf>
    <xf numFmtId="0" fontId="35" fillId="0" borderId="0" xfId="11" applyFont="1" applyFill="1" applyBorder="1" applyAlignment="1">
      <alignment horizontal="center" vertical="center" wrapText="1"/>
    </xf>
    <xf numFmtId="168" fontId="35" fillId="0" borderId="0" xfId="13" applyNumberFormat="1" applyFont="1" applyFill="1" applyBorder="1" applyAlignment="1">
      <alignment horizontal="center" vertical="center" wrapText="1"/>
    </xf>
    <xf numFmtId="0" fontId="74" fillId="0" borderId="0" xfId="6" applyFont="1" applyFill="1" applyBorder="1" applyAlignment="1">
      <alignment horizontal="center" vertical="center"/>
    </xf>
    <xf numFmtId="170" fontId="35" fillId="0" borderId="0" xfId="6" applyNumberFormat="1" applyFont="1" applyFill="1" applyBorder="1" applyAlignment="1">
      <alignment horizontal="center" vertical="center"/>
    </xf>
    <xf numFmtId="0" fontId="53" fillId="0" borderId="0" xfId="6" applyFont="1" applyFill="1" applyAlignment="1">
      <alignment horizontal="center" vertical="center"/>
    </xf>
    <xf numFmtId="0" fontId="8" fillId="6" borderId="1" xfId="0" applyFont="1" applyFill="1" applyBorder="1" applyAlignment="1">
      <alignment horizontal="left"/>
    </xf>
    <xf numFmtId="0" fontId="26" fillId="0" borderId="1" xfId="0" applyFont="1" applyBorder="1"/>
    <xf numFmtId="0" fontId="8" fillId="6" borderId="31" xfId="0" applyFont="1" applyFill="1" applyBorder="1" applyAlignment="1">
      <alignment horizontal="left" vertical="center"/>
    </xf>
    <xf numFmtId="169" fontId="35" fillId="0" borderId="0" xfId="25" applyNumberFormat="1" applyFont="1" applyFill="1" applyAlignment="1">
      <alignment horizontal="center" vertical="center" wrapText="1"/>
    </xf>
    <xf numFmtId="0" fontId="8" fillId="6" borderId="31" xfId="0" quotePrefix="1" applyFont="1" applyFill="1" applyBorder="1" applyAlignment="1">
      <alignment horizontal="left" vertical="center"/>
    </xf>
    <xf numFmtId="14" fontId="8" fillId="6" borderId="31" xfId="0" applyNumberFormat="1" applyFont="1" applyFill="1" applyBorder="1" applyAlignment="1">
      <alignment horizontal="left" vertical="center"/>
    </xf>
    <xf numFmtId="14" fontId="55" fillId="6" borderId="1" xfId="46" applyNumberFormat="1" applyFont="1" applyFill="1" applyBorder="1" applyAlignment="1">
      <alignment horizontal="center" vertical="center"/>
    </xf>
    <xf numFmtId="0" fontId="35" fillId="6" borderId="1" xfId="46" applyFont="1" applyFill="1" applyBorder="1" applyAlignment="1">
      <alignment horizontal="left" vertical="center" wrapText="1"/>
    </xf>
    <xf numFmtId="0" fontId="9" fillId="0" borderId="1" xfId="18" quotePrefix="1" applyFont="1" applyFill="1" applyBorder="1" applyAlignment="1">
      <alignment horizontal="left"/>
    </xf>
    <xf numFmtId="0" fontId="9" fillId="0" borderId="1" xfId="18" applyFont="1" applyFill="1" applyBorder="1" applyAlignment="1">
      <alignment horizontal="left"/>
    </xf>
    <xf numFmtId="0" fontId="9" fillId="0" borderId="1" xfId="11" quotePrefix="1" applyFont="1" applyFill="1" applyBorder="1" applyAlignment="1">
      <alignment horizontal="left"/>
    </xf>
    <xf numFmtId="0" fontId="3" fillId="0" borderId="0" xfId="11" applyFill="1" applyBorder="1"/>
    <xf numFmtId="0" fontId="58" fillId="6" borderId="1" xfId="11" applyFont="1" applyFill="1" applyBorder="1"/>
    <xf numFmtId="0" fontId="71" fillId="6" borderId="1" xfId="11" applyFont="1" applyFill="1" applyBorder="1"/>
    <xf numFmtId="0" fontId="29" fillId="0" borderId="1" xfId="18" applyFont="1" applyFill="1" applyBorder="1"/>
    <xf numFmtId="0" fontId="29" fillId="0" borderId="1" xfId="18" applyFont="1" applyFill="1" applyBorder="1" applyAlignment="1">
      <alignment horizontal="left"/>
    </xf>
    <xf numFmtId="0" fontId="29" fillId="0" borderId="1" xfId="6" quotePrefix="1" applyFont="1" applyFill="1" applyBorder="1" applyAlignment="1">
      <alignment horizontal="left" vertical="center" wrapText="1"/>
    </xf>
    <xf numFmtId="0" fontId="29" fillId="0" borderId="1" xfId="6" applyFont="1" applyFill="1" applyBorder="1" applyAlignment="1">
      <alignment horizontal="left" vertical="center" wrapText="1"/>
    </xf>
    <xf numFmtId="0" fontId="29" fillId="0" borderId="1" xfId="18" quotePrefix="1" applyFont="1" applyFill="1" applyBorder="1" applyAlignment="1">
      <alignment horizontal="center" vertical="center"/>
    </xf>
    <xf numFmtId="0" fontId="8" fillId="0" borderId="31" xfId="11" quotePrefix="1" applyFont="1" applyFill="1" applyBorder="1" applyAlignment="1">
      <alignment horizontal="left" vertical="center"/>
    </xf>
    <xf numFmtId="172" fontId="11" fillId="0" borderId="7" xfId="47" applyNumberFormat="1" applyFont="1" applyFill="1" applyBorder="1" applyAlignment="1">
      <alignment horizontal="center" vertical="center"/>
    </xf>
    <xf numFmtId="169" fontId="7" fillId="0" borderId="1" xfId="25" applyNumberFormat="1" applyFont="1" applyFill="1" applyBorder="1" applyAlignment="1">
      <alignment horizontal="center" vertical="center" wrapText="1"/>
    </xf>
    <xf numFmtId="14" fontId="29" fillId="0" borderId="1" xfId="9" applyNumberFormat="1" applyFont="1" applyFill="1" applyBorder="1" applyAlignment="1">
      <alignment horizontal="center" vertical="center"/>
    </xf>
    <xf numFmtId="169" fontId="11" fillId="0" borderId="1" xfId="12" applyNumberFormat="1" applyFont="1" applyFill="1" applyBorder="1"/>
    <xf numFmtId="169" fontId="11" fillId="0" borderId="21" xfId="12" applyNumberFormat="1" applyFont="1" applyFill="1" applyBorder="1"/>
    <xf numFmtId="0" fontId="8" fillId="7" borderId="4" xfId="0" applyFont="1" applyFill="1" applyBorder="1" applyAlignment="1">
      <alignment horizontal="center"/>
    </xf>
    <xf numFmtId="0" fontId="26" fillId="7" borderId="1" xfId="0" applyFont="1" applyFill="1" applyBorder="1"/>
    <xf numFmtId="0" fontId="8" fillId="7" borderId="1" xfId="0" applyFont="1" applyFill="1" applyBorder="1" applyAlignment="1">
      <alignment horizontal="left" vertical="center"/>
    </xf>
    <xf numFmtId="0" fontId="65" fillId="7" borderId="1" xfId="0" applyFont="1" applyFill="1" applyBorder="1" applyAlignment="1">
      <alignment horizontal="left" vertical="center"/>
    </xf>
    <xf numFmtId="0" fontId="65" fillId="7" borderId="1" xfId="0" applyFont="1" applyFill="1" applyBorder="1"/>
    <xf numFmtId="14" fontId="26" fillId="7" borderId="1" xfId="0" applyNumberFormat="1" applyFont="1" applyFill="1" applyBorder="1" applyAlignment="1">
      <alignment horizontal="center" vertical="center"/>
    </xf>
    <xf numFmtId="166" fontId="29" fillId="7" borderId="1" xfId="13" applyNumberFormat="1" applyFont="1" applyFill="1" applyBorder="1"/>
    <xf numFmtId="166" fontId="63" fillId="7" borderId="1" xfId="13" applyNumberFormat="1" applyFont="1" applyFill="1" applyBorder="1" applyAlignment="1" applyProtection="1">
      <alignment horizontal="left" vertical="center"/>
    </xf>
    <xf numFmtId="166" fontId="28" fillId="7" borderId="1" xfId="7" applyNumberFormat="1" applyFont="1" applyFill="1" applyBorder="1" applyAlignment="1" applyProtection="1">
      <alignment horizontal="center" vertical="center"/>
    </xf>
    <xf numFmtId="166" fontId="69" fillId="7" borderId="1" xfId="13" applyNumberFormat="1" applyFont="1" applyFill="1" applyBorder="1" applyAlignment="1" applyProtection="1">
      <alignment horizontal="left" vertical="center"/>
    </xf>
    <xf numFmtId="0" fontId="30" fillId="7" borderId="1" xfId="6" applyFont="1" applyFill="1" applyBorder="1" applyAlignment="1">
      <alignment horizontal="center" vertical="center"/>
    </xf>
    <xf numFmtId="166" fontId="28" fillId="7" borderId="1" xfId="7" applyNumberFormat="1" applyFont="1" applyFill="1" applyBorder="1" applyAlignment="1" applyProtection="1">
      <alignment horizontal="left" vertical="center"/>
    </xf>
    <xf numFmtId="166" fontId="26" fillId="7" borderId="1" xfId="7" applyNumberFormat="1" applyFont="1" applyFill="1" applyBorder="1"/>
    <xf numFmtId="166" fontId="29" fillId="7" borderId="1" xfId="7" applyNumberFormat="1" applyFont="1" applyFill="1" applyBorder="1" applyAlignment="1" applyProtection="1">
      <alignment horizontal="left" vertical="center"/>
    </xf>
    <xf numFmtId="166" fontId="8" fillId="7" borderId="1" xfId="7" applyNumberFormat="1" applyFont="1" applyFill="1" applyBorder="1" applyAlignment="1" applyProtection="1">
      <alignment horizontal="center" vertical="center"/>
    </xf>
    <xf numFmtId="167" fontId="29" fillId="7" borderId="1" xfId="6" applyNumberFormat="1" applyFont="1" applyFill="1" applyBorder="1" applyAlignment="1">
      <alignment horizontal="center" vertical="center" wrapText="1"/>
    </xf>
    <xf numFmtId="166" fontId="11" fillId="7" borderId="1" xfId="7" applyNumberFormat="1" applyFont="1" applyFill="1" applyBorder="1" applyAlignment="1" applyProtection="1">
      <alignment horizontal="center" vertical="center"/>
    </xf>
    <xf numFmtId="172" fontId="26" fillId="7" borderId="1" xfId="7" applyNumberFormat="1" applyFont="1" applyFill="1" applyBorder="1"/>
    <xf numFmtId="0" fontId="70" fillId="7" borderId="1" xfId="0" applyFont="1" applyFill="1" applyBorder="1"/>
    <xf numFmtId="49" fontId="29" fillId="7" borderId="1" xfId="18" quotePrefix="1" applyNumberFormat="1" applyFont="1" applyFill="1" applyBorder="1"/>
    <xf numFmtId="0" fontId="71" fillId="7" borderId="1" xfId="0" applyFont="1" applyFill="1" applyBorder="1"/>
    <xf numFmtId="166" fontId="33" fillId="7" borderId="1" xfId="7" applyNumberFormat="1" applyFont="1" applyFill="1" applyBorder="1" applyAlignment="1" applyProtection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Fill="1" applyBorder="1"/>
    <xf numFmtId="0" fontId="0" fillId="0" borderId="9" xfId="0" applyBorder="1"/>
    <xf numFmtId="14" fontId="0" fillId="0" borderId="9" xfId="0" applyNumberFormat="1" applyBorder="1" applyAlignment="1">
      <alignment horizontal="left"/>
    </xf>
    <xf numFmtId="0" fontId="8" fillId="0" borderId="9" xfId="0" applyFont="1" applyFill="1" applyBorder="1"/>
    <xf numFmtId="0" fontId="29" fillId="0" borderId="1" xfId="0" applyFont="1" applyFill="1" applyBorder="1"/>
    <xf numFmtId="0" fontId="29" fillId="0" borderId="31" xfId="0" applyFont="1" applyFill="1" applyBorder="1" applyAlignment="1">
      <alignment horizontal="left" vertical="center"/>
    </xf>
    <xf numFmtId="14" fontId="0" fillId="0" borderId="9" xfId="0" applyNumberFormat="1" applyBorder="1"/>
    <xf numFmtId="0" fontId="29" fillId="6" borderId="1" xfId="0" applyFont="1" applyFill="1" applyBorder="1"/>
    <xf numFmtId="0" fontId="8" fillId="0" borderId="9" xfId="0" quotePrefix="1" applyFont="1" applyFill="1" applyBorder="1" applyAlignment="1">
      <alignment horizontal="left" vertical="center"/>
    </xf>
    <xf numFmtId="14" fontId="0" fillId="0" borderId="9" xfId="0" applyNumberFormat="1" applyFill="1" applyBorder="1"/>
    <xf numFmtId="0" fontId="8" fillId="0" borderId="9" xfId="0" applyFont="1" applyFill="1" applyBorder="1" applyAlignment="1">
      <alignment horizontal="left" vertical="center"/>
    </xf>
    <xf numFmtId="0" fontId="0" fillId="0" borderId="47" xfId="0" applyFill="1" applyBorder="1"/>
    <xf numFmtId="0" fontId="0" fillId="7" borderId="9" xfId="0" applyFill="1" applyBorder="1"/>
    <xf numFmtId="49" fontId="7" fillId="7" borderId="9" xfId="11" quotePrefix="1" applyNumberFormat="1" applyFont="1" applyFill="1" applyBorder="1" applyAlignment="1">
      <alignment horizontal="right"/>
    </xf>
    <xf numFmtId="49" fontId="8" fillId="0" borderId="3" xfId="0" applyNumberFormat="1" applyFont="1" applyFill="1" applyBorder="1" applyAlignment="1">
      <alignment horizontal="centerContinuous"/>
    </xf>
    <xf numFmtId="49" fontId="8" fillId="0" borderId="1" xfId="0" applyNumberFormat="1" applyFont="1" applyFill="1" applyBorder="1" applyAlignment="1">
      <alignment horizontal="center" vertical="center" wrapText="1"/>
    </xf>
    <xf numFmtId="49" fontId="8" fillId="6" borderId="1" xfId="0" applyNumberFormat="1" applyFont="1" applyFill="1" applyBorder="1" applyAlignment="1">
      <alignment horizontal="left" vertical="center"/>
    </xf>
    <xf numFmtId="49" fontId="33" fillId="6" borderId="1" xfId="0" applyNumberFormat="1" applyFont="1" applyFill="1" applyBorder="1" applyAlignment="1">
      <alignment horizontal="left" vertical="center"/>
    </xf>
    <xf numFmtId="49" fontId="29" fillId="6" borderId="1" xfId="0" applyNumberFormat="1" applyFont="1" applyFill="1" applyBorder="1" applyAlignment="1">
      <alignment horizontal="left" vertical="center"/>
    </xf>
    <xf numFmtId="49" fontId="8" fillId="6" borderId="1" xfId="0" quotePrefix="1" applyNumberFormat="1" applyFont="1" applyFill="1" applyBorder="1" applyAlignment="1">
      <alignment horizontal="left" vertical="center"/>
    </xf>
    <xf numFmtId="49" fontId="26" fillId="6" borderId="1" xfId="0" quotePrefix="1" applyNumberFormat="1" applyFont="1" applyFill="1" applyBorder="1" applyAlignment="1">
      <alignment horizontal="left" vertical="center"/>
    </xf>
    <xf numFmtId="49" fontId="33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left" vertical="center"/>
    </xf>
    <xf numFmtId="49" fontId="33" fillId="0" borderId="1" xfId="0" quotePrefix="1" applyNumberFormat="1" applyFont="1" applyFill="1" applyBorder="1" applyAlignment="1">
      <alignment horizontal="left" vertical="center"/>
    </xf>
    <xf numFmtId="49" fontId="8" fillId="0" borderId="1" xfId="0" quotePrefix="1" applyNumberFormat="1" applyFont="1" applyFill="1" applyBorder="1" applyAlignment="1">
      <alignment horizontal="left" vertical="center"/>
    </xf>
    <xf numFmtId="49" fontId="26" fillId="7" borderId="1" xfId="0" applyNumberFormat="1" applyFont="1" applyFill="1" applyBorder="1"/>
    <xf numFmtId="49" fontId="70" fillId="0" borderId="1" xfId="0" quotePrefix="1" applyNumberFormat="1" applyFont="1" applyBorder="1"/>
    <xf numFmtId="49" fontId="9" fillId="0" borderId="1" xfId="0" quotePrefix="1" applyNumberFormat="1" applyFont="1" applyFill="1" applyBorder="1" applyAlignment="1">
      <alignment horizontal="left"/>
    </xf>
    <xf numFmtId="49" fontId="25" fillId="3" borderId="1" xfId="0" applyNumberFormat="1" applyFont="1" applyFill="1" applyBorder="1"/>
    <xf numFmtId="49" fontId="25" fillId="3" borderId="7" xfId="0" applyNumberFormat="1" applyFont="1" applyFill="1" applyBorder="1"/>
    <xf numFmtId="49" fontId="26" fillId="0" borderId="0" xfId="0" applyNumberFormat="1" applyFont="1" applyFill="1"/>
    <xf numFmtId="49" fontId="26" fillId="0" borderId="0" xfId="0" applyNumberFormat="1" applyFont="1"/>
    <xf numFmtId="169" fontId="7" fillId="7" borderId="1" xfId="25" applyNumberFormat="1" applyFont="1" applyFill="1" applyBorder="1" applyAlignment="1">
      <alignment horizontal="center" vertical="center" wrapText="1"/>
    </xf>
    <xf numFmtId="172" fontId="26" fillId="0" borderId="0" xfId="0" applyNumberFormat="1" applyFont="1"/>
    <xf numFmtId="169" fontId="8" fillId="0" borderId="0" xfId="0" applyNumberFormat="1" applyFont="1" applyAlignment="1">
      <alignment horizontal="center"/>
    </xf>
    <xf numFmtId="169" fontId="8" fillId="7" borderId="1" xfId="25" applyNumberFormat="1" applyFont="1" applyFill="1" applyBorder="1" applyAlignment="1">
      <alignment horizontal="right"/>
    </xf>
    <xf numFmtId="10" fontId="0" fillId="0" borderId="0" xfId="44" applyNumberFormat="1" applyFont="1"/>
    <xf numFmtId="1" fontId="8" fillId="0" borderId="0" xfId="0" applyNumberFormat="1" applyFont="1"/>
    <xf numFmtId="0" fontId="0" fillId="7" borderId="1" xfId="0" applyFill="1" applyBorder="1"/>
    <xf numFmtId="0" fontId="40" fillId="0" borderId="44" xfId="0" applyFont="1" applyBorder="1" applyAlignment="1">
      <alignment horizontal="center" vertical="center" textRotation="90" wrapText="1"/>
    </xf>
    <xf numFmtId="0" fontId="0" fillId="0" borderId="47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66" fillId="0" borderId="45" xfId="0" applyFont="1" applyBorder="1" applyAlignment="1">
      <alignment horizontal="center"/>
    </xf>
    <xf numFmtId="0" fontId="65" fillId="0" borderId="3" xfId="0" applyFont="1" applyFill="1" applyBorder="1" applyAlignment="1">
      <alignment horizontal="center" vertical="center" wrapText="1"/>
    </xf>
    <xf numFmtId="0" fontId="65" fillId="0" borderId="1" xfId="0" applyFont="1" applyFill="1" applyBorder="1" applyAlignment="1">
      <alignment horizontal="center" vertical="center" wrapText="1"/>
    </xf>
    <xf numFmtId="0" fontId="65" fillId="0" borderId="2" xfId="0" applyFont="1" applyFill="1" applyBorder="1" applyAlignment="1">
      <alignment horizontal="center" vertical="center" wrapText="1"/>
    </xf>
    <xf numFmtId="0" fontId="65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6" fillId="0" borderId="0" xfId="0" applyFont="1" applyAlignment="1">
      <alignment horizontal="center"/>
    </xf>
    <xf numFmtId="0" fontId="65" fillId="0" borderId="10" xfId="0" applyFont="1" applyFill="1" applyBorder="1" applyAlignment="1">
      <alignment horizontal="center" vertical="center" wrapText="1"/>
    </xf>
    <xf numFmtId="0" fontId="65" fillId="0" borderId="5" xfId="0" applyFont="1" applyFill="1" applyBorder="1" applyAlignment="1">
      <alignment horizontal="center" vertical="center" wrapText="1"/>
    </xf>
    <xf numFmtId="49" fontId="8" fillId="0" borderId="0" xfId="9" applyNumberFormat="1" applyFont="1" applyAlignment="1">
      <alignment horizontal="left" vertical="center" wrapText="1"/>
    </xf>
    <xf numFmtId="49" fontId="7" fillId="0" borderId="25" xfId="9" applyNumberFormat="1" applyFont="1" applyBorder="1" applyAlignment="1">
      <alignment horizontal="center"/>
    </xf>
    <xf numFmtId="49" fontId="7" fillId="0" borderId="16" xfId="9" applyNumberFormat="1" applyFont="1" applyBorder="1" applyAlignment="1">
      <alignment horizontal="center"/>
    </xf>
    <xf numFmtId="49" fontId="7" fillId="0" borderId="2" xfId="9" applyNumberFormat="1" applyFont="1" applyFill="1" applyBorder="1" applyAlignment="1">
      <alignment horizontal="center" vertical="center" wrapText="1"/>
    </xf>
    <xf numFmtId="0" fontId="38" fillId="0" borderId="11" xfId="11" applyFont="1" applyFill="1" applyBorder="1" applyAlignment="1">
      <alignment horizontal="center" vertical="center" wrapText="1"/>
    </xf>
    <xf numFmtId="0" fontId="38" fillId="0" borderId="4" xfId="11" applyFont="1" applyFill="1" applyBorder="1" applyAlignment="1">
      <alignment horizontal="center" vertical="center" wrapText="1"/>
    </xf>
    <xf numFmtId="0" fontId="38" fillId="0" borderId="13" xfId="11" applyFont="1" applyFill="1" applyBorder="1" applyAlignment="1">
      <alignment horizontal="center" vertical="center" wrapText="1"/>
    </xf>
    <xf numFmtId="0" fontId="38" fillId="0" borderId="6" xfId="11" applyFont="1" applyFill="1" applyBorder="1" applyAlignment="1">
      <alignment horizontal="center" vertical="center" wrapText="1"/>
    </xf>
    <xf numFmtId="0" fontId="38" fillId="0" borderId="15" xfId="11" applyFont="1" applyFill="1" applyBorder="1" applyAlignment="1">
      <alignment horizontal="center" vertical="center" wrapText="1"/>
    </xf>
    <xf numFmtId="49" fontId="8" fillId="0" borderId="2" xfId="9" applyNumberFormat="1" applyFont="1" applyFill="1" applyBorder="1" applyAlignment="1">
      <alignment horizontal="center"/>
    </xf>
    <xf numFmtId="49" fontId="8" fillId="0" borderId="10" xfId="9" applyNumberFormat="1" applyFont="1" applyFill="1" applyBorder="1" applyAlignment="1">
      <alignment horizontal="center"/>
    </xf>
    <xf numFmtId="0" fontId="8" fillId="0" borderId="12" xfId="9" applyNumberFormat="1" applyFont="1" applyFill="1" applyBorder="1" applyAlignment="1">
      <alignment horizontal="center"/>
    </xf>
    <xf numFmtId="0" fontId="8" fillId="0" borderId="11" xfId="9" applyNumberFormat="1" applyFont="1" applyFill="1" applyBorder="1" applyAlignment="1">
      <alignment horizontal="center"/>
    </xf>
    <xf numFmtId="49" fontId="7" fillId="0" borderId="22" xfId="9" applyNumberFormat="1" applyFont="1" applyBorder="1" applyAlignment="1">
      <alignment horizontal="left"/>
    </xf>
    <xf numFmtId="49" fontId="7" fillId="0" borderId="23" xfId="9" applyNumberFormat="1" applyFont="1" applyBorder="1" applyAlignment="1">
      <alignment horizontal="left"/>
    </xf>
    <xf numFmtId="49" fontId="7" fillId="3" borderId="25" xfId="9" applyNumberFormat="1" applyFont="1" applyFill="1" applyBorder="1" applyAlignment="1">
      <alignment horizontal="left"/>
    </xf>
    <xf numFmtId="49" fontId="7" fillId="3" borderId="26" xfId="9" applyNumberFormat="1" applyFont="1" applyFill="1" applyBorder="1" applyAlignment="1">
      <alignment horizontal="left"/>
    </xf>
    <xf numFmtId="0" fontId="7" fillId="0" borderId="10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69" fontId="7" fillId="0" borderId="3" xfId="25" applyNumberFormat="1" applyFont="1" applyFill="1" applyBorder="1" applyAlignment="1">
      <alignment horizontal="center" vertical="center" wrapText="1"/>
    </xf>
    <xf numFmtId="169" fontId="7" fillId="0" borderId="1" xfId="25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1" fillId="6" borderId="1" xfId="6" applyFont="1" applyFill="1" applyBorder="1" applyAlignment="1">
      <alignment horizontal="center" vertical="center" wrapText="1"/>
    </xf>
    <xf numFmtId="0" fontId="11" fillId="0" borderId="1" xfId="6" applyFont="1" applyFill="1" applyBorder="1" applyAlignment="1">
      <alignment horizontal="center" vertical="center" wrapText="1"/>
    </xf>
    <xf numFmtId="0" fontId="11" fillId="11" borderId="1" xfId="6" applyFont="1" applyFill="1" applyBorder="1" applyAlignment="1">
      <alignment horizontal="center" vertical="center" wrapText="1"/>
    </xf>
    <xf numFmtId="165" fontId="8" fillId="0" borderId="1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5" fontId="8" fillId="0" borderId="3" xfId="0" applyNumberFormat="1" applyFont="1" applyFill="1" applyBorder="1" applyAlignment="1">
      <alignment horizontal="center" vertical="center" wrapText="1"/>
    </xf>
    <xf numFmtId="165" fontId="8" fillId="0" borderId="3" xfId="0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6" fillId="0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45" fillId="0" borderId="0" xfId="6" applyFont="1" applyFill="1" applyBorder="1" applyAlignment="1">
      <alignment horizontal="center" vertical="center"/>
    </xf>
    <xf numFmtId="0" fontId="27" fillId="0" borderId="2" xfId="6" applyFont="1" applyFill="1" applyBorder="1" applyAlignment="1">
      <alignment horizontal="center" vertical="center" wrapText="1"/>
    </xf>
    <xf numFmtId="0" fontId="27" fillId="0" borderId="4" xfId="6" applyFont="1" applyFill="1" applyBorder="1" applyAlignment="1">
      <alignment horizontal="center" vertical="center" wrapText="1"/>
    </xf>
    <xf numFmtId="0" fontId="27" fillId="0" borderId="3" xfId="6" applyFont="1" applyFill="1" applyBorder="1" applyAlignment="1">
      <alignment horizontal="center" vertical="center" wrapText="1"/>
    </xf>
    <xf numFmtId="0" fontId="27" fillId="0" borderId="1" xfId="6" applyFont="1" applyFill="1" applyBorder="1" applyAlignment="1">
      <alignment horizontal="center" vertical="center" wrapText="1"/>
    </xf>
    <xf numFmtId="0" fontId="27" fillId="0" borderId="0" xfId="6" applyFont="1" applyFill="1" applyAlignment="1">
      <alignment horizontal="center" vertical="center" wrapText="1"/>
    </xf>
    <xf numFmtId="0" fontId="72" fillId="0" borderId="1" xfId="6" applyFont="1" applyFill="1" applyBorder="1" applyAlignment="1">
      <alignment horizontal="center" vertical="center" wrapText="1"/>
    </xf>
    <xf numFmtId="0" fontId="27" fillId="0" borderId="37" xfId="6" applyFont="1" applyFill="1" applyBorder="1" applyAlignment="1">
      <alignment horizontal="center" vertical="center" wrapText="1"/>
    </xf>
    <xf numFmtId="0" fontId="36" fillId="3" borderId="44" xfId="0" applyFont="1" applyFill="1" applyBorder="1" applyAlignment="1">
      <alignment horizontal="center" vertical="center"/>
    </xf>
    <xf numFmtId="0" fontId="36" fillId="3" borderId="52" xfId="0" applyFont="1" applyFill="1" applyBorder="1" applyAlignment="1">
      <alignment horizontal="center" vertical="center"/>
    </xf>
    <xf numFmtId="0" fontId="36" fillId="3" borderId="28" xfId="0" applyFont="1" applyFill="1" applyBorder="1" applyAlignment="1">
      <alignment horizontal="center" vertical="center"/>
    </xf>
    <xf numFmtId="0" fontId="36" fillId="3" borderId="30" xfId="0" applyFont="1" applyFill="1" applyBorder="1" applyAlignment="1">
      <alignment horizontal="center" vertical="center"/>
    </xf>
    <xf numFmtId="49" fontId="27" fillId="0" borderId="11" xfId="6" applyNumberFormat="1" applyFont="1" applyFill="1" applyBorder="1" applyAlignment="1">
      <alignment horizontal="center" vertical="center" wrapText="1"/>
    </xf>
    <xf numFmtId="49" fontId="27" fillId="0" borderId="59" xfId="6" applyNumberFormat="1" applyFont="1" applyFill="1" applyBorder="1" applyAlignment="1">
      <alignment horizontal="center" vertical="center" wrapText="1"/>
    </xf>
    <xf numFmtId="49" fontId="27" fillId="0" borderId="12" xfId="6" applyNumberFormat="1" applyFont="1" applyFill="1" applyBorder="1" applyAlignment="1">
      <alignment horizontal="center" vertical="center" wrapText="1"/>
    </xf>
    <xf numFmtId="49" fontId="27" fillId="5" borderId="11" xfId="6" applyNumberFormat="1" applyFont="1" applyFill="1" applyBorder="1" applyAlignment="1">
      <alignment horizontal="center" vertical="center" wrapText="1"/>
    </xf>
    <xf numFmtId="49" fontId="27" fillId="5" borderId="59" xfId="6" applyNumberFormat="1" applyFont="1" applyFill="1" applyBorder="1" applyAlignment="1">
      <alignment horizontal="center" vertical="center" wrapText="1"/>
    </xf>
    <xf numFmtId="49" fontId="27" fillId="5" borderId="12" xfId="6" applyNumberFormat="1" applyFont="1" applyFill="1" applyBorder="1" applyAlignment="1">
      <alignment horizontal="center" vertical="center" wrapText="1"/>
    </xf>
    <xf numFmtId="49" fontId="27" fillId="5" borderId="3" xfId="6" applyNumberFormat="1" applyFont="1" applyFill="1" applyBorder="1" applyAlignment="1">
      <alignment horizontal="center" vertical="center" wrapText="1"/>
    </xf>
    <xf numFmtId="0" fontId="72" fillId="0" borderId="3" xfId="6" applyFont="1" applyFill="1" applyBorder="1" applyAlignment="1">
      <alignment horizontal="center" vertical="center" wrapText="1"/>
    </xf>
    <xf numFmtId="0" fontId="27" fillId="6" borderId="1" xfId="6" applyFont="1" applyFill="1" applyBorder="1" applyAlignment="1">
      <alignment horizontal="center" vertical="center" wrapText="1"/>
    </xf>
    <xf numFmtId="0" fontId="27" fillId="3" borderId="1" xfId="6" applyFont="1" applyFill="1" applyBorder="1" applyAlignment="1">
      <alignment horizontal="center" vertical="center" wrapText="1"/>
    </xf>
    <xf numFmtId="0" fontId="27" fillId="5" borderId="1" xfId="6" applyFont="1" applyFill="1" applyBorder="1" applyAlignment="1">
      <alignment horizontal="center" vertical="center" wrapText="1"/>
    </xf>
    <xf numFmtId="49" fontId="27" fillId="0" borderId="11" xfId="6" applyNumberFormat="1" applyFont="1" applyFill="1" applyBorder="1" applyAlignment="1">
      <alignment horizontal="center" vertical="center"/>
    </xf>
    <xf numFmtId="49" fontId="27" fillId="0" borderId="59" xfId="6" applyNumberFormat="1" applyFont="1" applyFill="1" applyBorder="1" applyAlignment="1">
      <alignment horizontal="center" vertical="center"/>
    </xf>
    <xf numFmtId="49" fontId="27" fillId="0" borderId="12" xfId="6" applyNumberFormat="1" applyFont="1" applyFill="1" applyBorder="1" applyAlignment="1">
      <alignment horizontal="center" vertical="center"/>
    </xf>
    <xf numFmtId="0" fontId="27" fillId="0" borderId="60" xfId="6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27" fillId="0" borderId="11" xfId="6" applyNumberFormat="1" applyFont="1" applyFill="1" applyBorder="1" applyAlignment="1">
      <alignment horizontal="center" vertical="center"/>
    </xf>
    <xf numFmtId="0" fontId="27" fillId="0" borderId="59" xfId="6" applyNumberFormat="1" applyFont="1" applyFill="1" applyBorder="1" applyAlignment="1">
      <alignment horizontal="center" vertical="center"/>
    </xf>
    <xf numFmtId="0" fontId="27" fillId="0" borderId="12" xfId="6" applyNumberFormat="1" applyFont="1" applyFill="1" applyBorder="1" applyAlignment="1">
      <alignment horizontal="center" vertical="center"/>
    </xf>
    <xf numFmtId="49" fontId="27" fillId="6" borderId="3" xfId="6" applyNumberFormat="1" applyFont="1" applyFill="1" applyBorder="1" applyAlignment="1">
      <alignment horizontal="center" vertical="center" wrapText="1"/>
    </xf>
    <xf numFmtId="49" fontId="27" fillId="0" borderId="3" xfId="6" applyNumberFormat="1" applyFont="1" applyFill="1" applyBorder="1" applyAlignment="1">
      <alignment horizontal="center" vertical="center" wrapText="1"/>
    </xf>
    <xf numFmtId="0" fontId="27" fillId="0" borderId="3" xfId="6" applyFont="1" applyFill="1" applyBorder="1" applyAlignment="1">
      <alignment horizontal="center" vertical="center"/>
    </xf>
    <xf numFmtId="0" fontId="27" fillId="0" borderId="1" xfId="6" applyFont="1" applyFill="1" applyBorder="1" applyAlignment="1">
      <alignment horizontal="center" vertical="center"/>
    </xf>
    <xf numFmtId="0" fontId="27" fillId="0" borderId="11" xfId="6" applyFont="1" applyFill="1" applyBorder="1" applyAlignment="1">
      <alignment horizontal="center" vertical="center"/>
    </xf>
    <xf numFmtId="0" fontId="27" fillId="0" borderId="13" xfId="6" applyFont="1" applyFill="1" applyBorder="1" applyAlignment="1">
      <alignment horizontal="center" vertical="center"/>
    </xf>
    <xf numFmtId="0" fontId="27" fillId="0" borderId="10" xfId="6" applyFont="1" applyFill="1" applyBorder="1" applyAlignment="1">
      <alignment horizontal="center" vertical="center"/>
    </xf>
    <xf numFmtId="0" fontId="27" fillId="0" borderId="5" xfId="6" applyFont="1" applyFill="1" applyBorder="1" applyAlignment="1">
      <alignment horizontal="center" vertical="center"/>
    </xf>
    <xf numFmtId="0" fontId="47" fillId="0" borderId="0" xfId="46" applyFont="1" applyFill="1" applyBorder="1" applyAlignment="1">
      <alignment horizontal="center" vertical="center"/>
    </xf>
    <xf numFmtId="0" fontId="48" fillId="0" borderId="0" xfId="46" applyFont="1" applyFill="1" applyBorder="1" applyAlignment="1">
      <alignment horizontal="center" vertical="center"/>
    </xf>
    <xf numFmtId="0" fontId="18" fillId="0" borderId="0" xfId="46" applyFont="1" applyFill="1" applyBorder="1" applyAlignment="1">
      <alignment horizontal="right" vertical="center"/>
    </xf>
    <xf numFmtId="0" fontId="18" fillId="0" borderId="0" xfId="46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49" fontId="7" fillId="3" borderId="3" xfId="0" applyNumberFormat="1" applyFont="1" applyFill="1" applyBorder="1" applyAlignment="1">
      <alignment horizontal="left" vertical="center" wrapText="1"/>
    </xf>
    <xf numFmtId="49" fontId="8" fillId="3" borderId="1" xfId="0" applyNumberFormat="1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4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9" fontId="7" fillId="4" borderId="3" xfId="0" applyNumberFormat="1" applyFont="1" applyFill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14" fontId="7" fillId="2" borderId="9" xfId="0" applyNumberFormat="1" applyFont="1" applyFill="1" applyBorder="1" applyAlignment="1">
      <alignment horizontal="center"/>
    </xf>
  </cellXfs>
  <cellStyles count="48">
    <cellStyle name="Comma" xfId="7" builtinId="3"/>
    <cellStyle name="Comma [0] 2" xfId="22"/>
    <cellStyle name="Comma [0] 3" xfId="23"/>
    <cellStyle name="Comma [0] 3 2" xfId="24"/>
    <cellStyle name="Comma 2" xfId="1"/>
    <cellStyle name="Comma 2 2" xfId="13"/>
    <cellStyle name="Comma 2 2 2" xfId="45"/>
    <cellStyle name="Comma 2 3" xfId="25"/>
    <cellStyle name="Comma 2 3 3" xfId="14"/>
    <cellStyle name="Comma 3" xfId="2"/>
    <cellStyle name="Comma 3 2" xfId="12"/>
    <cellStyle name="Comma 3 3" xfId="47"/>
    <cellStyle name="Comma 4" xfId="10"/>
    <cellStyle name="Excel Built-in Normal" xfId="6"/>
    <cellStyle name="Excel Built-in Normal 1" xfId="15"/>
    <cellStyle name="Header1" xfId="26"/>
    <cellStyle name="Header2" xfId="27"/>
    <cellStyle name="Normal" xfId="0" builtinId="0"/>
    <cellStyle name="Normal 10" xfId="28"/>
    <cellStyle name="Normal 11" xfId="16"/>
    <cellStyle name="Normal 2" xfId="8"/>
    <cellStyle name="Normal 2 2" xfId="11"/>
    <cellStyle name="Normal 2 2 3" xfId="29"/>
    <cellStyle name="Normal 2 3" xfId="30"/>
    <cellStyle name="Normal 2 3 2" xfId="46"/>
    <cellStyle name="Normal 2_Tổng kết" xfId="31"/>
    <cellStyle name="Normal 21" xfId="17"/>
    <cellStyle name="Normal 28" xfId="18"/>
    <cellStyle name="Normal 3" xfId="3"/>
    <cellStyle name="Normal 3 2" xfId="32"/>
    <cellStyle name="Normal 4" xfId="19"/>
    <cellStyle name="Normal 5" xfId="20"/>
    <cellStyle name="Normal 5 2" xfId="9"/>
    <cellStyle name="Normal 57" xfId="21"/>
    <cellStyle name="Normal 6" xfId="33"/>
    <cellStyle name="Normal 7" xfId="34"/>
    <cellStyle name="Normal 8" xfId="35"/>
    <cellStyle name="Normal 9" xfId="36"/>
    <cellStyle name="Percent" xfId="44" builtinId="5"/>
    <cellStyle name="Percent 2" xfId="4"/>
    <cellStyle name="Percent 2 2" xfId="37"/>
    <cellStyle name="Percent 2 2 2" xfId="38"/>
    <cellStyle name="Percent 2 3" xfId="39"/>
    <cellStyle name="Percent 3" xfId="5"/>
    <cellStyle name="Style 1" xfId="40"/>
    <cellStyle name="桁区切り [0.00] 2" xfId="41"/>
    <cellStyle name="桁区切り 2" xfId="42"/>
    <cellStyle name="標準 2" xfId="43"/>
  </cellStyles>
  <dxfs count="1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8284</xdr:colOff>
      <xdr:row>13</xdr:row>
      <xdr:rowOff>49694</xdr:rowOff>
    </xdr:from>
    <xdr:to>
      <xdr:col>12</xdr:col>
      <xdr:colOff>8089</xdr:colOff>
      <xdr:row>13</xdr:row>
      <xdr:rowOff>155950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63980" y="2832651"/>
          <a:ext cx="322826" cy="1062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&#51116;&#47924;&#48516;&#49437;\&#51116;&#47924;&#48516;&#49437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My%20Documents\CLIENT(&#44048;&#49324;&#48143;%20&#49464;&#47924;&#51312;&#51221;)\3S%20KOREA\&#44592;&#47568;&#44048;&#49324;(01)\3S_0301%20_&#51060;&#50672;&#48277;&#51064;&#49464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nts%20and%20Settings\lmh315\Local%20Settings\Temporary%20Internet%20Files\OLK141\&#50500;&#51060;&#45208;&#48708;UP+&#44288;&#47532;&#45824;&#51109;(20060131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h&#7871;%20Long/Hunting%20service/H&#7843;i%20Ph&#242;ng/KCN%20Tr&#224;ng%20Du&#7879;/Haengsung/Danh%20s&#225;ch%20c&#244;ng%20nh&#226;n%20&#273;i%20l&#224;m/200129%20Haengsung_%20Danh%20s&#225;ch%20c&#244;ng%20nh&#226;n%20&#273;i%20l&#224;m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Zalo%20Received%20Files/Ch&#7845;m%20c&#244;ng%20n&#7897;i%20b&#7897;%20Ginex/200301_Haengsung_%20B&#7843;ng%20l&#432;&#417;ng%20OS%20T3.202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nexuser/Documents/Zalo%20Received%20Files/N&#7897;i%20b&#7897;/200801%20HAE_b&#7843;ng%20c&#244;ng%20T8_chu&#7849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My%20Work\Client\&#45348;&#50724;&#50948;&#51592;\20020630&#48152;&#44592;\&#51312;&#49436;\&#48152;&#44592;_NEO_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lge\AppData\Local\Temp\MTX4467.tmp.mt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nts%20and%20Settings\yjk\Local%20Settings\Temporary%20Internet%20Files\OLK4\DOCUME~1\&#48149;&#51333;&#54868;\LOCALS~1\Temp\&#51088;&#44552;&#49688;&#51648;&#44228;&#54925;V.1.09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~1\&#51060;&#49457;&#50864;\LOCALS~1\Temp\My%20Documents\Clients\&#51452;&#51008;&#49328;&#50629;\(1999)_&#51452;&#51008;&#49328;&#50629;\(&#54924;&#49324;&#51228;&#49884;)&#51116;&#47924;&#51228;&#5436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nts%20and%20Settings\yjk\Local%20Settings\Temporary%20Internet%20Files\OLK4\1.%20THINKWARE\1.%20year%202003\expense\&#51088;&#44552;&#51665;&#54665;&#44228;&#54925;V.1.12.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notes\Audit\&#50689;&#49328;&#51221;&#48372;&#53685;&#49888;\Test\400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nts%20and%20Settings\yjk\Local%20Settings\Temporary%20Internet%20Files\OLK4\Documents%20and%20Settings\tony\Local%20Settings\Temporary%20Internet%20Files\OLK2B\&#51116;&#44256;&#44288;&#47532;&#54532;&#47196;&#44536;&#47016;(2003&#45380;&#46020;10&#50900;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My%20Documents\CLIENT(&#44048;&#49324;&#48143;%20&#49464;&#47924;&#51312;&#51221;)\3S%20KOREA\&#44592;&#47568;&#44048;&#49324;(01)\3S_0301_&#51312;&#494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약대차"/>
      <sheetName val="요약손익"/>
      <sheetName val="요약제조"/>
      <sheetName val="유동성"/>
      <sheetName val="안정성"/>
      <sheetName val="수익"/>
      <sheetName val="수익2"/>
      <sheetName val="활동성"/>
      <sheetName val="부가가치"/>
      <sheetName val="생산성"/>
      <sheetName val="성장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500"/>
      <sheetName val="4530"/>
      <sheetName val="4510당기"/>
      <sheetName val="4520전기"/>
      <sheetName val="T4"/>
      <sheetName val="T23(갑)"/>
      <sheetName val="T23(을)"/>
      <sheetName val="T34"/>
      <sheetName val="T48"/>
      <sheetName val="T48a"/>
      <sheetName val="T5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6">
          <cell r="D16">
            <v>32505000</v>
          </cell>
        </row>
        <row r="28">
          <cell r="D28">
            <v>7935029</v>
          </cell>
        </row>
        <row r="36">
          <cell r="D36">
            <v>1477300</v>
          </cell>
        </row>
        <row r="57">
          <cell r="E57">
            <v>17695249</v>
          </cell>
        </row>
        <row r="64">
          <cell r="D64">
            <v>695000</v>
          </cell>
        </row>
      </sheetData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표"/>
      <sheetName val="UP세트"/>
      <sheetName val="반품현황"/>
      <sheetName val="수출용"/>
      <sheetName val="참고"/>
    </sheetNames>
    <sheetDataSet>
      <sheetData sheetId="0" refreshError="1">
        <row r="1">
          <cell r="B1" t="str">
            <v>제품코드</v>
          </cell>
        </row>
        <row r="2">
          <cell r="B2" t="str">
            <v>AA0100</v>
          </cell>
        </row>
        <row r="3">
          <cell r="B3" t="str">
            <v>AA0200</v>
          </cell>
        </row>
        <row r="4">
          <cell r="B4" t="str">
            <v>AA0300</v>
          </cell>
        </row>
        <row r="5">
          <cell r="B5" t="str">
            <v>PO5000</v>
          </cell>
        </row>
        <row r="6">
          <cell r="B6" t="str">
            <v>PO7000</v>
          </cell>
        </row>
        <row r="7">
          <cell r="B7" t="str">
            <v>PO9000</v>
          </cell>
        </row>
        <row r="8">
          <cell r="B8" t="str">
            <v>UC6100</v>
          </cell>
        </row>
        <row r="9">
          <cell r="B9" t="str">
            <v>UC8100</v>
          </cell>
        </row>
        <row r="10">
          <cell r="B10" t="str">
            <v>UC1100</v>
          </cell>
        </row>
        <row r="11">
          <cell r="B11" t="str">
            <v>UP2000</v>
          </cell>
        </row>
        <row r="12">
          <cell r="B12" t="str">
            <v>UP3000</v>
          </cell>
        </row>
        <row r="13">
          <cell r="B13" t="str">
            <v>UP4000</v>
          </cell>
        </row>
        <row r="14">
          <cell r="B14" t="str">
            <v>UP5000</v>
          </cell>
        </row>
        <row r="15">
          <cell r="B15" t="str">
            <v>UP6000</v>
          </cell>
        </row>
        <row r="16">
          <cell r="B16" t="str">
            <v>UP7000</v>
          </cell>
        </row>
        <row r="17">
          <cell r="B17" t="str">
            <v>MM6300</v>
          </cell>
        </row>
        <row r="18">
          <cell r="B18" t="str">
            <v>MM6100</v>
          </cell>
        </row>
        <row r="19">
          <cell r="B19" t="str">
            <v>MM6200</v>
          </cell>
        </row>
        <row r="20">
          <cell r="B20" t="str">
            <v>FH6200</v>
          </cell>
        </row>
        <row r="21">
          <cell r="B21" t="str">
            <v>FH5200</v>
          </cell>
        </row>
        <row r="22">
          <cell r="B22" t="str">
            <v>BH6400</v>
          </cell>
        </row>
        <row r="23">
          <cell r="B23" t="str">
            <v>BH5400</v>
          </cell>
        </row>
        <row r="24">
          <cell r="B24" t="str">
            <v>BH6300</v>
          </cell>
        </row>
        <row r="25">
          <cell r="B25" t="str">
            <v>BH6100</v>
          </cell>
        </row>
        <row r="26">
          <cell r="B26" t="str">
            <v>BH5200</v>
          </cell>
        </row>
        <row r="27">
          <cell r="B27" t="str">
            <v>CH5200</v>
          </cell>
        </row>
        <row r="28">
          <cell r="B28" t="str">
            <v>CH5201</v>
          </cell>
        </row>
        <row r="29">
          <cell r="B29" t="str">
            <v>TH5400</v>
          </cell>
        </row>
        <row r="30">
          <cell r="B30" t="str">
            <v>RE6100</v>
          </cell>
        </row>
        <row r="31">
          <cell r="B31" t="str">
            <v>RE8100</v>
          </cell>
        </row>
        <row r="32">
          <cell r="B32" t="str">
            <v>RE1100</v>
          </cell>
        </row>
        <row r="33">
          <cell r="B33" t="str">
            <v>RE6101</v>
          </cell>
        </row>
        <row r="34">
          <cell r="B34" t="str">
            <v>RE8101</v>
          </cell>
        </row>
        <row r="35">
          <cell r="B35" t="str">
            <v>RE1101</v>
          </cell>
        </row>
        <row r="36">
          <cell r="B36" t="str">
            <v>RH6601</v>
          </cell>
        </row>
        <row r="37">
          <cell r="B37" t="str">
            <v>RH5202</v>
          </cell>
        </row>
        <row r="38">
          <cell r="B38" t="str">
            <v>RH6202</v>
          </cell>
        </row>
        <row r="39">
          <cell r="B39" t="str">
            <v>RH6400</v>
          </cell>
        </row>
        <row r="40">
          <cell r="B40" t="str">
            <v>RH6401</v>
          </cell>
        </row>
        <row r="41">
          <cell r="B41" t="str">
            <v>IB3100</v>
          </cell>
        </row>
        <row r="42">
          <cell r="B42" t="str">
            <v>IB5100</v>
          </cell>
        </row>
        <row r="43">
          <cell r="B43" t="str">
            <v>RP5006</v>
          </cell>
        </row>
        <row r="44">
          <cell r="B44" t="str">
            <v>RP6006</v>
          </cell>
        </row>
        <row r="45">
          <cell r="B45" t="str">
            <v>RP6007</v>
          </cell>
        </row>
        <row r="46">
          <cell r="B46" t="str">
            <v>BP5002</v>
          </cell>
        </row>
        <row r="47">
          <cell r="B47" t="str">
            <v>BP6002</v>
          </cell>
        </row>
        <row r="48">
          <cell r="B48" t="str">
            <v>CP5002</v>
          </cell>
        </row>
        <row r="49">
          <cell r="B49" t="str">
            <v>CP6002</v>
          </cell>
        </row>
        <row r="50">
          <cell r="B50" t="str">
            <v>FP5000</v>
          </cell>
        </row>
        <row r="51">
          <cell r="B51" t="str">
            <v>FP6000</v>
          </cell>
        </row>
        <row r="52">
          <cell r="B52" t="str">
            <v>TP5000</v>
          </cell>
        </row>
        <row r="53">
          <cell r="B53" t="str">
            <v>TP6000</v>
          </cell>
        </row>
        <row r="54">
          <cell r="B54" t="str">
            <v>SP6100</v>
          </cell>
        </row>
        <row r="55">
          <cell r="B55" t="str">
            <v>SP6200</v>
          </cell>
        </row>
        <row r="56">
          <cell r="B56" t="str">
            <v>SP6101</v>
          </cell>
        </row>
        <row r="57">
          <cell r="B57" t="str">
            <v>SP6201</v>
          </cell>
        </row>
        <row r="58">
          <cell r="B58" t="str">
            <v>SP6102</v>
          </cell>
        </row>
        <row r="59">
          <cell r="B59" t="str">
            <v>SP6202</v>
          </cell>
        </row>
        <row r="60">
          <cell r="B60" t="str">
            <v>SP6103</v>
          </cell>
        </row>
        <row r="61">
          <cell r="B61" t="str">
            <v>SP6203</v>
          </cell>
        </row>
        <row r="62">
          <cell r="B62" t="str">
            <v>SP6104</v>
          </cell>
        </row>
        <row r="63">
          <cell r="B63" t="str">
            <v>OP0000</v>
          </cell>
        </row>
        <row r="64">
          <cell r="B64" t="str">
            <v>EK5000</v>
          </cell>
        </row>
        <row r="65">
          <cell r="B65" t="str">
            <v>EK6000</v>
          </cell>
        </row>
        <row r="66">
          <cell r="B66" t="str">
            <v>HK3000</v>
          </cell>
        </row>
        <row r="67">
          <cell r="B67" t="str">
            <v>HK5000</v>
          </cell>
        </row>
        <row r="68">
          <cell r="B68" t="str">
            <v>NK3000</v>
          </cell>
        </row>
        <row r="69">
          <cell r="B69" t="str">
            <v>NK5000</v>
          </cell>
        </row>
        <row r="70">
          <cell r="B70" t="str">
            <v>NK5001</v>
          </cell>
        </row>
        <row r="71">
          <cell r="B71" t="str">
            <v>SK4000</v>
          </cell>
        </row>
        <row r="72">
          <cell r="B72" t="str">
            <v>SK6000</v>
          </cell>
        </row>
        <row r="73">
          <cell r="B73" t="str">
            <v>IK3000</v>
          </cell>
        </row>
        <row r="74">
          <cell r="B74" t="str">
            <v>IK5000</v>
          </cell>
        </row>
        <row r="75">
          <cell r="B75" t="str">
            <v>MK3000</v>
          </cell>
        </row>
        <row r="76">
          <cell r="B76" t="str">
            <v>MK5000</v>
          </cell>
        </row>
        <row r="77">
          <cell r="B77" t="str">
            <v>EK6001</v>
          </cell>
        </row>
        <row r="78">
          <cell r="B78" t="str">
            <v>CE0001</v>
          </cell>
        </row>
        <row r="79">
          <cell r="B79" t="str">
            <v>CE0000</v>
          </cell>
        </row>
        <row r="80">
          <cell r="B80" t="str">
            <v>CE0002</v>
          </cell>
        </row>
        <row r="81">
          <cell r="B81" t="str">
            <v>CE0003</v>
          </cell>
        </row>
        <row r="82">
          <cell r="B82" t="str">
            <v>CE0004</v>
          </cell>
        </row>
        <row r="83">
          <cell r="B83" t="str">
            <v>CE0005</v>
          </cell>
        </row>
        <row r="84">
          <cell r="B84" t="str">
            <v>CE0007</v>
          </cell>
        </row>
        <row r="85">
          <cell r="B85" t="str">
            <v>CE0006</v>
          </cell>
        </row>
        <row r="86">
          <cell r="B86" t="str">
            <v>PE0001</v>
          </cell>
        </row>
        <row r="87">
          <cell r="B87" t="str">
            <v>PE0002</v>
          </cell>
        </row>
        <row r="88">
          <cell r="B88" t="str">
            <v>PE0003</v>
          </cell>
        </row>
        <row r="89">
          <cell r="B89" t="str">
            <v>PE0004</v>
          </cell>
        </row>
        <row r="90">
          <cell r="B90" t="str">
            <v>PE0005</v>
          </cell>
        </row>
        <row r="91">
          <cell r="B91" t="str">
            <v>ZAM001</v>
          </cell>
        </row>
        <row r="92">
          <cell r="B92" t="str">
            <v>ZAM002</v>
          </cell>
        </row>
        <row r="93">
          <cell r="B93" t="str">
            <v>ZAM003</v>
          </cell>
        </row>
        <row r="94">
          <cell r="B94" t="str">
            <v>ZAM004</v>
          </cell>
        </row>
        <row r="95">
          <cell r="B95" t="str">
            <v>ZAM005</v>
          </cell>
        </row>
        <row r="96">
          <cell r="B96" t="str">
            <v>ZAM006</v>
          </cell>
        </row>
        <row r="97">
          <cell r="B97" t="str">
            <v>ZAM011</v>
          </cell>
        </row>
        <row r="98">
          <cell r="B98" t="str">
            <v>ZAM016</v>
          </cell>
        </row>
        <row r="99">
          <cell r="B99" t="str">
            <v>ZAM007</v>
          </cell>
        </row>
        <row r="100">
          <cell r="B100" t="str">
            <v>ZAM019</v>
          </cell>
        </row>
        <row r="101">
          <cell r="B101" t="str">
            <v>ZAM008</v>
          </cell>
        </row>
        <row r="102">
          <cell r="B102" t="str">
            <v>ZAM009</v>
          </cell>
        </row>
        <row r="103">
          <cell r="B103" t="str">
            <v>ZAM010</v>
          </cell>
        </row>
        <row r="104">
          <cell r="B104" t="str">
            <v>ZAM017</v>
          </cell>
        </row>
        <row r="105">
          <cell r="B105" t="str">
            <v>ZAM012</v>
          </cell>
        </row>
        <row r="106">
          <cell r="B106" t="str">
            <v>ZAM018</v>
          </cell>
        </row>
        <row r="107">
          <cell r="B107" t="str">
            <v>ZAM022</v>
          </cell>
        </row>
        <row r="108">
          <cell r="B108" t="str">
            <v>ZAM023</v>
          </cell>
        </row>
        <row r="109">
          <cell r="B109" t="str">
            <v>ZAM024</v>
          </cell>
        </row>
        <row r="110">
          <cell r="B110" t="str">
            <v>ZAM025</v>
          </cell>
        </row>
        <row r="111">
          <cell r="B111" t="str">
            <v>ZAM026</v>
          </cell>
        </row>
        <row r="112">
          <cell r="B112" t="str">
            <v>ZAM027</v>
          </cell>
        </row>
        <row r="113">
          <cell r="B113" t="str">
            <v>ZAM028</v>
          </cell>
        </row>
        <row r="114">
          <cell r="B114" t="str">
            <v>ZAM029</v>
          </cell>
        </row>
        <row r="115">
          <cell r="B115" t="str">
            <v>ZAM013</v>
          </cell>
        </row>
        <row r="116">
          <cell r="B116" t="str">
            <v>ZAM014</v>
          </cell>
        </row>
        <row r="117">
          <cell r="B117" t="str">
            <v>ZAM015</v>
          </cell>
        </row>
        <row r="118">
          <cell r="B118" t="str">
            <v>ZAM021</v>
          </cell>
        </row>
        <row r="119">
          <cell r="B119" t="str">
            <v>ZAM020</v>
          </cell>
        </row>
        <row r="120">
          <cell r="B120" t="str">
            <v>ZAG001</v>
          </cell>
        </row>
        <row r="121">
          <cell r="B121" t="str">
            <v>ZAG002</v>
          </cell>
        </row>
        <row r="122">
          <cell r="B122" t="str">
            <v>ZAG003</v>
          </cell>
        </row>
        <row r="123">
          <cell r="B123" t="str">
            <v>ZAG004</v>
          </cell>
        </row>
        <row r="124">
          <cell r="B124" t="str">
            <v>ZAG005</v>
          </cell>
        </row>
        <row r="125">
          <cell r="B125" t="str">
            <v>ZAG006</v>
          </cell>
        </row>
        <row r="126">
          <cell r="B126" t="str">
            <v>ZAG007</v>
          </cell>
        </row>
        <row r="127">
          <cell r="B127" t="str">
            <v>ZAG008</v>
          </cell>
        </row>
        <row r="128">
          <cell r="B128" t="str">
            <v>ZAG009</v>
          </cell>
        </row>
        <row r="129">
          <cell r="B129" t="str">
            <v>ZAG041</v>
          </cell>
        </row>
        <row r="130">
          <cell r="B130" t="str">
            <v>ZAG042</v>
          </cell>
        </row>
        <row r="131">
          <cell r="B131" t="str">
            <v>ZAG043</v>
          </cell>
        </row>
        <row r="132">
          <cell r="B132" t="str">
            <v>ZAG010</v>
          </cell>
        </row>
        <row r="133">
          <cell r="B133" t="str">
            <v>ZAG011</v>
          </cell>
        </row>
        <row r="134">
          <cell r="B134" t="str">
            <v>ZAG012</v>
          </cell>
        </row>
        <row r="135">
          <cell r="B135" t="str">
            <v>ZAG013</v>
          </cell>
        </row>
        <row r="136">
          <cell r="B136" t="str">
            <v>ZAG036</v>
          </cell>
        </row>
        <row r="137">
          <cell r="B137" t="str">
            <v>ZAG037</v>
          </cell>
        </row>
        <row r="138">
          <cell r="B138" t="str">
            <v>ZAG014</v>
          </cell>
        </row>
        <row r="139">
          <cell r="B139" t="str">
            <v>ZAG015</v>
          </cell>
        </row>
        <row r="140">
          <cell r="B140" t="str">
            <v>ZAG016</v>
          </cell>
        </row>
        <row r="141">
          <cell r="B141" t="str">
            <v>ZAG017</v>
          </cell>
        </row>
        <row r="142">
          <cell r="B142" t="str">
            <v>ZAG040</v>
          </cell>
        </row>
        <row r="143">
          <cell r="B143" t="str">
            <v>ZAG018</v>
          </cell>
        </row>
        <row r="144">
          <cell r="B144" t="str">
            <v>ZAG029</v>
          </cell>
        </row>
        <row r="145">
          <cell r="B145" t="str">
            <v>ZAG030</v>
          </cell>
        </row>
        <row r="146">
          <cell r="B146" t="str">
            <v>ZAG031</v>
          </cell>
        </row>
        <row r="147">
          <cell r="B147" t="str">
            <v>ZAG033</v>
          </cell>
        </row>
        <row r="148">
          <cell r="B148" t="str">
            <v>ZAG034</v>
          </cell>
        </row>
        <row r="149">
          <cell r="B149" t="str">
            <v>ZAG019</v>
          </cell>
        </row>
        <row r="150">
          <cell r="B150" t="str">
            <v>ZAG020</v>
          </cell>
        </row>
        <row r="151">
          <cell r="B151" t="str">
            <v>ZAG021</v>
          </cell>
        </row>
        <row r="152">
          <cell r="B152" t="str">
            <v>ZAG022</v>
          </cell>
        </row>
        <row r="153">
          <cell r="B153" t="str">
            <v>ZAG023</v>
          </cell>
        </row>
        <row r="154">
          <cell r="B154" t="str">
            <v>ZAG024</v>
          </cell>
        </row>
        <row r="155">
          <cell r="B155" t="str">
            <v>ZAG025</v>
          </cell>
        </row>
        <row r="156">
          <cell r="B156" t="str">
            <v>ZAG026</v>
          </cell>
        </row>
        <row r="157">
          <cell r="B157" t="str">
            <v>ZAG027</v>
          </cell>
        </row>
        <row r="158">
          <cell r="B158" t="str">
            <v>ZAG028</v>
          </cell>
        </row>
        <row r="159">
          <cell r="B159" t="str">
            <v>ZAG035</v>
          </cell>
        </row>
        <row r="160">
          <cell r="B160" t="str">
            <v>ZAG038</v>
          </cell>
        </row>
        <row r="161">
          <cell r="B161" t="str">
            <v>ZAG039</v>
          </cell>
        </row>
        <row r="162">
          <cell r="B162" t="str">
            <v>ZAP001</v>
          </cell>
        </row>
        <row r="163">
          <cell r="B163" t="str">
            <v>ZAP002</v>
          </cell>
        </row>
        <row r="164">
          <cell r="B164" t="str">
            <v>ZAP003</v>
          </cell>
        </row>
        <row r="165">
          <cell r="B165" t="str">
            <v>ZAP027</v>
          </cell>
        </row>
        <row r="166">
          <cell r="B166" t="str">
            <v>ZAP004</v>
          </cell>
        </row>
        <row r="167">
          <cell r="B167" t="str">
            <v>ZAP005</v>
          </cell>
        </row>
        <row r="168">
          <cell r="B168" t="str">
            <v>ZAP006</v>
          </cell>
        </row>
        <row r="169">
          <cell r="B169" t="str">
            <v>ZAP026</v>
          </cell>
        </row>
        <row r="170">
          <cell r="B170" t="str">
            <v>ZAP007</v>
          </cell>
        </row>
        <row r="171">
          <cell r="B171" t="str">
            <v>ZAP008</v>
          </cell>
        </row>
        <row r="172">
          <cell r="B172" t="str">
            <v>ZAP009</v>
          </cell>
        </row>
        <row r="173">
          <cell r="B173" t="str">
            <v>ZAP010</v>
          </cell>
        </row>
        <row r="174">
          <cell r="B174" t="str">
            <v>ZAP028</v>
          </cell>
        </row>
        <row r="175">
          <cell r="B175" t="str">
            <v>ZAP029</v>
          </cell>
        </row>
        <row r="176">
          <cell r="B176" t="str">
            <v>ZAP030</v>
          </cell>
        </row>
        <row r="177">
          <cell r="B177" t="str">
            <v>ZAP031</v>
          </cell>
        </row>
        <row r="178">
          <cell r="B178" t="str">
            <v>ZAP032</v>
          </cell>
        </row>
        <row r="179">
          <cell r="B179" t="str">
            <v>ZAP033</v>
          </cell>
        </row>
        <row r="180">
          <cell r="B180" t="str">
            <v>ZAP011</v>
          </cell>
        </row>
        <row r="181">
          <cell r="B181" t="str">
            <v>ZAP012</v>
          </cell>
        </row>
        <row r="182">
          <cell r="B182" t="str">
            <v>ZAP013</v>
          </cell>
        </row>
        <row r="183">
          <cell r="B183" t="str">
            <v>ZAP014</v>
          </cell>
        </row>
        <row r="184">
          <cell r="B184" t="str">
            <v>ZAP015</v>
          </cell>
        </row>
        <row r="185">
          <cell r="B185" t="str">
            <v>ZAP016</v>
          </cell>
        </row>
        <row r="186">
          <cell r="B186" t="str">
            <v>ZAP017</v>
          </cell>
        </row>
        <row r="187">
          <cell r="B187" t="str">
            <v>ZAP018</v>
          </cell>
        </row>
        <row r="188">
          <cell r="B188" t="str">
            <v>ZAP019</v>
          </cell>
        </row>
        <row r="189">
          <cell r="B189" t="str">
            <v>ZAP020</v>
          </cell>
        </row>
        <row r="190">
          <cell r="B190" t="str">
            <v>ZAP021</v>
          </cell>
        </row>
        <row r="191">
          <cell r="B191" t="str">
            <v>ZAP022</v>
          </cell>
        </row>
        <row r="192">
          <cell r="B192" t="str">
            <v>ZAP023</v>
          </cell>
        </row>
        <row r="193">
          <cell r="B193" t="str">
            <v>ZAP024</v>
          </cell>
        </row>
        <row r="194">
          <cell r="B194" t="str">
            <v>ZAP025</v>
          </cell>
        </row>
        <row r="195">
          <cell r="B195" t="str">
            <v>ZAC001</v>
          </cell>
        </row>
        <row r="196">
          <cell r="B196" t="str">
            <v>ZAC002</v>
          </cell>
        </row>
        <row r="197">
          <cell r="B197" t="str">
            <v>ZAC003</v>
          </cell>
        </row>
        <row r="198">
          <cell r="B198" t="str">
            <v>ZAC006</v>
          </cell>
        </row>
        <row r="199">
          <cell r="B199" t="str">
            <v>ZAC007</v>
          </cell>
        </row>
        <row r="200">
          <cell r="B200" t="str">
            <v>ZAC008</v>
          </cell>
        </row>
        <row r="201">
          <cell r="B201" t="str">
            <v>ZAC009</v>
          </cell>
        </row>
        <row r="202">
          <cell r="B202" t="str">
            <v>ZAC010</v>
          </cell>
        </row>
        <row r="203">
          <cell r="B203" t="str">
            <v>ZAC011</v>
          </cell>
        </row>
        <row r="204">
          <cell r="B204" t="str">
            <v>ZAC004</v>
          </cell>
        </row>
        <row r="205">
          <cell r="B205" t="str">
            <v>ZAC005</v>
          </cell>
        </row>
        <row r="206">
          <cell r="B206" t="str">
            <v>ZBC001</v>
          </cell>
        </row>
        <row r="207">
          <cell r="B207" t="str">
            <v>ZBC002</v>
          </cell>
        </row>
        <row r="208">
          <cell r="B208" t="str">
            <v>ZBC003</v>
          </cell>
        </row>
        <row r="209">
          <cell r="B209" t="str">
            <v>ZBC004</v>
          </cell>
        </row>
        <row r="210">
          <cell r="B210" t="str">
            <v>ZBC005</v>
          </cell>
        </row>
        <row r="211">
          <cell r="B211" t="str">
            <v>ZBC006</v>
          </cell>
        </row>
        <row r="212">
          <cell r="B212" t="str">
            <v>ZBC007</v>
          </cell>
        </row>
        <row r="213">
          <cell r="B213" t="str">
            <v>ZBC008</v>
          </cell>
        </row>
        <row r="214">
          <cell r="B214" t="str">
            <v>ZBC009</v>
          </cell>
        </row>
        <row r="215">
          <cell r="B215" t="str">
            <v>ZBC010</v>
          </cell>
        </row>
        <row r="216">
          <cell r="B216" t="str">
            <v>ZBC011</v>
          </cell>
        </row>
        <row r="217">
          <cell r="B217" t="str">
            <v>ZBC012</v>
          </cell>
        </row>
        <row r="218">
          <cell r="B218" t="str">
            <v>ZBC013</v>
          </cell>
        </row>
        <row r="219">
          <cell r="B219" t="str">
            <v>ZBC014</v>
          </cell>
        </row>
        <row r="220">
          <cell r="B220" t="str">
            <v>ZBC015</v>
          </cell>
        </row>
        <row r="221">
          <cell r="B221" t="str">
            <v>ZBA001</v>
          </cell>
        </row>
        <row r="222">
          <cell r="B222" t="str">
            <v>ZBA002</v>
          </cell>
        </row>
        <row r="223">
          <cell r="B223" t="str">
            <v>ZBA003</v>
          </cell>
        </row>
        <row r="224">
          <cell r="B224" t="str">
            <v>ZBA004</v>
          </cell>
        </row>
        <row r="225">
          <cell r="B225" t="str">
            <v>ZBA020</v>
          </cell>
        </row>
        <row r="226">
          <cell r="B226" t="str">
            <v>ZBA021</v>
          </cell>
        </row>
        <row r="227">
          <cell r="B227" t="str">
            <v>ZBA005</v>
          </cell>
        </row>
        <row r="228">
          <cell r="B228" t="str">
            <v>ZBA022</v>
          </cell>
        </row>
        <row r="229">
          <cell r="B229" t="str">
            <v>ZBA008</v>
          </cell>
        </row>
        <row r="230">
          <cell r="B230" t="str">
            <v>ZBA009</v>
          </cell>
        </row>
        <row r="231">
          <cell r="B231" t="str">
            <v>ZBA010</v>
          </cell>
        </row>
        <row r="232">
          <cell r="B232" t="str">
            <v>ZBA011</v>
          </cell>
        </row>
        <row r="233">
          <cell r="B233" t="str">
            <v>ZBA012</v>
          </cell>
        </row>
        <row r="234">
          <cell r="B234" t="str">
            <v>ZBA013</v>
          </cell>
        </row>
        <row r="235">
          <cell r="B235" t="str">
            <v>ZBA023</v>
          </cell>
        </row>
        <row r="236">
          <cell r="B236" t="str">
            <v>ZBA024</v>
          </cell>
        </row>
        <row r="237">
          <cell r="B237" t="str">
            <v>ZBA025</v>
          </cell>
        </row>
        <row r="238">
          <cell r="B238" t="str">
            <v>ZBA026</v>
          </cell>
        </row>
        <row r="239">
          <cell r="B239" t="str">
            <v>ZBA027</v>
          </cell>
        </row>
        <row r="240">
          <cell r="B240" t="str">
            <v>ZBA014</v>
          </cell>
        </row>
        <row r="241">
          <cell r="B241" t="str">
            <v>ZBA019</v>
          </cell>
        </row>
        <row r="242">
          <cell r="B242" t="str">
            <v>ZBA006</v>
          </cell>
        </row>
        <row r="243">
          <cell r="B243" t="str">
            <v>ZBA007</v>
          </cell>
        </row>
        <row r="244">
          <cell r="B244" t="str">
            <v>ZBA015</v>
          </cell>
        </row>
        <row r="245">
          <cell r="B245" t="str">
            <v>ZBA016</v>
          </cell>
        </row>
        <row r="246">
          <cell r="B246" t="str">
            <v>ZBA017</v>
          </cell>
        </row>
        <row r="247">
          <cell r="B247" t="str">
            <v>ZBA018</v>
          </cell>
        </row>
        <row r="248">
          <cell r="B248" t="str">
            <v>ZBS001</v>
          </cell>
        </row>
        <row r="249">
          <cell r="B249" t="str">
            <v>ZBS002</v>
          </cell>
        </row>
        <row r="250">
          <cell r="B250" t="str">
            <v>ZBS043</v>
          </cell>
        </row>
        <row r="251">
          <cell r="B251" t="str">
            <v>ZBS040</v>
          </cell>
        </row>
        <row r="252">
          <cell r="B252" t="str">
            <v>ZBS005</v>
          </cell>
        </row>
        <row r="253">
          <cell r="B253" t="str">
            <v>ZBS006</v>
          </cell>
        </row>
        <row r="254">
          <cell r="B254" t="str">
            <v>ZBS007</v>
          </cell>
        </row>
        <row r="255">
          <cell r="B255" t="str">
            <v>ZBS008</v>
          </cell>
        </row>
        <row r="256">
          <cell r="B256" t="str">
            <v>ZBS009</v>
          </cell>
        </row>
        <row r="257">
          <cell r="B257" t="str">
            <v>ZBS010</v>
          </cell>
        </row>
        <row r="258">
          <cell r="B258" t="str">
            <v>ZBS011</v>
          </cell>
        </row>
        <row r="259">
          <cell r="B259" t="str">
            <v>ZBS039</v>
          </cell>
        </row>
        <row r="260">
          <cell r="B260" t="str">
            <v>ZBS012</v>
          </cell>
        </row>
        <row r="261">
          <cell r="B261" t="str">
            <v>ZBS013</v>
          </cell>
        </row>
        <row r="262">
          <cell r="B262" t="str">
            <v>ZBS042</v>
          </cell>
        </row>
        <row r="263">
          <cell r="B263" t="str">
            <v>ZBS017</v>
          </cell>
        </row>
        <row r="264">
          <cell r="B264" t="str">
            <v>ZBS018</v>
          </cell>
        </row>
        <row r="265">
          <cell r="B265" t="str">
            <v>ZBS019</v>
          </cell>
        </row>
        <row r="266">
          <cell r="B266" t="str">
            <v>ZBS020</v>
          </cell>
        </row>
        <row r="267">
          <cell r="B267" t="str">
            <v>ZBS021</v>
          </cell>
        </row>
        <row r="268">
          <cell r="B268" t="str">
            <v>ZBS022</v>
          </cell>
        </row>
        <row r="269">
          <cell r="B269" t="str">
            <v>ZBS044</v>
          </cell>
        </row>
        <row r="270">
          <cell r="B270" t="str">
            <v>ZBS023</v>
          </cell>
        </row>
        <row r="271">
          <cell r="B271" t="str">
            <v>ZBS024</v>
          </cell>
        </row>
        <row r="272">
          <cell r="B272" t="str">
            <v>ZBS025</v>
          </cell>
        </row>
        <row r="273">
          <cell r="B273" t="str">
            <v>ZBS026</v>
          </cell>
        </row>
        <row r="274">
          <cell r="B274" t="str">
            <v>ZBS041</v>
          </cell>
        </row>
        <row r="275">
          <cell r="B275" t="str">
            <v>ZBS028</v>
          </cell>
        </row>
        <row r="276">
          <cell r="B276" t="str">
            <v>ZBS029</v>
          </cell>
        </row>
        <row r="277">
          <cell r="B277" t="str">
            <v>ZBS032</v>
          </cell>
        </row>
        <row r="278">
          <cell r="B278" t="str">
            <v>ZBS033</v>
          </cell>
        </row>
        <row r="279">
          <cell r="B279" t="str">
            <v>ZBS030</v>
          </cell>
        </row>
        <row r="280">
          <cell r="B280" t="str">
            <v>ZBS031</v>
          </cell>
        </row>
        <row r="281">
          <cell r="B281" t="str">
            <v>ZBS034</v>
          </cell>
        </row>
        <row r="282">
          <cell r="B282" t="str">
            <v>ZBS035</v>
          </cell>
        </row>
        <row r="283">
          <cell r="B283" t="str">
            <v>ZBS036</v>
          </cell>
        </row>
        <row r="284">
          <cell r="B284" t="str">
            <v>ZBS037</v>
          </cell>
        </row>
        <row r="285">
          <cell r="B285" t="str">
            <v>ZBS014</v>
          </cell>
        </row>
        <row r="286">
          <cell r="B286" t="str">
            <v>ZBS015</v>
          </cell>
        </row>
        <row r="287">
          <cell r="B287" t="str">
            <v>ZBS016</v>
          </cell>
        </row>
        <row r="288">
          <cell r="B288" t="str">
            <v>ZBS038</v>
          </cell>
        </row>
        <row r="289">
          <cell r="B289" t="str">
            <v>ZBS027</v>
          </cell>
        </row>
        <row r="290">
          <cell r="B290" t="str">
            <v>ZBS003</v>
          </cell>
        </row>
        <row r="291">
          <cell r="B291" t="str">
            <v>ZBS004</v>
          </cell>
        </row>
        <row r="292">
          <cell r="B292" t="str">
            <v>ZBM001</v>
          </cell>
        </row>
        <row r="293">
          <cell r="B293" t="str">
            <v>ZBM002</v>
          </cell>
        </row>
        <row r="294">
          <cell r="B294" t="str">
            <v>ZBM003</v>
          </cell>
        </row>
        <row r="295">
          <cell r="B295" t="str">
            <v>ZBM015</v>
          </cell>
        </row>
        <row r="296">
          <cell r="B296" t="str">
            <v>ZBM016</v>
          </cell>
        </row>
        <row r="297">
          <cell r="B297" t="str">
            <v>ZBM010</v>
          </cell>
        </row>
        <row r="298">
          <cell r="B298" t="str">
            <v>ZBM011</v>
          </cell>
        </row>
        <row r="299">
          <cell r="B299" t="str">
            <v>ZBM012</v>
          </cell>
        </row>
        <row r="300">
          <cell r="B300" t="str">
            <v>ZBM004</v>
          </cell>
        </row>
        <row r="301">
          <cell r="B301" t="str">
            <v>ZBM005</v>
          </cell>
        </row>
        <row r="302">
          <cell r="B302" t="str">
            <v>ZBM006</v>
          </cell>
        </row>
        <row r="303">
          <cell r="B303" t="str">
            <v>ZBM007</v>
          </cell>
        </row>
        <row r="304">
          <cell r="B304" t="str">
            <v>ZBM008</v>
          </cell>
        </row>
        <row r="305">
          <cell r="B305" t="str">
            <v>ZBM009</v>
          </cell>
        </row>
        <row r="306">
          <cell r="B306" t="str">
            <v>ZBM013</v>
          </cell>
        </row>
        <row r="307">
          <cell r="B307" t="str">
            <v>ZBM014</v>
          </cell>
        </row>
        <row r="308">
          <cell r="B308" t="str">
            <v>ZBD001</v>
          </cell>
        </row>
        <row r="309">
          <cell r="B309" t="str">
            <v>ZBD002</v>
          </cell>
        </row>
        <row r="310">
          <cell r="B310" t="str">
            <v>ZBD003</v>
          </cell>
        </row>
        <row r="311">
          <cell r="B311" t="str">
            <v>ZBB001</v>
          </cell>
        </row>
        <row r="312">
          <cell r="B312" t="str">
            <v>ZBB021</v>
          </cell>
        </row>
        <row r="313">
          <cell r="B313" t="str">
            <v>ZBB012</v>
          </cell>
        </row>
        <row r="314">
          <cell r="B314" t="str">
            <v>ZBB013</v>
          </cell>
        </row>
        <row r="315">
          <cell r="B315" t="str">
            <v>ZBB002</v>
          </cell>
        </row>
        <row r="316">
          <cell r="B316" t="str">
            <v>ZBB003</v>
          </cell>
        </row>
        <row r="317">
          <cell r="B317" t="str">
            <v>ZBB004</v>
          </cell>
        </row>
        <row r="318">
          <cell r="B318" t="str">
            <v>ZBB010</v>
          </cell>
        </row>
        <row r="319">
          <cell r="B319" t="str">
            <v>ZBB011</v>
          </cell>
        </row>
        <row r="320">
          <cell r="B320" t="str">
            <v>ZBB022</v>
          </cell>
        </row>
        <row r="321">
          <cell r="B321" t="str">
            <v>ZBB014</v>
          </cell>
        </row>
        <row r="322">
          <cell r="B322" t="str">
            <v>ZBB005</v>
          </cell>
        </row>
        <row r="323">
          <cell r="B323" t="str">
            <v>ZBB006</v>
          </cell>
        </row>
        <row r="324">
          <cell r="B324" t="str">
            <v>ZBB007</v>
          </cell>
        </row>
        <row r="325">
          <cell r="B325" t="str">
            <v>ZBB008</v>
          </cell>
        </row>
        <row r="326">
          <cell r="B326" t="str">
            <v>ZBB009</v>
          </cell>
        </row>
        <row r="327">
          <cell r="B327" t="str">
            <v>ZBB015</v>
          </cell>
        </row>
        <row r="328">
          <cell r="B328" t="str">
            <v>ZBB016</v>
          </cell>
        </row>
        <row r="329">
          <cell r="B329" t="str">
            <v>ZBB017</v>
          </cell>
        </row>
        <row r="330">
          <cell r="B330" t="str">
            <v>ZBB018</v>
          </cell>
        </row>
        <row r="331">
          <cell r="B331" t="str">
            <v>ZBB019</v>
          </cell>
        </row>
        <row r="332">
          <cell r="B332" t="str">
            <v>ZBB020</v>
          </cell>
        </row>
        <row r="333">
          <cell r="B333" t="str">
            <v>ZBM017</v>
          </cell>
        </row>
        <row r="334">
          <cell r="B334" t="str">
            <v>ZBM018</v>
          </cell>
        </row>
        <row r="335">
          <cell r="B335" t="str">
            <v>ZBM019</v>
          </cell>
        </row>
        <row r="336">
          <cell r="B336" t="str">
            <v>ZBM020</v>
          </cell>
        </row>
        <row r="337">
          <cell r="B337" t="str">
            <v>ZBM021</v>
          </cell>
        </row>
        <row r="338">
          <cell r="B338" t="str">
            <v>ZBM022</v>
          </cell>
        </row>
        <row r="339">
          <cell r="B339" t="str">
            <v>ZBM023</v>
          </cell>
        </row>
        <row r="340">
          <cell r="B340" t="str">
            <v>ZBM024</v>
          </cell>
        </row>
        <row r="341">
          <cell r="B341" t="str">
            <v>ZBM025</v>
          </cell>
        </row>
        <row r="342">
          <cell r="B342" t="str">
            <v>ZBM026</v>
          </cell>
        </row>
        <row r="343">
          <cell r="B343" t="str">
            <v>ZBB023</v>
          </cell>
        </row>
        <row r="344">
          <cell r="B344" t="str">
            <v>ZBB024</v>
          </cell>
        </row>
        <row r="345">
          <cell r="B345" t="str">
            <v>ZBB025</v>
          </cell>
        </row>
        <row r="346">
          <cell r="B346" t="str">
            <v>ZBB026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ổng kết"/>
      <sheetName val="Bảng công T7"/>
      <sheetName val="Nội bộ (T1)"/>
      <sheetName val="Khách hàng (T1) "/>
      <sheetName val="Thang1"/>
      <sheetName val="Nội bộ (T2)"/>
      <sheetName val="Khách hàng (T2)"/>
      <sheetName val="Sheet3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iếu lương"/>
      <sheetName val="Chuyển khoản"/>
      <sheetName val="Bảng lương"/>
      <sheetName val="Ngày công &amp; tiền lương"/>
      <sheetName val="Ngày công 1 ngày"/>
      <sheetName val="Ngày công 1 ngày đã TT"/>
    </sheetNames>
    <sheetDataSet>
      <sheetData sheetId="0"/>
      <sheetData sheetId="1"/>
      <sheetData sheetId="2"/>
      <sheetData sheetId="3">
        <row r="12">
          <cell r="B12" t="str">
            <v>HAE30061</v>
          </cell>
          <cell r="C12" t="str">
            <v>Phạm Thị Dung</v>
          </cell>
          <cell r="E12" t="str">
            <v>HNS</v>
          </cell>
          <cell r="F12">
            <v>200120</v>
          </cell>
          <cell r="G12" t="str">
            <v>031480834</v>
          </cell>
          <cell r="H12" t="str">
            <v>06/03/2004</v>
          </cell>
          <cell r="I12" t="str">
            <v>Công an Hải Phòng</v>
          </cell>
        </row>
        <row r="13">
          <cell r="C13" t="str">
            <v>Ngô Quang Đăng</v>
          </cell>
        </row>
        <row r="14">
          <cell r="B14" t="str">
            <v xml:space="preserve">HAE30063 </v>
          </cell>
          <cell r="C14" t="str">
            <v>Ngô Thị Mùi</v>
          </cell>
          <cell r="E14" t="str">
            <v>HNS</v>
          </cell>
          <cell r="F14">
            <v>200120</v>
          </cell>
        </row>
        <row r="15">
          <cell r="B15" t="str">
            <v>HAE28993</v>
          </cell>
          <cell r="C15" t="str">
            <v>Lê Thị Hậu</v>
          </cell>
          <cell r="D15" t="str">
            <v>Máy</v>
          </cell>
          <cell r="E15" t="str">
            <v>HNS</v>
          </cell>
          <cell r="F15">
            <v>200120</v>
          </cell>
          <cell r="G15" t="str">
            <v>031623636</v>
          </cell>
          <cell r="H15" t="str">
            <v>13/07/2006</v>
          </cell>
          <cell r="I15" t="str">
            <v>Công an Hải Phòng</v>
          </cell>
        </row>
        <row r="16">
          <cell r="B16" t="str">
            <v>HAE30064</v>
          </cell>
          <cell r="C16" t="str">
            <v>Nguyễn Thị Thủy</v>
          </cell>
          <cell r="E16" t="str">
            <v>HNS</v>
          </cell>
          <cell r="F16">
            <v>200122</v>
          </cell>
        </row>
        <row r="17">
          <cell r="B17" t="str">
            <v>HAE29978</v>
          </cell>
          <cell r="C17" t="str">
            <v>Nguyễn Thị Thuyết</v>
          </cell>
          <cell r="D17" t="str">
            <v>Line 3</v>
          </cell>
          <cell r="E17" t="str">
            <v>HNS</v>
          </cell>
          <cell r="F17">
            <v>200129</v>
          </cell>
          <cell r="G17" t="str">
            <v>031507587</v>
          </cell>
          <cell r="H17" t="str">
            <v>02/10/2012</v>
          </cell>
          <cell r="I17" t="str">
            <v>Công an Hải Phòng</v>
          </cell>
        </row>
        <row r="18">
          <cell r="B18" t="str">
            <v>HAE29055</v>
          </cell>
          <cell r="C18" t="str">
            <v>Ngô Văn Chung</v>
          </cell>
          <cell r="E18" t="str">
            <v>HNS</v>
          </cell>
          <cell r="F18">
            <v>200120</v>
          </cell>
          <cell r="G18" t="str">
            <v>030098000196</v>
          </cell>
          <cell r="H18" t="str">
            <v>02/10/2015</v>
          </cell>
          <cell r="I18" t="str">
            <v>Cục CS</v>
          </cell>
        </row>
        <row r="19">
          <cell r="B19" t="str">
            <v>HAE29099</v>
          </cell>
          <cell r="C19" t="str">
            <v>Lê Quang Thể</v>
          </cell>
          <cell r="D19" t="str">
            <v>Line 2</v>
          </cell>
          <cell r="E19" t="str">
            <v>HNS</v>
          </cell>
          <cell r="F19">
            <v>200131</v>
          </cell>
          <cell r="G19" t="str">
            <v>142891407</v>
          </cell>
          <cell r="H19" t="str">
            <v>07/08/2013</v>
          </cell>
          <cell r="I19" t="str">
            <v>Công an Hải Dương</v>
          </cell>
        </row>
        <row r="20">
          <cell r="B20" t="str">
            <v>HAE29139</v>
          </cell>
          <cell r="C20" t="str">
            <v>Lương Văn Cương</v>
          </cell>
          <cell r="D20" t="str">
            <v>Line 4</v>
          </cell>
          <cell r="E20" t="str">
            <v>HNS</v>
          </cell>
          <cell r="F20">
            <v>200131</v>
          </cell>
          <cell r="G20" t="str">
            <v>031097001182</v>
          </cell>
          <cell r="H20" t="str">
            <v>08/06/2016</v>
          </cell>
          <cell r="I20" t="str">
            <v>Cục CS</v>
          </cell>
        </row>
        <row r="21">
          <cell r="B21" t="str">
            <v>HAE29301</v>
          </cell>
          <cell r="C21" t="str">
            <v>Vũ Mạnh Hùng</v>
          </cell>
          <cell r="D21" t="str">
            <v>Line 4</v>
          </cell>
          <cell r="E21" t="str">
            <v>HNS</v>
          </cell>
          <cell r="F21">
            <v>200204</v>
          </cell>
          <cell r="G21" t="str">
            <v>031098002121</v>
          </cell>
          <cell r="H21" t="str">
            <v>10/08/2015</v>
          </cell>
          <cell r="I21" t="str">
            <v>Cục CS</v>
          </cell>
        </row>
        <row r="22">
          <cell r="B22" t="str">
            <v>HAE29589</v>
          </cell>
          <cell r="C22" t="str">
            <v>Phạm Văn Tới</v>
          </cell>
          <cell r="D22" t="str">
            <v>Line 4</v>
          </cell>
          <cell r="E22" t="str">
            <v>HNS</v>
          </cell>
          <cell r="F22">
            <v>200205</v>
          </cell>
          <cell r="G22" t="str">
            <v>034093008215</v>
          </cell>
          <cell r="H22" t="str">
            <v>31/08/2018</v>
          </cell>
          <cell r="I22" t="str">
            <v>Cục CS</v>
          </cell>
        </row>
        <row r="23">
          <cell r="B23" t="str">
            <v>HAE29514</v>
          </cell>
          <cell r="C23" t="str">
            <v>Dương Mạnh Đức</v>
          </cell>
          <cell r="D23" t="str">
            <v>Máy</v>
          </cell>
          <cell r="E23" t="str">
            <v>HNS</v>
          </cell>
          <cell r="F23">
            <v>200206</v>
          </cell>
          <cell r="G23" t="str">
            <v>031099007468</v>
          </cell>
          <cell r="H23" t="str">
            <v>21/08/2019</v>
          </cell>
          <cell r="I23" t="str">
            <v>Cục CS</v>
          </cell>
        </row>
        <row r="24">
          <cell r="B24" t="str">
            <v>HAE29644</v>
          </cell>
          <cell r="C24" t="str">
            <v>Phạm Văn Sơn</v>
          </cell>
          <cell r="D24" t="str">
            <v>Line 4</v>
          </cell>
          <cell r="E24" t="str">
            <v>HNS</v>
          </cell>
          <cell r="F24">
            <v>200207</v>
          </cell>
          <cell r="G24" t="str">
            <v>031880448</v>
          </cell>
          <cell r="H24" t="str">
            <v>07/03/2011</v>
          </cell>
          <cell r="I24" t="str">
            <v>Công an Hải Phòng</v>
          </cell>
        </row>
        <row r="25">
          <cell r="B25" t="str">
            <v>HAE29645</v>
          </cell>
          <cell r="C25" t="str">
            <v>Hoàng Thị Như</v>
          </cell>
          <cell r="D25" t="str">
            <v>Line 3</v>
          </cell>
          <cell r="E25" t="str">
            <v>HNS</v>
          </cell>
          <cell r="F25">
            <v>200207</v>
          </cell>
          <cell r="G25" t="str">
            <v>187763330</v>
          </cell>
          <cell r="H25" t="str">
            <v>20/10/2016</v>
          </cell>
          <cell r="I25" t="str">
            <v>Công an Nghệ An</v>
          </cell>
        </row>
        <row r="26">
          <cell r="B26" t="str">
            <v>HAE29460</v>
          </cell>
          <cell r="C26" t="str">
            <v>Nguyễn Duy Hải</v>
          </cell>
          <cell r="D26" t="str">
            <v>Line 4</v>
          </cell>
          <cell r="E26" t="str">
            <v>HNS</v>
          </cell>
          <cell r="F26">
            <v>200209</v>
          </cell>
          <cell r="G26" t="str">
            <v>030944753</v>
          </cell>
          <cell r="H26" t="str">
            <v>16/11/2007</v>
          </cell>
          <cell r="I26" t="str">
            <v>Công an Hải Phòng</v>
          </cell>
        </row>
        <row r="27">
          <cell r="B27" t="str">
            <v xml:space="preserve">HAE29698 </v>
          </cell>
          <cell r="C27" t="str">
            <v>Bùi Thị Duyên</v>
          </cell>
          <cell r="D27" t="str">
            <v>Máy</v>
          </cell>
          <cell r="E27" t="str">
            <v>HNS</v>
          </cell>
          <cell r="F27">
            <v>200209</v>
          </cell>
          <cell r="G27" t="str">
            <v>031183004057</v>
          </cell>
          <cell r="H27" t="str">
            <v>29/03/2016</v>
          </cell>
          <cell r="I27" t="str">
            <v>Cục CS</v>
          </cell>
        </row>
        <row r="28">
          <cell r="B28" t="str">
            <v>HAE29705</v>
          </cell>
          <cell r="C28" t="str">
            <v>Cáp Thị Bích Ngọc</v>
          </cell>
          <cell r="D28" t="str">
            <v>Máy</v>
          </cell>
          <cell r="E28" t="str">
            <v>HNS</v>
          </cell>
          <cell r="F28">
            <v>200209</v>
          </cell>
          <cell r="G28" t="str">
            <v>031193006568</v>
          </cell>
          <cell r="H28" t="str">
            <v>25/11/2019</v>
          </cell>
          <cell r="I28" t="str">
            <v>Cục CS</v>
          </cell>
        </row>
        <row r="29">
          <cell r="B29" t="str">
            <v>HAE29980</v>
          </cell>
          <cell r="C29" t="str">
            <v>Nguyễn Đăng Chung</v>
          </cell>
          <cell r="D29" t="str">
            <v>Máy</v>
          </cell>
          <cell r="E29" t="str">
            <v>HNS</v>
          </cell>
          <cell r="F29">
            <v>200212</v>
          </cell>
          <cell r="G29" t="str">
            <v>030098000196</v>
          </cell>
          <cell r="H29" t="str">
            <v>02/10/2015</v>
          </cell>
          <cell r="I29" t="str">
            <v>Cục cs</v>
          </cell>
        </row>
        <row r="30">
          <cell r="B30" t="str">
            <v xml:space="preserve">HAE29905 </v>
          </cell>
          <cell r="C30" t="str">
            <v>Nguyễn Xuân Trường</v>
          </cell>
          <cell r="D30" t="str">
            <v>Máy</v>
          </cell>
          <cell r="E30" t="str">
            <v>HNS</v>
          </cell>
          <cell r="F30">
            <v>200212</v>
          </cell>
        </row>
        <row r="31">
          <cell r="B31" t="str">
            <v>HAE30101</v>
          </cell>
          <cell r="C31" t="str">
            <v>Nguyễn Đức Toàn</v>
          </cell>
          <cell r="D31" t="str">
            <v>Line 4</v>
          </cell>
          <cell r="E31" t="str">
            <v>HNS</v>
          </cell>
          <cell r="F31">
            <v>200217</v>
          </cell>
          <cell r="G31" t="str">
            <v>031200004295</v>
          </cell>
          <cell r="H31" t="str">
            <v>30/05/2016</v>
          </cell>
          <cell r="I31" t="str">
            <v>Cục cs</v>
          </cell>
        </row>
        <row r="32">
          <cell r="B32" t="str">
            <v>HAE30280</v>
          </cell>
          <cell r="C32" t="str">
            <v>Trần Xuân Dương</v>
          </cell>
          <cell r="D32" t="str">
            <v>Line 2</v>
          </cell>
          <cell r="E32" t="str">
            <v>HNS</v>
          </cell>
          <cell r="F32">
            <v>200219</v>
          </cell>
          <cell r="G32" t="str">
            <v>061113988</v>
          </cell>
          <cell r="H32" t="str">
            <v>16/02/2002</v>
          </cell>
          <cell r="I32" t="str">
            <v>Công an Yên Bái</v>
          </cell>
        </row>
        <row r="33">
          <cell r="B33" t="str">
            <v>HAE30282</v>
          </cell>
          <cell r="C33" t="str">
            <v>Đào Xuân Hùng</v>
          </cell>
          <cell r="D33" t="str">
            <v>Line 3</v>
          </cell>
          <cell r="E33" t="str">
            <v>HNS</v>
          </cell>
          <cell r="F33">
            <v>200219</v>
          </cell>
          <cell r="G33" t="str">
            <v>061094261</v>
          </cell>
          <cell r="H33" t="str">
            <v>17/07/2015</v>
          </cell>
          <cell r="I33" t="str">
            <v>Công an Yên Bái</v>
          </cell>
        </row>
        <row r="34">
          <cell r="B34" t="str">
            <v>HAE30350</v>
          </cell>
          <cell r="C34" t="str">
            <v>Bùi Văn Thắng</v>
          </cell>
          <cell r="D34" t="str">
            <v>Line 4</v>
          </cell>
          <cell r="E34" t="str">
            <v>HNS</v>
          </cell>
          <cell r="F34">
            <v>200219</v>
          </cell>
          <cell r="G34" t="str">
            <v>031082001896</v>
          </cell>
          <cell r="H34">
            <v>42130</v>
          </cell>
          <cell r="I34" t="str">
            <v>Cục cs</v>
          </cell>
        </row>
        <row r="35">
          <cell r="B35" t="str">
            <v>HAE30353</v>
          </cell>
          <cell r="C35" t="str">
            <v>Nguyễn Hữu Tâm</v>
          </cell>
          <cell r="D35" t="str">
            <v>Line 4</v>
          </cell>
          <cell r="E35" t="str">
            <v>HNS</v>
          </cell>
          <cell r="F35">
            <v>200219</v>
          </cell>
          <cell r="G35" t="str">
            <v>197332059</v>
          </cell>
          <cell r="H35" t="str">
            <v>27/07/2011</v>
          </cell>
          <cell r="I35" t="str">
            <v>Công an Quảng Trị</v>
          </cell>
        </row>
        <row r="36">
          <cell r="B36" t="str">
            <v>HAE30351</v>
          </cell>
          <cell r="C36" t="str">
            <v>Nguyễn Văn Tý</v>
          </cell>
          <cell r="D36" t="str">
            <v>Line 4</v>
          </cell>
          <cell r="E36" t="str">
            <v>HNS</v>
          </cell>
          <cell r="F36">
            <v>200219</v>
          </cell>
          <cell r="G36">
            <v>186154466</v>
          </cell>
          <cell r="H36" t="str">
            <v>20/09/2010</v>
          </cell>
          <cell r="I36" t="str">
            <v>Công an Nghệ An</v>
          </cell>
        </row>
        <row r="37">
          <cell r="B37" t="str">
            <v>HAE30324</v>
          </cell>
          <cell r="C37" t="str">
            <v>Nguyễn Hoàng Kỳ</v>
          </cell>
          <cell r="D37" t="str">
            <v>Line 4</v>
          </cell>
          <cell r="E37" t="str">
            <v>HNS</v>
          </cell>
          <cell r="F37">
            <v>200220</v>
          </cell>
          <cell r="G37" t="str">
            <v>031201002440</v>
          </cell>
          <cell r="H37" t="str">
            <v>22/07/2016</v>
          </cell>
          <cell r="I37" t="str">
            <v>Cục CS</v>
          </cell>
        </row>
        <row r="38">
          <cell r="B38" t="str">
            <v>HAE30579</v>
          </cell>
          <cell r="C38" t="str">
            <v>Phạm Văn Đức</v>
          </cell>
          <cell r="D38" t="str">
            <v>Line 4</v>
          </cell>
          <cell r="E38" t="str">
            <v>HNS</v>
          </cell>
          <cell r="F38">
            <v>200221</v>
          </cell>
          <cell r="G38" t="str">
            <v>031825203</v>
          </cell>
          <cell r="H38" t="str">
            <v>04/04/2011</v>
          </cell>
          <cell r="I38" t="str">
            <v>Công an Hải Phòng</v>
          </cell>
        </row>
        <row r="39">
          <cell r="B39" t="str">
            <v xml:space="preserve">HAE30679 </v>
          </cell>
          <cell r="C39" t="str">
            <v>Nguyễn Văn Trọng</v>
          </cell>
          <cell r="D39" t="str">
            <v>Line 4</v>
          </cell>
          <cell r="E39" t="str">
            <v>HNS</v>
          </cell>
          <cell r="F39">
            <v>200224</v>
          </cell>
          <cell r="G39" t="str">
            <v>031201007883</v>
          </cell>
          <cell r="H39" t="str">
            <v>06/05/2018</v>
          </cell>
          <cell r="I39" t="str">
            <v>Cục cs</v>
          </cell>
        </row>
        <row r="40">
          <cell r="B40" t="str">
            <v>HAE30678</v>
          </cell>
          <cell r="C40" t="str">
            <v>Quách Văn Quyền</v>
          </cell>
          <cell r="D40" t="str">
            <v>Máy</v>
          </cell>
          <cell r="E40" t="str">
            <v>HNS</v>
          </cell>
          <cell r="F40">
            <v>200224</v>
          </cell>
          <cell r="G40" t="str">
            <v>031201002675</v>
          </cell>
        </row>
        <row r="41">
          <cell r="B41" t="str">
            <v>HAE28369</v>
          </cell>
          <cell r="C41" t="str">
            <v>Phạm Văn Tuấn</v>
          </cell>
          <cell r="D41" t="str">
            <v>Line 4</v>
          </cell>
          <cell r="E41" t="str">
            <v>HNS</v>
          </cell>
          <cell r="F41">
            <v>200226</v>
          </cell>
          <cell r="G41" t="str">
            <v>031071004755</v>
          </cell>
          <cell r="H41" t="str">
            <v>10/10/2017</v>
          </cell>
          <cell r="I41" t="str">
            <v>Cục CS</v>
          </cell>
        </row>
        <row r="42">
          <cell r="B42" t="str">
            <v>HAE30881</v>
          </cell>
          <cell r="C42" t="str">
            <v>Nguyễn Thị Tho</v>
          </cell>
          <cell r="D42" t="str">
            <v>Line 4</v>
          </cell>
          <cell r="E42" t="str">
            <v>HNS</v>
          </cell>
          <cell r="F42">
            <v>200227</v>
          </cell>
          <cell r="G42" t="str">
            <v>034189004591</v>
          </cell>
          <cell r="H42" t="str">
            <v>28/06/2017</v>
          </cell>
          <cell r="I42" t="str">
            <v>Cục CS</v>
          </cell>
        </row>
        <row r="43">
          <cell r="B43" t="str">
            <v>HAE30878</v>
          </cell>
          <cell r="C43" t="str">
            <v>Ngô Thị Kim Chi</v>
          </cell>
          <cell r="D43" t="str">
            <v>Line 4</v>
          </cell>
          <cell r="E43" t="str">
            <v>HNS</v>
          </cell>
          <cell r="F43">
            <v>200227</v>
          </cell>
          <cell r="G43" t="str">
            <v>034301005872</v>
          </cell>
          <cell r="H43" t="str">
            <v>22/04/2016</v>
          </cell>
          <cell r="I43" t="str">
            <v>Cục CS</v>
          </cell>
        </row>
        <row r="44">
          <cell r="B44" t="str">
            <v>HAE30981</v>
          </cell>
          <cell r="C44" t="str">
            <v>Nguyễn Thị Yến</v>
          </cell>
          <cell r="D44" t="str">
            <v>Line 4</v>
          </cell>
          <cell r="E44" t="str">
            <v>HNS</v>
          </cell>
          <cell r="F44">
            <v>200228</v>
          </cell>
          <cell r="G44" t="str">
            <v>162702197</v>
          </cell>
          <cell r="H44" t="str">
            <v>15/09/2009</v>
          </cell>
        </row>
        <row r="45">
          <cell r="B45" t="str">
            <v>HAE31044</v>
          </cell>
          <cell r="C45" t="str">
            <v>Lò Thị Quỳnh</v>
          </cell>
          <cell r="D45" t="str">
            <v>Line 4</v>
          </cell>
          <cell r="E45" t="str">
            <v>HNS</v>
          </cell>
          <cell r="F45">
            <v>200228</v>
          </cell>
          <cell r="G45" t="str">
            <v>045225921</v>
          </cell>
          <cell r="H45" t="str">
            <v>Ngày cấp</v>
          </cell>
          <cell r="I45" t="str">
            <v>Công an Lai Châu</v>
          </cell>
        </row>
        <row r="46">
          <cell r="B46" t="str">
            <v>HAE31043</v>
          </cell>
          <cell r="C46" t="str">
            <v>Lò Văn Cường</v>
          </cell>
          <cell r="D46" t="str">
            <v>Máy</v>
          </cell>
          <cell r="E46" t="str">
            <v>HNS</v>
          </cell>
          <cell r="F46">
            <v>200229</v>
          </cell>
          <cell r="G46" t="str">
            <v>045199656</v>
          </cell>
          <cell r="H46" t="str">
            <v>02/07/2014</v>
          </cell>
          <cell r="I46" t="str">
            <v>Công an Lai Châu</v>
          </cell>
        </row>
        <row r="47">
          <cell r="B47" t="str">
            <v>HAE30774</v>
          </cell>
          <cell r="C47" t="str">
            <v>Trương Đức An</v>
          </cell>
          <cell r="D47" t="str">
            <v>Máy</v>
          </cell>
          <cell r="E47" t="str">
            <v>HNS</v>
          </cell>
          <cell r="F47">
            <v>200302</v>
          </cell>
          <cell r="G47" t="str">
            <v>113246287</v>
          </cell>
          <cell r="H47" t="str">
            <v>07/05/2015</v>
          </cell>
          <cell r="I47" t="str">
            <v>CÔng an Hòa Bình</v>
          </cell>
        </row>
        <row r="48">
          <cell r="B48" t="str">
            <v>HAE31245</v>
          </cell>
          <cell r="C48" t="str">
            <v>Lê Đức Hiệp</v>
          </cell>
          <cell r="D48" t="str">
            <v>Line 4</v>
          </cell>
          <cell r="E48" t="str">
            <v>HNS</v>
          </cell>
          <cell r="F48">
            <v>200302</v>
          </cell>
        </row>
        <row r="49">
          <cell r="B49" t="str">
            <v>HAE30798</v>
          </cell>
          <cell r="C49" t="str">
            <v>Lò Văn Cương</v>
          </cell>
          <cell r="D49" t="str">
            <v>Line 4</v>
          </cell>
          <cell r="E49" t="str">
            <v>HNS</v>
          </cell>
          <cell r="F49">
            <v>200304</v>
          </cell>
          <cell r="G49" t="str">
            <v>031097001182</v>
          </cell>
          <cell r="H49" t="str">
            <v>17/11/2014</v>
          </cell>
          <cell r="I49" t="str">
            <v>Cục CS</v>
          </cell>
        </row>
        <row r="50">
          <cell r="B50" t="str">
            <v>HAE29155</v>
          </cell>
          <cell r="C50" t="str">
            <v>Nguyễn Thị Thảo</v>
          </cell>
          <cell r="D50" t="str">
            <v>Line 4</v>
          </cell>
          <cell r="E50" t="str">
            <v>HNS</v>
          </cell>
          <cell r="F50">
            <v>200305</v>
          </cell>
        </row>
        <row r="51">
          <cell r="B51" t="str">
            <v>HAE31654</v>
          </cell>
          <cell r="C51" t="str">
            <v>Trần Quốc Việt</v>
          </cell>
          <cell r="D51" t="str">
            <v>Line 2</v>
          </cell>
          <cell r="E51" t="str">
            <v>HNS</v>
          </cell>
          <cell r="F51">
            <v>200306</v>
          </cell>
          <cell r="G51" t="str">
            <v>031086009931</v>
          </cell>
          <cell r="H51" t="str">
            <v>07/12/2018</v>
          </cell>
          <cell r="I51" t="str">
            <v>Cục CS</v>
          </cell>
        </row>
        <row r="52">
          <cell r="B52" t="str">
            <v>HAE31855</v>
          </cell>
          <cell r="C52" t="str">
            <v>Phạm Văn Mạnh</v>
          </cell>
          <cell r="D52" t="str">
            <v>Line 2</v>
          </cell>
          <cell r="E52" t="str">
            <v>HNS</v>
          </cell>
          <cell r="F52">
            <v>200306</v>
          </cell>
          <cell r="G52" t="str">
            <v>031533161</v>
          </cell>
          <cell r="H52" t="str">
            <v>16/05/2007</v>
          </cell>
          <cell r="I52" t="str">
            <v>Công an Hải Phòng</v>
          </cell>
        </row>
        <row r="53">
          <cell r="B53" t="str">
            <v>HAE31740</v>
          </cell>
          <cell r="C53" t="str">
            <v>Chu Xuân Tùng</v>
          </cell>
          <cell r="D53" t="str">
            <v>Máy</v>
          </cell>
          <cell r="E53" t="str">
            <v>HNS</v>
          </cell>
          <cell r="F53">
            <v>200306</v>
          </cell>
        </row>
        <row r="54">
          <cell r="B54" t="str">
            <v>HAE31743</v>
          </cell>
          <cell r="C54" t="str">
            <v>Lò Văn Thuận</v>
          </cell>
          <cell r="D54" t="str">
            <v>Máy</v>
          </cell>
          <cell r="E54" t="str">
            <v>HNS</v>
          </cell>
          <cell r="F54">
            <v>200307</v>
          </cell>
          <cell r="G54" t="str">
            <v>051041160</v>
          </cell>
          <cell r="H54" t="str">
            <v>25/04/2017</v>
          </cell>
          <cell r="I54" t="str">
            <v>Công an Sơn La</v>
          </cell>
        </row>
        <row r="55">
          <cell r="B55" t="str">
            <v>HAE31748</v>
          </cell>
          <cell r="C55" t="str">
            <v>Quàng Văn Mạnh</v>
          </cell>
          <cell r="D55" t="str">
            <v>Máy</v>
          </cell>
          <cell r="E55" t="str">
            <v>HNS</v>
          </cell>
          <cell r="F55">
            <v>200307</v>
          </cell>
          <cell r="G55" t="str">
            <v>051122809</v>
          </cell>
          <cell r="H55" t="str">
            <v>16/01/2018</v>
          </cell>
          <cell r="I55" t="str">
            <v>Công an Sơn La</v>
          </cell>
        </row>
        <row r="56">
          <cell r="B56" t="str">
            <v>HAE32347</v>
          </cell>
          <cell r="C56" t="str">
            <v>Quàng Văn Hương</v>
          </cell>
          <cell r="D56" t="str">
            <v>Line 4</v>
          </cell>
          <cell r="E56" t="str">
            <v>HNS</v>
          </cell>
          <cell r="F56">
            <v>200309</v>
          </cell>
          <cell r="G56" t="str">
            <v>056820291</v>
          </cell>
          <cell r="H56">
            <v>39915</v>
          </cell>
          <cell r="I56" t="str">
            <v>Công an Sơn La</v>
          </cell>
        </row>
        <row r="57">
          <cell r="B57" t="str">
            <v>HAE32272</v>
          </cell>
          <cell r="C57" t="str">
            <v>Trần Thị Thúy</v>
          </cell>
          <cell r="D57" t="str">
            <v>Máy</v>
          </cell>
          <cell r="E57" t="str">
            <v>HNS</v>
          </cell>
          <cell r="F57">
            <v>200310</v>
          </cell>
          <cell r="G57" t="str">
            <v>173837652</v>
          </cell>
          <cell r="H57" t="str">
            <v>31/05/2010</v>
          </cell>
          <cell r="I57" t="str">
            <v>Công an Thanh Hóa</v>
          </cell>
        </row>
        <row r="58">
          <cell r="B58" t="str">
            <v>HAE32293</v>
          </cell>
          <cell r="C58" t="str">
            <v>Vũ Thị Quý</v>
          </cell>
          <cell r="D58" t="str">
            <v>Line 4</v>
          </cell>
          <cell r="E58" t="str">
            <v>HNS</v>
          </cell>
          <cell r="F58">
            <v>200310</v>
          </cell>
          <cell r="G58" t="str">
            <v>031182000723</v>
          </cell>
          <cell r="H58" t="str">
            <v>21/10/2014</v>
          </cell>
          <cell r="I58" t="str">
            <v>Cục CS</v>
          </cell>
        </row>
        <row r="59">
          <cell r="B59" t="str">
            <v>HAE29463</v>
          </cell>
          <cell r="C59" t="str">
            <v>Bùi Đức Hậu</v>
          </cell>
          <cell r="D59" t="str">
            <v>Line 4</v>
          </cell>
          <cell r="E59" t="str">
            <v>HNS</v>
          </cell>
          <cell r="F59">
            <v>200311</v>
          </cell>
          <cell r="G59" t="str">
            <v>031032369</v>
          </cell>
          <cell r="H59" t="str">
            <v>08/11/2013</v>
          </cell>
          <cell r="I59" t="str">
            <v>Công an Hải Phòng</v>
          </cell>
        </row>
        <row r="60">
          <cell r="B60" t="str">
            <v>HAE32366</v>
          </cell>
          <cell r="C60" t="str">
            <v>Lê Văn Đức</v>
          </cell>
          <cell r="D60" t="str">
            <v>Line 4</v>
          </cell>
          <cell r="E60" t="str">
            <v>HNS</v>
          </cell>
          <cell r="F60">
            <v>200314</v>
          </cell>
        </row>
        <row r="61">
          <cell r="B61" t="str">
            <v>HAE32671</v>
          </cell>
          <cell r="C61" t="str">
            <v>Nguyễn Thu Trang</v>
          </cell>
          <cell r="D61" t="str">
            <v>Line 4</v>
          </cell>
          <cell r="E61" t="str">
            <v>HNS</v>
          </cell>
          <cell r="F61">
            <v>200315</v>
          </cell>
        </row>
        <row r="62">
          <cell r="B62" t="str">
            <v>HAE32672</v>
          </cell>
          <cell r="C62" t="str">
            <v>Phạm Thị Thanh Huyền</v>
          </cell>
          <cell r="D62" t="str">
            <v>Line 4</v>
          </cell>
          <cell r="E62" t="str">
            <v>HNS</v>
          </cell>
          <cell r="F62">
            <v>200315</v>
          </cell>
        </row>
        <row r="63">
          <cell r="B63" t="str">
            <v>HAE32718</v>
          </cell>
          <cell r="C63" t="str">
            <v>Mai Văn Hùng</v>
          </cell>
          <cell r="D63" t="str">
            <v>Line 4</v>
          </cell>
          <cell r="E63" t="str">
            <v>HNS</v>
          </cell>
          <cell r="F63">
            <v>200315</v>
          </cell>
        </row>
        <row r="64">
          <cell r="B64" t="str">
            <v>HAE32719</v>
          </cell>
          <cell r="C64" t="str">
            <v>Hoàng Việt Hà</v>
          </cell>
          <cell r="D64" t="str">
            <v>Line 4</v>
          </cell>
          <cell r="E64" t="str">
            <v>HNS</v>
          </cell>
          <cell r="F64">
            <v>200315</v>
          </cell>
        </row>
        <row r="65">
          <cell r="B65" t="str">
            <v>HAE32623</v>
          </cell>
          <cell r="C65" t="str">
            <v>Đỗ Thị Hà Vân</v>
          </cell>
          <cell r="D65" t="str">
            <v>Line 4</v>
          </cell>
          <cell r="E65" t="str">
            <v>HNS</v>
          </cell>
          <cell r="F65">
            <v>200316</v>
          </cell>
          <cell r="G65" t="str">
            <v>038192004171</v>
          </cell>
          <cell r="H65" t="str">
            <v>12/06/2017</v>
          </cell>
          <cell r="I65" t="str">
            <v>Cục CS</v>
          </cell>
        </row>
        <row r="66">
          <cell r="B66" t="str">
            <v>HAE32663</v>
          </cell>
          <cell r="C66" t="str">
            <v>Phan Anh Dũng</v>
          </cell>
          <cell r="D66" t="str">
            <v>Line 4</v>
          </cell>
          <cell r="E66" t="str">
            <v>HNS</v>
          </cell>
          <cell r="F66">
            <v>200317</v>
          </cell>
        </row>
        <row r="67">
          <cell r="B67" t="str">
            <v>HAE32674</v>
          </cell>
          <cell r="C67" t="str">
            <v>Trần Thị Trang</v>
          </cell>
          <cell r="D67" t="str">
            <v>Line 4</v>
          </cell>
          <cell r="E67" t="str">
            <v>HNS</v>
          </cell>
          <cell r="F67">
            <v>200317</v>
          </cell>
        </row>
        <row r="68">
          <cell r="B68" t="str">
            <v>HAE32736</v>
          </cell>
          <cell r="C68" t="str">
            <v>Vũ Thị Toan</v>
          </cell>
          <cell r="D68" t="str">
            <v>Line 4</v>
          </cell>
          <cell r="E68" t="str">
            <v>HNS</v>
          </cell>
          <cell r="F68">
            <v>200318</v>
          </cell>
        </row>
        <row r="69">
          <cell r="B69" t="str">
            <v>HAE29124</v>
          </cell>
          <cell r="C69" t="str">
            <v>Bùi Quang Duy</v>
          </cell>
          <cell r="D69" t="str">
            <v>Line 4</v>
          </cell>
          <cell r="E69" t="str">
            <v>HNS</v>
          </cell>
          <cell r="F69">
            <v>200318</v>
          </cell>
        </row>
        <row r="70">
          <cell r="B70" t="str">
            <v>HAE32738</v>
          </cell>
          <cell r="C70" t="str">
            <v>Nguyễn Thị Thu</v>
          </cell>
          <cell r="D70" t="str">
            <v>Line 4</v>
          </cell>
          <cell r="E70" t="str">
            <v>HNS</v>
          </cell>
          <cell r="F70">
            <v>200318</v>
          </cell>
        </row>
        <row r="71">
          <cell r="B71" t="str">
            <v>HAE32761</v>
          </cell>
          <cell r="C71" t="str">
            <v>Hoàng Văn Hiên</v>
          </cell>
          <cell r="D71" t="str">
            <v>Máy</v>
          </cell>
          <cell r="E71" t="str">
            <v>HNS</v>
          </cell>
          <cell r="F71">
            <v>200319</v>
          </cell>
        </row>
        <row r="72">
          <cell r="B72" t="str">
            <v>HAE32762</v>
          </cell>
          <cell r="C72" t="str">
            <v>Nguyễn Văn Lưu</v>
          </cell>
          <cell r="D72" t="str">
            <v>Máy</v>
          </cell>
          <cell r="E72" t="str">
            <v>HNS</v>
          </cell>
          <cell r="F72">
            <v>200319</v>
          </cell>
        </row>
        <row r="73">
          <cell r="B73" t="str">
            <v>HAE32818</v>
          </cell>
          <cell r="C73" t="str">
            <v>Nguyễn Thị Thương</v>
          </cell>
          <cell r="D73" t="str">
            <v>Line 4</v>
          </cell>
          <cell r="E73" t="str">
            <v>HNS</v>
          </cell>
          <cell r="F73">
            <v>200319</v>
          </cell>
        </row>
        <row r="74">
          <cell r="B74" t="str">
            <v>HAE32810</v>
          </cell>
          <cell r="C74" t="str">
            <v>Khúc Đình Quỳnh</v>
          </cell>
          <cell r="D74" t="str">
            <v>Line 4</v>
          </cell>
          <cell r="E74" t="str">
            <v>HNS</v>
          </cell>
          <cell r="F74">
            <v>200320</v>
          </cell>
        </row>
        <row r="75">
          <cell r="B75" t="str">
            <v>HAE32804</v>
          </cell>
          <cell r="C75" t="str">
            <v>Phan Viết Đoàn</v>
          </cell>
          <cell r="D75" t="str">
            <v>Line 4</v>
          </cell>
          <cell r="E75" t="str">
            <v>HNS</v>
          </cell>
          <cell r="F75">
            <v>200321</v>
          </cell>
          <cell r="G75" t="str">
            <v>031096001727</v>
          </cell>
        </row>
        <row r="76">
          <cell r="B76" t="str">
            <v>HAE33128</v>
          </cell>
          <cell r="C76" t="str">
            <v>Hoàng Thúy An</v>
          </cell>
          <cell r="D76" t="str">
            <v>Máy</v>
          </cell>
          <cell r="E76" t="str">
            <v>HNS</v>
          </cell>
          <cell r="F76">
            <v>200323</v>
          </cell>
          <cell r="G76" t="str">
            <v>031198006421</v>
          </cell>
          <cell r="H76" t="str">
            <v>10/09/2019</v>
          </cell>
          <cell r="I76" t="str">
            <v>Tự Cường, Tiên Lãng, HP</v>
          </cell>
        </row>
        <row r="77">
          <cell r="B77" t="str">
            <v>HAE32948</v>
          </cell>
          <cell r="C77" t="str">
            <v>Nguyễn Thị Lan</v>
          </cell>
          <cell r="D77" t="str">
            <v>Line 4</v>
          </cell>
          <cell r="E77" t="str">
            <v>HNS</v>
          </cell>
          <cell r="F77">
            <v>200323</v>
          </cell>
        </row>
        <row r="78">
          <cell r="B78" t="str">
            <v>HAE28973</v>
          </cell>
          <cell r="C78" t="str">
            <v>Trần Đức Tấn</v>
          </cell>
          <cell r="D78" t="str">
            <v>Line 4</v>
          </cell>
          <cell r="E78" t="str">
            <v>HNS</v>
          </cell>
          <cell r="F78">
            <v>200323</v>
          </cell>
        </row>
        <row r="79">
          <cell r="B79" t="str">
            <v>HAE33145</v>
          </cell>
          <cell r="C79" t="str">
            <v>Nguyễn Đức Trung</v>
          </cell>
          <cell r="D79" t="str">
            <v>Line 2</v>
          </cell>
          <cell r="E79" t="str">
            <v>HNS</v>
          </cell>
          <cell r="F79">
            <v>200324</v>
          </cell>
        </row>
        <row r="80">
          <cell r="B80" t="str">
            <v>HAE34947</v>
          </cell>
          <cell r="C80" t="str">
            <v>Nguyễn Như Hạo</v>
          </cell>
          <cell r="D80" t="str">
            <v>Line 4</v>
          </cell>
          <cell r="E80" t="str">
            <v>HNS</v>
          </cell>
          <cell r="F80">
            <v>200325</v>
          </cell>
        </row>
        <row r="81">
          <cell r="B81" t="str">
            <v>HAE32753</v>
          </cell>
          <cell r="C81" t="str">
            <v>Phạm Tuấn Anh</v>
          </cell>
          <cell r="D81" t="str">
            <v>Line 4</v>
          </cell>
          <cell r="E81" t="str">
            <v>HNS</v>
          </cell>
          <cell r="F81">
            <v>200325</v>
          </cell>
        </row>
        <row r="82">
          <cell r="B82" t="str">
            <v>HAE33159</v>
          </cell>
          <cell r="C82" t="str">
            <v>Nguyễn Thị Trung</v>
          </cell>
          <cell r="D82" t="str">
            <v>Máy</v>
          </cell>
          <cell r="E82" t="str">
            <v>HNS</v>
          </cell>
          <cell r="F82">
            <v>200325</v>
          </cell>
        </row>
        <row r="83">
          <cell r="B83" t="str">
            <v>HAE33160</v>
          </cell>
          <cell r="C83" t="str">
            <v>Nguyễn Vũ Quang</v>
          </cell>
          <cell r="D83" t="str">
            <v>Máy</v>
          </cell>
          <cell r="E83" t="str">
            <v>HNS</v>
          </cell>
          <cell r="F83">
            <v>200325</v>
          </cell>
        </row>
        <row r="84">
          <cell r="B84" t="str">
            <v>HAE33233</v>
          </cell>
          <cell r="C84" t="str">
            <v>Moong Văn Giáp</v>
          </cell>
          <cell r="D84" t="str">
            <v>Line 2</v>
          </cell>
          <cell r="E84" t="str">
            <v>HNS</v>
          </cell>
          <cell r="F84">
            <v>200326</v>
          </cell>
        </row>
        <row r="85">
          <cell r="B85" t="str">
            <v>HAE33230</v>
          </cell>
          <cell r="C85" t="str">
            <v>Lò Văn Thương</v>
          </cell>
          <cell r="D85" t="str">
            <v>Line 4</v>
          </cell>
          <cell r="E85" t="str">
            <v>HNS</v>
          </cell>
          <cell r="F85">
            <v>200326</v>
          </cell>
        </row>
        <row r="86">
          <cell r="B86" t="str">
            <v>HAE33231</v>
          </cell>
          <cell r="C86" t="str">
            <v>Moong Văn Dao</v>
          </cell>
          <cell r="D86" t="str">
            <v>Line 4</v>
          </cell>
          <cell r="E86" t="str">
            <v>HNS</v>
          </cell>
          <cell r="F86">
            <v>200326</v>
          </cell>
        </row>
        <row r="87">
          <cell r="B87" t="str">
            <v>HAE33633</v>
          </cell>
          <cell r="C87" t="str">
            <v>Nguyễn Thế Đạt</v>
          </cell>
          <cell r="D87" t="str">
            <v>Line 2</v>
          </cell>
          <cell r="E87" t="str">
            <v>HNS</v>
          </cell>
          <cell r="F87">
            <v>200326</v>
          </cell>
        </row>
        <row r="88">
          <cell r="B88" t="str">
            <v>HAE33787</v>
          </cell>
          <cell r="C88" t="str">
            <v>Bùi Duy Thành</v>
          </cell>
          <cell r="D88" t="str">
            <v>Line 4</v>
          </cell>
          <cell r="E88" t="str">
            <v>HNS</v>
          </cell>
          <cell r="F88">
            <v>200327</v>
          </cell>
        </row>
        <row r="89">
          <cell r="B89" t="str">
            <v>HAE34325</v>
          </cell>
          <cell r="C89" t="str">
            <v>Nguyễn Thành Công</v>
          </cell>
          <cell r="D89" t="str">
            <v>Line 4</v>
          </cell>
          <cell r="E89" t="str">
            <v>HNS</v>
          </cell>
          <cell r="F89">
            <v>200327</v>
          </cell>
        </row>
        <row r="90">
          <cell r="B90" t="str">
            <v>HAE33218</v>
          </cell>
          <cell r="C90" t="str">
            <v>Lê Văn Việt</v>
          </cell>
          <cell r="D90" t="str">
            <v>TC Hae</v>
          </cell>
          <cell r="E90" t="str">
            <v>HNS</v>
          </cell>
          <cell r="F90">
            <v>200327</v>
          </cell>
        </row>
        <row r="91">
          <cell r="B91" t="str">
            <v>HAE33628</v>
          </cell>
          <cell r="C91" t="str">
            <v>Nguyễn Trọng Hoàng</v>
          </cell>
          <cell r="D91" t="str">
            <v>TC Hae</v>
          </cell>
          <cell r="E91" t="str">
            <v>HNS</v>
          </cell>
          <cell r="F91">
            <v>200327</v>
          </cell>
        </row>
        <row r="92">
          <cell r="B92" t="str">
            <v>HAE33644</v>
          </cell>
          <cell r="C92" t="str">
            <v>Nguyễn Ngọc Anh</v>
          </cell>
          <cell r="D92" t="str">
            <v>TC Hae</v>
          </cell>
          <cell r="E92" t="str">
            <v>HNS</v>
          </cell>
          <cell r="F92">
            <v>200327</v>
          </cell>
        </row>
        <row r="93">
          <cell r="B93" t="str">
            <v>HAE33619</v>
          </cell>
          <cell r="C93" t="str">
            <v>Bùi Duy Năng</v>
          </cell>
          <cell r="D93" t="str">
            <v>TC Hae</v>
          </cell>
          <cell r="E93" t="str">
            <v>HNS</v>
          </cell>
          <cell r="F93">
            <v>200327</v>
          </cell>
        </row>
        <row r="94">
          <cell r="B94" t="str">
            <v>HAE29676</v>
          </cell>
          <cell r="C94" t="str">
            <v>Đặng Thị Chiện</v>
          </cell>
          <cell r="D94" t="str">
            <v>Line 4</v>
          </cell>
          <cell r="E94" t="str">
            <v>HNS</v>
          </cell>
          <cell r="F94">
            <v>200329</v>
          </cell>
        </row>
        <row r="95">
          <cell r="B95" t="str">
            <v>HAE33636</v>
          </cell>
          <cell r="C95" t="str">
            <v>Nguyễn Sỹ Dũng</v>
          </cell>
          <cell r="D95" t="str">
            <v>Máy</v>
          </cell>
          <cell r="E95" t="str">
            <v>HNS</v>
          </cell>
          <cell r="F95">
            <v>200329</v>
          </cell>
        </row>
        <row r="96">
          <cell r="B96" t="str">
            <v>HAE34099</v>
          </cell>
          <cell r="C96" t="str">
            <v>Nguyễn Văn Cường</v>
          </cell>
          <cell r="D96" t="str">
            <v>Máy</v>
          </cell>
          <cell r="E96" t="str">
            <v>HNS</v>
          </cell>
          <cell r="F96">
            <v>200330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iếu công &amp; lương"/>
      <sheetName val="Bảng công T8"/>
      <sheetName val="data nguồn"/>
      <sheetName val="Sheet2"/>
    </sheetNames>
    <sheetDataSet>
      <sheetData sheetId="0" refreshError="1"/>
      <sheetData sheetId="1" refreshError="1"/>
      <sheetData sheetId="2">
        <row r="6">
          <cell r="B6">
            <v>1</v>
          </cell>
          <cell r="C6">
            <v>2</v>
          </cell>
          <cell r="D6">
            <v>3</v>
          </cell>
          <cell r="E6">
            <v>4</v>
          </cell>
          <cell r="F6">
            <v>5</v>
          </cell>
          <cell r="G6">
            <v>6</v>
          </cell>
          <cell r="H6">
            <v>7</v>
          </cell>
          <cell r="I6">
            <v>8</v>
          </cell>
          <cell r="J6">
            <v>9</v>
          </cell>
          <cell r="K6">
            <v>10</v>
          </cell>
          <cell r="L6">
            <v>11</v>
          </cell>
          <cell r="M6">
            <v>12</v>
          </cell>
          <cell r="N6">
            <v>13</v>
          </cell>
          <cell r="O6">
            <v>14</v>
          </cell>
          <cell r="P6">
            <v>15</v>
          </cell>
          <cell r="Q6">
            <v>16</v>
          </cell>
        </row>
        <row r="7">
          <cell r="B7" t="str">
            <v>Mã NV</v>
          </cell>
          <cell r="C7" t="str">
            <v>CMND</v>
          </cell>
          <cell r="F7" t="str">
            <v>Họ Tên</v>
          </cell>
          <cell r="G7" t="str">
            <v>Năm sinh</v>
          </cell>
          <cell r="H7" t="str">
            <v>Tỉnh thành</v>
          </cell>
          <cell r="I7" t="str">
            <v>Số điện thoại</v>
          </cell>
          <cell r="J7" t="str">
            <v>cmnd</v>
          </cell>
          <cell r="M7" t="str">
            <v>Ngày vào Cty</v>
          </cell>
          <cell r="N7" t="str">
            <v>Số tài khoản</v>
          </cell>
          <cell r="O7" t="str">
            <v>Ngân hàng</v>
          </cell>
          <cell r="P7" t="str">
            <v>Tên tài khoản</v>
          </cell>
          <cell r="Q7" t="str">
            <v>Ghi chú</v>
          </cell>
        </row>
        <row r="8">
          <cell r="C8" t="str">
            <v>Số</v>
          </cell>
          <cell r="D8" t="str">
            <v>Ngày cấp</v>
          </cell>
          <cell r="E8" t="str">
            <v>Nơi cấp</v>
          </cell>
          <cell r="J8" t="str">
            <v>Số</v>
          </cell>
          <cell r="K8" t="str">
            <v>Ngày cấp</v>
          </cell>
          <cell r="L8" t="str">
            <v>Nơi cấp</v>
          </cell>
        </row>
        <row r="9">
          <cell r="B9" t="str">
            <v>GIN0065</v>
          </cell>
          <cell r="F9" t="str">
            <v xml:space="preserve"> Phạm Thị Dung </v>
          </cell>
          <cell r="N9">
            <v>1013014502</v>
          </cell>
          <cell r="O9" t="str">
            <v>VCB Hải Phòng</v>
          </cell>
          <cell r="P9" t="str">
            <v xml:space="preserve"> Phạm Thị Dung </v>
          </cell>
        </row>
        <row r="10">
          <cell r="B10" t="str">
            <v>GIN0069</v>
          </cell>
          <cell r="F10" t="str">
            <v>Ngô Quang Đăng</v>
          </cell>
          <cell r="P10" t="str">
            <v>Ngô Quang Đăng</v>
          </cell>
        </row>
        <row r="11">
          <cell r="B11" t="str">
            <v>HAE28993</v>
          </cell>
          <cell r="D11" t="str">
            <v/>
          </cell>
          <cell r="E11" t="str">
            <v/>
          </cell>
          <cell r="F11" t="str">
            <v>Lê Thị Hậu</v>
          </cell>
          <cell r="N11" t="str">
            <v>1013359576</v>
          </cell>
          <cell r="O11" t="str">
            <v>VCB Hải Phòng</v>
          </cell>
          <cell r="P11" t="str">
            <v>Lê Thị Hậu</v>
          </cell>
        </row>
        <row r="12">
          <cell r="B12" t="str">
            <v>GIN0061</v>
          </cell>
          <cell r="F12" t="str">
            <v>Nguyễn Thị Thủy</v>
          </cell>
          <cell r="P12" t="str">
            <v>Nguyễn Thị Thủy</v>
          </cell>
        </row>
        <row r="13">
          <cell r="B13" t="str">
            <v>HAE29978</v>
          </cell>
          <cell r="D13" t="str">
            <v/>
          </cell>
          <cell r="E13" t="str">
            <v/>
          </cell>
          <cell r="F13" t="str">
            <v>Nguyễn Thị Thuyết</v>
          </cell>
          <cell r="N13">
            <v>1013014481</v>
          </cell>
          <cell r="O13" t="str">
            <v>VCB Hải Phòng</v>
          </cell>
          <cell r="P13" t="str">
            <v>Nguyễn Thị Thuyết</v>
          </cell>
        </row>
        <row r="14">
          <cell r="B14" t="str">
            <v>HAE29055</v>
          </cell>
          <cell r="C14" t="str">
            <v>031839232</v>
          </cell>
          <cell r="D14" t="str">
            <v>26.04.2013</v>
          </cell>
          <cell r="E14" t="str">
            <v>CA Hải phòng</v>
          </cell>
          <cell r="F14" t="str">
            <v>Ngô Văn Chung</v>
          </cell>
          <cell r="M14">
            <v>200507</v>
          </cell>
          <cell r="N14">
            <v>31000357947</v>
          </cell>
          <cell r="O14" t="str">
            <v>VCB Hải Phòng</v>
          </cell>
          <cell r="P14" t="str">
            <v>Ngô Thị Mùi</v>
          </cell>
        </row>
        <row r="15">
          <cell r="B15" t="str">
            <v>HAE29099</v>
          </cell>
          <cell r="D15" t="str">
            <v/>
          </cell>
          <cell r="E15" t="str">
            <v/>
          </cell>
          <cell r="F15" t="str">
            <v>Lê Quang Thể</v>
          </cell>
          <cell r="N15" t="str">
            <v>0341007187821</v>
          </cell>
          <cell r="O15" t="str">
            <v>VCB Hải Phòng</v>
          </cell>
          <cell r="P15" t="str">
            <v>Lê Quang Thể</v>
          </cell>
        </row>
        <row r="16">
          <cell r="B16" t="str">
            <v>HAE29139</v>
          </cell>
          <cell r="C16" t="str">
            <v>031097001182</v>
          </cell>
          <cell r="D16" t="str">
            <v>17/11/2014</v>
          </cell>
          <cell r="E16" t="str">
            <v>Cục cảnh sát</v>
          </cell>
          <cell r="F16" t="str">
            <v>Lương Văn Cương</v>
          </cell>
          <cell r="M16">
            <v>200714</v>
          </cell>
          <cell r="N16">
            <v>1013013505</v>
          </cell>
          <cell r="O16" t="str">
            <v>VCB Hải Phòng</v>
          </cell>
          <cell r="P16" t="str">
            <v>Lương Văn Cương</v>
          </cell>
        </row>
        <row r="17">
          <cell r="B17" t="str">
            <v>HAE29301</v>
          </cell>
          <cell r="C17" t="str">
            <v>031098002121</v>
          </cell>
          <cell r="D17" t="str">
            <v>10/08/2015</v>
          </cell>
          <cell r="E17" t="str">
            <v>Cục CS</v>
          </cell>
          <cell r="F17" t="str">
            <v>Vũ Mạnh Hùng</v>
          </cell>
          <cell r="M17">
            <v>200204</v>
          </cell>
          <cell r="N17" t="str">
            <v>0341007168998</v>
          </cell>
          <cell r="O17" t="str">
            <v>VCB Hải Phòng</v>
          </cell>
          <cell r="P17" t="str">
            <v>Vũ Mạnh Hùng</v>
          </cell>
        </row>
        <row r="18">
          <cell r="B18" t="str">
            <v>HAE29589</v>
          </cell>
          <cell r="D18" t="str">
            <v/>
          </cell>
          <cell r="E18" t="str">
            <v/>
          </cell>
          <cell r="F18" t="str">
            <v>Phạm Văn Tới</v>
          </cell>
          <cell r="N18" t="str">
            <v>0031000242574</v>
          </cell>
          <cell r="O18" t="str">
            <v>VCB Hải Phòng</v>
          </cell>
          <cell r="P18" t="str">
            <v>Phạm Văn Tới</v>
          </cell>
        </row>
        <row r="19">
          <cell r="B19" t="str">
            <v>HAE29514</v>
          </cell>
          <cell r="D19" t="str">
            <v/>
          </cell>
          <cell r="E19" t="str">
            <v/>
          </cell>
          <cell r="F19" t="str">
            <v>Dương Mạnh Đức</v>
          </cell>
          <cell r="N19">
            <v>1013013758</v>
          </cell>
          <cell r="O19" t="str">
            <v>VCB Hải Phòng</v>
          </cell>
          <cell r="P19" t="str">
            <v>Dương Mạnh Đức</v>
          </cell>
        </row>
        <row r="20">
          <cell r="B20" t="str">
            <v>HAE29644</v>
          </cell>
          <cell r="C20" t="str">
            <v>031880448</v>
          </cell>
          <cell r="D20" t="str">
            <v>07/03/2011</v>
          </cell>
          <cell r="E20" t="str">
            <v>Công an Hải Phòng</v>
          </cell>
          <cell r="F20" t="str">
            <v>Phạm Văn Sơn</v>
          </cell>
          <cell r="M20">
            <v>200207</v>
          </cell>
          <cell r="N20" t="str">
            <v>1013359889</v>
          </cell>
          <cell r="O20" t="str">
            <v>VCB Hải Phòng</v>
          </cell>
          <cell r="P20" t="str">
            <v>Phạm Văn Sơn</v>
          </cell>
        </row>
        <row r="21">
          <cell r="B21" t="str">
            <v>HAE29645</v>
          </cell>
          <cell r="C21" t="str">
            <v>187763330</v>
          </cell>
          <cell r="D21" t="str">
            <v>20/10/2016</v>
          </cell>
          <cell r="E21" t="str">
            <v>Công an Nghệ An</v>
          </cell>
          <cell r="F21" t="str">
            <v>Hoàng Thị Như</v>
          </cell>
          <cell r="M21">
            <v>200207</v>
          </cell>
          <cell r="N21" t="str">
            <v>1013348275</v>
          </cell>
          <cell r="O21" t="str">
            <v>VCB Hải Phòng</v>
          </cell>
          <cell r="P21" t="str">
            <v>Hoàng Thị Như</v>
          </cell>
        </row>
        <row r="22">
          <cell r="B22" t="str">
            <v>HAE29460</v>
          </cell>
          <cell r="C22" t="str">
            <v>030944753</v>
          </cell>
          <cell r="D22" t="str">
            <v>16/11/2007</v>
          </cell>
          <cell r="E22" t="str">
            <v>Công an Hải Phòng</v>
          </cell>
          <cell r="F22" t="str">
            <v>Nguyễn Duy Hải</v>
          </cell>
          <cell r="M22">
            <v>200209</v>
          </cell>
        </row>
        <row r="23">
          <cell r="B23" t="str">
            <v>HAE29980</v>
          </cell>
          <cell r="D23" t="str">
            <v/>
          </cell>
          <cell r="E23" t="str">
            <v/>
          </cell>
          <cell r="F23" t="str">
            <v>Nguyễn Đăng Chung</v>
          </cell>
          <cell r="N23" t="str">
            <v>1013360122</v>
          </cell>
          <cell r="O23" t="str">
            <v>VCB Hải Phòng</v>
          </cell>
          <cell r="P23" t="str">
            <v>Nguyễn Đăng Chung</v>
          </cell>
        </row>
        <row r="24">
          <cell r="B24" t="str">
            <v>HAE29905</v>
          </cell>
          <cell r="C24" t="str">
            <v>032020051</v>
          </cell>
          <cell r="D24" t="str">
            <v>25/04/2014</v>
          </cell>
          <cell r="E24" t="str">
            <v>Công an Hải Phòng</v>
          </cell>
          <cell r="F24" t="str">
            <v>Nguyễn Xuân Trường</v>
          </cell>
          <cell r="M24">
            <v>200212</v>
          </cell>
          <cell r="N24" t="str">
            <v>1013359726</v>
          </cell>
          <cell r="O24" t="str">
            <v>VCB Hải Phòng</v>
          </cell>
          <cell r="P24" t="str">
            <v>Lê Văn Quân</v>
          </cell>
          <cell r="Q24" t="str">
            <v>Lê Văn Quân lấy tên N.X.Trường để làm việc do thiếu tuổi. TK là của Lê Văn Quân</v>
          </cell>
        </row>
        <row r="25">
          <cell r="B25" t="str">
            <v>HAE30101</v>
          </cell>
          <cell r="C25" t="str">
            <v>031200004295</v>
          </cell>
          <cell r="D25" t="str">
            <v>30/05/2016</v>
          </cell>
          <cell r="E25" t="str">
            <v>Cục cs</v>
          </cell>
          <cell r="F25" t="str">
            <v>Nguyễn Đức Toàn</v>
          </cell>
          <cell r="M25">
            <v>200217</v>
          </cell>
          <cell r="N25">
            <v>1013014589</v>
          </cell>
          <cell r="O25" t="str">
            <v>VCB Hải Phòng</v>
          </cell>
          <cell r="P25" t="str">
            <v>Nguyễn Đức Toàn</v>
          </cell>
        </row>
        <row r="26">
          <cell r="B26" t="str">
            <v>HAE30280</v>
          </cell>
          <cell r="D26" t="str">
            <v/>
          </cell>
          <cell r="E26" t="str">
            <v/>
          </cell>
          <cell r="F26" t="str">
            <v>Trần Xuân Dương</v>
          </cell>
          <cell r="N26">
            <v>1013013931</v>
          </cell>
          <cell r="O26" t="str">
            <v>VCB Hải Phòng</v>
          </cell>
          <cell r="P26" t="str">
            <v>Trần Xuân Dương</v>
          </cell>
        </row>
        <row r="27">
          <cell r="B27" t="str">
            <v>HAE30282</v>
          </cell>
          <cell r="D27" t="str">
            <v/>
          </cell>
          <cell r="E27" t="str">
            <v/>
          </cell>
          <cell r="F27" t="str">
            <v>Đào Xuân Hùng</v>
          </cell>
          <cell r="N27">
            <v>1013014011</v>
          </cell>
          <cell r="O27" t="str">
            <v>VCB Hải Phòng</v>
          </cell>
          <cell r="P27" t="str">
            <v>Đào Xuân Hùng</v>
          </cell>
        </row>
        <row r="28">
          <cell r="B28" t="str">
            <v>HAE30350</v>
          </cell>
          <cell r="C28" t="str">
            <v>031082001896</v>
          </cell>
          <cell r="D28" t="str">
            <v>05/06/2015</v>
          </cell>
          <cell r="E28" t="str">
            <v>Cục Cảnh Sát</v>
          </cell>
          <cell r="F28" t="str">
            <v>Bùi Văn Thắng</v>
          </cell>
          <cell r="N28">
            <v>1013014218</v>
          </cell>
          <cell r="O28" t="str">
            <v>VCB Hải Phòng</v>
          </cell>
          <cell r="P28" t="str">
            <v>Bùi Văn Thắng</v>
          </cell>
        </row>
        <row r="29">
          <cell r="B29" t="str">
            <v>HAE30351</v>
          </cell>
          <cell r="C29">
            <v>186155466</v>
          </cell>
          <cell r="D29" t="str">
            <v/>
          </cell>
          <cell r="E29" t="str">
            <v/>
          </cell>
          <cell r="F29" t="str">
            <v>Nguyễn Văn Tý</v>
          </cell>
          <cell r="P29" t="str">
            <v>Nguyễn Văn Tý</v>
          </cell>
        </row>
        <row r="30">
          <cell r="B30" t="str">
            <v>HAE30324</v>
          </cell>
          <cell r="C30" t="str">
            <v>031201002440</v>
          </cell>
          <cell r="D30" t="str">
            <v/>
          </cell>
          <cell r="E30" t="str">
            <v/>
          </cell>
          <cell r="F30" t="str">
            <v>Nguyễn Hoàng Kỳ</v>
          </cell>
          <cell r="N30" t="str">
            <v>1013347821</v>
          </cell>
          <cell r="O30" t="str">
            <v>VCB Hải Phòng</v>
          </cell>
          <cell r="P30" t="str">
            <v>Nguyễn Hoàng Kỳ</v>
          </cell>
        </row>
        <row r="31">
          <cell r="B31" t="str">
            <v>HAE30679</v>
          </cell>
          <cell r="C31" t="str">
            <v>031201007883</v>
          </cell>
          <cell r="D31" t="str">
            <v>06/05/2018</v>
          </cell>
          <cell r="E31" t="str">
            <v>Cục cs</v>
          </cell>
          <cell r="F31" t="str">
            <v>Nguyễn Văn Trọng</v>
          </cell>
          <cell r="M31">
            <v>200224</v>
          </cell>
          <cell r="N31">
            <v>1013014782</v>
          </cell>
          <cell r="O31" t="str">
            <v>VCB Hải Phòng</v>
          </cell>
          <cell r="P31" t="str">
            <v>Nguyễn Văn Trọng</v>
          </cell>
        </row>
        <row r="32">
          <cell r="B32" t="str">
            <v>HAE30881</v>
          </cell>
          <cell r="D32" t="str">
            <v/>
          </cell>
          <cell r="E32" t="str">
            <v/>
          </cell>
          <cell r="F32" t="str">
            <v>Nguyễn Thị Tho</v>
          </cell>
          <cell r="P32" t="str">
            <v>Nguyễn Thị Tho</v>
          </cell>
        </row>
        <row r="33">
          <cell r="B33" t="str">
            <v>HAE30878</v>
          </cell>
          <cell r="D33" t="str">
            <v/>
          </cell>
          <cell r="E33" t="str">
            <v/>
          </cell>
          <cell r="F33" t="str">
            <v>Ngô Thị Kim Chi</v>
          </cell>
          <cell r="P33" t="str">
            <v>Ngô Thị Kim Chi</v>
          </cell>
        </row>
        <row r="34">
          <cell r="B34" t="str">
            <v>HAE30981</v>
          </cell>
          <cell r="D34" t="str">
            <v/>
          </cell>
          <cell r="E34" t="str">
            <v/>
          </cell>
          <cell r="F34" t="str">
            <v>Nguyễn Thị Yến</v>
          </cell>
          <cell r="P34" t="str">
            <v>Nguyễn Thị Yến</v>
          </cell>
        </row>
        <row r="35">
          <cell r="B35" t="str">
            <v>HAE31044</v>
          </cell>
          <cell r="D35" t="str">
            <v/>
          </cell>
          <cell r="E35" t="str">
            <v/>
          </cell>
          <cell r="F35" t="str">
            <v>Lò Thị Quỳnh</v>
          </cell>
          <cell r="N35" t="str">
            <v>0031000391740</v>
          </cell>
          <cell r="O35" t="str">
            <v>VCB Hải Phòng</v>
          </cell>
          <cell r="P35" t="str">
            <v>Lò Thị Quỳnh</v>
          </cell>
        </row>
        <row r="36">
          <cell r="B36" t="str">
            <v>HAE31043</v>
          </cell>
          <cell r="D36" t="str">
            <v/>
          </cell>
          <cell r="E36" t="str">
            <v/>
          </cell>
          <cell r="F36" t="str">
            <v>Lò Văn Cường</v>
          </cell>
          <cell r="N36" t="str">
            <v>1013359751</v>
          </cell>
          <cell r="O36" t="str">
            <v>VCB Hải Phòng</v>
          </cell>
          <cell r="P36" t="str">
            <v>Lò Văn Cường</v>
          </cell>
        </row>
        <row r="37">
          <cell r="B37" t="str">
            <v>HAE30774</v>
          </cell>
          <cell r="D37" t="str">
            <v/>
          </cell>
          <cell r="E37" t="str">
            <v/>
          </cell>
          <cell r="F37" t="str">
            <v>Trương Đức An</v>
          </cell>
          <cell r="N37" t="str">
            <v>0341007191588</v>
          </cell>
          <cell r="O37" t="str">
            <v>VCB Hải Phòng</v>
          </cell>
          <cell r="P37" t="str">
            <v>Trương Đức An</v>
          </cell>
        </row>
        <row r="38">
          <cell r="B38" t="str">
            <v>HAE31245</v>
          </cell>
          <cell r="D38" t="str">
            <v/>
          </cell>
          <cell r="E38" t="str">
            <v/>
          </cell>
          <cell r="F38" t="str">
            <v>Lê Đức Hiệp</v>
          </cell>
          <cell r="P38" t="str">
            <v>Lê Đức Hiệp</v>
          </cell>
        </row>
        <row r="39">
          <cell r="B39" t="str">
            <v>HAE29155</v>
          </cell>
          <cell r="C39" t="str">
            <v>031797304</v>
          </cell>
          <cell r="D39" t="str">
            <v/>
          </cell>
          <cell r="E39" t="str">
            <v/>
          </cell>
          <cell r="F39" t="str">
            <v>Nguyễn Thị Thảo</v>
          </cell>
          <cell r="P39" t="str">
            <v>Nguyễn Thị Thảo</v>
          </cell>
        </row>
        <row r="40">
          <cell r="B40" t="str">
            <v>HAE31654</v>
          </cell>
          <cell r="D40" t="str">
            <v/>
          </cell>
          <cell r="E40" t="str">
            <v/>
          </cell>
          <cell r="F40" t="str">
            <v>Trần Quốc Việt</v>
          </cell>
          <cell r="N40" t="str">
            <v>0031000378928</v>
          </cell>
          <cell r="O40" t="str">
            <v>VCB Hải Phòng</v>
          </cell>
          <cell r="P40" t="str">
            <v>Trần Quốc Việt</v>
          </cell>
        </row>
        <row r="41">
          <cell r="B41" t="str">
            <v>HAE31855</v>
          </cell>
          <cell r="D41" t="str">
            <v/>
          </cell>
          <cell r="E41" t="str">
            <v/>
          </cell>
          <cell r="F41" t="str">
            <v>Phạm Văn Mạnh</v>
          </cell>
          <cell r="N41">
            <v>31000284659</v>
          </cell>
          <cell r="O41" t="str">
            <v>VCB Hải Phòng</v>
          </cell>
          <cell r="P41" t="str">
            <v>Phạm Văn Mạnh</v>
          </cell>
        </row>
        <row r="42">
          <cell r="B42" t="str">
            <v>HAE31743</v>
          </cell>
          <cell r="C42" t="str">
            <v>051041160</v>
          </cell>
          <cell r="D42" t="str">
            <v>25/04/2017</v>
          </cell>
          <cell r="E42" t="str">
            <v>Công an Sơn La</v>
          </cell>
          <cell r="F42" t="str">
            <v>Lò Văn Thuận</v>
          </cell>
          <cell r="M42">
            <v>200525</v>
          </cell>
          <cell r="N42" t="str">
            <v>1013359364</v>
          </cell>
          <cell r="O42" t="str">
            <v>VCB Hải Phòng</v>
          </cell>
          <cell r="P42" t="str">
            <v>Lò Văn Thuận</v>
          </cell>
        </row>
        <row r="43">
          <cell r="B43" t="str">
            <v>HAE31748</v>
          </cell>
          <cell r="C43" t="str">
            <v>051122809</v>
          </cell>
          <cell r="D43" t="str">
            <v>16/01/2018</v>
          </cell>
          <cell r="E43" t="str">
            <v>Công an Sơn La</v>
          </cell>
          <cell r="F43" t="str">
            <v>Quàng Văn Mạnh</v>
          </cell>
          <cell r="M43">
            <v>200525</v>
          </cell>
          <cell r="N43" t="str">
            <v>1013360056</v>
          </cell>
          <cell r="O43" t="str">
            <v>VCB Hải Phòng</v>
          </cell>
          <cell r="P43" t="str">
            <v>Quàng Văn Mạnh</v>
          </cell>
        </row>
        <row r="44">
          <cell r="B44" t="str">
            <v>HAE32347</v>
          </cell>
          <cell r="D44" t="str">
            <v/>
          </cell>
          <cell r="E44" t="str">
            <v/>
          </cell>
          <cell r="F44" t="str">
            <v>Quàng Văn Hương</v>
          </cell>
          <cell r="P44" t="str">
            <v>Quàng Văn Hương</v>
          </cell>
        </row>
        <row r="45">
          <cell r="B45" t="str">
            <v>HAE32272</v>
          </cell>
          <cell r="C45" t="str">
            <v>173837652</v>
          </cell>
          <cell r="D45" t="str">
            <v>31/05/2010</v>
          </cell>
          <cell r="E45" t="str">
            <v>Công an Thanh Hóa</v>
          </cell>
          <cell r="F45" t="str">
            <v>Trần Thị Thúy</v>
          </cell>
          <cell r="M45">
            <v>200310</v>
          </cell>
          <cell r="N45" t="str">
            <v>1013359923</v>
          </cell>
          <cell r="O45" t="str">
            <v>VCB Hải Phòng</v>
          </cell>
          <cell r="P45" t="str">
            <v>Trần Thị Thúy</v>
          </cell>
        </row>
        <row r="46">
          <cell r="B46" t="str">
            <v>HAE32293</v>
          </cell>
          <cell r="D46" t="str">
            <v/>
          </cell>
          <cell r="E46" t="str">
            <v/>
          </cell>
          <cell r="F46" t="str">
            <v>Vũ Thị Quý</v>
          </cell>
          <cell r="N46" t="str">
            <v>1013360214</v>
          </cell>
          <cell r="O46" t="str">
            <v>VCB Hải Phòng</v>
          </cell>
          <cell r="P46" t="str">
            <v>Vũ Thị Quý</v>
          </cell>
        </row>
        <row r="47">
          <cell r="B47" t="str">
            <v>HAE32366</v>
          </cell>
          <cell r="D47" t="str">
            <v/>
          </cell>
          <cell r="E47" t="str">
            <v/>
          </cell>
          <cell r="F47" t="str">
            <v>Lê Văn Đức</v>
          </cell>
        </row>
        <row r="48">
          <cell r="B48" t="str">
            <v>HAE32671</v>
          </cell>
          <cell r="D48" t="str">
            <v/>
          </cell>
          <cell r="E48" t="str">
            <v/>
          </cell>
          <cell r="F48" t="str">
            <v>Nguyễn Thu Trang</v>
          </cell>
        </row>
        <row r="49">
          <cell r="B49" t="str">
            <v>HAE32672</v>
          </cell>
          <cell r="D49" t="str">
            <v/>
          </cell>
          <cell r="E49" t="str">
            <v/>
          </cell>
          <cell r="F49" t="str">
            <v>Phạm Thị Thanh Huyền</v>
          </cell>
        </row>
        <row r="50">
          <cell r="B50" t="str">
            <v>HAE32718</v>
          </cell>
          <cell r="D50" t="str">
            <v/>
          </cell>
          <cell r="E50" t="str">
            <v/>
          </cell>
          <cell r="F50" t="str">
            <v>Mai Văn Hùng</v>
          </cell>
        </row>
        <row r="51">
          <cell r="B51" t="str">
            <v>HAE32719</v>
          </cell>
          <cell r="D51" t="str">
            <v/>
          </cell>
          <cell r="E51" t="str">
            <v/>
          </cell>
          <cell r="F51" t="str">
            <v>Hoàng Việt Hà</v>
          </cell>
        </row>
        <row r="52">
          <cell r="B52" t="str">
            <v>HAE32623</v>
          </cell>
          <cell r="D52" t="str">
            <v>10/07/2013</v>
          </cell>
          <cell r="E52" t="str">
            <v/>
          </cell>
          <cell r="F52" t="str">
            <v>Đỗ Thị Hà Vân</v>
          </cell>
        </row>
        <row r="53">
          <cell r="B53" t="str">
            <v>HAE32663</v>
          </cell>
          <cell r="D53" t="str">
            <v/>
          </cell>
          <cell r="E53" t="str">
            <v/>
          </cell>
          <cell r="F53" t="str">
            <v>Phan Anh Dũng</v>
          </cell>
        </row>
        <row r="54">
          <cell r="B54" t="str">
            <v>HAE32674</v>
          </cell>
          <cell r="D54" t="str">
            <v/>
          </cell>
          <cell r="E54" t="str">
            <v/>
          </cell>
          <cell r="F54" t="str">
            <v>Trần Thị Trang</v>
          </cell>
        </row>
        <row r="55">
          <cell r="B55" t="str">
            <v>HAE32736</v>
          </cell>
          <cell r="D55" t="str">
            <v/>
          </cell>
          <cell r="E55" t="str">
            <v/>
          </cell>
          <cell r="F55" t="str">
            <v>Vũ Thị Toan</v>
          </cell>
          <cell r="N55" t="str">
            <v>1013359792</v>
          </cell>
          <cell r="O55" t="str">
            <v>VCB Hải Phòng</v>
          </cell>
          <cell r="P55" t="str">
            <v>Vũ Thị Toan</v>
          </cell>
        </row>
        <row r="56">
          <cell r="B56" t="str">
            <v>HAE29124</v>
          </cell>
          <cell r="D56" t="str">
            <v/>
          </cell>
          <cell r="E56" t="str">
            <v/>
          </cell>
          <cell r="F56" t="str">
            <v>Bùi Quang Duy</v>
          </cell>
        </row>
        <row r="57">
          <cell r="B57" t="str">
            <v>HAE32761</v>
          </cell>
          <cell r="C57" t="str">
            <v>031200001512</v>
          </cell>
          <cell r="D57" t="str">
            <v>08/06/2015</v>
          </cell>
          <cell r="E57" t="str">
            <v>Cục CS</v>
          </cell>
          <cell r="F57" t="str">
            <v>Hoàng Văn Hiên</v>
          </cell>
          <cell r="M57">
            <v>200319</v>
          </cell>
          <cell r="N57" t="str">
            <v>1013359871</v>
          </cell>
          <cell r="O57" t="str">
            <v>VCB Hải Phòng</v>
          </cell>
          <cell r="P57" t="str">
            <v>Hoàng Văn Hiên</v>
          </cell>
        </row>
        <row r="58">
          <cell r="B58" t="str">
            <v>HAE32762</v>
          </cell>
          <cell r="D58" t="str">
            <v>10/07/2013</v>
          </cell>
          <cell r="E58" t="str">
            <v/>
          </cell>
          <cell r="F58" t="str">
            <v>Nguyễn Văn Lưu</v>
          </cell>
          <cell r="N58" t="str">
            <v>1013359798</v>
          </cell>
          <cell r="O58" t="str">
            <v>VCB Hải Phòng</v>
          </cell>
          <cell r="P58" t="str">
            <v>Nguyễn Văn Lưu</v>
          </cell>
        </row>
        <row r="59">
          <cell r="B59" t="str">
            <v>HAE32818</v>
          </cell>
          <cell r="C59" t="str">
            <v>031895514</v>
          </cell>
          <cell r="D59">
            <v>0</v>
          </cell>
          <cell r="E59" t="str">
            <v>Công an Hải Phòng</v>
          </cell>
          <cell r="F59" t="str">
            <v>Nguyễn Thị Thương</v>
          </cell>
          <cell r="M59">
            <v>200319</v>
          </cell>
          <cell r="N59" t="str">
            <v>1013359622</v>
          </cell>
          <cell r="O59" t="str">
            <v>VCB Hải Phòng</v>
          </cell>
          <cell r="P59" t="str">
            <v>Nguyễn Thị Thương</v>
          </cell>
        </row>
        <row r="60">
          <cell r="B60" t="str">
            <v>HAE32810</v>
          </cell>
          <cell r="D60" t="str">
            <v/>
          </cell>
          <cell r="E60" t="str">
            <v/>
          </cell>
          <cell r="F60" t="str">
            <v>Khúc Đình Quỳnh</v>
          </cell>
        </row>
        <row r="61">
          <cell r="B61" t="str">
            <v>HAE32804</v>
          </cell>
          <cell r="D61" t="str">
            <v/>
          </cell>
          <cell r="E61" t="str">
            <v/>
          </cell>
          <cell r="F61" t="str">
            <v>Phan Viết Đoàn</v>
          </cell>
          <cell r="N61" t="str">
            <v>1013360169</v>
          </cell>
          <cell r="O61" t="str">
            <v>VCB Hải Phòng</v>
          </cell>
          <cell r="P61" t="str">
            <v>Phan Viết Đoàn</v>
          </cell>
        </row>
        <row r="62">
          <cell r="B62" t="str">
            <v>HAE33128</v>
          </cell>
          <cell r="D62" t="str">
            <v/>
          </cell>
          <cell r="E62" t="str">
            <v/>
          </cell>
          <cell r="F62" t="str">
            <v>Hoàng Thúy An</v>
          </cell>
          <cell r="N62" t="str">
            <v>1013360020</v>
          </cell>
          <cell r="O62" t="str">
            <v>VCB Hải Phòng</v>
          </cell>
          <cell r="P62" t="str">
            <v>Hoàng Thúy An</v>
          </cell>
        </row>
        <row r="63">
          <cell r="B63" t="str">
            <v>HAE32948</v>
          </cell>
          <cell r="D63" t="str">
            <v/>
          </cell>
          <cell r="E63" t="str">
            <v/>
          </cell>
          <cell r="F63" t="str">
            <v>Nguyễn Thị Lan</v>
          </cell>
        </row>
        <row r="64">
          <cell r="B64" t="str">
            <v>HAE28973</v>
          </cell>
          <cell r="D64" t="str">
            <v/>
          </cell>
          <cell r="E64" t="str">
            <v/>
          </cell>
          <cell r="F64" t="str">
            <v>Trần Đức Tấn</v>
          </cell>
        </row>
        <row r="65">
          <cell r="B65" t="str">
            <v>HAE33145</v>
          </cell>
          <cell r="C65" t="str">
            <v>031200003984</v>
          </cell>
          <cell r="D65" t="str">
            <v>26/07/2016</v>
          </cell>
          <cell r="E65" t="str">
            <v>Cục cảnh sát</v>
          </cell>
          <cell r="F65" t="str">
            <v>Nguyễn Đức Trung</v>
          </cell>
          <cell r="M65">
            <v>200713</v>
          </cell>
        </row>
        <row r="66">
          <cell r="B66" t="str">
            <v>HAE34947</v>
          </cell>
          <cell r="D66" t="str">
            <v/>
          </cell>
          <cell r="E66" t="str">
            <v/>
          </cell>
          <cell r="F66" t="str">
            <v>Nguyễn Như Hạo</v>
          </cell>
        </row>
        <row r="67">
          <cell r="B67" t="str">
            <v>HAE32753</v>
          </cell>
          <cell r="D67" t="str">
            <v>10/07/2013</v>
          </cell>
          <cell r="E67" t="str">
            <v/>
          </cell>
          <cell r="F67" t="str">
            <v>Phạm Tuấn Anh</v>
          </cell>
        </row>
        <row r="68">
          <cell r="B68" t="str">
            <v>HAE33159</v>
          </cell>
          <cell r="D68" t="str">
            <v/>
          </cell>
          <cell r="E68" t="str">
            <v/>
          </cell>
          <cell r="F68" t="str">
            <v>Nguyễn Thị Trung</v>
          </cell>
        </row>
        <row r="69">
          <cell r="B69" t="str">
            <v>HAE33160</v>
          </cell>
          <cell r="D69" t="str">
            <v/>
          </cell>
          <cell r="E69" t="str">
            <v/>
          </cell>
          <cell r="F69" t="str">
            <v>Nguyễn Vũ Quang</v>
          </cell>
        </row>
        <row r="70">
          <cell r="B70" t="str">
            <v>HAE33233</v>
          </cell>
          <cell r="D70" t="str">
            <v/>
          </cell>
          <cell r="E70" t="str">
            <v/>
          </cell>
          <cell r="F70" t="str">
            <v>Moong Văn Giáp</v>
          </cell>
        </row>
        <row r="71">
          <cell r="B71" t="str">
            <v>HAE33230</v>
          </cell>
          <cell r="D71" t="str">
            <v/>
          </cell>
          <cell r="E71" t="str">
            <v/>
          </cell>
          <cell r="F71" t="str">
            <v>Lò Văn Thương</v>
          </cell>
        </row>
        <row r="72">
          <cell r="B72" t="str">
            <v>HAE33231</v>
          </cell>
          <cell r="D72" t="str">
            <v/>
          </cell>
          <cell r="E72" t="str">
            <v/>
          </cell>
          <cell r="F72" t="str">
            <v>Moong Văn Dao</v>
          </cell>
        </row>
        <row r="73">
          <cell r="B73" t="str">
            <v>HAE33633</v>
          </cell>
          <cell r="D73" t="str">
            <v/>
          </cell>
          <cell r="E73" t="str">
            <v/>
          </cell>
          <cell r="F73" t="str">
            <v>Nguyễn Thế Đạt</v>
          </cell>
        </row>
        <row r="74">
          <cell r="B74" t="str">
            <v>HAE33787</v>
          </cell>
          <cell r="D74" t="str">
            <v/>
          </cell>
          <cell r="E74" t="str">
            <v/>
          </cell>
          <cell r="F74" t="str">
            <v>Bùi Duy Thành</v>
          </cell>
        </row>
        <row r="75">
          <cell r="B75" t="str">
            <v>HAE34325</v>
          </cell>
          <cell r="D75" t="str">
            <v/>
          </cell>
          <cell r="E75" t="str">
            <v/>
          </cell>
          <cell r="F75" t="str">
            <v>Nguyễn Thành Công</v>
          </cell>
        </row>
        <row r="76">
          <cell r="B76" t="str">
            <v>HAE33218</v>
          </cell>
          <cell r="D76" t="str">
            <v/>
          </cell>
          <cell r="E76" t="str">
            <v/>
          </cell>
          <cell r="F76" t="str">
            <v>Lê Văn Việt</v>
          </cell>
        </row>
        <row r="77">
          <cell r="B77" t="str">
            <v>HAE33628</v>
          </cell>
          <cell r="D77" t="str">
            <v/>
          </cell>
          <cell r="E77" t="str">
            <v/>
          </cell>
          <cell r="F77" t="str">
            <v>Nguyễn Trọng Hoàng</v>
          </cell>
        </row>
        <row r="78">
          <cell r="B78" t="str">
            <v>HAE33644</v>
          </cell>
          <cell r="D78" t="str">
            <v/>
          </cell>
          <cell r="E78" t="str">
            <v/>
          </cell>
          <cell r="F78" t="str">
            <v>Nguyễn Ngọc Anh</v>
          </cell>
        </row>
        <row r="79">
          <cell r="B79" t="str">
            <v>HAE29676</v>
          </cell>
          <cell r="D79" t="str">
            <v/>
          </cell>
          <cell r="E79" t="str">
            <v/>
          </cell>
          <cell r="F79" t="str">
            <v>Đặng Thị Chiện</v>
          </cell>
        </row>
        <row r="80">
          <cell r="B80" t="str">
            <v>HAE33636</v>
          </cell>
          <cell r="D80" t="str">
            <v/>
          </cell>
          <cell r="E80" t="str">
            <v/>
          </cell>
          <cell r="F80" t="str">
            <v>Nguyễn Sỹ Dũng</v>
          </cell>
        </row>
        <row r="81">
          <cell r="B81" t="str">
            <v>HAE34099</v>
          </cell>
          <cell r="D81" t="str">
            <v/>
          </cell>
          <cell r="E81" t="str">
            <v/>
          </cell>
          <cell r="F81" t="str">
            <v>Nguyễn Văn Cường</v>
          </cell>
        </row>
        <row r="82">
          <cell r="B82" t="str">
            <v>HAE35569</v>
          </cell>
          <cell r="C82" t="str">
            <v>031052713</v>
          </cell>
          <cell r="D82">
            <v>40673</v>
          </cell>
          <cell r="E82" t="str">
            <v>Công an Hải Phòng</v>
          </cell>
          <cell r="F82" t="str">
            <v>Phạm Hồng Phong</v>
          </cell>
          <cell r="M82">
            <v>200415</v>
          </cell>
          <cell r="N82" t="str">
            <v>1015422678</v>
          </cell>
          <cell r="O82" t="str">
            <v>VCB Hải Phòng</v>
          </cell>
          <cell r="P82" t="str">
            <v>Phạm Hồng Phong</v>
          </cell>
        </row>
        <row r="83">
          <cell r="B83" t="str">
            <v>HAE39538</v>
          </cell>
          <cell r="C83">
            <v>186035053</v>
          </cell>
          <cell r="D83" t="str">
            <v>25/05/2013</v>
          </cell>
          <cell r="E83" t="str">
            <v>Công an Nghệ An</v>
          </cell>
          <cell r="F83" t="str">
            <v>Trương Văn Thơm</v>
          </cell>
          <cell r="M83">
            <v>200617</v>
          </cell>
          <cell r="N83" t="str">
            <v>1015423549</v>
          </cell>
          <cell r="O83" t="str">
            <v>VCB Hải Phòng</v>
          </cell>
          <cell r="P83" t="str">
            <v>Trương Văn Thơm</v>
          </cell>
        </row>
        <row r="84">
          <cell r="B84" t="str">
            <v>HAE37997</v>
          </cell>
          <cell r="C84" t="str">
            <v>080778112</v>
          </cell>
          <cell r="D84" t="str">
            <v>28.04.2009</v>
          </cell>
          <cell r="E84" t="str">
            <v>CA Yên Bái</v>
          </cell>
          <cell r="F84" t="str">
            <v>Phạm Thế Anh</v>
          </cell>
          <cell r="M84">
            <v>200520</v>
          </cell>
          <cell r="Q84" t="str">
            <v>k làm dc vì cmt gốc mờ</v>
          </cell>
        </row>
        <row r="85">
          <cell r="B85" t="str">
            <v>HAE39565</v>
          </cell>
          <cell r="C85" t="str">
            <v>031979155</v>
          </cell>
          <cell r="D85" t="str">
            <v>28/06/2013</v>
          </cell>
          <cell r="E85" t="str">
            <v>CA Hải phòng</v>
          </cell>
          <cell r="F85" t="str">
            <v>Nguyễn Thị Vân</v>
          </cell>
          <cell r="M85">
            <v>200630</v>
          </cell>
          <cell r="N85" t="str">
            <v>1015424108</v>
          </cell>
          <cell r="O85" t="str">
            <v>VCB Hải Phòng</v>
          </cell>
          <cell r="P85" t="str">
            <v>Nguyễn Thị Vân</v>
          </cell>
        </row>
        <row r="86">
          <cell r="B86" t="str">
            <v xml:space="preserve">HAE39928 </v>
          </cell>
          <cell r="C86" t="str">
            <v>071066898</v>
          </cell>
          <cell r="D86" t="str">
            <v>13/01/2016</v>
          </cell>
          <cell r="E86" t="str">
            <v>CA Tuyên Quang</v>
          </cell>
          <cell r="F86" t="str">
            <v>Trần Thanh Hường</v>
          </cell>
          <cell r="M86">
            <v>200709</v>
          </cell>
          <cell r="N86" t="str">
            <v>1015427075</v>
          </cell>
          <cell r="O86" t="str">
            <v>VCB Hải Phòng</v>
          </cell>
          <cell r="P86" t="str">
            <v>Trần Thanh Hường</v>
          </cell>
        </row>
        <row r="87">
          <cell r="B87" t="str">
            <v>HAE39660</v>
          </cell>
          <cell r="C87">
            <v>187840012</v>
          </cell>
          <cell r="D87" t="str">
            <v>26/04/2017</v>
          </cell>
          <cell r="E87" t="str">
            <v xml:space="preserve"> CA Nghệ An</v>
          </cell>
          <cell r="F87" t="str">
            <v>Lương Văn Hài</v>
          </cell>
          <cell r="M87">
            <v>200712</v>
          </cell>
          <cell r="N87" t="str">
            <v>1015429133</v>
          </cell>
          <cell r="O87" t="str">
            <v>VCB Hải Phòng</v>
          </cell>
          <cell r="P87" t="str">
            <v>Lương Văn Hài</v>
          </cell>
        </row>
        <row r="88">
          <cell r="B88" t="str">
            <v>HAE39109</v>
          </cell>
          <cell r="C88" t="str">
            <v>051061781</v>
          </cell>
          <cell r="D88" t="str">
            <v>03/08/2015</v>
          </cell>
          <cell r="E88" t="str">
            <v/>
          </cell>
          <cell r="F88" t="str">
            <v>Lò Văn Thảnh</v>
          </cell>
          <cell r="N88" t="str">
            <v>1015431898</v>
          </cell>
          <cell r="O88" t="str">
            <v>VCB Hải Phòng</v>
          </cell>
          <cell r="P88" t="str">
            <v>Lò Văn Thảnh</v>
          </cell>
        </row>
        <row r="89">
          <cell r="B89" t="str">
            <v>HAE38205</v>
          </cell>
          <cell r="C89" t="str">
            <v>187352043</v>
          </cell>
          <cell r="D89" t="str">
            <v>07.02.2017</v>
          </cell>
          <cell r="E89" t="str">
            <v>CA Nghệ An</v>
          </cell>
          <cell r="F89" t="str">
            <v>Hoàng Trọng Nghĩa</v>
          </cell>
          <cell r="M89">
            <v>200519</v>
          </cell>
          <cell r="N89" t="str">
            <v>1015432095</v>
          </cell>
          <cell r="O89" t="str">
            <v>VCB Hải Phòng</v>
          </cell>
          <cell r="P89" t="str">
            <v>Hoàng Trọng Nghĩa</v>
          </cell>
        </row>
        <row r="90">
          <cell r="B90" t="str">
            <v>HAE39657</v>
          </cell>
          <cell r="C90">
            <v>184322401</v>
          </cell>
          <cell r="D90" t="str">
            <v>26/04/2020</v>
          </cell>
          <cell r="E90" t="str">
            <v>CA Hà Tĩnh</v>
          </cell>
          <cell r="F90" t="str">
            <v>Vương Tiến Sắc</v>
          </cell>
          <cell r="M90">
            <v>200627</v>
          </cell>
          <cell r="N90" t="str">
            <v>1015421873</v>
          </cell>
          <cell r="O90" t="str">
            <v>VCB Hải Phòng</v>
          </cell>
          <cell r="P90" t="str">
            <v>Vương Tiến Sắc</v>
          </cell>
        </row>
        <row r="91">
          <cell r="B91" t="str">
            <v>HAE39886</v>
          </cell>
          <cell r="C91">
            <v>187884819</v>
          </cell>
          <cell r="D91" t="str">
            <v>28/09/2017</v>
          </cell>
          <cell r="E91" t="str">
            <v>CA Nghệ An</v>
          </cell>
          <cell r="F91" t="str">
            <v>Nguyễn Văn Hồng Hải</v>
          </cell>
          <cell r="M91">
            <v>200704</v>
          </cell>
          <cell r="N91" t="str">
            <v>1015421840</v>
          </cell>
          <cell r="O91" t="str">
            <v>VCB Hải Phòng</v>
          </cell>
          <cell r="P91" t="str">
            <v>Nguyễn Văn Hồng Hải</v>
          </cell>
        </row>
        <row r="92">
          <cell r="B92" t="str">
            <v>HAE38406</v>
          </cell>
          <cell r="C92" t="str">
            <v>044301001858</v>
          </cell>
          <cell r="D92" t="str">
            <v>10.10.2017</v>
          </cell>
          <cell r="E92" t="str">
            <v>Cục CS</v>
          </cell>
          <cell r="F92" t="str">
            <v>Hoàng Thị Thu Hiền</v>
          </cell>
          <cell r="M92">
            <v>200602</v>
          </cell>
          <cell r="N92" t="str">
            <v>1015421793</v>
          </cell>
          <cell r="O92" t="str">
            <v>VCB Hải Phòng</v>
          </cell>
          <cell r="P92" t="str">
            <v>Hoàng Thị Thu Hiền</v>
          </cell>
        </row>
        <row r="93">
          <cell r="B93" t="str">
            <v xml:space="preserve">HAE39854 </v>
          </cell>
          <cell r="C93" t="str">
            <v>031198002261</v>
          </cell>
          <cell r="D93" t="str">
            <v>18/09/2015</v>
          </cell>
          <cell r="E93" t="str">
            <v>Cục Cảnh Sát</v>
          </cell>
          <cell r="F93" t="str">
            <v>Phạm Thu Hà</v>
          </cell>
          <cell r="M93">
            <v>200703</v>
          </cell>
          <cell r="N93" t="str">
            <v>1015421815</v>
          </cell>
          <cell r="O93" t="str">
            <v>VCB Hải Phòng</v>
          </cell>
          <cell r="P93" t="str">
            <v>Phạm Thu Hà</v>
          </cell>
        </row>
        <row r="94">
          <cell r="B94" t="str">
            <v xml:space="preserve">HAE39853 </v>
          </cell>
          <cell r="C94" t="str">
            <v>031198003336</v>
          </cell>
          <cell r="D94" t="str">
            <v>25/12/2015</v>
          </cell>
          <cell r="E94" t="str">
            <v>Cục Cảnh Sát</v>
          </cell>
          <cell r="F94" t="str">
            <v>Lương Thị Thu Phương</v>
          </cell>
          <cell r="M94">
            <v>200703</v>
          </cell>
          <cell r="N94" t="str">
            <v>1015421759</v>
          </cell>
          <cell r="O94" t="str">
            <v>VCB Hải Phòng</v>
          </cell>
          <cell r="P94" t="str">
            <v>Lương Thị Thu Phương</v>
          </cell>
        </row>
        <row r="95">
          <cell r="B95" t="str">
            <v>HAE39839</v>
          </cell>
          <cell r="C95" t="str">
            <v>031189006729</v>
          </cell>
          <cell r="D95">
            <v>43469</v>
          </cell>
          <cell r="E95" t="str">
            <v>Cục CS</v>
          </cell>
          <cell r="F95" t="str">
            <v>Nguyễn Thị Nghĩa</v>
          </cell>
          <cell r="M95">
            <v>200703</v>
          </cell>
          <cell r="N95" t="str">
            <v>1015412840</v>
          </cell>
          <cell r="O95" t="str">
            <v>VCB Hải Phòng</v>
          </cell>
          <cell r="P95" t="str">
            <v>Nguyễn Thị Nghĩa</v>
          </cell>
        </row>
        <row r="96">
          <cell r="B96" t="str">
            <v xml:space="preserve">HAE34663 </v>
          </cell>
          <cell r="C96">
            <v>186857471</v>
          </cell>
          <cell r="D96" t="str">
            <v>22/01/2007</v>
          </cell>
          <cell r="E96" t="str">
            <v>CA Nghệ An</v>
          </cell>
          <cell r="F96" t="str">
            <v>Nguyễn Thị Bướm</v>
          </cell>
          <cell r="M96">
            <v>200629</v>
          </cell>
          <cell r="N96" t="str">
            <v>1015421720</v>
          </cell>
          <cell r="O96" t="str">
            <v>VCB Hải Phòng</v>
          </cell>
          <cell r="P96" t="str">
            <v>Nguyễn Thị Bướm</v>
          </cell>
        </row>
        <row r="97">
          <cell r="B97" t="str">
            <v>HAE29055</v>
          </cell>
          <cell r="C97" t="str">
            <v>031839232</v>
          </cell>
          <cell r="D97" t="str">
            <v>26.04.2013</v>
          </cell>
          <cell r="E97" t="str">
            <v>CA Hải phòng</v>
          </cell>
          <cell r="F97" t="str">
            <v>Ngô Văn Chung</v>
          </cell>
          <cell r="M97">
            <v>200507</v>
          </cell>
          <cell r="N97" t="str">
            <v>1015403380</v>
          </cell>
          <cell r="O97" t="str">
            <v>VCB Hải Phòng</v>
          </cell>
          <cell r="P97" t="str">
            <v>Ngô Văn Chung</v>
          </cell>
        </row>
        <row r="98">
          <cell r="B98" t="str">
            <v>HAE39836</v>
          </cell>
          <cell r="C98" t="str">
            <v>187558974</v>
          </cell>
          <cell r="D98">
            <v>41889</v>
          </cell>
          <cell r="E98" t="str">
            <v>CA Nghệ An</v>
          </cell>
          <cell r="F98" t="str">
            <v>Sầm Thị Hồng</v>
          </cell>
          <cell r="M98">
            <v>200703</v>
          </cell>
          <cell r="Q98" t="str">
            <v>ngân hàng báo đã có số tk rồi</v>
          </cell>
        </row>
        <row r="99">
          <cell r="B99" t="str">
            <v>HAE39658</v>
          </cell>
          <cell r="C99" t="str">
            <v>031180003669</v>
          </cell>
          <cell r="D99" t="str">
            <v>01/11/2016</v>
          </cell>
          <cell r="E99" t="str">
            <v>Cục CS</v>
          </cell>
          <cell r="F99" t="str">
            <v>Hoàng Thị Ngọc</v>
          </cell>
          <cell r="M99">
            <v>200616</v>
          </cell>
          <cell r="N99" t="str">
            <v>1015406784</v>
          </cell>
          <cell r="O99" t="str">
            <v>VCB Hải Phòng</v>
          </cell>
          <cell r="P99" t="str">
            <v>Hoàng Thị Ngọc</v>
          </cell>
        </row>
        <row r="100">
          <cell r="B100" t="str">
            <v>HAE35711</v>
          </cell>
          <cell r="C100" t="str">
            <v>034181005598</v>
          </cell>
          <cell r="D100">
            <v>42788</v>
          </cell>
          <cell r="E100" t="str">
            <v>Cục CS</v>
          </cell>
          <cell r="F100" t="str">
            <v>Nguyễn Thị Lý</v>
          </cell>
          <cell r="M100">
            <v>200415</v>
          </cell>
          <cell r="N100" t="str">
            <v>1015422109</v>
          </cell>
          <cell r="O100" t="str">
            <v>VCB Hải Phòng</v>
          </cell>
          <cell r="P100" t="str">
            <v>Nguyễn Thị Lý</v>
          </cell>
        </row>
        <row r="101">
          <cell r="B101" t="str">
            <v>HAE38204</v>
          </cell>
          <cell r="C101">
            <v>175051305</v>
          </cell>
          <cell r="D101" t="str">
            <v>17.10.2015</v>
          </cell>
          <cell r="E101" t="str">
            <v>CA Thanh Hóa</v>
          </cell>
          <cell r="F101" t="str">
            <v>Lương Xuân Điệp</v>
          </cell>
          <cell r="M101">
            <v>200518</v>
          </cell>
          <cell r="N101" t="str">
            <v>1015410828</v>
          </cell>
          <cell r="O101" t="str">
            <v>VCB Hải Phòng</v>
          </cell>
          <cell r="P101" t="str">
            <v>Lương Xuân Điệp</v>
          </cell>
        </row>
        <row r="102">
          <cell r="B102" t="str">
            <v>HAE39386</v>
          </cell>
          <cell r="C102" t="str">
            <v>034301009383</v>
          </cell>
          <cell r="D102" t="str">
            <v>24/06/1016</v>
          </cell>
          <cell r="E102" t="str">
            <v>Cục Cảnh Sát</v>
          </cell>
          <cell r="F102" t="str">
            <v>Vũ Thị Trang</v>
          </cell>
          <cell r="M102">
            <v>200618</v>
          </cell>
          <cell r="N102" t="str">
            <v>0031000381490</v>
          </cell>
          <cell r="O102" t="str">
            <v>VCB Hải Phòng</v>
          </cell>
          <cell r="P102" t="str">
            <v>Vũ Thị Trang</v>
          </cell>
        </row>
        <row r="103">
          <cell r="B103" t="str">
            <v>HAE39700</v>
          </cell>
          <cell r="C103" t="str">
            <v>030302003836</v>
          </cell>
          <cell r="D103" t="str">
            <v>03/04/2018</v>
          </cell>
          <cell r="E103" t="str">
            <v>Cục Cảnh Sát</v>
          </cell>
          <cell r="F103" t="str">
            <v>Đồng Thị Huyền Trang</v>
          </cell>
          <cell r="M103">
            <v>200630</v>
          </cell>
          <cell r="N103" t="str">
            <v>1015411072</v>
          </cell>
          <cell r="O103" t="str">
            <v>VCB Hải Phòng</v>
          </cell>
          <cell r="P103" t="str">
            <v>Đồng Thị Huyền Trang</v>
          </cell>
        </row>
        <row r="104">
          <cell r="B104" t="str">
            <v>HAE39171</v>
          </cell>
          <cell r="C104">
            <v>174767307</v>
          </cell>
          <cell r="D104" t="str">
            <v>30.05.2015</v>
          </cell>
          <cell r="E104" t="str">
            <v xml:space="preserve"> Công an Thanh Hóa</v>
          </cell>
          <cell r="F104" t="str">
            <v>Trình Văn Sơn</v>
          </cell>
          <cell r="M104">
            <v>200609</v>
          </cell>
          <cell r="N104" t="str">
            <v>1015418563</v>
          </cell>
          <cell r="O104" t="str">
            <v>VCB Hải Phòng</v>
          </cell>
          <cell r="P104" t="str">
            <v>Trình Văn Sơn</v>
          </cell>
        </row>
        <row r="105">
          <cell r="B105" t="str">
            <v>HAE38616</v>
          </cell>
          <cell r="C105" t="str">
            <v>061094259</v>
          </cell>
          <cell r="D105" t="str">
            <v>17.07.2015</v>
          </cell>
          <cell r="E105" t="str">
            <v>CA Yên Bái</v>
          </cell>
          <cell r="F105" t="str">
            <v>Đỗ Quốc Bảo</v>
          </cell>
          <cell r="M105">
            <v>200601</v>
          </cell>
          <cell r="N105" t="str">
            <v>1015421570</v>
          </cell>
          <cell r="O105" t="str">
            <v>VCB Hải Phòng</v>
          </cell>
          <cell r="P105" t="str">
            <v>Đỗ Quốc Bảo</v>
          </cell>
        </row>
        <row r="106">
          <cell r="B106" t="str">
            <v>GIN0087</v>
          </cell>
          <cell r="F106" t="str">
            <v>Vũ Thị Như Quỳnh</v>
          </cell>
          <cell r="N106" t="str">
            <v>1015421801</v>
          </cell>
          <cell r="O106" t="str">
            <v>VCB Hải Phòng</v>
          </cell>
          <cell r="P106" t="str">
            <v>Vũ Thị Như Quỳnh</v>
          </cell>
        </row>
        <row r="107">
          <cell r="B107" t="str">
            <v>GIN0054</v>
          </cell>
          <cell r="F107" t="str">
            <v>Phạm Thị Huyền</v>
          </cell>
          <cell r="N107" t="str">
            <v>1015421826</v>
          </cell>
          <cell r="O107" t="str">
            <v>VCB Hải Phòng</v>
          </cell>
          <cell r="P107" t="str">
            <v>Phạm Thị Huyền</v>
          </cell>
        </row>
        <row r="108">
          <cell r="B108" t="str">
            <v>GIN0058</v>
          </cell>
          <cell r="F108" t="str">
            <v>Đoàn Thị Hoa</v>
          </cell>
          <cell r="N108" t="str">
            <v>1015421853</v>
          </cell>
          <cell r="O108" t="str">
            <v>VCB Hải Phòng</v>
          </cell>
          <cell r="P108" t="str">
            <v>Đoàn Thị Hoa</v>
          </cell>
        </row>
        <row r="109">
          <cell r="B109" t="str">
            <v>HAE40411</v>
          </cell>
          <cell r="C109">
            <v>184320845</v>
          </cell>
          <cell r="D109" t="str">
            <v>26/05/2015</v>
          </cell>
          <cell r="E109" t="str">
            <v>Công an Hà Tĩnh</v>
          </cell>
          <cell r="F109" t="str">
            <v>Dương Văn Nhật</v>
          </cell>
          <cell r="M109">
            <v>200715</v>
          </cell>
          <cell r="N109" t="str">
            <v>1015421876</v>
          </cell>
          <cell r="O109" t="str">
            <v>VCB Hải Phòng</v>
          </cell>
          <cell r="P109" t="str">
            <v>Dương Văn Nhật</v>
          </cell>
        </row>
        <row r="110">
          <cell r="B110" t="str">
            <v>HAE40412</v>
          </cell>
          <cell r="C110">
            <v>184430445</v>
          </cell>
          <cell r="D110" t="str">
            <v>24/10/2018</v>
          </cell>
          <cell r="E110" t="str">
            <v>Công an Hà Tĩnh</v>
          </cell>
          <cell r="F110" t="str">
            <v>Nguyễn Ngọc Ánh</v>
          </cell>
          <cell r="M110">
            <v>200715</v>
          </cell>
          <cell r="N110" t="str">
            <v>1015421901</v>
          </cell>
          <cell r="O110" t="str">
            <v>VCB Hải Phòng</v>
          </cell>
          <cell r="P110" t="str">
            <v>Nguyễn Ngọc Ánh</v>
          </cell>
        </row>
        <row r="111">
          <cell r="B111" t="str">
            <v xml:space="preserve">HAE39109 </v>
          </cell>
          <cell r="C111" t="str">
            <v>051061781</v>
          </cell>
          <cell r="D111" t="str">
            <v>03/08/2015</v>
          </cell>
          <cell r="E111" t="str">
            <v>CA Tỉnh Sơn La</v>
          </cell>
          <cell r="F111" t="str">
            <v>Lò Văn Thảnh</v>
          </cell>
          <cell r="M111">
            <v>200601</v>
          </cell>
        </row>
        <row r="112">
          <cell r="B112" t="str">
            <v>HAE39234</v>
          </cell>
          <cell r="C112">
            <v>173339638</v>
          </cell>
          <cell r="D112" t="str">
            <v>28/08/2009</v>
          </cell>
          <cell r="E112" t="str">
            <v>CA Thanh Hóa</v>
          </cell>
          <cell r="F112" t="str">
            <v>Hà Thị Thu</v>
          </cell>
          <cell r="M112">
            <v>200615</v>
          </cell>
        </row>
        <row r="113">
          <cell r="B113" t="str">
            <v>HAE39235</v>
          </cell>
          <cell r="C113">
            <v>187518449</v>
          </cell>
          <cell r="D113" t="str">
            <v>13/10/2015</v>
          </cell>
          <cell r="E113" t="str">
            <v>CA Nghệ An</v>
          </cell>
          <cell r="F113" t="str">
            <v>Vi Thị Đào</v>
          </cell>
          <cell r="M113">
            <v>200615</v>
          </cell>
        </row>
        <row r="114">
          <cell r="B114" t="str">
            <v>HAE39547</v>
          </cell>
          <cell r="C114" t="str">
            <v xml:space="preserve"> 051135962</v>
          </cell>
          <cell r="D114" t="str">
            <v>14/10/2017</v>
          </cell>
          <cell r="E114" t="str">
            <v>CA Sơn La</v>
          </cell>
          <cell r="F114" t="str">
            <v>Quàng Văn Tùng</v>
          </cell>
          <cell r="M114">
            <v>200625</v>
          </cell>
        </row>
        <row r="115">
          <cell r="B115" t="str">
            <v>HAE39580</v>
          </cell>
          <cell r="C115">
            <v>132353408</v>
          </cell>
          <cell r="D115" t="str">
            <v>14/04/2018</v>
          </cell>
          <cell r="E115" t="str">
            <v>CA Phú Thọ</v>
          </cell>
          <cell r="F115" t="str">
            <v>Đỗ Anh Tuấn</v>
          </cell>
          <cell r="M115">
            <v>200626</v>
          </cell>
        </row>
        <row r="116">
          <cell r="B116" t="str">
            <v>HAE39915</v>
          </cell>
          <cell r="C116" t="str">
            <v>142876504</v>
          </cell>
          <cell r="D116" t="str">
            <v>17/06/2015</v>
          </cell>
          <cell r="E116" t="str">
            <v>CA Hải Dương</v>
          </cell>
          <cell r="F116" t="str">
            <v>Vũ Văn Đức</v>
          </cell>
          <cell r="M116">
            <v>200706</v>
          </cell>
        </row>
        <row r="117">
          <cell r="B117" t="str">
            <v>HAE39713</v>
          </cell>
          <cell r="C117" t="str">
            <v>031300010122</v>
          </cell>
          <cell r="D117" t="str">
            <v xml:space="preserve"> 04/10/2017</v>
          </cell>
          <cell r="E117" t="str">
            <v>Cục cảnh sát</v>
          </cell>
          <cell r="F117" t="str">
            <v>Dương Thị Hồng</v>
          </cell>
          <cell r="M117">
            <v>200709</v>
          </cell>
        </row>
        <row r="118">
          <cell r="B118" t="str">
            <v>HAE40198</v>
          </cell>
          <cell r="C118" t="str">
            <v xml:space="preserve"> 030094000219</v>
          </cell>
          <cell r="D118" t="str">
            <v>15/04/2020</v>
          </cell>
          <cell r="E118" t="str">
            <v>Cục cảnh sát</v>
          </cell>
          <cell r="F118" t="str">
            <v>Nguyễn Văn Bắc</v>
          </cell>
          <cell r="M118">
            <v>200709</v>
          </cell>
        </row>
        <row r="119">
          <cell r="B119" t="str">
            <v>HAE39808</v>
          </cell>
          <cell r="C119">
            <v>174131590</v>
          </cell>
          <cell r="D119" t="str">
            <v>15/09/2010</v>
          </cell>
          <cell r="E119" t="str">
            <v xml:space="preserve"> CA Thanh Hóa</v>
          </cell>
          <cell r="F119" t="str">
            <v>Bùi Văn Đoàn</v>
          </cell>
          <cell r="M119">
            <v>200711</v>
          </cell>
        </row>
        <row r="120">
          <cell r="B120" t="str">
            <v>HAE39661</v>
          </cell>
          <cell r="C120">
            <v>187643967</v>
          </cell>
          <cell r="D120" t="str">
            <v>05/04/2016</v>
          </cell>
          <cell r="E120" t="str">
            <v xml:space="preserve"> CA Nghệ An</v>
          </cell>
          <cell r="F120" t="str">
            <v>Lương Văn Tuấn</v>
          </cell>
          <cell r="M120">
            <v>200712</v>
          </cell>
        </row>
        <row r="121">
          <cell r="B121" t="str">
            <v>HAE29187</v>
          </cell>
          <cell r="C121" t="str">
            <v>031099006520</v>
          </cell>
          <cell r="D121" t="str">
            <v>19/04/2016</v>
          </cell>
          <cell r="E121" t="str">
            <v>Cục cảnh sát</v>
          </cell>
          <cell r="F121" t="str">
            <v>Nguyễn Văn Hậu</v>
          </cell>
          <cell r="M121">
            <v>200713</v>
          </cell>
        </row>
        <row r="122">
          <cell r="B122" t="str">
            <v>HAE40372</v>
          </cell>
          <cell r="C122" t="str">
            <v xml:space="preserve"> 031094007697</v>
          </cell>
          <cell r="D122" t="str">
            <v>18/04/2019</v>
          </cell>
          <cell r="E122" t="str">
            <v>Cục cảnh sát</v>
          </cell>
          <cell r="F122" t="str">
            <v>Đỗ Văn Thái</v>
          </cell>
          <cell r="M122">
            <v>200714</v>
          </cell>
        </row>
        <row r="123">
          <cell r="B123" t="str">
            <v>HAE35682</v>
          </cell>
          <cell r="C123" t="str">
            <v>031095006542</v>
          </cell>
          <cell r="D123" t="str">
            <v>13/06/2018</v>
          </cell>
          <cell r="E123" t="str">
            <v>Cục cảnh sát</v>
          </cell>
          <cell r="F123" t="str">
            <v>Nguyễn Anh Tuấn</v>
          </cell>
          <cell r="M123">
            <v>200714</v>
          </cell>
        </row>
        <row r="124">
          <cell r="B124" t="str">
            <v>HAE40491</v>
          </cell>
          <cell r="C124" t="str">
            <v>051139904</v>
          </cell>
          <cell r="D124" t="str">
            <v>30/03/2018</v>
          </cell>
          <cell r="E124" t="str">
            <v>Công an Sơn La</v>
          </cell>
          <cell r="F124" t="str">
            <v>Lò Văn Trường</v>
          </cell>
          <cell r="M124">
            <v>200720</v>
          </cell>
        </row>
        <row r="125">
          <cell r="B125" t="str">
            <v>HAE29094</v>
          </cell>
          <cell r="C125" t="str">
            <v>031458754</v>
          </cell>
          <cell r="D125" t="str">
            <v>25/07/2019</v>
          </cell>
          <cell r="E125" t="str">
            <v>CA Hải Phòng</v>
          </cell>
          <cell r="F125" t="str">
            <v>Vũ Thị Bích Ngọc</v>
          </cell>
          <cell r="M125">
            <v>200720</v>
          </cell>
        </row>
        <row r="126">
          <cell r="B126" t="str">
            <v>HAE40467</v>
          </cell>
          <cell r="C126" t="str">
            <v>031834450</v>
          </cell>
          <cell r="D126" t="str">
            <v>25/06/2018</v>
          </cell>
          <cell r="E126" t="str">
            <v>CA Hải Phòng</v>
          </cell>
          <cell r="F126" t="str">
            <v>Đỗ Thị Thảo</v>
          </cell>
          <cell r="M126">
            <v>200720</v>
          </cell>
        </row>
        <row r="127">
          <cell r="B127" t="str">
            <v xml:space="preserve">HAE40529 </v>
          </cell>
          <cell r="C127">
            <v>187861025</v>
          </cell>
          <cell r="D127" t="str">
            <v>27/06/2017</v>
          </cell>
          <cell r="E127" t="str">
            <v>CA Nghệ An</v>
          </cell>
          <cell r="F127" t="str">
            <v>Phan Thị Ngân</v>
          </cell>
          <cell r="M127">
            <v>200722</v>
          </cell>
        </row>
        <row r="128">
          <cell r="B128" t="str">
            <v xml:space="preserve">HAE40531 </v>
          </cell>
          <cell r="C128">
            <v>187742278</v>
          </cell>
          <cell r="D128" t="str">
            <v>06/12/2017</v>
          </cell>
          <cell r="E128" t="str">
            <v>CA Nghệ An</v>
          </cell>
          <cell r="F128" t="str">
            <v>Phan Thị Mai</v>
          </cell>
          <cell r="M128">
            <v>200722</v>
          </cell>
        </row>
        <row r="129">
          <cell r="B129" t="str">
            <v>HAE40494</v>
          </cell>
          <cell r="C129">
            <v>142736145</v>
          </cell>
          <cell r="D129" t="str">
            <v>08/06/2011</v>
          </cell>
          <cell r="E129" t="str">
            <v>CA Hải Dương</v>
          </cell>
          <cell r="F129" t="str">
            <v>Đồng Thị Kim Anh</v>
          </cell>
          <cell r="M129">
            <v>200722</v>
          </cell>
        </row>
        <row r="130">
          <cell r="B130" t="str">
            <v>HAE40864</v>
          </cell>
          <cell r="C130" t="str">
            <v>070988216</v>
          </cell>
          <cell r="D130" t="str">
            <v>31/12/2015</v>
          </cell>
          <cell r="E130" t="str">
            <v>CA Tuyên Quang</v>
          </cell>
          <cell r="F130" t="str">
            <v>Lê Thị Kim Dung</v>
          </cell>
          <cell r="M130">
            <v>200725</v>
          </cell>
        </row>
        <row r="131">
          <cell r="B131" t="str">
            <v>HAE40857</v>
          </cell>
          <cell r="C131" t="str">
            <v>031191000284</v>
          </cell>
          <cell r="D131" t="str">
            <v>05/09/2014</v>
          </cell>
          <cell r="E131" t="str">
            <v>Cục Cảnh Sát</v>
          </cell>
          <cell r="F131" t="str">
            <v>Phạm Thị Hương</v>
          </cell>
          <cell r="M131">
            <v>200727</v>
          </cell>
        </row>
        <row r="132">
          <cell r="B132" t="str">
            <v>HAE41168</v>
          </cell>
          <cell r="C132" t="str">
            <v>031095007089</v>
          </cell>
          <cell r="D132">
            <v>43810</v>
          </cell>
          <cell r="E132" t="str">
            <v>Cục cảnh sát</v>
          </cell>
          <cell r="F132" t="str">
            <v>Vũ Văn Trang</v>
          </cell>
          <cell r="M132">
            <v>200804</v>
          </cell>
        </row>
        <row r="133">
          <cell r="B133" t="str">
            <v>HAE41151</v>
          </cell>
          <cell r="C133" t="str">
            <v>031088000507</v>
          </cell>
          <cell r="D133">
            <v>43287</v>
          </cell>
          <cell r="E133" t="str">
            <v>Cục cảnh sát</v>
          </cell>
          <cell r="F133" t="str">
            <v>Hoàng Văn Hòa</v>
          </cell>
          <cell r="M133">
            <v>200804</v>
          </cell>
        </row>
        <row r="134">
          <cell r="B134" t="str">
            <v>HAE41278</v>
          </cell>
          <cell r="C134" t="str">
            <v>061094273</v>
          </cell>
          <cell r="D134">
            <v>42202</v>
          </cell>
          <cell r="E134" t="str">
            <v>CA Yên Bái</v>
          </cell>
          <cell r="F134" t="str">
            <v>Nguyễn Thị Ngọc Ánh</v>
          </cell>
          <cell r="M134">
            <v>200806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"/>
      <sheetName val="3000"/>
      <sheetName val="3300(1)"/>
      <sheetName val="3300(2)"/>
      <sheetName val="3700"/>
      <sheetName val="3900"/>
      <sheetName val="Sheet1"/>
      <sheetName val="4000"/>
      <sheetName val="상각세부명세표(기말자료) (2)"/>
      <sheetName val="4500"/>
      <sheetName val="현금및현금등가물"/>
      <sheetName val="3200(매출채권)"/>
      <sheetName val="외상매출금  (2)"/>
      <sheetName val="대손충당금 평가"/>
      <sheetName val="이자수익추정액(3100-10)"/>
      <sheetName val="미수수익"/>
      <sheetName val="3100(유가증권)"/>
      <sheetName val="유가증권처분손익"/>
      <sheetName val="매입채무"/>
      <sheetName val="3300(기타당좌자산)"/>
      <sheetName val="3700(투자자산) (2)"/>
      <sheetName val="투자유가증권평가"/>
      <sheetName val="유가증권"/>
      <sheetName val="투자유가증권"/>
      <sheetName val="지분법평가"/>
      <sheetName val="지분법(2)"/>
      <sheetName val="보증금"/>
      <sheetName val="주임종장기채권"/>
      <sheetName val="4500 (2)"/>
      <sheetName val="6100(매출원가)"/>
      <sheetName val="정보이용료"/>
      <sheetName val="6300(판관비)"/>
      <sheetName val="6200(영업외손익)"/>
      <sheetName val="STOCK OPTION"/>
      <sheetName val="부가세대사"/>
      <sheetName val="산출내역"/>
      <sheetName val="6000"/>
      <sheetName val="6100"/>
      <sheetName val="5000"/>
      <sheetName val="6200-수익"/>
      <sheetName val="6200-비용"/>
      <sheetName val="6300-일반관리비"/>
      <sheetName val="23(갑)"/>
      <sheetName val="23(을)"/>
      <sheetName val="6300"/>
    </sheetNames>
    <sheetDataSet>
      <sheetData sheetId="0" refreshError="1">
        <row r="2">
          <cell r="E2" t="str">
            <v>JSH</v>
          </cell>
          <cell r="G2">
            <v>37455</v>
          </cell>
        </row>
        <row r="13">
          <cell r="C13" t="str">
            <v>㈜네오위즈</v>
          </cell>
        </row>
        <row r="15">
          <cell r="C15">
            <v>37437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01_생산법인별인건비현황"/>
      <sheetName val="PARAM"/>
    </sheetNames>
    <sheetDataSet>
      <sheetData sheetId="0"/>
      <sheetData sheetId="1">
        <row r="3">
          <cell r="C3" t="str">
            <v>201508</v>
          </cell>
        </row>
        <row r="4">
          <cell r="C4" t="str">
            <v>247818</v>
          </cell>
        </row>
        <row r="5">
          <cell r="C5" t="str">
            <v/>
          </cell>
        </row>
        <row r="14">
          <cell r="C14">
            <v>650</v>
          </cell>
        </row>
        <row r="16">
          <cell r="C16" t="str">
            <v>AFTER</v>
          </cell>
        </row>
        <row r="17">
          <cell r="C17" t="str">
            <v>PERSON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일자별접수"/>
      <sheetName val="일자별집행"/>
      <sheetName val="자금계획_2분기"/>
      <sheetName val="계정과목"/>
      <sheetName val="함수창고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계정과목</v>
          </cell>
        </row>
        <row r="2">
          <cell r="B2" t="str">
            <v>외상매입금</v>
          </cell>
        </row>
        <row r="3">
          <cell r="B3" t="str">
            <v>미지급금</v>
          </cell>
        </row>
        <row r="4">
          <cell r="B4" t="str">
            <v>건물관리비</v>
          </cell>
        </row>
        <row r="5">
          <cell r="B5" t="str">
            <v>광고선전비</v>
          </cell>
        </row>
        <row r="6">
          <cell r="B6" t="str">
            <v>교육훈련비</v>
          </cell>
        </row>
        <row r="7">
          <cell r="B7" t="str">
            <v>급여</v>
          </cell>
        </row>
        <row r="8">
          <cell r="B8" t="str">
            <v>도서인쇄비</v>
          </cell>
        </row>
        <row r="9">
          <cell r="B9" t="str">
            <v>미지급비용</v>
          </cell>
        </row>
        <row r="10">
          <cell r="B10" t="str">
            <v>보험료</v>
          </cell>
        </row>
        <row r="11">
          <cell r="B11" t="str">
            <v>복리후생비</v>
          </cell>
        </row>
        <row r="12">
          <cell r="B12" t="str">
            <v>사무용품비</v>
          </cell>
        </row>
        <row r="13">
          <cell r="B13" t="str">
            <v>선급금</v>
          </cell>
        </row>
        <row r="14">
          <cell r="B14" t="str">
            <v>선급비용</v>
          </cell>
        </row>
        <row r="15">
          <cell r="B15" t="str">
            <v>세금과공과금</v>
          </cell>
        </row>
        <row r="16">
          <cell r="B16" t="str">
            <v>소모품비</v>
          </cell>
        </row>
        <row r="17">
          <cell r="B17" t="str">
            <v>수도광열비</v>
          </cell>
        </row>
        <row r="18">
          <cell r="B18" t="str">
            <v>수선비</v>
          </cell>
        </row>
        <row r="19">
          <cell r="B19" t="str">
            <v>여비교통비</v>
          </cell>
        </row>
        <row r="20">
          <cell r="B20" t="str">
            <v>운반비</v>
          </cell>
        </row>
        <row r="21">
          <cell r="B21" t="str">
            <v>잡급</v>
          </cell>
        </row>
        <row r="22">
          <cell r="B22" t="str">
            <v>잡비</v>
          </cell>
        </row>
        <row r="23">
          <cell r="B23" t="str">
            <v>전력비</v>
          </cell>
        </row>
        <row r="24">
          <cell r="B24" t="str">
            <v>접대비</v>
          </cell>
        </row>
        <row r="25">
          <cell r="B25" t="str">
            <v>지급수수료</v>
          </cell>
        </row>
        <row r="26">
          <cell r="B26" t="str">
            <v>지급임차료</v>
          </cell>
        </row>
        <row r="27">
          <cell r="B27" t="str">
            <v>차량유지비</v>
          </cell>
        </row>
        <row r="28">
          <cell r="B28" t="str">
            <v>통신비</v>
          </cell>
        </row>
        <row r="29">
          <cell r="B29" t="str">
            <v>퇴직급여</v>
          </cell>
        </row>
        <row r="30">
          <cell r="B30" t="str">
            <v>퇴직급여충당금전입</v>
          </cell>
        </row>
        <row r="31">
          <cell r="B31" t="str">
            <v>판매촉진비</v>
          </cell>
        </row>
        <row r="32">
          <cell r="B32" t="str">
            <v>해외접대비</v>
          </cell>
        </row>
        <row r="33">
          <cell r="B33" t="str">
            <v>환가료</v>
          </cell>
        </row>
      </sheetData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XXXX"/>
      <sheetName val="계정code"/>
      <sheetName val="대차표"/>
      <sheetName val="손익표"/>
      <sheetName val="광명대차"/>
      <sheetName val="광명손익"/>
      <sheetName val="안산대차"/>
      <sheetName val="안산손익"/>
      <sheetName val="대차(광+안)"/>
      <sheetName val="손익(광+안)"/>
      <sheetName val="Sheet1"/>
    </sheetNames>
    <sheetDataSet>
      <sheetData sheetId="0" refreshError="1"/>
      <sheetData sheetId="1"/>
      <sheetData sheetId="2" refreshError="1">
        <row r="2">
          <cell r="A2">
            <v>10</v>
          </cell>
          <cell r="C2" t="str">
            <v xml:space="preserve"> 자           산</v>
          </cell>
        </row>
        <row r="3">
          <cell r="A3">
            <v>11</v>
          </cell>
          <cell r="C3" t="str">
            <v>Ⅰ. 유   동    자   산</v>
          </cell>
        </row>
        <row r="4">
          <cell r="A4">
            <v>12</v>
          </cell>
          <cell r="C4" t="str">
            <v>(1) 당   좌    자   산</v>
          </cell>
        </row>
        <row r="5">
          <cell r="A5">
            <v>13</v>
          </cell>
          <cell r="C5" t="str">
            <v>(2) 재   고    자   산</v>
          </cell>
        </row>
        <row r="6">
          <cell r="A6">
            <v>21</v>
          </cell>
          <cell r="C6" t="str">
            <v>Ⅱ. 고   정    자   산</v>
          </cell>
        </row>
        <row r="7">
          <cell r="A7">
            <v>22</v>
          </cell>
          <cell r="C7" t="str">
            <v>(1) 투   자    자   산</v>
          </cell>
        </row>
        <row r="8">
          <cell r="A8">
            <v>23</v>
          </cell>
          <cell r="C8" t="str">
            <v>(2) 유   형    자   산</v>
          </cell>
        </row>
        <row r="9">
          <cell r="A9">
            <v>24</v>
          </cell>
          <cell r="C9" t="str">
            <v>(3) 무   형    자   산</v>
          </cell>
        </row>
        <row r="10">
          <cell r="A10">
            <v>25</v>
          </cell>
          <cell r="C10" t="str">
            <v>(4) 이   연    자   산</v>
          </cell>
        </row>
        <row r="11">
          <cell r="A11">
            <v>29</v>
          </cell>
          <cell r="C11" t="str">
            <v xml:space="preserve">  자   산   총   계</v>
          </cell>
        </row>
        <row r="12">
          <cell r="A12">
            <v>30</v>
          </cell>
          <cell r="C12" t="str">
            <v xml:space="preserve"> 부           채</v>
          </cell>
        </row>
        <row r="13">
          <cell r="A13">
            <v>31</v>
          </cell>
          <cell r="C13" t="str">
            <v>Ⅰ. 유   동    부   채</v>
          </cell>
        </row>
        <row r="14">
          <cell r="A14">
            <v>32</v>
          </cell>
          <cell r="C14" t="str">
            <v>Ⅱ. 고   정    부   채</v>
          </cell>
        </row>
        <row r="15">
          <cell r="A15">
            <v>39</v>
          </cell>
          <cell r="C15" t="str">
            <v xml:space="preserve">  부   채   총   계</v>
          </cell>
        </row>
        <row r="16">
          <cell r="A16">
            <v>40</v>
          </cell>
          <cell r="C16" t="str">
            <v xml:space="preserve"> 자           본</v>
          </cell>
        </row>
        <row r="17">
          <cell r="A17">
            <v>41</v>
          </cell>
          <cell r="C17" t="str">
            <v>Ⅰ. 자      본      금</v>
          </cell>
        </row>
        <row r="18">
          <cell r="A18">
            <v>42</v>
          </cell>
          <cell r="C18" t="str">
            <v>Ⅱ. 자  본  잉  여  금</v>
          </cell>
        </row>
        <row r="19">
          <cell r="C19" t="str">
            <v>(1) 자  본  준  비  금</v>
          </cell>
        </row>
        <row r="20">
          <cell r="C20" t="str">
            <v>(2) 재 평 가  적 립 금</v>
          </cell>
        </row>
        <row r="21">
          <cell r="A21">
            <v>43</v>
          </cell>
          <cell r="C21" t="str">
            <v>Ⅱ. 이  익  잉  여  금</v>
          </cell>
        </row>
        <row r="22">
          <cell r="A22">
            <v>48</v>
          </cell>
          <cell r="C22" t="str">
            <v xml:space="preserve">  자   본   총   계</v>
          </cell>
        </row>
        <row r="23">
          <cell r="A23">
            <v>49</v>
          </cell>
          <cell r="C23" t="str">
            <v xml:space="preserve">  부채 와 자본 총계</v>
          </cell>
        </row>
        <row r="26">
          <cell r="A26">
            <v>50</v>
          </cell>
          <cell r="C26" t="str">
            <v>Ⅰ. 매      출      액</v>
          </cell>
        </row>
        <row r="27">
          <cell r="A27">
            <v>51</v>
          </cell>
          <cell r="C27" t="str">
            <v>Ⅱ. 매   출    원   가</v>
          </cell>
        </row>
        <row r="28">
          <cell r="A28">
            <v>52</v>
          </cell>
          <cell r="C28" t="str">
            <v>Ⅲ. 매  출  총  이  익</v>
          </cell>
        </row>
        <row r="29">
          <cell r="A29">
            <v>53</v>
          </cell>
          <cell r="C29" t="str">
            <v>Ⅳ. 판매비 와 관 리 비</v>
          </cell>
        </row>
        <row r="30">
          <cell r="A30">
            <v>54</v>
          </cell>
          <cell r="C30" t="str">
            <v>Ⅴ. 영   업    이   익</v>
          </cell>
        </row>
        <row r="31">
          <cell r="A31">
            <v>55</v>
          </cell>
          <cell r="C31" t="str">
            <v>Ⅵ. 영  업  외  수  익</v>
          </cell>
        </row>
        <row r="32">
          <cell r="A32">
            <v>56</v>
          </cell>
          <cell r="C32" t="str">
            <v>Ⅶ. 영  업  외  비  용</v>
          </cell>
        </row>
        <row r="33">
          <cell r="A33">
            <v>57</v>
          </cell>
          <cell r="C33" t="str">
            <v>Ⅷ. 경   상    이   익</v>
          </cell>
        </row>
        <row r="34">
          <cell r="A34">
            <v>58</v>
          </cell>
          <cell r="C34" t="str">
            <v>Ⅸ. 특   별    이   익</v>
          </cell>
        </row>
        <row r="35">
          <cell r="A35">
            <v>59</v>
          </cell>
          <cell r="C35" t="str">
            <v>Ⅹ. 특   별    손   실</v>
          </cell>
        </row>
        <row r="36">
          <cell r="A36">
            <v>60</v>
          </cell>
          <cell r="C36" t="str">
            <v>ⅩⅠ.법인세비용차감전순이익</v>
          </cell>
        </row>
        <row r="37">
          <cell r="A37">
            <v>61</v>
          </cell>
          <cell r="C37" t="str">
            <v>ⅩⅡ.법  인  세  비 용</v>
          </cell>
        </row>
        <row r="38">
          <cell r="A38">
            <v>62</v>
          </cell>
          <cell r="C38" t="str">
            <v>ⅩⅢ.당  기  순  이 익</v>
          </cell>
        </row>
        <row r="40">
          <cell r="A40">
            <v>71</v>
          </cell>
          <cell r="C40" t="str">
            <v>Ⅰ. 재      료      비</v>
          </cell>
        </row>
        <row r="41">
          <cell r="A41">
            <v>72</v>
          </cell>
          <cell r="C41" t="str">
            <v>Ⅱ. 노      무      비</v>
          </cell>
        </row>
        <row r="42">
          <cell r="A42">
            <v>73</v>
          </cell>
          <cell r="C42" t="str">
            <v>Ⅲ. 경              비</v>
          </cell>
        </row>
        <row r="43">
          <cell r="A43">
            <v>74</v>
          </cell>
          <cell r="C43" t="str">
            <v>Ⅳ. 당기 총 제 조 비용</v>
          </cell>
        </row>
        <row r="44">
          <cell r="A44">
            <v>75</v>
          </cell>
          <cell r="C44" t="str">
            <v>Ⅴ. 기초 재 공 품 재고</v>
          </cell>
        </row>
        <row r="45">
          <cell r="A45">
            <v>76</v>
          </cell>
          <cell r="C45" t="str">
            <v>Ⅵ. 합              계</v>
          </cell>
        </row>
        <row r="46">
          <cell r="A46">
            <v>77</v>
          </cell>
          <cell r="C46" t="str">
            <v>Ⅶ. 기말 재 공 품 재고</v>
          </cell>
        </row>
        <row r="47">
          <cell r="A47">
            <v>78</v>
          </cell>
          <cell r="C47" t="str">
            <v>Ⅷ. 타  계  정  대  체</v>
          </cell>
        </row>
        <row r="48">
          <cell r="A48">
            <v>79</v>
          </cell>
          <cell r="C48" t="str">
            <v>Ⅸ. 당기 제품 제조원가</v>
          </cell>
        </row>
        <row r="49">
          <cell r="A49">
            <v>80</v>
          </cell>
          <cell r="C49" t="str">
            <v>Ⅹ. 타 계 정 으로 대체</v>
          </cell>
        </row>
        <row r="51">
          <cell r="A51">
            <v>81</v>
          </cell>
          <cell r="C51" t="str">
            <v>Ⅰ. 용              지</v>
          </cell>
        </row>
        <row r="52">
          <cell r="A52">
            <v>82</v>
          </cell>
          <cell r="C52" t="str">
            <v>Ⅱ. 재      료      비</v>
          </cell>
        </row>
        <row r="53">
          <cell r="A53">
            <v>83</v>
          </cell>
          <cell r="C53" t="str">
            <v>Ⅲ. 노      무      비</v>
          </cell>
        </row>
        <row r="54">
          <cell r="A54">
            <v>84</v>
          </cell>
          <cell r="C54" t="str">
            <v>Ⅳ. 외      주      비</v>
          </cell>
        </row>
        <row r="55">
          <cell r="A55">
            <v>85</v>
          </cell>
          <cell r="C55" t="str">
            <v>Ⅴ. 경              비</v>
          </cell>
        </row>
        <row r="56">
          <cell r="A56">
            <v>86</v>
          </cell>
          <cell r="C56" t="str">
            <v>Ⅵ. 당기 총 공사 원 가</v>
          </cell>
        </row>
        <row r="57">
          <cell r="A57">
            <v>87</v>
          </cell>
          <cell r="C57" t="str">
            <v>Ⅶ. 기초 미 완 성 주택</v>
          </cell>
        </row>
        <row r="58">
          <cell r="A58">
            <v>88</v>
          </cell>
          <cell r="C58" t="str">
            <v>Ⅷ. 타 계 정 에서 대체</v>
          </cell>
        </row>
        <row r="59">
          <cell r="A59">
            <v>89</v>
          </cell>
          <cell r="C59" t="str">
            <v xml:space="preserve">     합          계</v>
          </cell>
        </row>
        <row r="60">
          <cell r="A60">
            <v>90</v>
          </cell>
          <cell r="C60" t="str">
            <v>Ⅸ. 기말 미 완 성 주택</v>
          </cell>
        </row>
        <row r="61">
          <cell r="A61">
            <v>91</v>
          </cell>
          <cell r="C61" t="str">
            <v>Ⅹ. 타 계 정 으로 대체</v>
          </cell>
        </row>
        <row r="62">
          <cell r="A62">
            <v>92</v>
          </cell>
          <cell r="C62" t="str">
            <v>ⅩⅠ. 당기주택공사원가</v>
          </cell>
        </row>
        <row r="67">
          <cell r="C67" t="str">
            <v>&lt;당 좌 자 산&gt;</v>
          </cell>
        </row>
        <row r="68">
          <cell r="A68">
            <v>100</v>
          </cell>
          <cell r="B68" t="str">
            <v/>
          </cell>
          <cell r="C68" t="str">
            <v>지              점</v>
          </cell>
        </row>
        <row r="69">
          <cell r="A69">
            <v>101</v>
          </cell>
          <cell r="C69" t="str">
            <v>현              금</v>
          </cell>
        </row>
        <row r="70">
          <cell r="A70">
            <v>102</v>
          </cell>
          <cell r="C70" t="str">
            <v>당   좌    예   금</v>
          </cell>
        </row>
        <row r="71">
          <cell r="A71">
            <v>103</v>
          </cell>
          <cell r="C71" t="str">
            <v>보   통    예   금</v>
          </cell>
        </row>
        <row r="72">
          <cell r="A72">
            <v>104</v>
          </cell>
          <cell r="C72" t="str">
            <v>제      예      금</v>
          </cell>
        </row>
        <row r="73">
          <cell r="A73">
            <v>105</v>
          </cell>
          <cell r="C73" t="str">
            <v>정   기    적   금</v>
          </cell>
        </row>
        <row r="74">
          <cell r="A74">
            <v>106</v>
          </cell>
          <cell r="C74" t="str">
            <v>별   단    예   금</v>
          </cell>
        </row>
        <row r="75">
          <cell r="A75">
            <v>107</v>
          </cell>
          <cell r="C75" t="str">
            <v>유   가    증   권</v>
          </cell>
        </row>
        <row r="76">
          <cell r="A76">
            <v>108</v>
          </cell>
          <cell r="C76" t="str">
            <v>선  급  법  인  세</v>
          </cell>
        </row>
        <row r="77">
          <cell r="A77">
            <v>109</v>
          </cell>
          <cell r="C77" t="str">
            <v>대  손  충  당  금</v>
          </cell>
        </row>
        <row r="78">
          <cell r="A78">
            <v>110</v>
          </cell>
          <cell r="C78" t="str">
            <v>받   을   어    음</v>
          </cell>
        </row>
        <row r="79">
          <cell r="A79">
            <v>111</v>
          </cell>
          <cell r="C79" t="str">
            <v>대  손  충  당  금</v>
          </cell>
        </row>
        <row r="80">
          <cell r="A80">
            <v>112</v>
          </cell>
          <cell r="C80" t="str">
            <v>미      수      금</v>
          </cell>
        </row>
        <row r="81">
          <cell r="A81">
            <v>113</v>
          </cell>
          <cell r="C81" t="str">
            <v>단  기  대  여  금</v>
          </cell>
        </row>
        <row r="82">
          <cell r="A82">
            <v>114</v>
          </cell>
          <cell r="C82" t="str">
            <v>미   수    수   익</v>
          </cell>
        </row>
        <row r="83">
          <cell r="A83">
            <v>115</v>
          </cell>
          <cell r="C83" t="str">
            <v>공  사  미  수  금</v>
          </cell>
        </row>
        <row r="84">
          <cell r="A84">
            <v>116</v>
          </cell>
          <cell r="C84" t="str">
            <v>대  손  충  당  금</v>
          </cell>
        </row>
        <row r="85">
          <cell r="A85">
            <v>117</v>
          </cell>
          <cell r="C85" t="str">
            <v>관계회사단기대여금</v>
          </cell>
        </row>
        <row r="86">
          <cell r="A86">
            <v>118</v>
          </cell>
          <cell r="C86" t="str">
            <v>주임종 단기 대여금</v>
          </cell>
        </row>
        <row r="87">
          <cell r="A87">
            <v>119</v>
          </cell>
          <cell r="C87" t="str">
            <v>선      급      금</v>
          </cell>
        </row>
        <row r="88">
          <cell r="A88">
            <v>120</v>
          </cell>
          <cell r="C88" t="str">
            <v>선   급    비   용</v>
          </cell>
        </row>
        <row r="89">
          <cell r="A89">
            <v>121</v>
          </cell>
          <cell r="C89" t="str">
            <v>가   지    급   금</v>
          </cell>
        </row>
        <row r="90">
          <cell r="A90">
            <v>122</v>
          </cell>
          <cell r="C90" t="str">
            <v>부 가 세  대 급 금</v>
          </cell>
        </row>
        <row r="91">
          <cell r="A91">
            <v>123</v>
          </cell>
          <cell r="C91" t="str">
            <v>선  급  법  인  세</v>
          </cell>
        </row>
        <row r="92">
          <cell r="A92">
            <v>124</v>
          </cell>
          <cell r="C92" t="str">
            <v>임원종업원단기채권</v>
          </cell>
        </row>
        <row r="93">
          <cell r="A93">
            <v>125</v>
          </cell>
          <cell r="C93" t="str">
            <v>전      도      금</v>
          </cell>
        </row>
        <row r="94">
          <cell r="A94">
            <v>126</v>
          </cell>
          <cell r="C94" t="str">
            <v>분  양  미  수  금</v>
          </cell>
        </row>
        <row r="95">
          <cell r="A95">
            <v>127</v>
          </cell>
          <cell r="C95" t="str">
            <v>어  음  대  여  금</v>
          </cell>
        </row>
        <row r="96">
          <cell r="A96">
            <v>128</v>
          </cell>
          <cell r="C96" t="str">
            <v>고용 보험 대 급 금</v>
          </cell>
        </row>
        <row r="97">
          <cell r="A97">
            <v>129</v>
          </cell>
          <cell r="C97" t="str">
            <v>현  금  과  예  금</v>
          </cell>
        </row>
        <row r="98">
          <cell r="A98">
            <v>130</v>
          </cell>
          <cell r="C98" t="str">
            <v>매   출    채   권</v>
          </cell>
        </row>
        <row r="100">
          <cell r="A100">
            <v>131</v>
          </cell>
          <cell r="C100" t="str">
            <v>완   성    주   택</v>
          </cell>
        </row>
        <row r="101">
          <cell r="A101">
            <v>132</v>
          </cell>
          <cell r="C101" t="str">
            <v>미  완  성  주  택</v>
          </cell>
        </row>
        <row r="102">
          <cell r="A102">
            <v>133</v>
          </cell>
          <cell r="C102" t="str">
            <v>용              지</v>
          </cell>
        </row>
        <row r="103">
          <cell r="A103">
            <v>134</v>
          </cell>
          <cell r="C103" t="str">
            <v>제              품</v>
          </cell>
        </row>
        <row r="104">
          <cell r="A104">
            <v>135</v>
          </cell>
          <cell r="C104" t="str">
            <v>재      공      품</v>
          </cell>
        </row>
        <row r="105">
          <cell r="A105">
            <v>136</v>
          </cell>
          <cell r="C105" t="str">
            <v>원      재      료</v>
          </cell>
        </row>
        <row r="106">
          <cell r="A106">
            <v>137</v>
          </cell>
          <cell r="C106" t="str">
            <v>부      재      료</v>
          </cell>
        </row>
        <row r="107">
          <cell r="A107">
            <v>138</v>
          </cell>
          <cell r="C107" t="str">
            <v>미      착      품</v>
          </cell>
        </row>
        <row r="108">
          <cell r="A108">
            <v>139</v>
          </cell>
          <cell r="C108" t="str">
            <v>가      설      재</v>
          </cell>
        </row>
        <row r="110">
          <cell r="A110">
            <v>141</v>
          </cell>
          <cell r="C110" t="str">
            <v>장  기  성  예  금</v>
          </cell>
        </row>
        <row r="111">
          <cell r="A111">
            <v>142</v>
          </cell>
          <cell r="C111" t="str">
            <v>특정 현금 과 예 금</v>
          </cell>
        </row>
        <row r="112">
          <cell r="A112">
            <v>143</v>
          </cell>
          <cell r="C112" t="str">
            <v>투 자  유 가 증 권</v>
          </cell>
        </row>
        <row r="113">
          <cell r="A113">
            <v>144</v>
          </cell>
          <cell r="C113" t="str">
            <v>장  기  대  여  금</v>
          </cell>
        </row>
        <row r="114">
          <cell r="A114">
            <v>145</v>
          </cell>
          <cell r="C114" t="str">
            <v>대  손  충  당  금</v>
          </cell>
        </row>
        <row r="115">
          <cell r="A115">
            <v>146</v>
          </cell>
          <cell r="C115" t="str">
            <v>출      자      금</v>
          </cell>
        </row>
        <row r="116">
          <cell r="A116">
            <v>147</v>
          </cell>
          <cell r="C116" t="str">
            <v>관계회사  출 자 금</v>
          </cell>
        </row>
        <row r="117">
          <cell r="A117">
            <v>148</v>
          </cell>
          <cell r="C117" t="str">
            <v>전신 전화 가 입 권</v>
          </cell>
        </row>
        <row r="118">
          <cell r="A118">
            <v>149</v>
          </cell>
          <cell r="C118" t="str">
            <v>임  차  보  증  금</v>
          </cell>
        </row>
        <row r="119">
          <cell r="A119">
            <v>150</v>
          </cell>
          <cell r="C119" t="str">
            <v>전      세      권</v>
          </cell>
        </row>
        <row r="120">
          <cell r="A120">
            <v>151</v>
          </cell>
          <cell r="C120" t="str">
            <v>단 퇴 보 험 예치금</v>
          </cell>
        </row>
        <row r="121">
          <cell r="A121">
            <v>152</v>
          </cell>
          <cell r="C121" t="str">
            <v>부   도    어   음</v>
          </cell>
        </row>
        <row r="122">
          <cell r="A122">
            <v>153</v>
          </cell>
          <cell r="C122" t="str">
            <v>회      원      권</v>
          </cell>
        </row>
        <row r="123">
          <cell r="A123">
            <v>154</v>
          </cell>
          <cell r="C123" t="str">
            <v>국 민 연 금 전환금</v>
          </cell>
        </row>
        <row r="124">
          <cell r="A124">
            <v>155</v>
          </cell>
          <cell r="C124" t="str">
            <v>예  치  보  증  금</v>
          </cell>
        </row>
        <row r="125">
          <cell r="A125">
            <v>156</v>
          </cell>
          <cell r="C125" t="str">
            <v>선급 기술 도 입 비</v>
          </cell>
        </row>
        <row r="126">
          <cell r="A126">
            <v>157</v>
          </cell>
          <cell r="C126" t="str">
            <v>선급 리스 부 대 비</v>
          </cell>
        </row>
        <row r="127">
          <cell r="A127">
            <v>158</v>
          </cell>
          <cell r="C127" t="str">
            <v>영  업  보  증  금</v>
          </cell>
        </row>
        <row r="128">
          <cell r="C128" t="str">
            <v>장기성 매 출 채 권</v>
          </cell>
        </row>
        <row r="129">
          <cell r="C129" t="str">
            <v>현재가치 할인 차금</v>
          </cell>
        </row>
        <row r="130">
          <cell r="C130" t="str">
            <v>대  손  충  당  금</v>
          </cell>
        </row>
        <row r="131">
          <cell r="C131" t="str">
            <v>투  자  부  동  산</v>
          </cell>
        </row>
        <row r="132">
          <cell r="C132" t="str">
            <v>보      증      금</v>
          </cell>
        </row>
        <row r="133">
          <cell r="A133">
            <v>159</v>
          </cell>
          <cell r="C133" t="str">
            <v>임      차      권</v>
          </cell>
        </row>
        <row r="135">
          <cell r="A135">
            <v>161</v>
          </cell>
          <cell r="C135" t="str">
            <v>토              지</v>
          </cell>
        </row>
        <row r="136">
          <cell r="A136">
            <v>162</v>
          </cell>
          <cell r="C136" t="str">
            <v>건              물</v>
          </cell>
        </row>
        <row r="137">
          <cell r="A137">
            <v>163</v>
          </cell>
          <cell r="C137" t="str">
            <v>감가 상각 누 계 액</v>
          </cell>
        </row>
        <row r="138">
          <cell r="A138">
            <v>164</v>
          </cell>
          <cell r="C138" t="str">
            <v>구      축      물</v>
          </cell>
        </row>
        <row r="139">
          <cell r="A139">
            <v>165</v>
          </cell>
          <cell r="C139" t="str">
            <v>감가 상각 누 계 액</v>
          </cell>
        </row>
        <row r="140">
          <cell r="A140">
            <v>166</v>
          </cell>
          <cell r="C140" t="str">
            <v>기   계    장   치</v>
          </cell>
        </row>
        <row r="141">
          <cell r="A141">
            <v>167</v>
          </cell>
          <cell r="C141" t="str">
            <v>감가 상각 누 계 액</v>
          </cell>
        </row>
        <row r="142">
          <cell r="A142">
            <v>168</v>
          </cell>
          <cell r="C142" t="str">
            <v>차  량  운  반  구</v>
          </cell>
        </row>
        <row r="143">
          <cell r="A143">
            <v>169</v>
          </cell>
          <cell r="C143" t="str">
            <v>감가 상각 누 계 액</v>
          </cell>
        </row>
        <row r="144">
          <cell r="A144">
            <v>170</v>
          </cell>
          <cell r="C144" t="str">
            <v>공  구  와  기  구</v>
          </cell>
        </row>
        <row r="145">
          <cell r="A145">
            <v>171</v>
          </cell>
          <cell r="C145" t="str">
            <v>감가 상각 누 계 액</v>
          </cell>
        </row>
        <row r="146">
          <cell r="A146">
            <v>172</v>
          </cell>
          <cell r="C146" t="str">
            <v>집   기    비   품</v>
          </cell>
        </row>
        <row r="147">
          <cell r="A147">
            <v>173</v>
          </cell>
          <cell r="C147" t="str">
            <v>감가 상각 누 계 액</v>
          </cell>
        </row>
        <row r="148">
          <cell r="A148">
            <v>174</v>
          </cell>
          <cell r="C148" t="str">
            <v>시   설    장   치</v>
          </cell>
        </row>
        <row r="149">
          <cell r="A149">
            <v>175</v>
          </cell>
          <cell r="C149" t="str">
            <v>감가 상각 누 계 액</v>
          </cell>
        </row>
        <row r="150">
          <cell r="A150">
            <v>178</v>
          </cell>
          <cell r="C150" t="str">
            <v>건   설    장   비</v>
          </cell>
        </row>
        <row r="151">
          <cell r="A151">
            <v>179</v>
          </cell>
          <cell r="C151" t="str">
            <v>감가 상각 누 계 액</v>
          </cell>
        </row>
        <row r="152">
          <cell r="C152" t="str">
            <v>건 물  부 속 설 비</v>
          </cell>
        </row>
        <row r="153">
          <cell r="C153" t="str">
            <v>건 설 중 인  자 산</v>
          </cell>
        </row>
        <row r="154">
          <cell r="A154">
            <v>176</v>
          </cell>
          <cell r="C154" t="str">
            <v>임대용 주 택 용 지</v>
          </cell>
        </row>
        <row r="155">
          <cell r="C155" t="str">
            <v>임대용 완 성 주 택</v>
          </cell>
        </row>
        <row r="156">
          <cell r="C156" t="str">
            <v>감가 상각 누 계 액</v>
          </cell>
        </row>
        <row r="157">
          <cell r="A157">
            <v>177</v>
          </cell>
          <cell r="C157" t="str">
            <v>임대용 미완성 주택</v>
          </cell>
        </row>
        <row r="158">
          <cell r="C158" t="str">
            <v>감가 상각 누 계 액</v>
          </cell>
        </row>
        <row r="161">
          <cell r="A161">
            <v>181</v>
          </cell>
          <cell r="C161" t="str">
            <v>영      업      권</v>
          </cell>
        </row>
        <row r="162">
          <cell r="A162">
            <v>182</v>
          </cell>
          <cell r="C162" t="str">
            <v>특      허      권</v>
          </cell>
        </row>
        <row r="163">
          <cell r="A163">
            <v>183</v>
          </cell>
          <cell r="C163" t="str">
            <v>상      표      권</v>
          </cell>
        </row>
        <row r="164">
          <cell r="A164">
            <v>184</v>
          </cell>
          <cell r="C164" t="str">
            <v>실  용  신  안  권</v>
          </cell>
        </row>
        <row r="165">
          <cell r="A165">
            <v>185</v>
          </cell>
          <cell r="C165" t="str">
            <v>의      장      권</v>
          </cell>
        </row>
        <row r="166">
          <cell r="A166">
            <v>186</v>
          </cell>
          <cell r="C166" t="str">
            <v>면      허      권</v>
          </cell>
        </row>
        <row r="167">
          <cell r="A167">
            <v>187</v>
          </cell>
          <cell r="C167" t="str">
            <v>광      업      권</v>
          </cell>
        </row>
        <row r="169">
          <cell r="A169">
            <v>191</v>
          </cell>
          <cell r="C169" t="str">
            <v>창      업      비</v>
          </cell>
        </row>
        <row r="170">
          <cell r="A170">
            <v>192</v>
          </cell>
          <cell r="C170" t="str">
            <v>개      업      비</v>
          </cell>
        </row>
        <row r="171">
          <cell r="A171">
            <v>193</v>
          </cell>
          <cell r="C171" t="str">
            <v>신  주  발  행  비</v>
          </cell>
        </row>
        <row r="172">
          <cell r="A172">
            <v>194</v>
          </cell>
          <cell r="C172" t="str">
            <v>사  채  발  행  비</v>
          </cell>
        </row>
        <row r="173">
          <cell r="A173">
            <v>195</v>
          </cell>
          <cell r="C173" t="str">
            <v>연  구  개  발  비</v>
          </cell>
        </row>
        <row r="174">
          <cell r="A174">
            <v>196</v>
          </cell>
          <cell r="C174" t="str">
            <v>환  율  조  정  차</v>
          </cell>
        </row>
        <row r="176">
          <cell r="A176">
            <v>201</v>
          </cell>
          <cell r="C176" t="str">
            <v>외  상  매  입  금</v>
          </cell>
        </row>
        <row r="177">
          <cell r="A177">
            <v>202</v>
          </cell>
          <cell r="C177" t="str">
            <v>지   급    어   음</v>
          </cell>
        </row>
        <row r="178">
          <cell r="A178">
            <v>203</v>
          </cell>
          <cell r="C178" t="str">
            <v>당   좌    차   월</v>
          </cell>
        </row>
        <row r="179">
          <cell r="A179">
            <v>204</v>
          </cell>
          <cell r="C179" t="str">
            <v>단  기  차  입  금</v>
          </cell>
        </row>
        <row r="180">
          <cell r="A180">
            <v>205</v>
          </cell>
          <cell r="C180" t="str">
            <v>미   지    급   금</v>
          </cell>
        </row>
        <row r="181">
          <cell r="A181">
            <v>206</v>
          </cell>
          <cell r="C181" t="str">
            <v>미  지  급  비  용</v>
          </cell>
        </row>
        <row r="182">
          <cell r="A182">
            <v>207</v>
          </cell>
          <cell r="C182" t="str">
            <v>예      수      금</v>
          </cell>
        </row>
        <row r="183">
          <cell r="A183">
            <v>208</v>
          </cell>
          <cell r="C183" t="str">
            <v>부 가 세  예 수 금</v>
          </cell>
        </row>
        <row r="184">
          <cell r="A184">
            <v>209</v>
          </cell>
          <cell r="C184" t="str">
            <v>가      수      금</v>
          </cell>
        </row>
        <row r="185">
          <cell r="A185">
            <v>210</v>
          </cell>
          <cell r="C185" t="str">
            <v>예  수  보  증  금</v>
          </cell>
        </row>
        <row r="186">
          <cell r="A186">
            <v>211</v>
          </cell>
          <cell r="C186" t="str">
            <v>선      수      금</v>
          </cell>
        </row>
        <row r="187">
          <cell r="A187">
            <v>212</v>
          </cell>
          <cell r="C187" t="str">
            <v>미 지 급  법 인 세</v>
          </cell>
        </row>
        <row r="188">
          <cell r="A188">
            <v>213</v>
          </cell>
          <cell r="C188" t="str">
            <v>선   수    수   익</v>
          </cell>
        </row>
        <row r="189">
          <cell r="A189">
            <v>214</v>
          </cell>
          <cell r="C189" t="str">
            <v>유 동 성 장기 부채</v>
          </cell>
        </row>
        <row r="190">
          <cell r="A190">
            <v>215</v>
          </cell>
          <cell r="C190" t="str">
            <v>미 지 급  배 당 금</v>
          </cell>
        </row>
        <row r="191">
          <cell r="A191">
            <v>216</v>
          </cell>
          <cell r="C191" t="str">
            <v>공  사  선  수  금</v>
          </cell>
        </row>
        <row r="192">
          <cell r="A192">
            <v>217</v>
          </cell>
          <cell r="C192" t="str">
            <v>주 임 종 단기 채무</v>
          </cell>
        </row>
        <row r="193">
          <cell r="A193">
            <v>218</v>
          </cell>
          <cell r="C193" t="str">
            <v xml:space="preserve">  관계회사단기차입금</v>
          </cell>
        </row>
        <row r="194">
          <cell r="A194">
            <v>219</v>
          </cell>
          <cell r="C194" t="str">
            <v>어  음  차  입  금</v>
          </cell>
        </row>
        <row r="195">
          <cell r="A195">
            <v>220</v>
          </cell>
          <cell r="B195" t="str">
            <v/>
          </cell>
          <cell r="C195" t="str">
            <v>수  입  보  증  금</v>
          </cell>
        </row>
        <row r="196">
          <cell r="A196">
            <v>221</v>
          </cell>
          <cell r="C196" t="str">
            <v>분  양  선  수  금</v>
          </cell>
        </row>
        <row r="197">
          <cell r="A197">
            <v>222</v>
          </cell>
          <cell r="C197" t="str">
            <v>임대상가 분양선수금</v>
          </cell>
        </row>
        <row r="198">
          <cell r="A198">
            <v>223</v>
          </cell>
          <cell r="C198" t="str">
            <v>사              채</v>
          </cell>
        </row>
        <row r="200">
          <cell r="A200">
            <v>231</v>
          </cell>
          <cell r="C200" t="str">
            <v>사              채</v>
          </cell>
        </row>
        <row r="201">
          <cell r="A201">
            <v>232</v>
          </cell>
          <cell r="C201" t="str">
            <v>사 채  발 행 차 금</v>
          </cell>
        </row>
        <row r="202">
          <cell r="A202">
            <v>233</v>
          </cell>
          <cell r="C202" t="str">
            <v>장  기  차  입  금</v>
          </cell>
        </row>
        <row r="203">
          <cell r="A203">
            <v>234</v>
          </cell>
          <cell r="C203" t="str">
            <v>외화 장기 차 입 금</v>
          </cell>
        </row>
        <row r="204">
          <cell r="A204">
            <v>235</v>
          </cell>
          <cell r="C204" t="str">
            <v>임  대  보  증  금</v>
          </cell>
        </row>
        <row r="205">
          <cell r="A205">
            <v>236</v>
          </cell>
          <cell r="C205" t="str">
            <v>퇴 직 급 여 충당금</v>
          </cell>
        </row>
        <row r="206">
          <cell r="A206">
            <v>237</v>
          </cell>
          <cell r="C206" t="str">
            <v>단체퇴직급여충당금</v>
          </cell>
        </row>
        <row r="207">
          <cell r="A207">
            <v>238</v>
          </cell>
          <cell r="C207" t="str">
            <v>장  기 미 지 급 금</v>
          </cell>
        </row>
        <row r="208">
          <cell r="A208">
            <v>239</v>
          </cell>
          <cell r="C208" t="str">
            <v>장 기 성 매입 채무</v>
          </cell>
        </row>
        <row r="209">
          <cell r="A209">
            <v>240</v>
          </cell>
          <cell r="C209" t="str">
            <v>현재가치 할인 차금</v>
          </cell>
        </row>
        <row r="210">
          <cell r="A210">
            <v>241</v>
          </cell>
          <cell r="C210" t="str">
            <v>주 임 종 장기차입금</v>
          </cell>
        </row>
        <row r="211">
          <cell r="A211">
            <v>242</v>
          </cell>
          <cell r="C211" t="str">
            <v>관계회사장기차입금</v>
          </cell>
        </row>
        <row r="216">
          <cell r="A216">
            <v>249</v>
          </cell>
          <cell r="C216" t="str">
            <v>환  율  조  정  대</v>
          </cell>
        </row>
        <row r="218">
          <cell r="A218">
            <v>251</v>
          </cell>
          <cell r="C218" t="str">
            <v>자      본      금</v>
          </cell>
        </row>
        <row r="219">
          <cell r="A219">
            <v>252</v>
          </cell>
          <cell r="C219" t="str">
            <v>보 통 주  자 본 금</v>
          </cell>
        </row>
        <row r="220">
          <cell r="A220">
            <v>253</v>
          </cell>
          <cell r="C220" t="str">
            <v>인      출      금</v>
          </cell>
        </row>
        <row r="222">
          <cell r="A222">
            <v>254</v>
          </cell>
          <cell r="C222" t="str">
            <v>주식 발행 초 과 금</v>
          </cell>
        </row>
        <row r="223">
          <cell r="A223">
            <v>255</v>
          </cell>
          <cell r="C223" t="str">
            <v>감   자    차   익</v>
          </cell>
        </row>
        <row r="224">
          <cell r="A224">
            <v>256</v>
          </cell>
          <cell r="C224" t="str">
            <v>합   병    차   익</v>
          </cell>
        </row>
        <row r="225">
          <cell r="A225">
            <v>257</v>
          </cell>
          <cell r="C225" t="str">
            <v>기타 자본 잉 여 금</v>
          </cell>
        </row>
        <row r="226">
          <cell r="A226">
            <v>258</v>
          </cell>
          <cell r="C226" t="str">
            <v xml:space="preserve">  국 고 보 조 금</v>
          </cell>
        </row>
        <row r="227">
          <cell r="A227">
            <v>259</v>
          </cell>
          <cell r="C227" t="str">
            <v xml:space="preserve">  공 사 부 담 금</v>
          </cell>
        </row>
        <row r="228">
          <cell r="A228">
            <v>260</v>
          </cell>
          <cell r="C228" t="str">
            <v xml:space="preserve">  보  험  차  익</v>
          </cell>
        </row>
        <row r="229">
          <cell r="A229">
            <v>261</v>
          </cell>
          <cell r="C229" t="str">
            <v xml:space="preserve">  자산 수증 이익</v>
          </cell>
        </row>
        <row r="230">
          <cell r="A230">
            <v>262</v>
          </cell>
          <cell r="C230" t="str">
            <v xml:space="preserve">  채무 면제 이익</v>
          </cell>
        </row>
        <row r="231">
          <cell r="A231">
            <v>263</v>
          </cell>
          <cell r="C231" t="str">
            <v xml:space="preserve">  재 평 가적립금</v>
          </cell>
        </row>
        <row r="234">
          <cell r="A234">
            <v>270</v>
          </cell>
          <cell r="C234" t="str">
            <v>이  익  준  비  금</v>
          </cell>
        </row>
        <row r="235">
          <cell r="A235">
            <v>271</v>
          </cell>
          <cell r="C235" t="str">
            <v>기업합리화 적립금</v>
          </cell>
        </row>
        <row r="236">
          <cell r="A236">
            <v>272</v>
          </cell>
          <cell r="C236" t="str">
            <v>재무구조개선적립금</v>
          </cell>
        </row>
        <row r="237">
          <cell r="A237">
            <v>273</v>
          </cell>
          <cell r="C237" t="str">
            <v>배      당      금</v>
          </cell>
        </row>
        <row r="238">
          <cell r="A238">
            <v>274</v>
          </cell>
        </row>
        <row r="239">
          <cell r="A239">
            <v>275</v>
          </cell>
        </row>
        <row r="240">
          <cell r="A240">
            <v>276</v>
          </cell>
          <cell r="C240" t="str">
            <v>임  의  적  립  금</v>
          </cell>
        </row>
        <row r="241">
          <cell r="A241">
            <v>277</v>
          </cell>
          <cell r="C241" t="str">
            <v xml:space="preserve">  중소기업투자준비금</v>
          </cell>
        </row>
        <row r="242">
          <cell r="A242">
            <v>278</v>
          </cell>
          <cell r="C242" t="str">
            <v xml:space="preserve">  기술개발준비금</v>
          </cell>
        </row>
        <row r="243">
          <cell r="A243">
            <v>279</v>
          </cell>
          <cell r="C243" t="str">
            <v xml:space="preserve">  기술개발적립금</v>
          </cell>
        </row>
        <row r="244">
          <cell r="A244">
            <v>280</v>
          </cell>
          <cell r="C244" t="str">
            <v>차기이월이익잉여금</v>
          </cell>
        </row>
        <row r="245">
          <cell r="A245">
            <v>281</v>
          </cell>
          <cell r="C245" t="str">
            <v>차기이월  결 손 금</v>
          </cell>
        </row>
        <row r="246">
          <cell r="A246">
            <v>282</v>
          </cell>
          <cell r="C246" t="str">
            <v>당  기  순  이  익</v>
          </cell>
        </row>
        <row r="247">
          <cell r="A247">
            <v>283</v>
          </cell>
          <cell r="C247" t="str">
            <v>당  기  순  손  실</v>
          </cell>
        </row>
        <row r="250">
          <cell r="A250">
            <v>300</v>
          </cell>
          <cell r="C250" t="str">
            <v>&lt; 매  출  액 &gt;</v>
          </cell>
        </row>
        <row r="251">
          <cell r="A251">
            <v>301</v>
          </cell>
          <cell r="C251" t="str">
            <v>상   품    매   출</v>
          </cell>
        </row>
        <row r="252">
          <cell r="A252">
            <v>302</v>
          </cell>
          <cell r="C252" t="str">
            <v>제   품    매   출</v>
          </cell>
        </row>
        <row r="253">
          <cell r="A253">
            <v>303</v>
          </cell>
          <cell r="C253" t="str">
            <v>임  가  공  수  입</v>
          </cell>
        </row>
        <row r="254">
          <cell r="A254">
            <v>304</v>
          </cell>
          <cell r="C254" t="str">
            <v>용   역    수   입</v>
          </cell>
        </row>
        <row r="255">
          <cell r="A255">
            <v>305</v>
          </cell>
          <cell r="C255" t="str">
            <v>임  대  료  수  입</v>
          </cell>
        </row>
        <row r="256">
          <cell r="A256">
            <v>306</v>
          </cell>
          <cell r="C256" t="str">
            <v>수   출    매   출</v>
          </cell>
        </row>
        <row r="257">
          <cell r="A257">
            <v>307</v>
          </cell>
          <cell r="C257" t="str">
            <v xml:space="preserve">  공  사  수  입</v>
          </cell>
        </row>
        <row r="258">
          <cell r="A258">
            <v>308</v>
          </cell>
          <cell r="C258" t="str">
            <v xml:space="preserve">  제  품  수  출</v>
          </cell>
        </row>
        <row r="259">
          <cell r="A259">
            <v>310</v>
          </cell>
          <cell r="C259" t="str">
            <v>주 택  분 양 수 입</v>
          </cell>
        </row>
        <row r="260">
          <cell r="A260">
            <v>311</v>
          </cell>
          <cell r="C260" t="str">
            <v>관   리    수   입</v>
          </cell>
        </row>
        <row r="261">
          <cell r="A261">
            <v>312</v>
          </cell>
          <cell r="C261" t="str">
            <v>기 타  사 업 수 입</v>
          </cell>
        </row>
        <row r="263">
          <cell r="A263">
            <v>320</v>
          </cell>
          <cell r="C263" t="str">
            <v>&lt; 매 출 원 가 &gt;</v>
          </cell>
        </row>
        <row r="264">
          <cell r="A264">
            <v>321</v>
          </cell>
          <cell r="C264" t="str">
            <v>상 품 매 출 원 가</v>
          </cell>
        </row>
        <row r="265">
          <cell r="A265">
            <v>322</v>
          </cell>
          <cell r="C265" t="str">
            <v>기초 상품 재고액</v>
          </cell>
        </row>
        <row r="266">
          <cell r="A266">
            <v>323</v>
          </cell>
          <cell r="C266" t="str">
            <v xml:space="preserve">  당기상품매입액</v>
          </cell>
        </row>
        <row r="267">
          <cell r="A267">
            <v>324</v>
          </cell>
          <cell r="C267" t="str">
            <v xml:space="preserve">  기말상품재고액</v>
          </cell>
        </row>
        <row r="268">
          <cell r="A268">
            <v>325</v>
          </cell>
          <cell r="C268" t="str">
            <v>제 품 매 출 원 가</v>
          </cell>
        </row>
        <row r="269">
          <cell r="A269">
            <v>326</v>
          </cell>
          <cell r="C269" t="str">
            <v xml:space="preserve">  기초제품재고액</v>
          </cell>
        </row>
        <row r="270">
          <cell r="A270">
            <v>327</v>
          </cell>
          <cell r="C270" t="str">
            <v xml:space="preserve">  당기제품제조원가</v>
          </cell>
        </row>
        <row r="271">
          <cell r="A271">
            <v>328</v>
          </cell>
          <cell r="C271" t="str">
            <v xml:space="preserve">  기말제품재고액</v>
          </cell>
        </row>
        <row r="272">
          <cell r="A272">
            <v>330</v>
          </cell>
          <cell r="C272" t="str">
            <v xml:space="preserve">  매 출 원 가</v>
          </cell>
        </row>
        <row r="273">
          <cell r="C273" t="str">
            <v xml:space="preserve">  공사시공원가</v>
          </cell>
        </row>
        <row r="274">
          <cell r="C274" t="str">
            <v xml:space="preserve">  제         조</v>
          </cell>
        </row>
        <row r="276">
          <cell r="A276">
            <v>331</v>
          </cell>
          <cell r="C276" t="str">
            <v>주 택  분 양 원 가</v>
          </cell>
        </row>
        <row r="277">
          <cell r="A277">
            <v>332</v>
          </cell>
          <cell r="C277" t="str">
            <v>기초 미분양 주 택</v>
          </cell>
        </row>
        <row r="278">
          <cell r="A278">
            <v>333</v>
          </cell>
          <cell r="C278" t="str">
            <v>당기 주택완성원가</v>
          </cell>
        </row>
        <row r="279">
          <cell r="A279">
            <v>334</v>
          </cell>
          <cell r="C279" t="str">
            <v>기말 미분양 주 택</v>
          </cell>
        </row>
        <row r="280">
          <cell r="A280">
            <v>335</v>
          </cell>
          <cell r="C280" t="str">
            <v>관   리    원   가</v>
          </cell>
        </row>
        <row r="281">
          <cell r="A281">
            <v>336</v>
          </cell>
          <cell r="C281" t="str">
            <v>기 타  사 업 원 가</v>
          </cell>
        </row>
        <row r="282">
          <cell r="A282">
            <v>337</v>
          </cell>
          <cell r="C282" t="str">
            <v>당기 주택공사원가</v>
          </cell>
        </row>
        <row r="287">
          <cell r="A287">
            <v>420</v>
          </cell>
          <cell r="C287" t="str">
            <v>&lt; 판매관리비 &gt;</v>
          </cell>
        </row>
        <row r="288">
          <cell r="A288">
            <v>421</v>
          </cell>
          <cell r="C288" t="str">
            <v>임   원    급   여</v>
          </cell>
        </row>
        <row r="289">
          <cell r="A289">
            <v>422</v>
          </cell>
          <cell r="C289" t="str">
            <v>급              여</v>
          </cell>
        </row>
        <row r="290">
          <cell r="A290">
            <v>423</v>
          </cell>
          <cell r="C290" t="str">
            <v>제      수      당</v>
          </cell>
        </row>
        <row r="291">
          <cell r="A291">
            <v>424</v>
          </cell>
          <cell r="C291" t="str">
            <v>상      여      금</v>
          </cell>
        </row>
        <row r="292">
          <cell r="A292">
            <v>425</v>
          </cell>
          <cell r="C292" t="str">
            <v>잡              급</v>
          </cell>
        </row>
        <row r="293">
          <cell r="A293">
            <v>426</v>
          </cell>
          <cell r="C293" t="str">
            <v>퇴직급여충당금전입</v>
          </cell>
        </row>
        <row r="294">
          <cell r="A294">
            <v>427</v>
          </cell>
          <cell r="C294" t="str">
            <v>단퇴급여충당금전입</v>
          </cell>
        </row>
        <row r="295">
          <cell r="A295">
            <v>428</v>
          </cell>
          <cell r="C295" t="str">
            <v>퇴   직    급   여</v>
          </cell>
        </row>
        <row r="297">
          <cell r="A297">
            <v>441</v>
          </cell>
          <cell r="C297" t="str">
            <v>복  리  후  생  비</v>
          </cell>
        </row>
        <row r="298">
          <cell r="A298">
            <v>442</v>
          </cell>
          <cell r="C298" t="str">
            <v>여  비  교  통  비</v>
          </cell>
        </row>
        <row r="299">
          <cell r="A299">
            <v>443</v>
          </cell>
          <cell r="C299" t="str">
            <v>통      신      비</v>
          </cell>
        </row>
        <row r="300">
          <cell r="A300">
            <v>444</v>
          </cell>
          <cell r="C300" t="str">
            <v>수  도  광  열  비</v>
          </cell>
        </row>
        <row r="301">
          <cell r="A301">
            <v>445</v>
          </cell>
          <cell r="C301" t="str">
            <v>전      력      비</v>
          </cell>
        </row>
        <row r="302">
          <cell r="A302">
            <v>446</v>
          </cell>
          <cell r="C302" t="str">
            <v>세  금  과  공  과</v>
          </cell>
        </row>
        <row r="303">
          <cell r="A303">
            <v>447</v>
          </cell>
          <cell r="C303" t="str">
            <v>지  급  임  차  료</v>
          </cell>
        </row>
        <row r="304">
          <cell r="A304">
            <v>448</v>
          </cell>
          <cell r="C304" t="str">
            <v>관      리      비</v>
          </cell>
        </row>
        <row r="305">
          <cell r="A305">
            <v>449</v>
          </cell>
          <cell r="C305" t="str">
            <v>수      선      비</v>
          </cell>
        </row>
        <row r="306">
          <cell r="A306">
            <v>450</v>
          </cell>
          <cell r="C306" t="str">
            <v>보      험      료</v>
          </cell>
        </row>
        <row r="307">
          <cell r="A307">
            <v>451</v>
          </cell>
          <cell r="C307" t="str">
            <v>접      대      비</v>
          </cell>
        </row>
        <row r="308">
          <cell r="A308">
            <v>452</v>
          </cell>
          <cell r="C308" t="str">
            <v>기      밀      비</v>
          </cell>
        </row>
        <row r="309">
          <cell r="A309">
            <v>453</v>
          </cell>
          <cell r="C309" t="str">
            <v>광  고  선  전  비</v>
          </cell>
        </row>
        <row r="310">
          <cell r="A310">
            <v>454</v>
          </cell>
          <cell r="C310" t="str">
            <v>보      관      료</v>
          </cell>
        </row>
        <row r="311">
          <cell r="A311">
            <v>455</v>
          </cell>
          <cell r="C311" t="str">
            <v>차  량  유  지  비</v>
          </cell>
        </row>
        <row r="312">
          <cell r="A312">
            <v>456</v>
          </cell>
          <cell r="C312" t="str">
            <v>지  급  수  수  료</v>
          </cell>
        </row>
        <row r="313">
          <cell r="A313">
            <v>457</v>
          </cell>
          <cell r="C313" t="str">
            <v>소   모    품   비</v>
          </cell>
        </row>
        <row r="314">
          <cell r="A314">
            <v>458</v>
          </cell>
          <cell r="C314" t="str">
            <v>사  무  용  품  비</v>
          </cell>
        </row>
        <row r="315">
          <cell r="A315">
            <v>459</v>
          </cell>
          <cell r="C315" t="str">
            <v>도  서  인  쇄  비</v>
          </cell>
        </row>
        <row r="316">
          <cell r="A316">
            <v>460</v>
          </cell>
          <cell r="C316" t="str">
            <v>교  육  훈  련  비</v>
          </cell>
        </row>
        <row r="317">
          <cell r="A317">
            <v>461</v>
          </cell>
          <cell r="C317" t="str">
            <v>회      의      비</v>
          </cell>
        </row>
        <row r="318">
          <cell r="A318">
            <v>462</v>
          </cell>
          <cell r="C318" t="str">
            <v>운      반      비</v>
          </cell>
        </row>
        <row r="319">
          <cell r="A319">
            <v>463</v>
          </cell>
          <cell r="C319" t="str">
            <v>포      장      비</v>
          </cell>
        </row>
        <row r="320">
          <cell r="A320">
            <v>464</v>
          </cell>
          <cell r="C320" t="str">
            <v>보      상      비</v>
          </cell>
        </row>
        <row r="321">
          <cell r="A321">
            <v>465</v>
          </cell>
          <cell r="C321" t="str">
            <v>하  자  보  수  비</v>
          </cell>
        </row>
        <row r="322">
          <cell r="A322">
            <v>466</v>
          </cell>
          <cell r="C322" t="str">
            <v>판  매  수  수  료</v>
          </cell>
        </row>
        <row r="323">
          <cell r="A323">
            <v>467</v>
          </cell>
          <cell r="C323" t="str">
            <v>판  매  촉  진  비</v>
          </cell>
        </row>
        <row r="324">
          <cell r="A324">
            <v>468</v>
          </cell>
          <cell r="C324" t="str">
            <v>견      본      비</v>
          </cell>
        </row>
        <row r="325">
          <cell r="A325">
            <v>469</v>
          </cell>
          <cell r="C325" t="str">
            <v>숙      식      비</v>
          </cell>
        </row>
        <row r="326">
          <cell r="A326">
            <v>470</v>
          </cell>
          <cell r="C326" t="str">
            <v>창  고  유  지  비</v>
          </cell>
        </row>
        <row r="327">
          <cell r="A327">
            <v>471</v>
          </cell>
          <cell r="C327" t="str">
            <v>감  가  상  각  비</v>
          </cell>
        </row>
        <row r="328">
          <cell r="A328">
            <v>472</v>
          </cell>
          <cell r="C328" t="str">
            <v xml:space="preserve">대  손  상  각  비 </v>
          </cell>
        </row>
        <row r="329">
          <cell r="A329">
            <v>473</v>
          </cell>
          <cell r="C329" t="str">
            <v>대 손 충 당 금전입</v>
          </cell>
        </row>
        <row r="330">
          <cell r="A330">
            <v>474</v>
          </cell>
          <cell r="C330" t="str">
            <v>무 형  자 산 상 각</v>
          </cell>
        </row>
        <row r="331">
          <cell r="A331">
            <v>475</v>
          </cell>
          <cell r="C331" t="str">
            <v>영  업  권  상  각</v>
          </cell>
        </row>
        <row r="332">
          <cell r="A332">
            <v>476</v>
          </cell>
          <cell r="C332" t="str">
            <v xml:space="preserve">  안 전 관 리 비</v>
          </cell>
        </row>
        <row r="333">
          <cell r="A333">
            <v>477</v>
          </cell>
          <cell r="C333" t="str">
            <v>미분양 주택 관리비</v>
          </cell>
        </row>
        <row r="334">
          <cell r="A334">
            <v>478</v>
          </cell>
          <cell r="C334" t="str">
            <v xml:space="preserve">  선급리스부대비상각</v>
          </cell>
        </row>
        <row r="335">
          <cell r="A335">
            <v>479</v>
          </cell>
          <cell r="C335" t="str">
            <v>잡              비</v>
          </cell>
        </row>
        <row r="337">
          <cell r="A337">
            <v>500</v>
          </cell>
          <cell r="C337" t="str">
            <v>&lt; 영업외수익 &gt;</v>
          </cell>
        </row>
        <row r="338">
          <cell r="A338">
            <v>501</v>
          </cell>
          <cell r="C338" t="str">
            <v>이   자    수   익</v>
          </cell>
        </row>
        <row r="339">
          <cell r="A339">
            <v>502</v>
          </cell>
          <cell r="C339" t="str">
            <v>배  당  금  수  익</v>
          </cell>
        </row>
        <row r="340">
          <cell r="A340">
            <v>503</v>
          </cell>
          <cell r="C340" t="str">
            <v>임      대      료</v>
          </cell>
        </row>
        <row r="341">
          <cell r="A341">
            <v>504</v>
          </cell>
          <cell r="C341" t="str">
            <v>유가증권 처분 이익</v>
          </cell>
        </row>
        <row r="342">
          <cell r="A342">
            <v>505</v>
          </cell>
          <cell r="C342" t="str">
            <v>유가증권 평가 이익</v>
          </cell>
        </row>
        <row r="343">
          <cell r="A343">
            <v>506</v>
          </cell>
          <cell r="C343" t="str">
            <v>매   입    할   인</v>
          </cell>
        </row>
        <row r="344">
          <cell r="A344">
            <v>507</v>
          </cell>
          <cell r="C344" t="str">
            <v>외   환    차   익</v>
          </cell>
        </row>
        <row r="345">
          <cell r="A345">
            <v>508</v>
          </cell>
          <cell r="C345" t="str">
            <v>외 화  환 산 이 익</v>
          </cell>
        </row>
        <row r="346">
          <cell r="A346">
            <v>509</v>
          </cell>
          <cell r="C346" t="str">
            <v>투자자산 처분 이익</v>
          </cell>
        </row>
        <row r="347">
          <cell r="A347">
            <v>510</v>
          </cell>
          <cell r="C347" t="str">
            <v>유형자산 처분 이익</v>
          </cell>
        </row>
        <row r="348">
          <cell r="A348">
            <v>511</v>
          </cell>
          <cell r="C348" t="str">
            <v>상각채권 추심 이익</v>
          </cell>
        </row>
        <row r="349">
          <cell r="A349">
            <v>512</v>
          </cell>
          <cell r="C349" t="str">
            <v>사 채  상 환 이 익</v>
          </cell>
        </row>
        <row r="350">
          <cell r="A350">
            <v>513</v>
          </cell>
          <cell r="C350" t="str">
            <v>환율 조정대  환 입</v>
          </cell>
        </row>
        <row r="351">
          <cell r="A351">
            <v>514</v>
          </cell>
          <cell r="C351" t="str">
            <v xml:space="preserve">  수 입 수 수 료</v>
          </cell>
        </row>
        <row r="352">
          <cell r="A352">
            <v>515</v>
          </cell>
          <cell r="C352" t="str">
            <v>연   체    이   자</v>
          </cell>
        </row>
        <row r="353">
          <cell r="A353">
            <v>516</v>
          </cell>
          <cell r="C353" t="str">
            <v>유 가 증 권  이 자</v>
          </cell>
        </row>
        <row r="354">
          <cell r="A354">
            <v>517</v>
          </cell>
          <cell r="C354" t="str">
            <v xml:space="preserve">  대손충당금환입</v>
          </cell>
        </row>
        <row r="355">
          <cell r="A355">
            <v>519</v>
          </cell>
          <cell r="C355" t="str">
            <v>잡      이      익</v>
          </cell>
        </row>
        <row r="357">
          <cell r="A357">
            <v>520</v>
          </cell>
          <cell r="C357" t="str">
            <v>&lt; 영업외비용 &gt;</v>
          </cell>
        </row>
        <row r="358">
          <cell r="A358">
            <v>521</v>
          </cell>
          <cell r="C358" t="str">
            <v>이   자    비   용</v>
          </cell>
        </row>
        <row r="359">
          <cell r="A359">
            <v>522</v>
          </cell>
          <cell r="C359" t="str">
            <v>이 연 자 산 상각비</v>
          </cell>
        </row>
        <row r="360">
          <cell r="A360">
            <v>523</v>
          </cell>
          <cell r="C360" t="str">
            <v>기타의 대손 상각비</v>
          </cell>
        </row>
        <row r="361">
          <cell r="A361">
            <v>524</v>
          </cell>
          <cell r="C361" t="str">
            <v>유가증권 처분 손실</v>
          </cell>
        </row>
        <row r="362">
          <cell r="A362">
            <v>525</v>
          </cell>
          <cell r="C362" t="str">
            <v>유가증권 평가 손실</v>
          </cell>
        </row>
        <row r="363">
          <cell r="A363">
            <v>526</v>
          </cell>
          <cell r="C363" t="str">
            <v>재고자산 평가 손실</v>
          </cell>
        </row>
        <row r="364">
          <cell r="A364">
            <v>527</v>
          </cell>
          <cell r="C364" t="str">
            <v>매   출    할   인</v>
          </cell>
        </row>
        <row r="365">
          <cell r="A365">
            <v>528</v>
          </cell>
          <cell r="C365" t="str">
            <v>외   환    차   손</v>
          </cell>
        </row>
        <row r="366">
          <cell r="A366">
            <v>529</v>
          </cell>
          <cell r="C366" t="str">
            <v>외 화  환 산 손 실</v>
          </cell>
        </row>
        <row r="367">
          <cell r="A367">
            <v>530</v>
          </cell>
          <cell r="C367" t="str">
            <v>기      부      금</v>
          </cell>
        </row>
        <row r="368">
          <cell r="A368">
            <v>531</v>
          </cell>
          <cell r="C368" t="str">
            <v>투자자산 처분 손실</v>
          </cell>
        </row>
        <row r="369">
          <cell r="A369">
            <v>532</v>
          </cell>
          <cell r="C369" t="str">
            <v>유형자산 처분 손실</v>
          </cell>
        </row>
        <row r="370">
          <cell r="A370">
            <v>533</v>
          </cell>
          <cell r="C370" t="str">
            <v>사 채  상 환 손 실</v>
          </cell>
        </row>
        <row r="371">
          <cell r="A371">
            <v>534</v>
          </cell>
          <cell r="C371" t="str">
            <v>환율 조정차  상 각</v>
          </cell>
        </row>
        <row r="372">
          <cell r="A372">
            <v>535</v>
          </cell>
          <cell r="C372" t="str">
            <v>창  업  비  상  각</v>
          </cell>
        </row>
        <row r="373">
          <cell r="A373">
            <v>536</v>
          </cell>
          <cell r="C373" t="str">
            <v>연 구 개발비 상 각</v>
          </cell>
        </row>
        <row r="374">
          <cell r="A374">
            <v>537</v>
          </cell>
          <cell r="C374" t="str">
            <v>법 인 세  추 납 액</v>
          </cell>
        </row>
        <row r="375">
          <cell r="A375">
            <v>539</v>
          </cell>
          <cell r="C375" t="str">
            <v>잡      손      실</v>
          </cell>
        </row>
        <row r="377">
          <cell r="A377">
            <v>550</v>
          </cell>
          <cell r="C377" t="str">
            <v>&lt;특 별 이 익&gt;</v>
          </cell>
        </row>
        <row r="378">
          <cell r="A378">
            <v>551</v>
          </cell>
          <cell r="C378" t="str">
            <v>자 산  수 증 이 익</v>
          </cell>
        </row>
        <row r="379">
          <cell r="A379">
            <v>552</v>
          </cell>
          <cell r="C379" t="str">
            <v>채 무  면 제 이 익</v>
          </cell>
        </row>
        <row r="380">
          <cell r="A380">
            <v>553</v>
          </cell>
          <cell r="C380" t="str">
            <v>보   험    차   익</v>
          </cell>
        </row>
        <row r="381">
          <cell r="A381">
            <v>554</v>
          </cell>
          <cell r="C381" t="str">
            <v>전기 오류 수정이익</v>
          </cell>
        </row>
        <row r="382">
          <cell r="A382">
            <v>555</v>
          </cell>
          <cell r="C382" t="str">
            <v xml:space="preserve">   중소투자준비금환입</v>
          </cell>
        </row>
        <row r="383">
          <cell r="A383">
            <v>556</v>
          </cell>
          <cell r="C383" t="str">
            <v xml:space="preserve">   기술개발준비금환입</v>
          </cell>
        </row>
        <row r="384">
          <cell r="A384">
            <v>557</v>
          </cell>
          <cell r="C384" t="str">
            <v xml:space="preserve">   해외시장개척준비금환입</v>
          </cell>
        </row>
        <row r="385">
          <cell r="A385">
            <v>558</v>
          </cell>
          <cell r="C385" t="str">
            <v xml:space="preserve">   지방이전준비금환입</v>
          </cell>
        </row>
        <row r="386">
          <cell r="A386">
            <v>559</v>
          </cell>
          <cell r="C386" t="str">
            <v xml:space="preserve">   수출손실준비금환입</v>
          </cell>
        </row>
        <row r="387">
          <cell r="A387">
            <v>560</v>
          </cell>
          <cell r="C387" t="str">
            <v xml:space="preserve">  퇴직급여충당금환입</v>
          </cell>
        </row>
        <row r="388">
          <cell r="A388">
            <v>561</v>
          </cell>
          <cell r="C388" t="str">
            <v>고정 자산 처분이익</v>
          </cell>
        </row>
        <row r="390">
          <cell r="A390">
            <v>570</v>
          </cell>
          <cell r="C390" t="str">
            <v>&lt;특 별 손 실&gt;</v>
          </cell>
        </row>
        <row r="391">
          <cell r="A391">
            <v>571</v>
          </cell>
          <cell r="C391" t="str">
            <v>재   해    손   실</v>
          </cell>
        </row>
        <row r="392">
          <cell r="A392">
            <v>572</v>
          </cell>
          <cell r="C392" t="str">
            <v>전기 오류 수정손실</v>
          </cell>
        </row>
        <row r="393">
          <cell r="A393">
            <v>573</v>
          </cell>
          <cell r="C393" t="str">
            <v xml:space="preserve">   중소투자준비금전입액</v>
          </cell>
        </row>
        <row r="394">
          <cell r="A394">
            <v>574</v>
          </cell>
          <cell r="C394" t="str">
            <v xml:space="preserve">   기술개발준비금전입액</v>
          </cell>
        </row>
        <row r="395">
          <cell r="A395">
            <v>575</v>
          </cell>
          <cell r="C395" t="str">
            <v xml:space="preserve">   해외개척준비금전입액</v>
          </cell>
        </row>
        <row r="396">
          <cell r="A396">
            <v>576</v>
          </cell>
          <cell r="C396" t="str">
            <v xml:space="preserve">   지방이전준비금전입액</v>
          </cell>
        </row>
        <row r="397">
          <cell r="A397">
            <v>577</v>
          </cell>
          <cell r="C397" t="str">
            <v xml:space="preserve">   수출손실준비금전입액</v>
          </cell>
        </row>
        <row r="398">
          <cell r="A398">
            <v>578</v>
          </cell>
          <cell r="C398" t="str">
            <v xml:space="preserve">  특  별  상  각</v>
          </cell>
        </row>
        <row r="399">
          <cell r="A399">
            <v>579</v>
          </cell>
          <cell r="C399" t="str">
            <v>고정 자산 처분손실</v>
          </cell>
        </row>
        <row r="401">
          <cell r="A401">
            <v>590</v>
          </cell>
          <cell r="C401" t="str">
            <v>법  인  세  비  용</v>
          </cell>
        </row>
        <row r="404">
          <cell r="A404">
            <v>599</v>
          </cell>
          <cell r="C404" t="str">
            <v>&lt;재   료  비&gt;</v>
          </cell>
        </row>
        <row r="405">
          <cell r="A405">
            <v>600</v>
          </cell>
          <cell r="C405" t="str">
            <v>&lt;원 재 료 비 &gt;</v>
          </cell>
        </row>
        <row r="406">
          <cell r="A406">
            <v>601</v>
          </cell>
          <cell r="C406" t="str">
            <v>원    재   료   비</v>
          </cell>
        </row>
        <row r="407">
          <cell r="A407">
            <v>602</v>
          </cell>
          <cell r="C407" t="str">
            <v>기초 원 재 료 재고</v>
          </cell>
        </row>
        <row r="408">
          <cell r="A408">
            <v>603</v>
          </cell>
          <cell r="C408" t="str">
            <v>당기 원 재 료 매입</v>
          </cell>
        </row>
        <row r="409">
          <cell r="A409">
            <v>604</v>
          </cell>
          <cell r="C409" t="str">
            <v>기말 원 재 료 재고</v>
          </cell>
        </row>
        <row r="410">
          <cell r="A410">
            <v>605</v>
          </cell>
          <cell r="C410" t="str">
            <v>타  계  정  대  체</v>
          </cell>
        </row>
        <row r="412">
          <cell r="A412">
            <v>610</v>
          </cell>
          <cell r="C412" t="str">
            <v>&lt;부 재 료 비 &gt;</v>
          </cell>
        </row>
        <row r="413">
          <cell r="A413">
            <v>611</v>
          </cell>
          <cell r="C413" t="str">
            <v>부    재   료   비</v>
          </cell>
        </row>
        <row r="414">
          <cell r="A414">
            <v>612</v>
          </cell>
          <cell r="C414" t="str">
            <v>기초 부 재 료 재고</v>
          </cell>
        </row>
        <row r="415">
          <cell r="A415">
            <v>613</v>
          </cell>
          <cell r="C415" t="str">
            <v>당기 부 재 료 매입</v>
          </cell>
        </row>
        <row r="416">
          <cell r="A416">
            <v>614</v>
          </cell>
          <cell r="C416" t="str">
            <v>기말 부 재 료 재고</v>
          </cell>
        </row>
        <row r="417">
          <cell r="A417">
            <v>615</v>
          </cell>
          <cell r="C417" t="str">
            <v>타  계  정  대  체</v>
          </cell>
        </row>
        <row r="420">
          <cell r="A420">
            <v>620</v>
          </cell>
          <cell r="C420" t="str">
            <v>&lt; 노  무  비 &gt;</v>
          </cell>
        </row>
        <row r="421">
          <cell r="A421">
            <v>621</v>
          </cell>
          <cell r="C421" t="str">
            <v>급              여</v>
          </cell>
        </row>
        <row r="422">
          <cell r="A422">
            <v>622</v>
          </cell>
          <cell r="C422" t="str">
            <v>임              금</v>
          </cell>
        </row>
        <row r="423">
          <cell r="A423">
            <v>623</v>
          </cell>
          <cell r="C423" t="str">
            <v>제      수      당</v>
          </cell>
        </row>
        <row r="424">
          <cell r="A424">
            <v>624</v>
          </cell>
          <cell r="C424" t="str">
            <v>상      여      금</v>
          </cell>
        </row>
        <row r="425">
          <cell r="A425">
            <v>625</v>
          </cell>
          <cell r="C425" t="str">
            <v>잡              급</v>
          </cell>
        </row>
        <row r="426">
          <cell r="A426">
            <v>626</v>
          </cell>
          <cell r="C426" t="str">
            <v>퇴직급여충당금전입</v>
          </cell>
        </row>
        <row r="427">
          <cell r="A427">
            <v>627</v>
          </cell>
          <cell r="C427" t="str">
            <v>단퇴급여충당금전입</v>
          </cell>
        </row>
        <row r="428">
          <cell r="A428">
            <v>628</v>
          </cell>
          <cell r="C428" t="str">
            <v>퇴   직   급    여</v>
          </cell>
        </row>
        <row r="431">
          <cell r="A431">
            <v>629</v>
          </cell>
          <cell r="C431" t="str">
            <v>&lt; 외  주   비 &gt;</v>
          </cell>
        </row>
        <row r="434">
          <cell r="A434">
            <v>630</v>
          </cell>
          <cell r="C434" t="str">
            <v>&lt; 경       비 &gt;</v>
          </cell>
        </row>
        <row r="435">
          <cell r="A435">
            <v>631</v>
          </cell>
          <cell r="C435" t="str">
            <v>외  주  가  공  비</v>
          </cell>
        </row>
        <row r="436">
          <cell r="A436">
            <v>632</v>
          </cell>
          <cell r="C436" t="str">
            <v>전      력      비</v>
          </cell>
        </row>
        <row r="437">
          <cell r="A437">
            <v>633</v>
          </cell>
          <cell r="C437" t="str">
            <v>가  스  수  도  비</v>
          </cell>
        </row>
        <row r="438">
          <cell r="A438">
            <v>634</v>
          </cell>
          <cell r="C438" t="str">
            <v>연      료      비</v>
          </cell>
        </row>
        <row r="439">
          <cell r="A439">
            <v>635</v>
          </cell>
          <cell r="C439" t="str">
            <v xml:space="preserve">부    자   재   비 </v>
          </cell>
        </row>
        <row r="440">
          <cell r="A440">
            <v>636</v>
          </cell>
          <cell r="C440" t="str">
            <v>소  모  공  구  비</v>
          </cell>
        </row>
        <row r="442">
          <cell r="A442">
            <v>641</v>
          </cell>
          <cell r="C442" t="str">
            <v>복  리  후  생  비</v>
          </cell>
        </row>
        <row r="443">
          <cell r="A443">
            <v>642</v>
          </cell>
          <cell r="C443" t="str">
            <v>여  비  교  통  비</v>
          </cell>
        </row>
        <row r="444">
          <cell r="A444">
            <v>643</v>
          </cell>
          <cell r="C444" t="str">
            <v>통      신      비</v>
          </cell>
        </row>
        <row r="445">
          <cell r="A445">
            <v>644</v>
          </cell>
          <cell r="C445" t="str">
            <v>수  도  광  열  비</v>
          </cell>
        </row>
        <row r="446">
          <cell r="A446">
            <v>645</v>
          </cell>
          <cell r="C446" t="str">
            <v>전      력      비</v>
          </cell>
        </row>
        <row r="447">
          <cell r="A447">
            <v>646</v>
          </cell>
          <cell r="C447" t="str">
            <v>세  금  과  공  과</v>
          </cell>
        </row>
        <row r="448">
          <cell r="A448">
            <v>647</v>
          </cell>
          <cell r="C448" t="str">
            <v>지  급  임  차  료</v>
          </cell>
        </row>
        <row r="449">
          <cell r="A449">
            <v>648</v>
          </cell>
          <cell r="C449" t="str">
            <v>관      리      비</v>
          </cell>
        </row>
        <row r="450">
          <cell r="A450">
            <v>649</v>
          </cell>
          <cell r="C450" t="str">
            <v>수      선      비</v>
          </cell>
        </row>
        <row r="451">
          <cell r="A451">
            <v>650</v>
          </cell>
          <cell r="C451" t="str">
            <v>보      험      료</v>
          </cell>
        </row>
        <row r="452">
          <cell r="A452">
            <v>651</v>
          </cell>
          <cell r="C452" t="str">
            <v>접      대      비</v>
          </cell>
        </row>
        <row r="453">
          <cell r="A453">
            <v>652</v>
          </cell>
          <cell r="C453" t="str">
            <v>기      밀      비</v>
          </cell>
        </row>
        <row r="454">
          <cell r="A454">
            <v>653</v>
          </cell>
          <cell r="C454" t="str">
            <v>광  고  선  전  비</v>
          </cell>
        </row>
        <row r="455">
          <cell r="A455">
            <v>654</v>
          </cell>
          <cell r="C455" t="str">
            <v>보      관      료</v>
          </cell>
        </row>
        <row r="456">
          <cell r="A456">
            <v>655</v>
          </cell>
          <cell r="C456" t="str">
            <v>차  량  유  지  비</v>
          </cell>
        </row>
        <row r="457">
          <cell r="A457">
            <v>656</v>
          </cell>
          <cell r="C457" t="str">
            <v>지  급  수  수  료</v>
          </cell>
        </row>
        <row r="458">
          <cell r="A458">
            <v>657</v>
          </cell>
          <cell r="C458" t="str">
            <v>소   모    품   비</v>
          </cell>
        </row>
        <row r="459">
          <cell r="A459">
            <v>658</v>
          </cell>
          <cell r="C459" t="str">
            <v>사  무  용  품  비</v>
          </cell>
        </row>
        <row r="460">
          <cell r="A460">
            <v>659</v>
          </cell>
          <cell r="C460" t="str">
            <v>도  서  인  쇄  비</v>
          </cell>
        </row>
        <row r="461">
          <cell r="A461">
            <v>660</v>
          </cell>
          <cell r="C461" t="str">
            <v>교  육  훈  련  비</v>
          </cell>
        </row>
        <row r="462">
          <cell r="A462">
            <v>661</v>
          </cell>
          <cell r="C462" t="str">
            <v>회      의      비</v>
          </cell>
        </row>
        <row r="463">
          <cell r="A463">
            <v>662</v>
          </cell>
          <cell r="C463" t="str">
            <v>운      반      비</v>
          </cell>
        </row>
        <row r="464">
          <cell r="A464">
            <v>663</v>
          </cell>
          <cell r="C464" t="str">
            <v>포      장      비</v>
          </cell>
        </row>
        <row r="465">
          <cell r="A465">
            <v>664</v>
          </cell>
          <cell r="C465" t="str">
            <v>보      상      비</v>
          </cell>
        </row>
        <row r="466">
          <cell r="A466">
            <v>665</v>
          </cell>
          <cell r="C466" t="str">
            <v>하  자  보  수  비</v>
          </cell>
        </row>
        <row r="467">
          <cell r="A467">
            <v>666</v>
          </cell>
          <cell r="C467" t="str">
            <v>판  매  수  수  료</v>
          </cell>
        </row>
        <row r="468">
          <cell r="A468">
            <v>667</v>
          </cell>
          <cell r="C468" t="str">
            <v>판  매  촉  진  비</v>
          </cell>
        </row>
        <row r="469">
          <cell r="A469">
            <v>668</v>
          </cell>
          <cell r="C469" t="str">
            <v>견  본  주  택  비</v>
          </cell>
        </row>
        <row r="470">
          <cell r="A470">
            <v>669</v>
          </cell>
          <cell r="C470" t="str">
            <v>숙      식      비</v>
          </cell>
        </row>
        <row r="471">
          <cell r="A471">
            <v>670</v>
          </cell>
          <cell r="C471" t="str">
            <v>창  고  유  지  비</v>
          </cell>
        </row>
        <row r="472">
          <cell r="A472">
            <v>671</v>
          </cell>
          <cell r="C472" t="str">
            <v>감  가  상  각  비</v>
          </cell>
        </row>
        <row r="473">
          <cell r="A473">
            <v>672</v>
          </cell>
          <cell r="C473" t="str">
            <v xml:space="preserve">대  손  상  각  비 </v>
          </cell>
        </row>
        <row r="474">
          <cell r="A474">
            <v>673</v>
          </cell>
          <cell r="C474" t="str">
            <v>대 손 충 당 금전입</v>
          </cell>
        </row>
        <row r="475">
          <cell r="A475">
            <v>674</v>
          </cell>
          <cell r="C475" t="str">
            <v>무 형  자 산 상 각</v>
          </cell>
        </row>
        <row r="476">
          <cell r="A476">
            <v>675</v>
          </cell>
          <cell r="C476" t="str">
            <v>견      본      비</v>
          </cell>
        </row>
        <row r="477">
          <cell r="A477">
            <v>676</v>
          </cell>
          <cell r="C477" t="str">
            <v>안  전  관  리  비</v>
          </cell>
        </row>
        <row r="478">
          <cell r="A478">
            <v>677</v>
          </cell>
          <cell r="C478" t="str">
            <v>중  기  유  지  비</v>
          </cell>
        </row>
        <row r="479">
          <cell r="A479">
            <v>678</v>
          </cell>
          <cell r="C479" t="str">
            <v>중 장 비  임 차 료</v>
          </cell>
        </row>
        <row r="480">
          <cell r="A480">
            <v>679</v>
          </cell>
          <cell r="C480" t="str">
            <v>잡              비</v>
          </cell>
        </row>
        <row r="481">
          <cell r="A481">
            <v>680</v>
          </cell>
          <cell r="C481" t="str">
            <v>가   설    손   료</v>
          </cell>
        </row>
        <row r="482">
          <cell r="C482" t="str">
            <v/>
          </cell>
        </row>
        <row r="483">
          <cell r="C483" t="str">
            <v/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일자별접수"/>
      <sheetName val="일자별집행"/>
      <sheetName val="자금집행내역"/>
      <sheetName val="일별자금계획"/>
      <sheetName val="주간별자금계획"/>
      <sheetName val="월별자금계획"/>
      <sheetName val="함수창고"/>
    </sheetNames>
    <sheetDataSet>
      <sheetData sheetId="0"/>
      <sheetData sheetId="1"/>
      <sheetData sheetId="2"/>
      <sheetData sheetId="3">
        <row r="2">
          <cell r="E2" t="str">
            <v>금액</v>
          </cell>
          <cell r="I2" t="str">
            <v>지출예정일</v>
          </cell>
          <cell r="J2" t="str">
            <v>월코드</v>
          </cell>
          <cell r="K2" t="str">
            <v>주코드</v>
          </cell>
          <cell r="L2" t="str">
            <v>일코드</v>
          </cell>
        </row>
        <row r="3">
          <cell r="E3">
            <v>9400000</v>
          </cell>
          <cell r="I3">
            <v>37712</v>
          </cell>
          <cell r="J3" t="str">
            <v>선급금4</v>
          </cell>
          <cell r="K3" t="str">
            <v>선급금1</v>
          </cell>
          <cell r="L3" t="str">
            <v>선급금37712</v>
          </cell>
        </row>
        <row r="4">
          <cell r="E4">
            <v>4400000</v>
          </cell>
          <cell r="I4">
            <v>37712</v>
          </cell>
          <cell r="J4" t="str">
            <v>미지급금4</v>
          </cell>
          <cell r="K4" t="str">
            <v>미지급금1</v>
          </cell>
          <cell r="L4" t="str">
            <v>미지급금37712</v>
          </cell>
        </row>
        <row r="5">
          <cell r="E5">
            <v>550000</v>
          </cell>
          <cell r="I5">
            <v>37712</v>
          </cell>
          <cell r="J5" t="str">
            <v>미지급금4</v>
          </cell>
          <cell r="K5" t="str">
            <v>미지급금1</v>
          </cell>
          <cell r="L5" t="str">
            <v>미지급금37712</v>
          </cell>
        </row>
        <row r="6">
          <cell r="E6">
            <v>121000</v>
          </cell>
          <cell r="I6">
            <v>37712</v>
          </cell>
          <cell r="J6" t="str">
            <v>수선비4</v>
          </cell>
          <cell r="K6" t="str">
            <v>수선비1</v>
          </cell>
          <cell r="L6" t="str">
            <v>수선비37712</v>
          </cell>
        </row>
        <row r="7">
          <cell r="E7">
            <v>960000</v>
          </cell>
          <cell r="I7">
            <v>37712</v>
          </cell>
          <cell r="J7" t="str">
            <v>복리후생비4</v>
          </cell>
          <cell r="K7" t="str">
            <v>복리후생비1</v>
          </cell>
          <cell r="L7" t="str">
            <v>복리후생비37712</v>
          </cell>
        </row>
        <row r="8">
          <cell r="E8">
            <v>205150</v>
          </cell>
          <cell r="I8">
            <v>37712</v>
          </cell>
          <cell r="J8" t="str">
            <v>복리후생비4</v>
          </cell>
          <cell r="K8" t="str">
            <v>복리후생비1</v>
          </cell>
          <cell r="L8" t="str">
            <v>복리후생비37712</v>
          </cell>
        </row>
        <row r="9">
          <cell r="E9">
            <v>150000</v>
          </cell>
          <cell r="I9">
            <v>37712</v>
          </cell>
          <cell r="J9" t="str">
            <v>지급수수료4</v>
          </cell>
          <cell r="K9" t="str">
            <v>지급수수료1</v>
          </cell>
          <cell r="L9" t="str">
            <v>지급수수료37712</v>
          </cell>
        </row>
        <row r="10">
          <cell r="E10">
            <v>121000</v>
          </cell>
          <cell r="I10">
            <v>37712</v>
          </cell>
          <cell r="J10" t="str">
            <v>지급수수료4</v>
          </cell>
          <cell r="K10" t="str">
            <v>지급수수료1</v>
          </cell>
          <cell r="L10" t="str">
            <v>지급수수료37712</v>
          </cell>
        </row>
        <row r="11">
          <cell r="E11">
            <v>112400</v>
          </cell>
          <cell r="I11">
            <v>37712</v>
          </cell>
          <cell r="J11" t="str">
            <v>여비교통비4</v>
          </cell>
          <cell r="K11" t="str">
            <v>여비교통비1</v>
          </cell>
          <cell r="L11" t="str">
            <v>여비교통비37712</v>
          </cell>
        </row>
        <row r="12">
          <cell r="E12">
            <v>74000</v>
          </cell>
          <cell r="I12">
            <v>37712</v>
          </cell>
          <cell r="J12" t="str">
            <v>복리후생비4</v>
          </cell>
          <cell r="K12" t="str">
            <v>복리후생비1</v>
          </cell>
          <cell r="L12" t="str">
            <v>복리후생비37712</v>
          </cell>
        </row>
        <row r="13">
          <cell r="E13">
            <v>66000</v>
          </cell>
          <cell r="I13">
            <v>37712</v>
          </cell>
          <cell r="J13" t="str">
            <v>복리후생비4</v>
          </cell>
          <cell r="K13" t="str">
            <v>복리후생비1</v>
          </cell>
          <cell r="L13" t="str">
            <v>복리후생비37712</v>
          </cell>
        </row>
        <row r="14">
          <cell r="E14">
            <v>56200</v>
          </cell>
          <cell r="I14">
            <v>37712</v>
          </cell>
          <cell r="J14" t="str">
            <v>여비교통비4</v>
          </cell>
          <cell r="K14" t="str">
            <v>여비교통비1</v>
          </cell>
          <cell r="L14" t="str">
            <v>여비교통비37712</v>
          </cell>
        </row>
        <row r="15">
          <cell r="E15">
            <v>55000</v>
          </cell>
          <cell r="I15">
            <v>37712</v>
          </cell>
          <cell r="J15" t="str">
            <v>여비교통비4</v>
          </cell>
          <cell r="K15" t="str">
            <v>여비교통비1</v>
          </cell>
          <cell r="L15" t="str">
            <v>여비교통비37712</v>
          </cell>
        </row>
        <row r="16">
          <cell r="E16">
            <v>54600</v>
          </cell>
          <cell r="I16">
            <v>37712</v>
          </cell>
          <cell r="J16" t="str">
            <v>복리후생비4</v>
          </cell>
          <cell r="K16" t="str">
            <v>복리후생비1</v>
          </cell>
          <cell r="L16" t="str">
            <v>복리후생비37712</v>
          </cell>
        </row>
        <row r="17">
          <cell r="E17">
            <v>50000</v>
          </cell>
          <cell r="I17">
            <v>37712</v>
          </cell>
          <cell r="J17" t="str">
            <v>선급비용4</v>
          </cell>
          <cell r="K17" t="str">
            <v>선급비용1</v>
          </cell>
          <cell r="L17" t="str">
            <v>선급비용37712</v>
          </cell>
        </row>
        <row r="18">
          <cell r="E18">
            <v>43800</v>
          </cell>
          <cell r="I18">
            <v>37712</v>
          </cell>
          <cell r="J18" t="str">
            <v>여비교통비4</v>
          </cell>
          <cell r="K18" t="str">
            <v>여비교통비1</v>
          </cell>
          <cell r="L18" t="str">
            <v>여비교통비37712</v>
          </cell>
        </row>
        <row r="19">
          <cell r="E19">
            <v>31300</v>
          </cell>
          <cell r="I19">
            <v>37712</v>
          </cell>
          <cell r="J19" t="str">
            <v>복리후생비4</v>
          </cell>
          <cell r="K19" t="str">
            <v>복리후생비1</v>
          </cell>
          <cell r="L19" t="str">
            <v>복리후생비37712</v>
          </cell>
        </row>
        <row r="20">
          <cell r="E20">
            <v>26800</v>
          </cell>
          <cell r="I20">
            <v>37712</v>
          </cell>
          <cell r="J20" t="str">
            <v>여비교통비4</v>
          </cell>
          <cell r="K20" t="str">
            <v>여비교통비1</v>
          </cell>
          <cell r="L20" t="str">
            <v>여비교통비37712</v>
          </cell>
        </row>
        <row r="21">
          <cell r="E21">
            <v>822</v>
          </cell>
          <cell r="I21">
            <v>37712</v>
          </cell>
          <cell r="J21" t="str">
            <v>여비교통비4</v>
          </cell>
          <cell r="K21" t="str">
            <v>여비교통비1</v>
          </cell>
          <cell r="L21" t="str">
            <v>여비교통비37712</v>
          </cell>
        </row>
        <row r="22">
          <cell r="E22">
            <v>660000</v>
          </cell>
          <cell r="I22">
            <v>37713</v>
          </cell>
          <cell r="J22" t="str">
            <v>선급금4</v>
          </cell>
          <cell r="K22" t="str">
            <v>선급금1</v>
          </cell>
          <cell r="L22" t="str">
            <v>선급금37713</v>
          </cell>
        </row>
        <row r="23">
          <cell r="E23">
            <v>176000</v>
          </cell>
          <cell r="I23">
            <v>37713</v>
          </cell>
          <cell r="J23" t="str">
            <v>선급금4</v>
          </cell>
          <cell r="K23" t="str">
            <v>선급금1</v>
          </cell>
          <cell r="L23" t="str">
            <v>선급금37713</v>
          </cell>
        </row>
        <row r="24">
          <cell r="E24">
            <v>800000</v>
          </cell>
          <cell r="I24">
            <v>37713</v>
          </cell>
          <cell r="J24" t="str">
            <v>광고선전비4</v>
          </cell>
          <cell r="K24" t="str">
            <v>광고선전비1</v>
          </cell>
          <cell r="L24" t="str">
            <v>광고선전비37713</v>
          </cell>
        </row>
        <row r="25">
          <cell r="E25">
            <v>538000</v>
          </cell>
          <cell r="I25">
            <v>37713</v>
          </cell>
          <cell r="J25" t="str">
            <v>선급금4</v>
          </cell>
          <cell r="K25" t="str">
            <v>선급금1</v>
          </cell>
          <cell r="L25" t="str">
            <v>선급금37713</v>
          </cell>
        </row>
        <row r="26">
          <cell r="E26">
            <v>519820</v>
          </cell>
          <cell r="I26">
            <v>37714</v>
          </cell>
          <cell r="J26" t="str">
            <v>통신비4</v>
          </cell>
          <cell r="K26" t="str">
            <v>통신비1</v>
          </cell>
          <cell r="L26" t="str">
            <v>통신비37714</v>
          </cell>
        </row>
        <row r="27">
          <cell r="E27">
            <v>266530</v>
          </cell>
          <cell r="I27">
            <v>37714</v>
          </cell>
          <cell r="J27" t="str">
            <v>복리후생비4</v>
          </cell>
          <cell r="K27" t="str">
            <v>복리후생비1</v>
          </cell>
          <cell r="L27" t="str">
            <v>복리후생비37714</v>
          </cell>
        </row>
        <row r="28">
          <cell r="E28">
            <v>156000</v>
          </cell>
          <cell r="I28">
            <v>37714</v>
          </cell>
          <cell r="J28" t="str">
            <v>선급금4</v>
          </cell>
          <cell r="K28" t="str">
            <v>선급금1</v>
          </cell>
          <cell r="L28" t="str">
            <v>선급금37714</v>
          </cell>
        </row>
        <row r="29">
          <cell r="E29">
            <v>108000</v>
          </cell>
          <cell r="I29">
            <v>37714</v>
          </cell>
          <cell r="J29" t="str">
            <v>선급금4</v>
          </cell>
          <cell r="K29" t="str">
            <v>선급금1</v>
          </cell>
          <cell r="L29" t="str">
            <v>선급금37714</v>
          </cell>
        </row>
        <row r="30">
          <cell r="E30">
            <v>89200</v>
          </cell>
          <cell r="I30">
            <v>37714</v>
          </cell>
          <cell r="J30" t="str">
            <v>선급금4</v>
          </cell>
          <cell r="K30" t="str">
            <v>선급금1</v>
          </cell>
          <cell r="L30" t="str">
            <v>선급금37714</v>
          </cell>
        </row>
        <row r="31">
          <cell r="E31">
            <v>445000</v>
          </cell>
          <cell r="I31">
            <v>37714</v>
          </cell>
          <cell r="J31" t="str">
            <v>복리후생비4</v>
          </cell>
          <cell r="K31" t="str">
            <v>복리후생비1</v>
          </cell>
          <cell r="L31" t="str">
            <v>복리후생비37714</v>
          </cell>
        </row>
        <row r="32">
          <cell r="E32">
            <v>421340</v>
          </cell>
          <cell r="I32">
            <v>37714</v>
          </cell>
          <cell r="J32" t="str">
            <v>여비교통비4</v>
          </cell>
          <cell r="K32" t="str">
            <v>여비교통비1</v>
          </cell>
          <cell r="L32" t="str">
            <v>여비교통비37714</v>
          </cell>
        </row>
        <row r="33">
          <cell r="E33">
            <v>367360</v>
          </cell>
          <cell r="I33">
            <v>37714</v>
          </cell>
          <cell r="J33" t="str">
            <v>지급수수료4</v>
          </cell>
          <cell r="K33" t="str">
            <v>지급수수료1</v>
          </cell>
          <cell r="L33" t="str">
            <v>지급수수료37714</v>
          </cell>
        </row>
        <row r="34">
          <cell r="E34">
            <v>172600</v>
          </cell>
          <cell r="I34">
            <v>37714</v>
          </cell>
          <cell r="J34" t="str">
            <v>운반비4</v>
          </cell>
          <cell r="K34" t="str">
            <v>운반비1</v>
          </cell>
          <cell r="L34" t="str">
            <v>운반비37714</v>
          </cell>
        </row>
        <row r="35">
          <cell r="E35">
            <v>150000</v>
          </cell>
          <cell r="I35">
            <v>37714</v>
          </cell>
          <cell r="J35" t="str">
            <v>차량유지비4</v>
          </cell>
          <cell r="K35" t="str">
            <v>차량유지비1</v>
          </cell>
          <cell r="L35" t="str">
            <v>차량유지비37714</v>
          </cell>
        </row>
        <row r="36">
          <cell r="E36">
            <v>100620</v>
          </cell>
          <cell r="I36">
            <v>37714</v>
          </cell>
          <cell r="J36" t="str">
            <v>여비교통비4</v>
          </cell>
          <cell r="K36" t="str">
            <v>여비교통비1</v>
          </cell>
          <cell r="L36" t="str">
            <v>여비교통비37714</v>
          </cell>
        </row>
        <row r="37">
          <cell r="E37">
            <v>98540</v>
          </cell>
          <cell r="I37">
            <v>37714</v>
          </cell>
          <cell r="J37" t="str">
            <v>여비교통비4</v>
          </cell>
          <cell r="K37" t="str">
            <v>여비교통비1</v>
          </cell>
          <cell r="L37" t="str">
            <v>여비교통비37714</v>
          </cell>
        </row>
        <row r="38">
          <cell r="E38">
            <v>70000</v>
          </cell>
          <cell r="I38">
            <v>37714</v>
          </cell>
          <cell r="J38" t="str">
            <v>차량유지비4</v>
          </cell>
          <cell r="K38" t="str">
            <v>차량유지비1</v>
          </cell>
          <cell r="L38" t="str">
            <v>차량유지비37714</v>
          </cell>
        </row>
        <row r="39">
          <cell r="E39">
            <v>64000</v>
          </cell>
          <cell r="I39">
            <v>37714</v>
          </cell>
          <cell r="J39" t="str">
            <v>여비교통비4</v>
          </cell>
          <cell r="K39" t="str">
            <v>여비교통비1</v>
          </cell>
          <cell r="L39" t="str">
            <v>여비교통비37714</v>
          </cell>
        </row>
        <row r="40">
          <cell r="E40">
            <v>45760</v>
          </cell>
          <cell r="I40">
            <v>37714</v>
          </cell>
          <cell r="J40" t="str">
            <v>여비교통비4</v>
          </cell>
          <cell r="K40" t="str">
            <v>여비교통비1</v>
          </cell>
          <cell r="L40" t="str">
            <v>여비교통비37714</v>
          </cell>
        </row>
        <row r="41">
          <cell r="E41">
            <v>44000</v>
          </cell>
          <cell r="I41">
            <v>37714</v>
          </cell>
          <cell r="J41" t="str">
            <v>복리후생비4</v>
          </cell>
          <cell r="K41" t="str">
            <v>복리후생비1</v>
          </cell>
          <cell r="L41" t="str">
            <v>복리후생비37714</v>
          </cell>
        </row>
        <row r="42">
          <cell r="E42">
            <v>34200</v>
          </cell>
          <cell r="I42">
            <v>37714</v>
          </cell>
          <cell r="J42" t="str">
            <v>여비교통비4</v>
          </cell>
          <cell r="K42" t="str">
            <v>여비교통비1</v>
          </cell>
          <cell r="L42" t="str">
            <v>여비교통비37714</v>
          </cell>
        </row>
        <row r="43">
          <cell r="E43">
            <v>25000</v>
          </cell>
          <cell r="I43">
            <v>37714</v>
          </cell>
          <cell r="J43" t="str">
            <v>소모품비4</v>
          </cell>
          <cell r="K43" t="str">
            <v>소모품비1</v>
          </cell>
          <cell r="L43" t="str">
            <v>소모품비37714</v>
          </cell>
        </row>
        <row r="44">
          <cell r="E44">
            <v>23000</v>
          </cell>
          <cell r="I44">
            <v>37714</v>
          </cell>
          <cell r="J44" t="str">
            <v>여비교통비4</v>
          </cell>
          <cell r="K44" t="str">
            <v>여비교통비1</v>
          </cell>
          <cell r="L44" t="str">
            <v>여비교통비37714</v>
          </cell>
        </row>
        <row r="45">
          <cell r="E45">
            <v>14400</v>
          </cell>
          <cell r="I45">
            <v>37714</v>
          </cell>
          <cell r="J45" t="str">
            <v>여비교통비4</v>
          </cell>
          <cell r="K45" t="str">
            <v>여비교통비1</v>
          </cell>
          <cell r="L45" t="str">
            <v>여비교통비37714</v>
          </cell>
        </row>
        <row r="46">
          <cell r="E46">
            <v>5000</v>
          </cell>
          <cell r="I46">
            <v>37714</v>
          </cell>
          <cell r="J46" t="str">
            <v>소모품비4</v>
          </cell>
          <cell r="K46" t="str">
            <v>소모품비1</v>
          </cell>
          <cell r="L46" t="str">
            <v>소모품비37714</v>
          </cell>
        </row>
        <row r="47">
          <cell r="E47">
            <v>4000</v>
          </cell>
          <cell r="I47">
            <v>37714</v>
          </cell>
          <cell r="J47" t="str">
            <v>복리후생비4</v>
          </cell>
          <cell r="K47" t="str">
            <v>복리후생비1</v>
          </cell>
          <cell r="L47" t="str">
            <v>복리후생비37714</v>
          </cell>
        </row>
        <row r="48">
          <cell r="E48">
            <v>3100</v>
          </cell>
          <cell r="I48">
            <v>37714</v>
          </cell>
          <cell r="J48" t="str">
            <v>여비교통비4</v>
          </cell>
          <cell r="K48" t="str">
            <v>여비교통비1</v>
          </cell>
          <cell r="L48" t="str">
            <v>여비교통비37714</v>
          </cell>
        </row>
        <row r="49">
          <cell r="E49">
            <v>26400</v>
          </cell>
          <cell r="I49">
            <v>37715</v>
          </cell>
          <cell r="J49" t="str">
            <v>미지급비용4</v>
          </cell>
          <cell r="K49" t="str">
            <v>미지급비용1</v>
          </cell>
          <cell r="L49" t="str">
            <v>미지급비용37715</v>
          </cell>
        </row>
        <row r="50">
          <cell r="E50">
            <v>640000</v>
          </cell>
          <cell r="I50">
            <v>37715</v>
          </cell>
          <cell r="J50" t="str">
            <v>차량유지비4</v>
          </cell>
          <cell r="K50" t="str">
            <v>차량유지비1</v>
          </cell>
          <cell r="L50" t="str">
            <v>차량유지비37715</v>
          </cell>
        </row>
        <row r="51">
          <cell r="E51">
            <v>136810</v>
          </cell>
          <cell r="I51">
            <v>37715</v>
          </cell>
          <cell r="J51" t="str">
            <v>미지급금4</v>
          </cell>
          <cell r="K51" t="str">
            <v>미지급금1</v>
          </cell>
          <cell r="L51" t="str">
            <v>미지급금37715</v>
          </cell>
        </row>
        <row r="52">
          <cell r="E52">
            <v>80000</v>
          </cell>
          <cell r="I52">
            <v>37715</v>
          </cell>
          <cell r="J52" t="str">
            <v>도서인쇄비4</v>
          </cell>
          <cell r="K52" t="str">
            <v>도서인쇄비1</v>
          </cell>
          <cell r="L52" t="str">
            <v>도서인쇄비37715</v>
          </cell>
        </row>
        <row r="53">
          <cell r="E53">
            <v>600000</v>
          </cell>
          <cell r="I53">
            <v>37715</v>
          </cell>
          <cell r="J53" t="str">
            <v>소모품비4</v>
          </cell>
          <cell r="K53" t="str">
            <v>소모품비1</v>
          </cell>
          <cell r="L53" t="str">
            <v>소모품비37715</v>
          </cell>
        </row>
        <row r="54">
          <cell r="E54">
            <v>1498000</v>
          </cell>
          <cell r="I54">
            <v>37718</v>
          </cell>
          <cell r="J54" t="str">
            <v>선급금4</v>
          </cell>
          <cell r="K54" t="str">
            <v>선급금2</v>
          </cell>
          <cell r="L54" t="str">
            <v>선급금37718</v>
          </cell>
        </row>
        <row r="55">
          <cell r="E55">
            <v>292500</v>
          </cell>
          <cell r="I55">
            <v>37718</v>
          </cell>
          <cell r="J55" t="str">
            <v>선급금4</v>
          </cell>
          <cell r="K55" t="str">
            <v>선급금2</v>
          </cell>
          <cell r="L55" t="str">
            <v>선급금37718</v>
          </cell>
        </row>
        <row r="56">
          <cell r="E56">
            <v>106000000</v>
          </cell>
          <cell r="I56">
            <v>37719</v>
          </cell>
          <cell r="J56" t="str">
            <v>외상매입금4</v>
          </cell>
          <cell r="K56" t="str">
            <v>외상매입금2</v>
          </cell>
          <cell r="L56" t="str">
            <v>외상매입금37719</v>
          </cell>
        </row>
        <row r="57">
          <cell r="E57">
            <v>38650624</v>
          </cell>
          <cell r="I57">
            <v>37719</v>
          </cell>
          <cell r="J57" t="str">
            <v>선급금4</v>
          </cell>
          <cell r="K57" t="str">
            <v>선급금2</v>
          </cell>
          <cell r="L57" t="str">
            <v>선급금37719</v>
          </cell>
        </row>
        <row r="58">
          <cell r="E58">
            <v>6957678</v>
          </cell>
          <cell r="I58">
            <v>37719</v>
          </cell>
          <cell r="J58" t="str">
            <v>선급금4</v>
          </cell>
          <cell r="K58" t="str">
            <v>선급금2</v>
          </cell>
          <cell r="L58" t="str">
            <v>선급금37719</v>
          </cell>
        </row>
        <row r="59">
          <cell r="E59">
            <v>3080000</v>
          </cell>
          <cell r="I59">
            <v>37719</v>
          </cell>
          <cell r="J59" t="str">
            <v>미지급금4</v>
          </cell>
          <cell r="K59" t="str">
            <v>미지급금2</v>
          </cell>
          <cell r="L59" t="str">
            <v>미지급금37719</v>
          </cell>
        </row>
        <row r="60">
          <cell r="E60">
            <v>195000</v>
          </cell>
          <cell r="I60">
            <v>37719</v>
          </cell>
          <cell r="J60" t="str">
            <v>선급금4</v>
          </cell>
          <cell r="K60" t="str">
            <v>선급금2</v>
          </cell>
          <cell r="L60" t="str">
            <v>선급금37719</v>
          </cell>
        </row>
        <row r="61">
          <cell r="E61">
            <v>118000</v>
          </cell>
          <cell r="I61">
            <v>37719</v>
          </cell>
          <cell r="J61" t="str">
            <v>선급금4</v>
          </cell>
          <cell r="K61" t="str">
            <v>선급금2</v>
          </cell>
          <cell r="L61" t="str">
            <v>선급금37719</v>
          </cell>
        </row>
        <row r="62">
          <cell r="E62">
            <v>12000</v>
          </cell>
          <cell r="I62">
            <v>37719</v>
          </cell>
          <cell r="J62" t="str">
            <v>지급수수료4</v>
          </cell>
          <cell r="K62" t="str">
            <v>지급수수료2</v>
          </cell>
          <cell r="L62" t="str">
            <v>지급수수료37719</v>
          </cell>
        </row>
        <row r="63">
          <cell r="E63">
            <v>191080</v>
          </cell>
          <cell r="I63">
            <v>37719</v>
          </cell>
          <cell r="J63" t="str">
            <v>복리후생비4</v>
          </cell>
          <cell r="K63" t="str">
            <v>복리후생비2</v>
          </cell>
          <cell r="L63" t="str">
            <v>복리후생비37719</v>
          </cell>
        </row>
        <row r="64">
          <cell r="E64">
            <v>99300</v>
          </cell>
          <cell r="I64">
            <v>37719</v>
          </cell>
          <cell r="J64" t="str">
            <v>여비교통비4</v>
          </cell>
          <cell r="K64" t="str">
            <v>여비교통비2</v>
          </cell>
          <cell r="L64" t="str">
            <v>여비교통비37719</v>
          </cell>
        </row>
        <row r="65">
          <cell r="E65">
            <v>90600</v>
          </cell>
          <cell r="I65">
            <v>37719</v>
          </cell>
          <cell r="J65" t="str">
            <v>복리후생비4</v>
          </cell>
          <cell r="K65" t="str">
            <v>복리후생비2</v>
          </cell>
          <cell r="L65" t="str">
            <v>복리후생비37719</v>
          </cell>
        </row>
        <row r="66">
          <cell r="E66">
            <v>79540</v>
          </cell>
          <cell r="I66">
            <v>37719</v>
          </cell>
          <cell r="J66" t="str">
            <v>여비교통비4</v>
          </cell>
          <cell r="K66" t="str">
            <v>여비교통비2</v>
          </cell>
          <cell r="L66" t="str">
            <v>여비교통비37719</v>
          </cell>
        </row>
        <row r="67">
          <cell r="E67">
            <v>79510</v>
          </cell>
          <cell r="I67">
            <v>37719</v>
          </cell>
          <cell r="J67" t="str">
            <v>여비교통비4</v>
          </cell>
          <cell r="K67" t="str">
            <v>여비교통비2</v>
          </cell>
          <cell r="L67" t="str">
            <v>여비교통비37719</v>
          </cell>
        </row>
        <row r="68">
          <cell r="E68">
            <v>50000</v>
          </cell>
          <cell r="I68">
            <v>37719</v>
          </cell>
          <cell r="J68" t="str">
            <v>통신비4</v>
          </cell>
          <cell r="K68" t="str">
            <v>통신비2</v>
          </cell>
          <cell r="L68" t="str">
            <v>통신비37719</v>
          </cell>
        </row>
        <row r="69">
          <cell r="E69">
            <v>50000</v>
          </cell>
          <cell r="I69">
            <v>37719</v>
          </cell>
          <cell r="J69" t="str">
            <v>선급금4</v>
          </cell>
          <cell r="K69" t="str">
            <v>선급금2</v>
          </cell>
          <cell r="L69" t="str">
            <v>선급금37719</v>
          </cell>
        </row>
        <row r="70">
          <cell r="E70">
            <v>40500</v>
          </cell>
          <cell r="I70">
            <v>37719</v>
          </cell>
          <cell r="J70" t="str">
            <v>복리후생비4</v>
          </cell>
          <cell r="K70" t="str">
            <v>복리후생비2</v>
          </cell>
          <cell r="L70" t="str">
            <v>복리후생비37719</v>
          </cell>
        </row>
        <row r="71">
          <cell r="E71">
            <v>31000</v>
          </cell>
          <cell r="I71">
            <v>37719</v>
          </cell>
          <cell r="J71" t="str">
            <v>여비교통비4</v>
          </cell>
          <cell r="K71" t="str">
            <v>여비교통비2</v>
          </cell>
          <cell r="L71" t="str">
            <v>여비교통비37719</v>
          </cell>
        </row>
        <row r="72">
          <cell r="E72">
            <v>18600</v>
          </cell>
          <cell r="I72">
            <v>37719</v>
          </cell>
          <cell r="J72" t="str">
            <v>여비교통비4</v>
          </cell>
          <cell r="K72" t="str">
            <v>여비교통비2</v>
          </cell>
          <cell r="L72" t="str">
            <v>여비교통비37719</v>
          </cell>
        </row>
        <row r="73">
          <cell r="E73">
            <v>10000</v>
          </cell>
          <cell r="I73">
            <v>37719</v>
          </cell>
          <cell r="J73" t="str">
            <v>지급수수료4</v>
          </cell>
          <cell r="K73" t="str">
            <v>지급수수료2</v>
          </cell>
          <cell r="L73" t="str">
            <v>지급수수료37719</v>
          </cell>
        </row>
        <row r="74">
          <cell r="E74">
            <v>8000</v>
          </cell>
          <cell r="I74">
            <v>37719</v>
          </cell>
          <cell r="J74" t="str">
            <v>복리후생비4</v>
          </cell>
          <cell r="K74" t="str">
            <v>복리후생비2</v>
          </cell>
          <cell r="L74" t="str">
            <v>복리후생비37719</v>
          </cell>
        </row>
        <row r="75">
          <cell r="E75">
            <v>150000</v>
          </cell>
          <cell r="I75">
            <v>37720</v>
          </cell>
          <cell r="J75" t="str">
            <v>수선비4</v>
          </cell>
          <cell r="K75" t="str">
            <v>수선비2</v>
          </cell>
          <cell r="L75" t="str">
            <v>수선비37720</v>
          </cell>
        </row>
        <row r="76">
          <cell r="E76">
            <v>34780020</v>
          </cell>
          <cell r="I76">
            <v>37721</v>
          </cell>
          <cell r="J76" t="str">
            <v>미지급법인세4</v>
          </cell>
          <cell r="K76" t="str">
            <v>미지급법인세2</v>
          </cell>
          <cell r="L76" t="str">
            <v>미지급법인세37721</v>
          </cell>
        </row>
        <row r="77">
          <cell r="E77">
            <v>15856200</v>
          </cell>
          <cell r="I77">
            <v>37721</v>
          </cell>
          <cell r="J77" t="str">
            <v>예수금4</v>
          </cell>
          <cell r="K77" t="str">
            <v>예수금2</v>
          </cell>
          <cell r="L77" t="str">
            <v>예수금37721</v>
          </cell>
        </row>
        <row r="78">
          <cell r="E78">
            <v>10443600</v>
          </cell>
          <cell r="I78">
            <v>37721</v>
          </cell>
          <cell r="J78" t="str">
            <v>예수금4</v>
          </cell>
          <cell r="K78" t="str">
            <v>예수금2</v>
          </cell>
          <cell r="L78" t="str">
            <v>예수금37721</v>
          </cell>
        </row>
        <row r="79">
          <cell r="E79">
            <v>9900000</v>
          </cell>
          <cell r="I79">
            <v>37721</v>
          </cell>
          <cell r="J79" t="str">
            <v>선급금4</v>
          </cell>
          <cell r="K79" t="str">
            <v>선급금2</v>
          </cell>
          <cell r="L79" t="str">
            <v>선급금37721</v>
          </cell>
        </row>
        <row r="80">
          <cell r="E80">
            <v>8600000</v>
          </cell>
          <cell r="I80">
            <v>37721</v>
          </cell>
          <cell r="J80" t="str">
            <v>선급비용4</v>
          </cell>
          <cell r="K80" t="str">
            <v>선급비용2</v>
          </cell>
          <cell r="L80" t="str">
            <v>선급비용37721</v>
          </cell>
        </row>
        <row r="81">
          <cell r="E81">
            <v>7305760</v>
          </cell>
          <cell r="I81">
            <v>37721</v>
          </cell>
          <cell r="J81" t="str">
            <v>예수금4</v>
          </cell>
          <cell r="K81" t="str">
            <v>예수금2</v>
          </cell>
          <cell r="L81" t="str">
            <v>예수금37721</v>
          </cell>
        </row>
        <row r="82">
          <cell r="E82">
            <v>212000</v>
          </cell>
          <cell r="I82">
            <v>37721</v>
          </cell>
          <cell r="J82" t="str">
            <v>미지급금4</v>
          </cell>
          <cell r="K82" t="str">
            <v>미지급금2</v>
          </cell>
          <cell r="L82" t="str">
            <v>미지급금37721</v>
          </cell>
        </row>
        <row r="83">
          <cell r="E83">
            <v>187000</v>
          </cell>
          <cell r="I83">
            <v>37721</v>
          </cell>
          <cell r="J83" t="str">
            <v>선급금4</v>
          </cell>
          <cell r="K83" t="str">
            <v>선급금2</v>
          </cell>
          <cell r="L83" t="str">
            <v>선급금37721</v>
          </cell>
        </row>
        <row r="84">
          <cell r="E84">
            <v>99300</v>
          </cell>
          <cell r="I84">
            <v>37721</v>
          </cell>
          <cell r="J84" t="str">
            <v>선급금4</v>
          </cell>
          <cell r="K84" t="str">
            <v>선급금2</v>
          </cell>
          <cell r="L84" t="str">
            <v>선급금37721</v>
          </cell>
        </row>
        <row r="85">
          <cell r="E85">
            <v>24000</v>
          </cell>
          <cell r="I85">
            <v>37721</v>
          </cell>
          <cell r="J85" t="str">
            <v>소모품비4</v>
          </cell>
          <cell r="K85" t="str">
            <v>소모품비2</v>
          </cell>
          <cell r="L85" t="str">
            <v>소모품비37721</v>
          </cell>
        </row>
        <row r="86">
          <cell r="E86">
            <v>1800000</v>
          </cell>
          <cell r="I86">
            <v>37721</v>
          </cell>
          <cell r="J86" t="str">
            <v>복리후생비4</v>
          </cell>
          <cell r="K86" t="str">
            <v>복리후생비2</v>
          </cell>
          <cell r="L86" t="str">
            <v>복리후생비37721</v>
          </cell>
        </row>
        <row r="87">
          <cell r="E87">
            <v>800000</v>
          </cell>
          <cell r="I87">
            <v>37721</v>
          </cell>
          <cell r="J87" t="str">
            <v>복리후생비4</v>
          </cell>
          <cell r="K87" t="str">
            <v>복리후생비2</v>
          </cell>
          <cell r="L87" t="str">
            <v>복리후생비37721</v>
          </cell>
        </row>
        <row r="88">
          <cell r="E88">
            <v>500000</v>
          </cell>
          <cell r="I88">
            <v>37721</v>
          </cell>
          <cell r="J88" t="str">
            <v>선급비용4</v>
          </cell>
          <cell r="K88" t="str">
            <v>선급비용2</v>
          </cell>
          <cell r="L88" t="str">
            <v>선급비용37721</v>
          </cell>
        </row>
        <row r="89">
          <cell r="E89">
            <v>300000</v>
          </cell>
          <cell r="I89">
            <v>37721</v>
          </cell>
          <cell r="J89" t="str">
            <v>복리후생비4</v>
          </cell>
          <cell r="K89" t="str">
            <v>복리후생비2</v>
          </cell>
          <cell r="L89" t="str">
            <v>복리후생비37721</v>
          </cell>
        </row>
        <row r="90">
          <cell r="E90">
            <v>262880</v>
          </cell>
          <cell r="I90">
            <v>37721</v>
          </cell>
          <cell r="J90" t="str">
            <v>통신비4</v>
          </cell>
          <cell r="K90" t="str">
            <v>통신비2</v>
          </cell>
          <cell r="L90" t="str">
            <v>통신비37721</v>
          </cell>
        </row>
        <row r="91">
          <cell r="E91">
            <v>100000</v>
          </cell>
          <cell r="I91">
            <v>37721</v>
          </cell>
          <cell r="J91" t="str">
            <v>복리후생비4</v>
          </cell>
          <cell r="K91" t="str">
            <v>복리후생비2</v>
          </cell>
          <cell r="L91" t="str">
            <v>복리후생비37721</v>
          </cell>
        </row>
        <row r="92">
          <cell r="E92">
            <v>57300</v>
          </cell>
          <cell r="I92">
            <v>37721</v>
          </cell>
          <cell r="J92" t="str">
            <v>운반비4</v>
          </cell>
          <cell r="K92" t="str">
            <v>운반비2</v>
          </cell>
          <cell r="L92" t="str">
            <v>운반비37721</v>
          </cell>
        </row>
        <row r="93">
          <cell r="E93">
            <v>48700</v>
          </cell>
          <cell r="I93">
            <v>37721</v>
          </cell>
          <cell r="J93" t="str">
            <v>여비교통비4</v>
          </cell>
          <cell r="K93" t="str">
            <v>여비교통비2</v>
          </cell>
          <cell r="L93" t="str">
            <v>여비교통비37721</v>
          </cell>
        </row>
        <row r="94">
          <cell r="E94">
            <v>40000</v>
          </cell>
          <cell r="I94">
            <v>37721</v>
          </cell>
          <cell r="J94" t="str">
            <v>복리후생비4</v>
          </cell>
          <cell r="K94" t="str">
            <v>복리후생비2</v>
          </cell>
          <cell r="L94" t="str">
            <v>복리후생비37721</v>
          </cell>
        </row>
        <row r="95">
          <cell r="E95">
            <v>32000</v>
          </cell>
          <cell r="I95">
            <v>37721</v>
          </cell>
          <cell r="J95" t="str">
            <v>여비교통비4</v>
          </cell>
          <cell r="K95" t="str">
            <v>여비교통비2</v>
          </cell>
          <cell r="L95" t="str">
            <v>여비교통비37721</v>
          </cell>
        </row>
        <row r="96">
          <cell r="E96">
            <v>9600</v>
          </cell>
          <cell r="I96">
            <v>37721</v>
          </cell>
          <cell r="J96" t="str">
            <v>여비교통비4</v>
          </cell>
          <cell r="K96" t="str">
            <v>여비교통비2</v>
          </cell>
          <cell r="L96" t="str">
            <v>여비교통비37721</v>
          </cell>
        </row>
        <row r="97">
          <cell r="E97">
            <v>9000</v>
          </cell>
          <cell r="I97">
            <v>37721</v>
          </cell>
          <cell r="J97" t="str">
            <v>여비교통비4</v>
          </cell>
          <cell r="K97" t="str">
            <v>여비교통비2</v>
          </cell>
          <cell r="L97" t="str">
            <v>여비교통비37721</v>
          </cell>
        </row>
        <row r="98">
          <cell r="E98">
            <v>219780000</v>
          </cell>
          <cell r="I98">
            <v>37722</v>
          </cell>
          <cell r="J98" t="str">
            <v>선급금4</v>
          </cell>
          <cell r="K98" t="str">
            <v>선급금2</v>
          </cell>
          <cell r="L98" t="str">
            <v>선급금37722</v>
          </cell>
        </row>
        <row r="99">
          <cell r="E99">
            <v>25418700</v>
          </cell>
          <cell r="I99">
            <v>37722</v>
          </cell>
          <cell r="J99" t="str">
            <v>기타4</v>
          </cell>
          <cell r="K99" t="str">
            <v>기타2</v>
          </cell>
          <cell r="L99" t="str">
            <v>기타37722</v>
          </cell>
        </row>
        <row r="100">
          <cell r="E100">
            <v>6430823</v>
          </cell>
          <cell r="I100">
            <v>37722</v>
          </cell>
          <cell r="J100" t="str">
            <v>이자비용4</v>
          </cell>
          <cell r="K100" t="str">
            <v>이자비용2</v>
          </cell>
          <cell r="L100" t="str">
            <v>이자비용37722</v>
          </cell>
        </row>
        <row r="101">
          <cell r="E101">
            <v>17710000</v>
          </cell>
          <cell r="I101">
            <v>37726</v>
          </cell>
          <cell r="J101" t="str">
            <v>외상매입금4</v>
          </cell>
          <cell r="K101" t="str">
            <v>외상매입금3</v>
          </cell>
          <cell r="L101" t="str">
            <v>외상매입금37726</v>
          </cell>
        </row>
        <row r="102">
          <cell r="E102">
            <v>5665000</v>
          </cell>
          <cell r="I102">
            <v>37726</v>
          </cell>
          <cell r="J102" t="str">
            <v>미지급금4</v>
          </cell>
          <cell r="K102" t="str">
            <v>미지급금3</v>
          </cell>
          <cell r="L102" t="str">
            <v>미지급금37726</v>
          </cell>
        </row>
        <row r="103">
          <cell r="E103">
            <v>3135000</v>
          </cell>
          <cell r="I103">
            <v>37726</v>
          </cell>
          <cell r="J103" t="str">
            <v>선급금4</v>
          </cell>
          <cell r="K103" t="str">
            <v>선급금3</v>
          </cell>
          <cell r="L103" t="str">
            <v>선급금37726</v>
          </cell>
        </row>
        <row r="104">
          <cell r="E104">
            <v>1380000</v>
          </cell>
          <cell r="I104">
            <v>37726</v>
          </cell>
          <cell r="J104" t="str">
            <v>미지급금4</v>
          </cell>
          <cell r="K104" t="str">
            <v>미지급금3</v>
          </cell>
          <cell r="L104" t="str">
            <v>미지급금37726</v>
          </cell>
        </row>
        <row r="105">
          <cell r="E105">
            <v>1150000</v>
          </cell>
          <cell r="I105">
            <v>37726</v>
          </cell>
          <cell r="J105" t="str">
            <v>소모품비4</v>
          </cell>
          <cell r="K105" t="str">
            <v>소모품비3</v>
          </cell>
          <cell r="L105" t="str">
            <v>소모품비37726</v>
          </cell>
        </row>
        <row r="106">
          <cell r="E106">
            <v>572900</v>
          </cell>
          <cell r="I106">
            <v>37726</v>
          </cell>
          <cell r="J106" t="str">
            <v>미지급금4</v>
          </cell>
          <cell r="K106" t="str">
            <v>미지급금3</v>
          </cell>
          <cell r="L106" t="str">
            <v>미지급금37726</v>
          </cell>
        </row>
        <row r="107">
          <cell r="E107">
            <v>30000</v>
          </cell>
          <cell r="I107">
            <v>37726</v>
          </cell>
          <cell r="J107" t="str">
            <v>기타4</v>
          </cell>
          <cell r="K107" t="str">
            <v>기타3</v>
          </cell>
          <cell r="L107" t="str">
            <v>기타37726</v>
          </cell>
        </row>
        <row r="108">
          <cell r="E108">
            <v>255000</v>
          </cell>
          <cell r="I108">
            <v>37726</v>
          </cell>
          <cell r="J108" t="str">
            <v>여비교통비4</v>
          </cell>
          <cell r="K108" t="str">
            <v>여비교통비3</v>
          </cell>
          <cell r="L108" t="str">
            <v>여비교통비37726</v>
          </cell>
        </row>
        <row r="109">
          <cell r="E109">
            <v>50560</v>
          </cell>
          <cell r="I109">
            <v>37726</v>
          </cell>
          <cell r="J109" t="str">
            <v>복리후생비4</v>
          </cell>
          <cell r="K109" t="str">
            <v>복리후생비3</v>
          </cell>
          <cell r="L109" t="str">
            <v>복리후생비37726</v>
          </cell>
        </row>
        <row r="110">
          <cell r="E110">
            <v>33540</v>
          </cell>
          <cell r="I110">
            <v>37726</v>
          </cell>
          <cell r="J110" t="str">
            <v>여비교통비4</v>
          </cell>
          <cell r="K110" t="str">
            <v>여비교통비3</v>
          </cell>
          <cell r="L110" t="str">
            <v>여비교통비37726</v>
          </cell>
        </row>
        <row r="111">
          <cell r="E111">
            <v>22100</v>
          </cell>
          <cell r="I111">
            <v>37726</v>
          </cell>
          <cell r="J111" t="str">
            <v>여비교통비4</v>
          </cell>
          <cell r="K111" t="str">
            <v>여비교통비3</v>
          </cell>
          <cell r="L111" t="str">
            <v>여비교통비37726</v>
          </cell>
        </row>
        <row r="112">
          <cell r="E112">
            <v>17420</v>
          </cell>
          <cell r="I112">
            <v>37726</v>
          </cell>
          <cell r="J112" t="str">
            <v>통신비4</v>
          </cell>
          <cell r="K112" t="str">
            <v>통신비3</v>
          </cell>
          <cell r="L112" t="str">
            <v>통신비37726</v>
          </cell>
        </row>
        <row r="113">
          <cell r="E113">
            <v>13600</v>
          </cell>
          <cell r="I113">
            <v>37726</v>
          </cell>
          <cell r="J113" t="str">
            <v>여비교통비4</v>
          </cell>
          <cell r="K113" t="str">
            <v>여비교통비3</v>
          </cell>
          <cell r="L113" t="str">
            <v>여비교통비37726</v>
          </cell>
        </row>
        <row r="114">
          <cell r="E114">
            <v>43608700</v>
          </cell>
          <cell r="I114">
            <v>37727</v>
          </cell>
          <cell r="J114" t="str">
            <v>선급금4</v>
          </cell>
          <cell r="K114" t="str">
            <v>선급금3</v>
          </cell>
          <cell r="L114" t="str">
            <v>선급금37727</v>
          </cell>
        </row>
        <row r="115">
          <cell r="E115">
            <v>1798000</v>
          </cell>
          <cell r="I115">
            <v>37727</v>
          </cell>
          <cell r="J115" t="str">
            <v>선급금4</v>
          </cell>
          <cell r="K115" t="str">
            <v>선급금3</v>
          </cell>
          <cell r="L115" t="str">
            <v>선급금37727</v>
          </cell>
        </row>
        <row r="116">
          <cell r="E116">
            <v>1355200</v>
          </cell>
          <cell r="I116">
            <v>37727</v>
          </cell>
          <cell r="J116" t="str">
            <v>선급금4</v>
          </cell>
          <cell r="K116" t="str">
            <v>선급금3</v>
          </cell>
          <cell r="L116" t="str">
            <v>선급금37727</v>
          </cell>
        </row>
        <row r="117">
          <cell r="E117">
            <v>1193300</v>
          </cell>
          <cell r="I117">
            <v>37727</v>
          </cell>
          <cell r="J117" t="str">
            <v>여비교통비4</v>
          </cell>
          <cell r="K117" t="str">
            <v>여비교통비3</v>
          </cell>
          <cell r="L117" t="str">
            <v>여비교통비37727</v>
          </cell>
        </row>
        <row r="118">
          <cell r="E118">
            <v>1104000</v>
          </cell>
          <cell r="I118">
            <v>37727</v>
          </cell>
          <cell r="J118" t="str">
            <v>미지급금4</v>
          </cell>
          <cell r="K118" t="str">
            <v>미지급금3</v>
          </cell>
          <cell r="L118" t="str">
            <v>미지급금37727</v>
          </cell>
        </row>
        <row r="119">
          <cell r="E119">
            <v>1032000</v>
          </cell>
          <cell r="I119">
            <v>37727</v>
          </cell>
          <cell r="J119" t="str">
            <v>여비교통비4</v>
          </cell>
          <cell r="K119" t="str">
            <v>여비교통비3</v>
          </cell>
          <cell r="L119" t="str">
            <v>여비교통비37727</v>
          </cell>
        </row>
        <row r="120">
          <cell r="E120">
            <v>328000</v>
          </cell>
          <cell r="I120">
            <v>37727</v>
          </cell>
          <cell r="J120" t="str">
            <v>미지급금4</v>
          </cell>
          <cell r="K120" t="str">
            <v>미지급금3</v>
          </cell>
          <cell r="L120" t="str">
            <v>미지급금37727</v>
          </cell>
        </row>
        <row r="121">
          <cell r="E121">
            <v>116000</v>
          </cell>
          <cell r="I121">
            <v>37727</v>
          </cell>
          <cell r="J121" t="str">
            <v>미지급금4</v>
          </cell>
          <cell r="K121" t="str">
            <v>미지급금3</v>
          </cell>
          <cell r="L121" t="str">
            <v>미지급금37727</v>
          </cell>
        </row>
        <row r="122">
          <cell r="E122">
            <v>116000</v>
          </cell>
          <cell r="I122">
            <v>37727</v>
          </cell>
          <cell r="J122" t="str">
            <v>미지급금4</v>
          </cell>
          <cell r="K122" t="str">
            <v>미지급금3</v>
          </cell>
          <cell r="L122" t="str">
            <v>미지급금37727</v>
          </cell>
        </row>
        <row r="123">
          <cell r="E123">
            <v>116000</v>
          </cell>
          <cell r="I123">
            <v>37727</v>
          </cell>
          <cell r="J123" t="str">
            <v>미지급금4</v>
          </cell>
          <cell r="K123" t="str">
            <v>미지급금3</v>
          </cell>
          <cell r="L123" t="str">
            <v>미지급금37727</v>
          </cell>
        </row>
        <row r="124">
          <cell r="E124">
            <v>116000</v>
          </cell>
          <cell r="I124">
            <v>37727</v>
          </cell>
          <cell r="J124" t="str">
            <v>미지급금4</v>
          </cell>
          <cell r="K124" t="str">
            <v>미지급금3</v>
          </cell>
          <cell r="L124" t="str">
            <v>미지급금37727</v>
          </cell>
        </row>
        <row r="125">
          <cell r="E125">
            <v>130000</v>
          </cell>
          <cell r="I125">
            <v>37727</v>
          </cell>
          <cell r="J125" t="str">
            <v>차량유지비4</v>
          </cell>
          <cell r="K125" t="str">
            <v>차량유지비3</v>
          </cell>
          <cell r="L125" t="str">
            <v>차량유지비37727</v>
          </cell>
        </row>
        <row r="126">
          <cell r="E126">
            <v>100000</v>
          </cell>
          <cell r="I126">
            <v>37727</v>
          </cell>
          <cell r="J126" t="str">
            <v>복리후생비4</v>
          </cell>
          <cell r="K126" t="str">
            <v>복리후생비3</v>
          </cell>
          <cell r="L126" t="str">
            <v>복리후생비37727</v>
          </cell>
        </row>
        <row r="127">
          <cell r="E127">
            <v>30000</v>
          </cell>
          <cell r="I127">
            <v>37728</v>
          </cell>
          <cell r="J127" t="str">
            <v>도서인쇄비4</v>
          </cell>
          <cell r="K127" t="str">
            <v>도서인쇄비3</v>
          </cell>
          <cell r="L127" t="str">
            <v>도서인쇄비37728</v>
          </cell>
        </row>
        <row r="128">
          <cell r="E128">
            <v>331189</v>
          </cell>
          <cell r="I128">
            <v>37732</v>
          </cell>
          <cell r="J128" t="str">
            <v>미지급금4</v>
          </cell>
          <cell r="K128" t="str">
            <v>미지급금4</v>
          </cell>
          <cell r="L128" t="str">
            <v>미지급금37732</v>
          </cell>
        </row>
        <row r="129">
          <cell r="E129">
            <v>7020610</v>
          </cell>
          <cell r="I129">
            <v>37736</v>
          </cell>
          <cell r="J129" t="str">
            <v>세금과공과금4</v>
          </cell>
          <cell r="K129" t="str">
            <v>세금과공과금4</v>
          </cell>
          <cell r="L129" t="str">
            <v>세금과공과금37736</v>
          </cell>
        </row>
        <row r="130">
          <cell r="E130">
            <v>630000</v>
          </cell>
          <cell r="I130">
            <v>37736</v>
          </cell>
          <cell r="J130" t="str">
            <v>차량유지비4</v>
          </cell>
          <cell r="K130" t="str">
            <v>차량유지비4</v>
          </cell>
          <cell r="L130" t="str">
            <v>차량유지비37736</v>
          </cell>
        </row>
        <row r="131">
          <cell r="E131">
            <v>352000</v>
          </cell>
          <cell r="I131">
            <v>37736</v>
          </cell>
          <cell r="J131" t="str">
            <v>미지급금4</v>
          </cell>
          <cell r="K131" t="str">
            <v>미지급금4</v>
          </cell>
          <cell r="L131" t="str">
            <v>미지급금37736</v>
          </cell>
        </row>
        <row r="132">
          <cell r="E132">
            <v>75295000</v>
          </cell>
          <cell r="I132">
            <v>37741</v>
          </cell>
          <cell r="J132" t="str">
            <v>외상매입금4</v>
          </cell>
          <cell r="K132" t="str">
            <v>외상매입금4</v>
          </cell>
          <cell r="L132" t="str">
            <v>외상매입금37741</v>
          </cell>
        </row>
        <row r="133">
          <cell r="E133">
            <v>52360000</v>
          </cell>
          <cell r="I133">
            <v>37741</v>
          </cell>
          <cell r="J133" t="str">
            <v>외상매입금4</v>
          </cell>
          <cell r="K133" t="str">
            <v>외상매입금4</v>
          </cell>
          <cell r="L133" t="str">
            <v>외상매입금37741</v>
          </cell>
        </row>
        <row r="134">
          <cell r="E134">
            <v>43054000</v>
          </cell>
          <cell r="I134">
            <v>37741</v>
          </cell>
          <cell r="J134" t="str">
            <v>외상매입금4</v>
          </cell>
          <cell r="K134" t="str">
            <v>외상매입금4</v>
          </cell>
          <cell r="L134" t="str">
            <v>외상매입금37741</v>
          </cell>
        </row>
        <row r="135">
          <cell r="E135">
            <v>83600000</v>
          </cell>
          <cell r="I135">
            <v>37741</v>
          </cell>
          <cell r="J135" t="str">
            <v>외상매입금4</v>
          </cell>
          <cell r="K135" t="str">
            <v>외상매입금4</v>
          </cell>
          <cell r="L135" t="str">
            <v>외상매입금37741</v>
          </cell>
        </row>
        <row r="136">
          <cell r="E136">
            <v>4719000</v>
          </cell>
          <cell r="I136">
            <v>37741</v>
          </cell>
          <cell r="J136" t="str">
            <v>외상매입금4</v>
          </cell>
          <cell r="K136" t="str">
            <v>외상매입금4</v>
          </cell>
          <cell r="L136" t="str">
            <v>외상매입금37741</v>
          </cell>
        </row>
        <row r="137">
          <cell r="E137">
            <v>600000</v>
          </cell>
          <cell r="I137">
            <v>37741</v>
          </cell>
          <cell r="J137" t="str">
            <v>미지급금4</v>
          </cell>
          <cell r="K137" t="str">
            <v>미지급금4</v>
          </cell>
          <cell r="L137" t="str">
            <v>미지급금37741</v>
          </cell>
        </row>
        <row r="138">
          <cell r="E138">
            <v>544500</v>
          </cell>
          <cell r="I138">
            <v>37741</v>
          </cell>
          <cell r="J138" t="str">
            <v>미지급금4</v>
          </cell>
          <cell r="K138" t="str">
            <v>미지급금4</v>
          </cell>
          <cell r="L138" t="str">
            <v>미지급금37741</v>
          </cell>
        </row>
        <row r="139">
          <cell r="E139">
            <v>233000</v>
          </cell>
          <cell r="I139">
            <v>37741</v>
          </cell>
          <cell r="J139" t="str">
            <v>미지급금4</v>
          </cell>
          <cell r="K139" t="str">
            <v>미지급금4</v>
          </cell>
          <cell r="L139" t="str">
            <v>미지급금37741</v>
          </cell>
        </row>
        <row r="140">
          <cell r="E140">
            <v>154000</v>
          </cell>
          <cell r="I140">
            <v>37741</v>
          </cell>
          <cell r="J140" t="str">
            <v>미지급금4</v>
          </cell>
          <cell r="K140" t="str">
            <v>미지급금4</v>
          </cell>
          <cell r="L140" t="str">
            <v>미지급금37741</v>
          </cell>
        </row>
        <row r="141">
          <cell r="E141">
            <v>135000</v>
          </cell>
          <cell r="I141">
            <v>37741</v>
          </cell>
          <cell r="J141" t="str">
            <v>미지급금4</v>
          </cell>
          <cell r="K141" t="str">
            <v>미지급금4</v>
          </cell>
          <cell r="L141" t="str">
            <v>미지급금37741</v>
          </cell>
        </row>
        <row r="142">
          <cell r="E142">
            <v>55000000</v>
          </cell>
          <cell r="I142">
            <v>37741</v>
          </cell>
          <cell r="J142" t="str">
            <v>미지급금4</v>
          </cell>
          <cell r="K142" t="str">
            <v>미지급금4</v>
          </cell>
          <cell r="L142" t="str">
            <v>미지급금37741</v>
          </cell>
        </row>
        <row r="143">
          <cell r="E143">
            <v>38500000</v>
          </cell>
          <cell r="I143">
            <v>37741</v>
          </cell>
          <cell r="J143" t="str">
            <v>미지급금4</v>
          </cell>
          <cell r="K143" t="str">
            <v>미지급금4</v>
          </cell>
          <cell r="L143" t="str">
            <v>미지급금37741</v>
          </cell>
        </row>
        <row r="144">
          <cell r="E144">
            <v>9501800</v>
          </cell>
          <cell r="I144">
            <v>37741</v>
          </cell>
          <cell r="J144" t="str">
            <v>미지급금4</v>
          </cell>
          <cell r="K144" t="str">
            <v>미지급금4</v>
          </cell>
          <cell r="L144" t="str">
            <v>미지급금37741</v>
          </cell>
        </row>
        <row r="145">
          <cell r="E145">
            <v>8800000</v>
          </cell>
          <cell r="I145">
            <v>37741</v>
          </cell>
          <cell r="J145" t="str">
            <v>미지급금4</v>
          </cell>
          <cell r="K145" t="str">
            <v>미지급금4</v>
          </cell>
          <cell r="L145" t="str">
            <v>미지급금37741</v>
          </cell>
        </row>
        <row r="146">
          <cell r="E146">
            <v>7700000</v>
          </cell>
          <cell r="I146">
            <v>37741</v>
          </cell>
          <cell r="J146" t="str">
            <v>미지급금4</v>
          </cell>
          <cell r="K146" t="str">
            <v>미지급금4</v>
          </cell>
          <cell r="L146" t="str">
            <v>미지급금37741</v>
          </cell>
        </row>
        <row r="147">
          <cell r="E147">
            <v>7700000</v>
          </cell>
          <cell r="I147">
            <v>37741</v>
          </cell>
          <cell r="J147" t="str">
            <v>미지급금4</v>
          </cell>
          <cell r="K147" t="str">
            <v>미지급금4</v>
          </cell>
          <cell r="L147" t="str">
            <v>미지급금37741</v>
          </cell>
        </row>
        <row r="148">
          <cell r="E148">
            <v>7150000</v>
          </cell>
          <cell r="I148">
            <v>37741</v>
          </cell>
          <cell r="J148" t="str">
            <v>미지급금4</v>
          </cell>
          <cell r="K148" t="str">
            <v>미지급금4</v>
          </cell>
          <cell r="L148" t="str">
            <v>미지급금37741</v>
          </cell>
        </row>
        <row r="149">
          <cell r="E149">
            <v>7150000</v>
          </cell>
          <cell r="I149">
            <v>37741</v>
          </cell>
          <cell r="J149" t="str">
            <v>미지급금4</v>
          </cell>
          <cell r="K149" t="str">
            <v>미지급금4</v>
          </cell>
          <cell r="L149" t="str">
            <v>미지급금37741</v>
          </cell>
        </row>
        <row r="150">
          <cell r="E150">
            <v>6860040</v>
          </cell>
          <cell r="I150">
            <v>37741</v>
          </cell>
          <cell r="J150" t="str">
            <v>미지급금4</v>
          </cell>
          <cell r="K150" t="str">
            <v>미지급금4</v>
          </cell>
          <cell r="L150" t="str">
            <v>미지급금37741</v>
          </cell>
        </row>
        <row r="151">
          <cell r="E151">
            <v>6116000</v>
          </cell>
          <cell r="I151">
            <v>37741</v>
          </cell>
          <cell r="J151" t="str">
            <v>미지급금4</v>
          </cell>
          <cell r="K151" t="str">
            <v>미지급금4</v>
          </cell>
          <cell r="L151" t="str">
            <v>미지급금37741</v>
          </cell>
        </row>
        <row r="152">
          <cell r="E152">
            <v>5640299</v>
          </cell>
          <cell r="I152">
            <v>37741</v>
          </cell>
          <cell r="J152" t="str">
            <v>미지급금4</v>
          </cell>
          <cell r="K152" t="str">
            <v>미지급금4</v>
          </cell>
          <cell r="L152" t="str">
            <v>미지급금37741</v>
          </cell>
        </row>
        <row r="153">
          <cell r="E153">
            <v>5500000</v>
          </cell>
          <cell r="I153">
            <v>37741</v>
          </cell>
          <cell r="J153" t="str">
            <v>미지급금4</v>
          </cell>
          <cell r="K153" t="str">
            <v>미지급금4</v>
          </cell>
          <cell r="L153" t="str">
            <v>미지급금37741</v>
          </cell>
        </row>
        <row r="154">
          <cell r="E154">
            <v>5500000</v>
          </cell>
          <cell r="I154">
            <v>37741</v>
          </cell>
          <cell r="J154" t="str">
            <v>미지급금4</v>
          </cell>
          <cell r="K154" t="str">
            <v>미지급금4</v>
          </cell>
          <cell r="L154" t="str">
            <v>미지급금37741</v>
          </cell>
        </row>
        <row r="155">
          <cell r="E155">
            <v>5060000</v>
          </cell>
          <cell r="I155">
            <v>37741</v>
          </cell>
          <cell r="J155" t="str">
            <v>미지급금4</v>
          </cell>
          <cell r="K155" t="str">
            <v>미지급금4</v>
          </cell>
          <cell r="L155" t="str">
            <v>미지급금37741</v>
          </cell>
        </row>
        <row r="156">
          <cell r="E156">
            <v>4800000</v>
          </cell>
          <cell r="I156">
            <v>37741</v>
          </cell>
          <cell r="J156" t="str">
            <v>미지급금4</v>
          </cell>
          <cell r="K156" t="str">
            <v>미지급금4</v>
          </cell>
          <cell r="L156" t="str">
            <v>미지급금37741</v>
          </cell>
        </row>
        <row r="157">
          <cell r="E157">
            <v>3900000</v>
          </cell>
          <cell r="I157">
            <v>37741</v>
          </cell>
          <cell r="J157" t="str">
            <v>미지급금4</v>
          </cell>
          <cell r="K157" t="str">
            <v>미지급금4</v>
          </cell>
          <cell r="L157" t="str">
            <v>미지급금37741</v>
          </cell>
        </row>
        <row r="158">
          <cell r="E158">
            <v>2936250</v>
          </cell>
          <cell r="I158">
            <v>37741</v>
          </cell>
          <cell r="J158" t="str">
            <v>미지급금4</v>
          </cell>
          <cell r="K158" t="str">
            <v>미지급금4</v>
          </cell>
          <cell r="L158" t="str">
            <v>미지급금37741</v>
          </cell>
        </row>
        <row r="159">
          <cell r="E159">
            <v>2782920</v>
          </cell>
          <cell r="I159">
            <v>37741</v>
          </cell>
          <cell r="J159" t="str">
            <v>미지급금4</v>
          </cell>
          <cell r="K159" t="str">
            <v>미지급금4</v>
          </cell>
          <cell r="L159" t="str">
            <v>미지급금37741</v>
          </cell>
        </row>
        <row r="160">
          <cell r="E160">
            <v>2290200</v>
          </cell>
          <cell r="I160">
            <v>37741</v>
          </cell>
          <cell r="J160" t="str">
            <v>미지급금4</v>
          </cell>
          <cell r="K160" t="str">
            <v>미지급금4</v>
          </cell>
          <cell r="L160" t="str">
            <v>미지급금37741</v>
          </cell>
        </row>
        <row r="161">
          <cell r="E161">
            <v>1760000</v>
          </cell>
          <cell r="I161">
            <v>37741</v>
          </cell>
          <cell r="J161" t="str">
            <v>미지급금4</v>
          </cell>
          <cell r="K161" t="str">
            <v>미지급금4</v>
          </cell>
          <cell r="L161" t="str">
            <v>미지급금37741</v>
          </cell>
        </row>
        <row r="162">
          <cell r="E162">
            <v>1760000</v>
          </cell>
          <cell r="I162">
            <v>37741</v>
          </cell>
          <cell r="J162" t="str">
            <v>미지급금4</v>
          </cell>
          <cell r="K162" t="str">
            <v>미지급금4</v>
          </cell>
          <cell r="L162" t="str">
            <v>미지급금37741</v>
          </cell>
        </row>
        <row r="163">
          <cell r="E163">
            <v>1727000</v>
          </cell>
          <cell r="I163">
            <v>37741</v>
          </cell>
          <cell r="J163" t="str">
            <v>미지급금4</v>
          </cell>
          <cell r="K163" t="str">
            <v>미지급금4</v>
          </cell>
          <cell r="L163" t="str">
            <v>미지급금37741</v>
          </cell>
        </row>
        <row r="164">
          <cell r="E164">
            <v>1686850</v>
          </cell>
          <cell r="I164">
            <v>37741</v>
          </cell>
          <cell r="J164" t="str">
            <v>미지급금4</v>
          </cell>
          <cell r="K164" t="str">
            <v>미지급금4</v>
          </cell>
          <cell r="L164" t="str">
            <v>미지급금37741</v>
          </cell>
        </row>
        <row r="165">
          <cell r="E165">
            <v>1375000</v>
          </cell>
          <cell r="I165">
            <v>37741</v>
          </cell>
          <cell r="J165" t="str">
            <v>미지급금4</v>
          </cell>
          <cell r="K165" t="str">
            <v>미지급금4</v>
          </cell>
          <cell r="L165" t="str">
            <v>미지급금37741</v>
          </cell>
        </row>
        <row r="166">
          <cell r="E166">
            <v>1061310</v>
          </cell>
          <cell r="I166">
            <v>37741</v>
          </cell>
          <cell r="J166" t="str">
            <v>미지급금4</v>
          </cell>
          <cell r="K166" t="str">
            <v>미지급금4</v>
          </cell>
          <cell r="L166" t="str">
            <v>미지급금37741</v>
          </cell>
        </row>
        <row r="167">
          <cell r="E167">
            <v>989615</v>
          </cell>
          <cell r="I167">
            <v>37741</v>
          </cell>
          <cell r="J167" t="str">
            <v>미지급금4</v>
          </cell>
          <cell r="K167" t="str">
            <v>미지급금4</v>
          </cell>
          <cell r="L167" t="str">
            <v>미지급금37741</v>
          </cell>
        </row>
        <row r="168">
          <cell r="E168">
            <v>966625</v>
          </cell>
          <cell r="I168">
            <v>37741</v>
          </cell>
          <cell r="J168" t="str">
            <v>미지급금4</v>
          </cell>
          <cell r="K168" t="str">
            <v>미지급금4</v>
          </cell>
          <cell r="L168" t="str">
            <v>미지급금37741</v>
          </cell>
        </row>
        <row r="169">
          <cell r="E169">
            <v>948750</v>
          </cell>
          <cell r="I169">
            <v>37741</v>
          </cell>
          <cell r="J169" t="str">
            <v>미지급금4</v>
          </cell>
          <cell r="K169" t="str">
            <v>미지급금4</v>
          </cell>
          <cell r="L169" t="str">
            <v>미지급금37741</v>
          </cell>
        </row>
        <row r="170">
          <cell r="E170">
            <v>880000</v>
          </cell>
          <cell r="I170">
            <v>37741</v>
          </cell>
          <cell r="J170" t="str">
            <v>미지급금4</v>
          </cell>
          <cell r="K170" t="str">
            <v>미지급금4</v>
          </cell>
          <cell r="L170" t="str">
            <v>미지급금37741</v>
          </cell>
        </row>
        <row r="171">
          <cell r="E171">
            <v>808500</v>
          </cell>
          <cell r="I171">
            <v>37741</v>
          </cell>
          <cell r="J171" t="str">
            <v>미지급금4</v>
          </cell>
          <cell r="K171" t="str">
            <v>미지급금4</v>
          </cell>
          <cell r="L171" t="str">
            <v>미지급금37741</v>
          </cell>
        </row>
        <row r="172">
          <cell r="E172">
            <v>808500</v>
          </cell>
          <cell r="I172">
            <v>37741</v>
          </cell>
          <cell r="J172" t="str">
            <v>미지급금4</v>
          </cell>
          <cell r="K172" t="str">
            <v>미지급금4</v>
          </cell>
          <cell r="L172" t="str">
            <v>미지급금37741</v>
          </cell>
        </row>
        <row r="173">
          <cell r="E173">
            <v>619300</v>
          </cell>
          <cell r="I173">
            <v>37741</v>
          </cell>
          <cell r="J173" t="str">
            <v>미지급금4</v>
          </cell>
          <cell r="K173" t="str">
            <v>미지급금4</v>
          </cell>
          <cell r="L173" t="str">
            <v>미지급금37741</v>
          </cell>
        </row>
        <row r="174">
          <cell r="E174">
            <v>550000</v>
          </cell>
          <cell r="I174">
            <v>37741</v>
          </cell>
          <cell r="J174" t="str">
            <v>미지급금4</v>
          </cell>
          <cell r="K174" t="str">
            <v>미지급금4</v>
          </cell>
          <cell r="L174" t="str">
            <v>미지급금37741</v>
          </cell>
        </row>
        <row r="175">
          <cell r="E175">
            <v>495000</v>
          </cell>
          <cell r="I175">
            <v>37741</v>
          </cell>
          <cell r="J175" t="str">
            <v>미지급금4</v>
          </cell>
          <cell r="K175" t="str">
            <v>미지급금4</v>
          </cell>
          <cell r="L175" t="str">
            <v>미지급금37741</v>
          </cell>
        </row>
        <row r="176">
          <cell r="E176">
            <v>350000</v>
          </cell>
          <cell r="I176">
            <v>37741</v>
          </cell>
          <cell r="J176" t="str">
            <v>미지급금4</v>
          </cell>
          <cell r="K176" t="str">
            <v>미지급금4</v>
          </cell>
          <cell r="L176" t="str">
            <v>미지급금37741</v>
          </cell>
        </row>
        <row r="177">
          <cell r="E177">
            <v>335500</v>
          </cell>
          <cell r="I177">
            <v>37741</v>
          </cell>
          <cell r="J177" t="str">
            <v>미지급금4</v>
          </cell>
          <cell r="K177" t="str">
            <v>미지급금4</v>
          </cell>
          <cell r="L177" t="str">
            <v>미지급금37741</v>
          </cell>
        </row>
        <row r="178">
          <cell r="E178">
            <v>330000</v>
          </cell>
          <cell r="I178">
            <v>37741</v>
          </cell>
          <cell r="J178" t="str">
            <v>미지급금4</v>
          </cell>
          <cell r="K178" t="str">
            <v>미지급금4</v>
          </cell>
          <cell r="L178" t="str">
            <v>미지급금37741</v>
          </cell>
        </row>
        <row r="179">
          <cell r="E179">
            <v>308000</v>
          </cell>
          <cell r="I179">
            <v>37741</v>
          </cell>
          <cell r="J179" t="str">
            <v>미지급금4</v>
          </cell>
          <cell r="K179" t="str">
            <v>미지급금4</v>
          </cell>
          <cell r="L179" t="str">
            <v>미지급금37741</v>
          </cell>
        </row>
        <row r="180">
          <cell r="E180">
            <v>286000</v>
          </cell>
          <cell r="I180">
            <v>37741</v>
          </cell>
          <cell r="J180" t="str">
            <v>미지급금4</v>
          </cell>
          <cell r="K180" t="str">
            <v>미지급금4</v>
          </cell>
          <cell r="L180" t="str">
            <v>미지급금37741</v>
          </cell>
        </row>
        <row r="181">
          <cell r="E181">
            <v>275000</v>
          </cell>
          <cell r="I181">
            <v>37741</v>
          </cell>
          <cell r="J181" t="str">
            <v>미지급금4</v>
          </cell>
          <cell r="K181" t="str">
            <v>미지급금4</v>
          </cell>
          <cell r="L181" t="str">
            <v>미지급금37741</v>
          </cell>
        </row>
        <row r="182">
          <cell r="E182">
            <v>269500</v>
          </cell>
          <cell r="I182">
            <v>37741</v>
          </cell>
          <cell r="J182" t="str">
            <v>미지급금4</v>
          </cell>
          <cell r="K182" t="str">
            <v>미지급금4</v>
          </cell>
          <cell r="L182" t="str">
            <v>미지급금37741</v>
          </cell>
        </row>
        <row r="183">
          <cell r="E183">
            <v>264000</v>
          </cell>
          <cell r="I183">
            <v>37741</v>
          </cell>
          <cell r="J183" t="str">
            <v>미지급금4</v>
          </cell>
          <cell r="K183" t="str">
            <v>미지급금4</v>
          </cell>
          <cell r="L183" t="str">
            <v>미지급금37741</v>
          </cell>
        </row>
        <row r="184">
          <cell r="E184">
            <v>242000</v>
          </cell>
          <cell r="I184">
            <v>37741</v>
          </cell>
          <cell r="J184" t="str">
            <v>미지급금4</v>
          </cell>
          <cell r="K184" t="str">
            <v>미지급금4</v>
          </cell>
          <cell r="L184" t="str">
            <v>미지급금37741</v>
          </cell>
        </row>
        <row r="185">
          <cell r="E185">
            <v>237500</v>
          </cell>
          <cell r="I185">
            <v>37741</v>
          </cell>
          <cell r="J185" t="str">
            <v>지급수수료4</v>
          </cell>
          <cell r="K185" t="str">
            <v>지급수수료4</v>
          </cell>
          <cell r="L185" t="str">
            <v>지급수수료37741</v>
          </cell>
        </row>
        <row r="186">
          <cell r="E186">
            <v>154000</v>
          </cell>
          <cell r="I186">
            <v>37741</v>
          </cell>
          <cell r="J186" t="str">
            <v>미지급금4</v>
          </cell>
          <cell r="K186" t="str">
            <v>미지급금4</v>
          </cell>
          <cell r="L186" t="str">
            <v>미지급금37741</v>
          </cell>
        </row>
        <row r="187">
          <cell r="E187">
            <v>110000</v>
          </cell>
          <cell r="I187">
            <v>37741</v>
          </cell>
          <cell r="J187" t="str">
            <v>미지급금4</v>
          </cell>
          <cell r="K187" t="str">
            <v>미지급금4</v>
          </cell>
          <cell r="L187" t="str">
            <v>미지급금37741</v>
          </cell>
        </row>
        <row r="188">
          <cell r="E188">
            <v>100000</v>
          </cell>
          <cell r="I188">
            <v>37741</v>
          </cell>
          <cell r="J188" t="str">
            <v>미지급금4</v>
          </cell>
          <cell r="K188" t="str">
            <v>미지급금4</v>
          </cell>
          <cell r="L188" t="str">
            <v>미지급금37741</v>
          </cell>
        </row>
        <row r="189">
          <cell r="E189">
            <v>640000</v>
          </cell>
          <cell r="I189">
            <v>37742</v>
          </cell>
          <cell r="J189" t="str">
            <v>차량유지비5</v>
          </cell>
          <cell r="K189" t="str">
            <v>차량유지비5</v>
          </cell>
          <cell r="L189" t="str">
            <v>차량유지비37742</v>
          </cell>
        </row>
        <row r="190">
          <cell r="E190">
            <v>3080000</v>
          </cell>
          <cell r="I190">
            <v>37754</v>
          </cell>
          <cell r="J190" t="str">
            <v>미지급금5</v>
          </cell>
          <cell r="K190" t="str">
            <v>미지급금6</v>
          </cell>
          <cell r="L190" t="str">
            <v>미지급금37754</v>
          </cell>
        </row>
        <row r="191">
          <cell r="E191">
            <v>331189</v>
          </cell>
          <cell r="I191">
            <v>37761</v>
          </cell>
          <cell r="J191" t="str">
            <v>미지급금5</v>
          </cell>
          <cell r="K191" t="str">
            <v>미지급금7</v>
          </cell>
          <cell r="L191" t="str">
            <v>미지급금37761</v>
          </cell>
        </row>
        <row r="192">
          <cell r="E192">
            <v>630000</v>
          </cell>
          <cell r="I192">
            <v>37767</v>
          </cell>
          <cell r="J192" t="str">
            <v>차량유지비5</v>
          </cell>
          <cell r="K192" t="str">
            <v>차량유지비8</v>
          </cell>
          <cell r="L192" t="str">
            <v>차량유지비37767</v>
          </cell>
        </row>
        <row r="193">
          <cell r="E193">
            <v>352000</v>
          </cell>
          <cell r="I193">
            <v>37767</v>
          </cell>
          <cell r="J193" t="str">
            <v>미지급금5</v>
          </cell>
          <cell r="K193" t="str">
            <v>미지급금8</v>
          </cell>
          <cell r="L193" t="str">
            <v>미지급금37767</v>
          </cell>
        </row>
        <row r="194">
          <cell r="E194">
            <v>2800000</v>
          </cell>
          <cell r="I194">
            <v>37771</v>
          </cell>
          <cell r="J194" t="str">
            <v>미지급금5</v>
          </cell>
          <cell r="K194" t="str">
            <v>미지급금8</v>
          </cell>
          <cell r="L194" t="str">
            <v>미지급금37771</v>
          </cell>
        </row>
        <row r="195">
          <cell r="E195">
            <v>1790000</v>
          </cell>
          <cell r="I195">
            <v>37771</v>
          </cell>
          <cell r="J195" t="str">
            <v>미지급금5</v>
          </cell>
          <cell r="K195" t="str">
            <v>미지급금8</v>
          </cell>
          <cell r="L195" t="str">
            <v>미지급금37771</v>
          </cell>
        </row>
        <row r="196">
          <cell r="E196">
            <v>800000</v>
          </cell>
          <cell r="I196">
            <v>37771</v>
          </cell>
          <cell r="J196" t="str">
            <v>미지급금5</v>
          </cell>
          <cell r="K196" t="str">
            <v>미지급금8</v>
          </cell>
          <cell r="L196" t="str">
            <v>미지급금37771</v>
          </cell>
        </row>
        <row r="197">
          <cell r="E197">
            <v>10224500</v>
          </cell>
          <cell r="I197">
            <v>37771</v>
          </cell>
          <cell r="J197" t="str">
            <v>미지급금5</v>
          </cell>
          <cell r="K197" t="str">
            <v>미지급금8</v>
          </cell>
          <cell r="L197" t="str">
            <v>미지급금37771</v>
          </cell>
        </row>
        <row r="198">
          <cell r="E198">
            <v>8175200</v>
          </cell>
          <cell r="I198">
            <v>37771</v>
          </cell>
          <cell r="J198" t="str">
            <v>미지급금5</v>
          </cell>
          <cell r="K198" t="str">
            <v>미지급금8</v>
          </cell>
          <cell r="L198" t="str">
            <v>미지급금37771</v>
          </cell>
        </row>
        <row r="199">
          <cell r="E199">
            <v>4202000</v>
          </cell>
          <cell r="I199">
            <v>37771</v>
          </cell>
          <cell r="J199" t="str">
            <v>미지급금5</v>
          </cell>
          <cell r="K199" t="str">
            <v>미지급금8</v>
          </cell>
          <cell r="L199" t="str">
            <v>미지급금37771</v>
          </cell>
        </row>
        <row r="200">
          <cell r="E200">
            <v>3357200</v>
          </cell>
          <cell r="I200">
            <v>37771</v>
          </cell>
          <cell r="J200" t="str">
            <v>미지급금5</v>
          </cell>
          <cell r="K200" t="str">
            <v>미지급금8</v>
          </cell>
          <cell r="L200" t="str">
            <v>미지급금37771</v>
          </cell>
        </row>
        <row r="201">
          <cell r="E201">
            <v>1727000</v>
          </cell>
          <cell r="I201">
            <v>37771</v>
          </cell>
          <cell r="J201" t="str">
            <v>미지급금5</v>
          </cell>
          <cell r="K201" t="str">
            <v>미지급금8</v>
          </cell>
          <cell r="L201" t="str">
            <v>미지급금37771</v>
          </cell>
        </row>
        <row r="202">
          <cell r="E202">
            <v>550000</v>
          </cell>
          <cell r="I202">
            <v>37771</v>
          </cell>
          <cell r="J202" t="str">
            <v>미지급금5</v>
          </cell>
          <cell r="K202" t="str">
            <v>미지급금8</v>
          </cell>
          <cell r="L202" t="str">
            <v>미지급금37771</v>
          </cell>
        </row>
        <row r="203">
          <cell r="E203">
            <v>335500</v>
          </cell>
          <cell r="I203">
            <v>37771</v>
          </cell>
          <cell r="J203" t="str">
            <v>미지급금5</v>
          </cell>
          <cell r="K203" t="str">
            <v>미지급금8</v>
          </cell>
          <cell r="L203" t="str">
            <v>미지급금37771</v>
          </cell>
        </row>
        <row r="204">
          <cell r="E204">
            <v>275000</v>
          </cell>
          <cell r="I204">
            <v>37771</v>
          </cell>
          <cell r="J204" t="str">
            <v>미지급금5</v>
          </cell>
          <cell r="K204" t="str">
            <v>미지급금8</v>
          </cell>
          <cell r="L204" t="str">
            <v>미지급금37771</v>
          </cell>
        </row>
        <row r="205">
          <cell r="E205">
            <v>247500</v>
          </cell>
          <cell r="I205">
            <v>37771</v>
          </cell>
          <cell r="J205" t="str">
            <v>미지급금5</v>
          </cell>
          <cell r="K205" t="str">
            <v>미지급금8</v>
          </cell>
          <cell r="L205" t="str">
            <v>미지급금37771</v>
          </cell>
        </row>
        <row r="206">
          <cell r="E206">
            <v>27500</v>
          </cell>
          <cell r="I206">
            <v>37771</v>
          </cell>
          <cell r="J206" t="str">
            <v>미지급금5</v>
          </cell>
          <cell r="K206" t="str">
            <v>미지급금8</v>
          </cell>
          <cell r="L206" t="str">
            <v>미지급금37771</v>
          </cell>
        </row>
        <row r="207">
          <cell r="E207">
            <v>640000</v>
          </cell>
          <cell r="I207">
            <v>37774</v>
          </cell>
          <cell r="J207" t="str">
            <v>차량유지비6</v>
          </cell>
          <cell r="K207" t="str">
            <v>차량유지비9</v>
          </cell>
          <cell r="L207" t="str">
            <v>차량유지비37774</v>
          </cell>
        </row>
        <row r="208">
          <cell r="E208">
            <v>3080000</v>
          </cell>
          <cell r="I208">
            <v>37783</v>
          </cell>
          <cell r="J208" t="str">
            <v>미지급금6</v>
          </cell>
          <cell r="K208" t="str">
            <v>미지급금10</v>
          </cell>
          <cell r="L208" t="str">
            <v>미지급금37783</v>
          </cell>
        </row>
        <row r="209">
          <cell r="E209">
            <v>331189</v>
          </cell>
          <cell r="I209">
            <v>37792</v>
          </cell>
          <cell r="J209" t="str">
            <v>미지급금6</v>
          </cell>
          <cell r="K209" t="str">
            <v>미지급금11</v>
          </cell>
          <cell r="L209" t="str">
            <v>미지급금37792</v>
          </cell>
        </row>
        <row r="210">
          <cell r="E210">
            <v>630000</v>
          </cell>
          <cell r="I210">
            <v>37797</v>
          </cell>
          <cell r="J210" t="str">
            <v>차량유지비6</v>
          </cell>
          <cell r="K210" t="str">
            <v>차량유지비12</v>
          </cell>
          <cell r="L210" t="str">
            <v>차량유지비37797</v>
          </cell>
        </row>
        <row r="211">
          <cell r="E211">
            <v>352000</v>
          </cell>
          <cell r="I211">
            <v>37797</v>
          </cell>
          <cell r="J211" t="str">
            <v>미지급금6</v>
          </cell>
          <cell r="K211" t="str">
            <v>미지급금12</v>
          </cell>
          <cell r="L211" t="str">
            <v>미지급금37797</v>
          </cell>
        </row>
        <row r="212">
          <cell r="E212">
            <v>1727000</v>
          </cell>
          <cell r="I212">
            <v>37802</v>
          </cell>
          <cell r="J212" t="str">
            <v>미지급금6</v>
          </cell>
          <cell r="K212" t="str">
            <v>미지급금12</v>
          </cell>
          <cell r="L212" t="str">
            <v>미지급금37802</v>
          </cell>
        </row>
        <row r="213">
          <cell r="E213">
            <v>550000</v>
          </cell>
          <cell r="I213">
            <v>37802</v>
          </cell>
          <cell r="J213" t="str">
            <v>미지급금6</v>
          </cell>
          <cell r="K213" t="str">
            <v>미지급금12</v>
          </cell>
          <cell r="L213" t="str">
            <v>미지급금37802</v>
          </cell>
        </row>
        <row r="214">
          <cell r="E214">
            <v>275000</v>
          </cell>
          <cell r="I214">
            <v>37802</v>
          </cell>
          <cell r="J214" t="str">
            <v>미지급금6</v>
          </cell>
          <cell r="K214" t="str">
            <v>미지급금12</v>
          </cell>
          <cell r="L214" t="str">
            <v>미지급금37802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rl"/>
      <sheetName val="매입채무"/>
      <sheetName val="부외부채"/>
      <sheetName val="기타의부채"/>
      <sheetName val="퇴충"/>
      <sheetName val="우발채무"/>
    </sheetNames>
    <sheetDataSet>
      <sheetData sheetId="0" refreshError="1">
        <row r="4">
          <cell r="C4" t="str">
            <v>12/31/99</v>
          </cell>
        </row>
        <row r="5">
          <cell r="C5" t="str">
            <v>6/30/2000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적용예제1"/>
      <sheetName val="참조표"/>
      <sheetName val="10월"/>
    </sheetNames>
    <sheetDataSet>
      <sheetData sheetId="0" refreshError="1"/>
      <sheetData sheetId="1">
        <row r="2">
          <cell r="A2" t="str">
            <v>쇼핑몰</v>
          </cell>
          <cell r="B2" t="str">
            <v>아이나비ACE</v>
          </cell>
        </row>
        <row r="3">
          <cell r="A3" t="str">
            <v>대리점</v>
          </cell>
          <cell r="B3" t="str">
            <v>아이나비ACE2</v>
          </cell>
        </row>
        <row r="4">
          <cell r="A4" t="str">
            <v>본사판매</v>
          </cell>
          <cell r="B4" t="str">
            <v>아이나비641 패키지 1-A type</v>
          </cell>
        </row>
        <row r="5">
          <cell r="A5" t="str">
            <v>보상판매</v>
          </cell>
          <cell r="B5" t="str">
            <v>아이나비641 패키지 1-B type</v>
          </cell>
        </row>
        <row r="6">
          <cell r="A6" t="str">
            <v>gift</v>
          </cell>
          <cell r="B6" t="str">
            <v>아이나비641 패키지 1-C type</v>
          </cell>
        </row>
        <row r="7">
          <cell r="A7" t="str">
            <v>매출</v>
          </cell>
          <cell r="B7" t="str">
            <v>아이나비641 패키지 1-D type</v>
          </cell>
        </row>
        <row r="8">
          <cell r="A8" t="str">
            <v>매입</v>
          </cell>
          <cell r="B8" t="str">
            <v>아이나비641 패키지 2-A type</v>
          </cell>
        </row>
        <row r="9">
          <cell r="A9" t="str">
            <v>반품입고</v>
          </cell>
          <cell r="B9" t="str">
            <v>아이나비641 패키지 2-B type</v>
          </cell>
        </row>
        <row r="10">
          <cell r="A10" t="str">
            <v>타처보관</v>
          </cell>
          <cell r="B10" t="str">
            <v>아이나비641 패키지 2-C type</v>
          </cell>
        </row>
        <row r="11">
          <cell r="A11" t="str">
            <v>타처회수</v>
          </cell>
          <cell r="B11" t="str">
            <v>아이나비641 패키지 2-D type</v>
          </cell>
        </row>
        <row r="12">
          <cell r="B12" t="str">
            <v>아이나비641 패키지 2-E type</v>
          </cell>
        </row>
        <row r="13">
          <cell r="B13" t="str">
            <v>아이나비641 패키지 2-F type</v>
          </cell>
        </row>
        <row r="14">
          <cell r="B14" t="str">
            <v>아이나비641 패키지 H2210 세트</v>
          </cell>
        </row>
        <row r="15">
          <cell r="B15" t="str">
            <v>아이나비641 패키지 2-C 세트</v>
          </cell>
        </row>
        <row r="16">
          <cell r="B16" t="str">
            <v>아이나비641 패키지 256MB 키트</v>
          </cell>
        </row>
        <row r="17">
          <cell r="B17" t="str">
            <v>아이나비641 디럭스패키지 1</v>
          </cell>
        </row>
        <row r="18">
          <cell r="B18" t="str">
            <v>아이나비641 디럭스패키지 2</v>
          </cell>
        </row>
        <row r="19">
          <cell r="B19" t="str">
            <v>아이나비641 오토로드 패키지</v>
          </cell>
        </row>
        <row r="20">
          <cell r="B20" t="str">
            <v>아이나비641 MATE 패키지</v>
          </cell>
        </row>
        <row r="21">
          <cell r="B21" t="str">
            <v>아이나비641 MATE 패키지 세트</v>
          </cell>
        </row>
        <row r="22">
          <cell r="B22" t="str">
            <v>아이나비Blue 패키지 A-type</v>
          </cell>
        </row>
        <row r="23">
          <cell r="B23" t="str">
            <v>아이나비Blue 패키지 B-type</v>
          </cell>
        </row>
        <row r="24">
          <cell r="B24" t="str">
            <v>아이나비Combi 패키지 A-type3600 시리즈용</v>
          </cell>
        </row>
        <row r="25">
          <cell r="B25" t="str">
            <v>아이나비Combi 패키지 A-type3800,3900 시리즈용</v>
          </cell>
        </row>
        <row r="26">
          <cell r="B26" t="str">
            <v>아이나비Combi 패키지 B-type2210용</v>
          </cell>
        </row>
        <row r="27">
          <cell r="B27" t="str">
            <v>아이나비Combi 패키지 C-type</v>
          </cell>
        </row>
        <row r="28">
          <cell r="B28" t="str">
            <v>아이나비Combi 패키지 D-type</v>
          </cell>
        </row>
        <row r="29">
          <cell r="B29" t="str">
            <v>아이나비 폰나비 세트</v>
          </cell>
        </row>
        <row r="30">
          <cell r="B30" t="str">
            <v>아이나비641H 256MB 패키지</v>
          </cell>
        </row>
        <row r="31">
          <cell r="B31" t="str">
            <v>아이나비641N 128MB 패키지</v>
          </cell>
        </row>
        <row r="32">
          <cell r="B32" t="str">
            <v>아이나비641N 256MB 패키지</v>
          </cell>
        </row>
        <row r="33">
          <cell r="B33" t="str">
            <v>아이나비641P 128(SD)MB 패키지</v>
          </cell>
        </row>
        <row r="34">
          <cell r="B34" t="str">
            <v>아이나비641P 256(SD)MB 패키지</v>
          </cell>
        </row>
        <row r="35">
          <cell r="B35" t="str">
            <v>아이나비641iB 128MB 패키지</v>
          </cell>
        </row>
        <row r="36">
          <cell r="B36" t="str">
            <v>아이나비641iB 256MB 패키지</v>
          </cell>
        </row>
        <row r="37">
          <cell r="B37" t="str">
            <v>PC-ephone 세트</v>
          </cell>
        </row>
        <row r="38">
          <cell r="B38" t="str">
            <v>아이나비 i-BEE 세트</v>
          </cell>
        </row>
        <row r="39">
          <cell r="B39" t="str">
            <v>아이나비 Mio338 세트</v>
          </cell>
        </row>
        <row r="40">
          <cell r="B40" t="str">
            <v>아이나비641모비원(EX)128MB 패키지</v>
          </cell>
        </row>
        <row r="41">
          <cell r="B41" t="str">
            <v>32MB</v>
          </cell>
        </row>
        <row r="42">
          <cell r="B42" t="str">
            <v>96MB</v>
          </cell>
        </row>
        <row r="43">
          <cell r="B43" t="str">
            <v>96MB(H)</v>
          </cell>
        </row>
        <row r="44">
          <cell r="B44" t="str">
            <v>128MB</v>
          </cell>
        </row>
        <row r="45">
          <cell r="B45" t="str">
            <v>128MB(H)</v>
          </cell>
        </row>
        <row r="46">
          <cell r="B46" t="str">
            <v>128MB(N)</v>
          </cell>
        </row>
        <row r="47">
          <cell r="B47" t="str">
            <v>256MB</v>
          </cell>
        </row>
        <row r="48">
          <cell r="B48" t="str">
            <v>256MB(H)</v>
          </cell>
        </row>
        <row r="49">
          <cell r="B49" t="str">
            <v>256MB(N)</v>
          </cell>
        </row>
        <row r="50">
          <cell r="B50" t="str">
            <v>128MB(EX)</v>
          </cell>
        </row>
        <row r="51">
          <cell r="B51" t="str">
            <v>256MB(EX)</v>
          </cell>
        </row>
        <row r="52">
          <cell r="B52" t="str">
            <v>128MB(SD)</v>
          </cell>
        </row>
        <row r="53">
          <cell r="B53" t="str">
            <v>256MB(SD)</v>
          </cell>
        </row>
        <row r="54">
          <cell r="B54" t="str">
            <v>128MB(iB)</v>
          </cell>
        </row>
        <row r="55">
          <cell r="B55" t="str">
            <v>256MB(iB)</v>
          </cell>
        </row>
        <row r="56">
          <cell r="B56" t="str">
            <v>ACE용 GPS 수신기(Intelings)</v>
          </cell>
        </row>
        <row r="57">
          <cell r="B57" t="str">
            <v>로얄텍 GPS 수신기</v>
          </cell>
        </row>
        <row r="58">
          <cell r="B58" t="str">
            <v>MATE GPS 수신기</v>
          </cell>
        </row>
        <row r="59">
          <cell r="B59" t="str">
            <v>나브맨 GPS 수신기</v>
          </cell>
        </row>
        <row r="60">
          <cell r="B60" t="str">
            <v xml:space="preserve">GPS Combi  (iPAQ H3600 시리즈 CF용) </v>
          </cell>
        </row>
        <row r="61">
          <cell r="B61" t="str">
            <v xml:space="preserve">GPS Combi  (iPAQ H3800,3900 시리즈 CF용) </v>
          </cell>
        </row>
        <row r="62">
          <cell r="B62" t="str">
            <v xml:space="preserve">GPS Combi  (iPAQ H2210용 CF용) </v>
          </cell>
        </row>
        <row r="63">
          <cell r="B63" t="str">
            <v xml:space="preserve">GPS Combi  (iPAQ H3600,3800,3900 시리즈 SD용) </v>
          </cell>
        </row>
        <row r="64">
          <cell r="B64" t="str">
            <v xml:space="preserve">GPS Combi  (iPAQ H2210용 SD용) </v>
          </cell>
        </row>
        <row r="65">
          <cell r="B65" t="str">
            <v>GPS BLUETOOTH</v>
          </cell>
        </row>
        <row r="66">
          <cell r="B66" t="str">
            <v>MBC idio 수신기 (iPAQ 3600 시리즈 용)</v>
          </cell>
        </row>
        <row r="67">
          <cell r="B67" t="str">
            <v>MBC idio 수신기 (iPAQ 3800,3900 시리즈 용)</v>
          </cell>
        </row>
        <row r="68">
          <cell r="B68" t="str">
            <v>MBC idio 수신기 (ACE2용)</v>
          </cell>
        </row>
        <row r="69">
          <cell r="B69" t="str">
            <v>PC-ephone 수신기(GPS C-1)</v>
          </cell>
        </row>
        <row r="70">
          <cell r="B70" t="str">
            <v>iBEE용 GPS 수신기</v>
          </cell>
        </row>
        <row r="71">
          <cell r="B71" t="str">
            <v>NOVA GPS 수신기</v>
          </cell>
        </row>
        <row r="72">
          <cell r="B72" t="str">
            <v>AUTOROAD GPS 수신기</v>
          </cell>
        </row>
        <row r="73">
          <cell r="B73" t="str">
            <v>카시오페아 GPS 수신기</v>
          </cell>
        </row>
        <row r="74">
          <cell r="B74" t="str">
            <v>조나다 GPS 수신기</v>
          </cell>
        </row>
        <row r="75">
          <cell r="B75" t="str">
            <v>엘렉스테크 GPS 수신기</v>
          </cell>
        </row>
        <row r="76">
          <cell r="B76" t="str">
            <v>CF GPS 수신기</v>
          </cell>
        </row>
        <row r="77">
          <cell r="B77" t="str">
            <v>RGM-3000 GPS 수신기</v>
          </cell>
        </row>
        <row r="78">
          <cell r="B78" t="str">
            <v>RFG-1000 GPS 수신기</v>
          </cell>
        </row>
        <row r="79">
          <cell r="B79" t="str">
            <v>모비원 GPS 수신기</v>
          </cell>
        </row>
        <row r="80">
          <cell r="B80" t="str">
            <v>기타 GPS 수신기</v>
          </cell>
        </row>
        <row r="81">
          <cell r="B81" t="str">
            <v>ACE용 PDA(Intelings)</v>
          </cell>
        </row>
        <row r="82">
          <cell r="B82" t="str">
            <v>Compaq iPAQ 2210</v>
          </cell>
        </row>
        <row r="83">
          <cell r="B83" t="str">
            <v>Compaq iPAQ 3630</v>
          </cell>
        </row>
        <row r="84">
          <cell r="B84" t="str">
            <v>Compaq iPAQ 3850</v>
          </cell>
        </row>
        <row r="85">
          <cell r="B85" t="str">
            <v>Compaq iPAQ 3950</v>
          </cell>
        </row>
        <row r="86">
          <cell r="B86" t="str">
            <v>Compaq iPAQ 3970</v>
          </cell>
        </row>
        <row r="87">
          <cell r="B87" t="str">
            <v>Compaq iPAQ 5550</v>
          </cell>
        </row>
        <row r="88">
          <cell r="B88" t="str">
            <v>PC-ephone PDA</v>
          </cell>
        </row>
        <row r="89">
          <cell r="B89" t="str">
            <v>iBEE용 PDA</v>
          </cell>
        </row>
        <row r="90">
          <cell r="B90" t="str">
            <v>카시오 PDA</v>
          </cell>
        </row>
        <row r="91">
          <cell r="B91" t="str">
            <v>모비원 PDA</v>
          </cell>
        </row>
        <row r="92">
          <cell r="B92" t="str">
            <v>Mio 338 PDA</v>
          </cell>
        </row>
        <row r="93">
          <cell r="B93" t="str">
            <v>Mio 339 PDA</v>
          </cell>
        </row>
        <row r="94">
          <cell r="B94" t="str">
            <v>ACE 1전용 거치대</v>
          </cell>
        </row>
        <row r="95">
          <cell r="B95" t="str">
            <v>ACE 2전용 거치대</v>
          </cell>
        </row>
        <row r="96">
          <cell r="B96" t="str">
            <v>아이나비641 패키지용 거치대 - 데쉬보드형</v>
          </cell>
        </row>
        <row r="97">
          <cell r="B97" t="str">
            <v>아이나비641 패키지용 거치대 - 송풍구형</v>
          </cell>
        </row>
        <row r="98">
          <cell r="B98" t="str">
            <v>아이나비641 패키지용 거치대 - 흡착식(BLACK)</v>
          </cell>
        </row>
        <row r="99">
          <cell r="B99" t="str">
            <v>아이나비641 패키지용 거치대 - 흡착식(SILVER)</v>
          </cell>
        </row>
        <row r="100">
          <cell r="B100" t="str">
            <v>아이나비 디럭스패키지용 거치대</v>
          </cell>
        </row>
        <row r="101">
          <cell r="B101" t="str">
            <v>아이나비 MATE 거치대</v>
          </cell>
        </row>
        <row r="102">
          <cell r="B102" t="str">
            <v>모비원 거치대</v>
          </cell>
        </row>
        <row r="103">
          <cell r="B103" t="str">
            <v>PC-ephone용 거치대</v>
          </cell>
        </row>
        <row r="104">
          <cell r="B104" t="str">
            <v>iBEE용 거치대</v>
          </cell>
        </row>
        <row r="105">
          <cell r="B105" t="str">
            <v>데쉬보드형 거치대 상판</v>
          </cell>
        </row>
        <row r="106">
          <cell r="B106" t="str">
            <v>데쉬보드형 거치대 마운트</v>
          </cell>
        </row>
        <row r="107">
          <cell r="B107" t="str">
            <v>송풍구형 거치대 마운트</v>
          </cell>
        </row>
        <row r="108">
          <cell r="B108" t="str">
            <v>ACE1전용 거치대 마운트</v>
          </cell>
        </row>
        <row r="109">
          <cell r="B109" t="str">
            <v>로얄텍 GPS 수신기 케이블 (iPAQ 3600 시리즈 용)</v>
          </cell>
        </row>
        <row r="110">
          <cell r="B110" t="str">
            <v>로얄텍 GPS 수신기 케이블 (iPAQ 3800,3900 시리즈 용)</v>
          </cell>
        </row>
        <row r="111">
          <cell r="B111" t="str">
            <v>idio 수신기 분리형 케이블(iPAQ3600)</v>
          </cell>
        </row>
        <row r="112">
          <cell r="B112" t="str">
            <v>idio 수신기 분리형 케이블(iPAQ3800,3900)</v>
          </cell>
        </row>
        <row r="113">
          <cell r="B113" t="str">
            <v>idio 수신기 케이블 시리얼 잭(iPAQ3600)</v>
          </cell>
        </row>
        <row r="114">
          <cell r="B114" t="str">
            <v>idio 수신기 케이블 시리얼 잭(iPAQ3800,3900)</v>
          </cell>
        </row>
        <row r="115">
          <cell r="B115" t="str">
            <v>Blue 케이블</v>
          </cell>
        </row>
        <row r="116">
          <cell r="B116" t="str">
            <v>Combi 케이블36</v>
          </cell>
        </row>
        <row r="117">
          <cell r="B117" t="str">
            <v>Combi 케이블38</v>
          </cell>
        </row>
        <row r="118">
          <cell r="B118" t="str">
            <v>나브맨 케이블</v>
          </cell>
        </row>
        <row r="119">
          <cell r="B119" t="str">
            <v>MATE 케이블</v>
          </cell>
        </row>
        <row r="120">
          <cell r="B120" t="str">
            <v>iBEE용 케이블</v>
          </cell>
        </row>
        <row r="121">
          <cell r="B121" t="str">
            <v>폰나비 거치대</v>
          </cell>
        </row>
        <row r="122">
          <cell r="B122" t="str">
            <v>폰나비 안테나</v>
          </cell>
        </row>
        <row r="123">
          <cell r="B123" t="str">
            <v>폰나비 플레이트</v>
          </cell>
        </row>
        <row r="124">
          <cell r="B124" t="str">
            <v>폰나비 케이블</v>
          </cell>
        </row>
        <row r="125">
          <cell r="B125" t="str">
            <v>폰나비 이어폰</v>
          </cell>
        </row>
        <row r="126">
          <cell r="B126" t="str">
            <v>폰나비 마이크</v>
          </cell>
        </row>
        <row r="127">
          <cell r="B127" t="str">
            <v>폰나비 연결케이블</v>
          </cell>
        </row>
        <row r="128">
          <cell r="B128" t="str">
            <v>폰나비 매뉴얼</v>
          </cell>
        </row>
        <row r="129">
          <cell r="B129" t="str">
            <v>폰나비 칼라박스</v>
          </cell>
        </row>
        <row r="130">
          <cell r="B130" t="str">
            <v>Compaq iPAQ CF 확장팩</v>
          </cell>
        </row>
        <row r="131">
          <cell r="B131" t="str">
            <v>듀얼확장팩</v>
          </cell>
        </row>
        <row r="132">
          <cell r="B132" t="str">
            <v>CF 카드 리더기</v>
          </cell>
        </row>
        <row r="133">
          <cell r="B133" t="str">
            <v>멀티카드 리더기</v>
          </cell>
        </row>
        <row r="134">
          <cell r="B134" t="str">
            <v>DCAMP카드 리더기</v>
          </cell>
        </row>
        <row r="135">
          <cell r="B135" t="str">
            <v>액정보호필름</v>
          </cell>
        </row>
        <row r="136">
          <cell r="B136" t="str">
            <v>디지털카메라</v>
          </cell>
        </row>
        <row r="137">
          <cell r="B137" t="str">
            <v>idio 수신전용 안테나</v>
          </cell>
        </row>
        <row r="138">
          <cell r="B138" t="str">
            <v>Combi용 FM안테나</v>
          </cell>
        </row>
        <row r="139">
          <cell r="B139" t="str">
            <v>필립스 이어폰</v>
          </cell>
        </row>
        <row r="140">
          <cell r="B140" t="str">
            <v>차량용 카팩</v>
          </cell>
        </row>
        <row r="141">
          <cell r="B141" t="str">
            <v>무선랜카드</v>
          </cell>
        </row>
        <row r="142">
          <cell r="B142" t="str">
            <v>로얄텍 GPS 수신기용 플레이트</v>
          </cell>
        </row>
        <row r="143">
          <cell r="B143" t="str">
            <v>로얄텍 GPS 수신기용 고정클립</v>
          </cell>
        </row>
        <row r="144">
          <cell r="B144" t="str">
            <v>로얄텍 GPS 수신기용 타이</v>
          </cell>
        </row>
        <row r="145">
          <cell r="B145" t="str">
            <v>휴대폰연결케이블</v>
          </cell>
        </row>
        <row r="146">
          <cell r="B146" t="str">
            <v>커넥터 통합2400</v>
          </cell>
        </row>
        <row r="147">
          <cell r="B147" t="str">
            <v>커넥터 삼성1800</v>
          </cell>
        </row>
        <row r="148">
          <cell r="B148" t="str">
            <v>커넥터 삼성1800M</v>
          </cell>
        </row>
        <row r="149">
          <cell r="B149" t="str">
            <v>커넥터 삼성2400</v>
          </cell>
        </row>
        <row r="150">
          <cell r="B150" t="str">
            <v>커넥터 LG1800M</v>
          </cell>
        </row>
        <row r="151">
          <cell r="B151" t="str">
            <v>커넥터 SKY2400</v>
          </cell>
        </row>
        <row r="152">
          <cell r="B152" t="str">
            <v>ACE매뉴얼</v>
          </cell>
        </row>
        <row r="153">
          <cell r="B153" t="str">
            <v>641매뉴얼</v>
          </cell>
        </row>
        <row r="154">
          <cell r="B154" t="str">
            <v>641H매뉴얼</v>
          </cell>
        </row>
        <row r="155">
          <cell r="B155" t="str">
            <v>641N매뉴얼</v>
          </cell>
        </row>
        <row r="156">
          <cell r="B156" t="str">
            <v>641P매뉴얼</v>
          </cell>
        </row>
        <row r="157">
          <cell r="B157" t="str">
            <v>641iB매뉴얼</v>
          </cell>
        </row>
        <row r="158">
          <cell r="B158" t="str">
            <v>641M매뉴얼</v>
          </cell>
        </row>
        <row r="159">
          <cell r="B159" t="str">
            <v>641EX매뉴얼</v>
          </cell>
        </row>
        <row r="160">
          <cell r="B160" t="str">
            <v>Combi매뉴얼</v>
          </cell>
        </row>
        <row r="161">
          <cell r="B161" t="str">
            <v>ACE퀵가이드</v>
          </cell>
        </row>
        <row r="162">
          <cell r="B162" t="str">
            <v>641퀵가이드</v>
          </cell>
        </row>
        <row r="163">
          <cell r="B163" t="str">
            <v>641P퀵가이드</v>
          </cell>
        </row>
        <row r="164">
          <cell r="B164" t="str">
            <v>641M설치가이드</v>
          </cell>
        </row>
        <row r="165">
          <cell r="B165" t="str">
            <v>641EX설치가이드</v>
          </cell>
        </row>
        <row r="166">
          <cell r="B166" t="str">
            <v>아이나비Blue(CD)</v>
          </cell>
        </row>
        <row r="167">
          <cell r="B167" t="str">
            <v>아이나비641H(CD)</v>
          </cell>
        </row>
        <row r="168">
          <cell r="B168" t="str">
            <v>아이나비641N(CD)</v>
          </cell>
        </row>
        <row r="169">
          <cell r="B169" t="str">
            <v>아이나비641P(CD)</v>
          </cell>
        </row>
        <row r="170">
          <cell r="B170" t="str">
            <v>아이나비641iB(CD)</v>
          </cell>
        </row>
        <row r="171">
          <cell r="B171" t="str">
            <v>아이나비641M(CD)</v>
          </cell>
        </row>
        <row r="172">
          <cell r="B172" t="str">
            <v>아이나비641EX(CD)</v>
          </cell>
        </row>
        <row r="173">
          <cell r="B173" t="str">
            <v>641칼라박스</v>
          </cell>
        </row>
        <row r="174">
          <cell r="B174" t="str">
            <v>641칼라박스H(PC-e폰용)</v>
          </cell>
        </row>
        <row r="175">
          <cell r="B175" t="str">
            <v>641칼라박스N(넥시오용)</v>
          </cell>
        </row>
        <row r="176">
          <cell r="B176" t="str">
            <v>641칼라박스P(포즈용)</v>
          </cell>
        </row>
        <row r="177">
          <cell r="B177" t="str">
            <v>641칼라박스iB(iBEE용)</v>
          </cell>
        </row>
        <row r="178">
          <cell r="B178" t="str">
            <v>641칼라박스M(Mio용)</v>
          </cell>
        </row>
        <row r="179">
          <cell r="B179" t="str">
            <v>641칼라박스EX(EX용)</v>
          </cell>
        </row>
        <row r="180">
          <cell r="B180" t="str">
            <v>Combi칼라박스</v>
          </cell>
        </row>
        <row r="181">
          <cell r="B181" t="str">
            <v>ACE외장박스</v>
          </cell>
        </row>
        <row r="182">
          <cell r="B182" t="str">
            <v>트레이박스</v>
          </cell>
        </row>
        <row r="183">
          <cell r="B183" t="str">
            <v>쇼핑몰박스(소)</v>
          </cell>
        </row>
        <row r="184">
          <cell r="B184" t="str">
            <v>쇼핑몰세트박스(중)</v>
          </cell>
        </row>
        <row r="185">
          <cell r="B185" t="str">
            <v>쇼핑몰세트박스(대)</v>
          </cell>
        </row>
        <row r="186">
          <cell r="B186" t="str">
            <v>에이스카툰박스(5PCS)</v>
          </cell>
        </row>
        <row r="187">
          <cell r="B187" t="str">
            <v>패키지카툰박스(20PCS)</v>
          </cell>
        </row>
        <row r="188">
          <cell r="B188" t="str">
            <v>아이나비 칩 스티커</v>
          </cell>
        </row>
        <row r="189">
          <cell r="B189" t="str">
            <v>아이나비 ACE2용 스티커</v>
          </cell>
        </row>
        <row r="190">
          <cell r="B190" t="str">
            <v>LCD-TV</v>
          </cell>
        </row>
      </sheetData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rl"/>
      <sheetName val="5000"/>
      <sheetName val="5010"/>
      <sheetName val="6190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view="pageBreakPreview" zoomScaleNormal="100" zoomScaleSheetLayoutView="100" workbookViewId="0">
      <selection activeCell="E44" sqref="E44"/>
    </sheetView>
  </sheetViews>
  <sheetFormatPr defaultRowHeight="15"/>
  <cols>
    <col min="1" max="1" width="2.28515625" customWidth="1"/>
    <col min="2" max="2" width="1" customWidth="1"/>
    <col min="3" max="3" width="32.7109375" style="277" customWidth="1"/>
    <col min="4" max="4" width="1.28515625" customWidth="1"/>
    <col min="5" max="5" width="29.85546875" customWidth="1"/>
    <col min="6" max="6" width="4.42578125" customWidth="1"/>
    <col min="7" max="7" width="1" customWidth="1"/>
    <col min="8" max="8" width="7.42578125" customWidth="1"/>
    <col min="9" max="9" width="3.140625" customWidth="1"/>
    <col min="10" max="10" width="3.42578125" customWidth="1"/>
    <col min="11" max="11" width="4.140625" customWidth="1"/>
    <col min="12" max="12" width="4.42578125" customWidth="1"/>
    <col min="14" max="14" width="13.28515625" style="231" bestFit="1" customWidth="1"/>
  </cols>
  <sheetData>
    <row r="1" spans="1:12" ht="28.5" customHeight="1">
      <c r="A1" s="229"/>
      <c r="B1" s="229"/>
      <c r="C1" s="230"/>
      <c r="D1" s="229"/>
      <c r="E1" s="229"/>
      <c r="F1" s="229"/>
      <c r="G1" s="229"/>
      <c r="H1" s="229"/>
      <c r="I1" s="229"/>
      <c r="J1" s="229"/>
      <c r="K1" s="229"/>
      <c r="L1" s="229"/>
    </row>
    <row r="2" spans="1:12">
      <c r="A2" s="874" t="s">
        <v>640</v>
      </c>
      <c r="B2" s="232" t="s">
        <v>641</v>
      </c>
      <c r="C2" s="233"/>
      <c r="D2" s="234"/>
      <c r="E2" s="235" t="s">
        <v>642</v>
      </c>
      <c r="F2" s="236"/>
      <c r="G2" s="236"/>
      <c r="H2" s="236"/>
      <c r="I2" s="236"/>
      <c r="J2" s="236"/>
      <c r="K2" s="236"/>
      <c r="L2" s="237"/>
    </row>
    <row r="3" spans="1:12">
      <c r="A3" s="875"/>
      <c r="B3" s="238" t="s">
        <v>643</v>
      </c>
      <c r="C3" s="238"/>
      <c r="D3" s="239"/>
      <c r="E3" s="240" t="s">
        <v>644</v>
      </c>
      <c r="F3" s="241"/>
      <c r="G3" s="241"/>
      <c r="H3" s="241"/>
      <c r="I3" s="241"/>
      <c r="J3" s="241"/>
      <c r="K3" s="241"/>
      <c r="L3" s="242"/>
    </row>
    <row r="4" spans="1:12">
      <c r="A4" s="875"/>
      <c r="B4" s="238" t="s">
        <v>645</v>
      </c>
      <c r="C4" s="243"/>
      <c r="D4" s="239"/>
      <c r="E4" s="244" t="s">
        <v>800</v>
      </c>
      <c r="F4" s="244"/>
      <c r="G4" s="244"/>
      <c r="H4" s="244"/>
      <c r="I4" s="244"/>
      <c r="J4" s="244"/>
      <c r="K4" s="244"/>
      <c r="L4" s="242"/>
    </row>
    <row r="5" spans="1:12">
      <c r="A5" s="875"/>
      <c r="B5" s="238" t="s">
        <v>646</v>
      </c>
      <c r="C5" s="243"/>
      <c r="D5" s="239"/>
      <c r="E5" s="239"/>
      <c r="F5" s="239"/>
      <c r="G5" s="239"/>
      <c r="H5" s="239"/>
      <c r="I5" s="239"/>
      <c r="J5" s="239"/>
      <c r="K5" s="239"/>
      <c r="L5" s="245"/>
    </row>
    <row r="6" spans="1:12" ht="6" customHeight="1">
      <c r="A6" s="875"/>
      <c r="B6" s="246"/>
      <c r="C6" s="238"/>
      <c r="D6" s="239"/>
      <c r="E6" s="239"/>
      <c r="F6" s="239"/>
      <c r="G6" s="239"/>
      <c r="H6" s="239"/>
      <c r="I6" s="239"/>
      <c r="J6" s="239"/>
      <c r="K6" s="239"/>
      <c r="L6" s="245"/>
    </row>
    <row r="7" spans="1:12">
      <c r="A7" s="875"/>
      <c r="B7" s="246"/>
      <c r="C7" s="247" t="s">
        <v>647</v>
      </c>
      <c r="D7" s="239"/>
      <c r="E7" s="247" t="s">
        <v>648</v>
      </c>
      <c r="F7" s="239"/>
      <c r="G7" s="239"/>
      <c r="H7" s="247" t="s">
        <v>649</v>
      </c>
      <c r="I7" s="239"/>
      <c r="J7" s="239"/>
      <c r="K7" s="239"/>
      <c r="L7" s="245"/>
    </row>
    <row r="8" spans="1:12" ht="14.25" customHeight="1">
      <c r="A8" s="875"/>
      <c r="B8" s="246"/>
      <c r="C8" s="238"/>
      <c r="D8" s="239"/>
      <c r="E8" s="248" t="s">
        <v>820</v>
      </c>
      <c r="F8" s="249" t="s">
        <v>583</v>
      </c>
      <c r="G8" s="250"/>
      <c r="H8" s="250" t="s">
        <v>650</v>
      </c>
      <c r="I8" s="251"/>
      <c r="J8" s="250"/>
      <c r="K8" s="250"/>
      <c r="L8" s="245"/>
    </row>
    <row r="9" spans="1:12">
      <c r="A9" s="875"/>
      <c r="B9" s="246"/>
      <c r="C9" s="248" t="s">
        <v>651</v>
      </c>
      <c r="D9" s="239"/>
      <c r="E9" s="252" t="s">
        <v>821</v>
      </c>
      <c r="F9" s="253"/>
      <c r="G9" s="250"/>
      <c r="H9" s="250" t="s">
        <v>652</v>
      </c>
      <c r="I9" s="249" t="s">
        <v>653</v>
      </c>
      <c r="J9" s="250"/>
      <c r="K9" s="250"/>
      <c r="L9" s="245"/>
    </row>
    <row r="10" spans="1:12">
      <c r="A10" s="875"/>
      <c r="B10" s="246"/>
      <c r="C10" s="248" t="s">
        <v>654</v>
      </c>
      <c r="D10" s="239"/>
      <c r="E10" s="254" t="s">
        <v>822</v>
      </c>
      <c r="F10" s="255"/>
      <c r="G10" s="250"/>
      <c r="H10" s="250"/>
      <c r="I10" s="250"/>
      <c r="J10" s="250"/>
      <c r="K10" s="250"/>
      <c r="L10" s="245"/>
    </row>
    <row r="11" spans="1:12">
      <c r="A11" s="875"/>
      <c r="B11" s="246"/>
      <c r="C11" s="248" t="s">
        <v>655</v>
      </c>
      <c r="D11" s="239"/>
      <c r="E11" s="254" t="s">
        <v>823</v>
      </c>
      <c r="F11" s="255"/>
      <c r="G11" s="250"/>
      <c r="H11" s="250"/>
      <c r="I11" s="250"/>
      <c r="J11" s="250"/>
      <c r="K11" s="250"/>
      <c r="L11" s="245"/>
    </row>
    <row r="12" spans="1:12">
      <c r="A12" s="875"/>
      <c r="B12" s="246"/>
      <c r="C12" s="248" t="s">
        <v>656</v>
      </c>
      <c r="D12" s="239"/>
      <c r="E12" s="256"/>
      <c r="F12" s="257"/>
      <c r="G12" s="250"/>
      <c r="H12" s="250"/>
      <c r="I12" s="250"/>
      <c r="J12" s="250"/>
      <c r="K12" s="250"/>
      <c r="L12" s="245"/>
    </row>
    <row r="13" spans="1:12" ht="6" customHeight="1">
      <c r="A13" s="875"/>
      <c r="B13" s="246"/>
      <c r="C13" s="238"/>
      <c r="D13" s="239"/>
      <c r="E13" s="239"/>
      <c r="F13" s="239"/>
      <c r="G13" s="239"/>
      <c r="H13" s="239"/>
      <c r="I13" s="239"/>
      <c r="J13" s="239"/>
      <c r="K13" s="239"/>
      <c r="L13" s="245"/>
    </row>
    <row r="14" spans="1:12">
      <c r="A14" s="875"/>
      <c r="B14" s="246"/>
      <c r="C14" s="238"/>
      <c r="D14" s="239"/>
      <c r="E14" s="238" t="s">
        <v>1025</v>
      </c>
      <c r="F14" s="239"/>
      <c r="G14" s="239"/>
      <c r="H14" s="239"/>
      <c r="I14" s="239"/>
      <c r="J14" s="239"/>
      <c r="K14" s="239"/>
      <c r="L14" s="245"/>
    </row>
    <row r="15" spans="1:12" ht="13.5" customHeight="1">
      <c r="A15" s="875"/>
      <c r="B15" s="246"/>
      <c r="C15" s="247" t="s">
        <v>657</v>
      </c>
      <c r="D15" s="239"/>
      <c r="E15" s="247"/>
      <c r="F15" s="239"/>
      <c r="G15" s="239"/>
      <c r="H15" s="239"/>
      <c r="I15" s="239"/>
      <c r="J15" s="239"/>
      <c r="K15" s="239"/>
      <c r="L15" s="245"/>
    </row>
    <row r="16" spans="1:12" ht="4.5" customHeight="1">
      <c r="A16" s="875"/>
      <c r="B16" s="246"/>
      <c r="C16" s="238"/>
      <c r="D16" s="239"/>
      <c r="E16" s="238"/>
      <c r="F16" s="239"/>
      <c r="G16" s="239"/>
      <c r="H16" s="239"/>
      <c r="I16" s="239"/>
      <c r="J16" s="239"/>
      <c r="K16" s="239"/>
      <c r="L16" s="245"/>
    </row>
    <row r="17" spans="1:14">
      <c r="A17" s="875"/>
      <c r="B17" s="246"/>
      <c r="C17" s="258" t="s">
        <v>658</v>
      </c>
      <c r="D17" s="239"/>
      <c r="E17" s="259" t="s">
        <v>659</v>
      </c>
      <c r="F17" s="260" t="s">
        <v>660</v>
      </c>
      <c r="G17" s="260"/>
      <c r="H17" s="260"/>
      <c r="I17" s="260"/>
      <c r="J17" s="260"/>
      <c r="K17" s="260"/>
      <c r="L17" s="261"/>
    </row>
    <row r="18" spans="1:14">
      <c r="A18" s="875"/>
      <c r="B18" s="246"/>
      <c r="C18" s="262" t="s">
        <v>661</v>
      </c>
      <c r="D18" s="239"/>
      <c r="E18" s="239"/>
      <c r="F18" s="239"/>
      <c r="G18" s="239"/>
      <c r="H18" s="239"/>
      <c r="I18" s="239"/>
      <c r="J18" s="239"/>
      <c r="K18" s="239"/>
      <c r="L18" s="245"/>
    </row>
    <row r="19" spans="1:14" ht="16.5" customHeight="1">
      <c r="A19" s="875"/>
      <c r="B19" s="246"/>
      <c r="C19" s="263" t="s">
        <v>662</v>
      </c>
      <c r="D19" s="239"/>
      <c r="E19" s="239"/>
      <c r="F19" s="239"/>
      <c r="G19" s="239"/>
      <c r="H19" s="239"/>
      <c r="I19" s="239"/>
      <c r="J19" s="239"/>
      <c r="K19" s="239"/>
      <c r="L19" s="245"/>
    </row>
    <row r="20" spans="1:14">
      <c r="A20" s="875"/>
      <c r="B20" s="246"/>
      <c r="C20" s="263" t="s">
        <v>663</v>
      </c>
      <c r="D20" s="239"/>
      <c r="E20" s="264"/>
      <c r="F20" s="239"/>
      <c r="G20" s="239"/>
      <c r="H20" s="239"/>
      <c r="I20" s="239"/>
      <c r="J20" s="239"/>
      <c r="K20" s="239"/>
      <c r="L20" s="245"/>
    </row>
    <row r="21" spans="1:14" ht="21" customHeight="1">
      <c r="A21" s="875"/>
      <c r="B21" s="246"/>
      <c r="C21" s="238"/>
      <c r="D21" s="239"/>
      <c r="E21" s="264"/>
      <c r="F21" s="241"/>
      <c r="G21" s="241"/>
      <c r="H21" s="241"/>
      <c r="I21" s="241"/>
      <c r="J21" s="241"/>
      <c r="K21" s="241"/>
      <c r="L21" s="242"/>
    </row>
    <row r="22" spans="1:14" s="267" customFormat="1">
      <c r="A22" s="875"/>
      <c r="B22" s="246"/>
      <c r="C22" s="265" t="s">
        <v>664</v>
      </c>
      <c r="D22" s="232"/>
      <c r="E22" s="232" t="s">
        <v>665</v>
      </c>
      <c r="F22" s="232"/>
      <c r="G22" s="232"/>
      <c r="H22" s="232"/>
      <c r="I22" s="232"/>
      <c r="J22" s="232"/>
      <c r="K22" s="232"/>
      <c r="L22" s="266"/>
      <c r="N22" s="268"/>
    </row>
    <row r="23" spans="1:14" s="267" customFormat="1" ht="4.5" customHeight="1">
      <c r="A23" s="875"/>
      <c r="B23" s="246"/>
      <c r="C23" s="269"/>
      <c r="D23" s="269"/>
      <c r="E23" s="269"/>
      <c r="F23" s="269"/>
      <c r="G23" s="269"/>
      <c r="H23" s="269"/>
      <c r="I23" s="269"/>
      <c r="J23" s="269"/>
      <c r="K23" s="269"/>
      <c r="L23" s="270"/>
      <c r="N23" s="268"/>
    </row>
    <row r="24" spans="1:14" s="267" customFormat="1">
      <c r="A24" s="875"/>
      <c r="B24" s="246"/>
      <c r="C24" s="269"/>
      <c r="D24" s="269"/>
      <c r="E24" s="271" t="s">
        <v>666</v>
      </c>
      <c r="F24" s="271" t="s">
        <v>667</v>
      </c>
      <c r="G24" s="272"/>
      <c r="H24" s="272"/>
      <c r="I24" s="272" t="s">
        <v>668</v>
      </c>
      <c r="J24" s="272"/>
      <c r="K24" s="272"/>
      <c r="L24" s="273"/>
      <c r="N24" s="268"/>
    </row>
    <row r="25" spans="1:14" s="267" customFormat="1" ht="12.75" customHeight="1">
      <c r="A25" s="875"/>
      <c r="B25" s="246"/>
      <c r="C25" s="269"/>
      <c r="D25" s="269"/>
      <c r="E25" s="269"/>
      <c r="F25" s="269"/>
      <c r="G25" s="269"/>
      <c r="H25" s="269"/>
      <c r="I25" s="269"/>
      <c r="J25" s="269"/>
      <c r="K25" s="269"/>
      <c r="L25" s="270"/>
      <c r="N25" s="268"/>
    </row>
    <row r="26" spans="1:14" s="267" customFormat="1" ht="12.75" customHeight="1">
      <c r="A26" s="875"/>
      <c r="B26" s="246"/>
      <c r="C26" s="269"/>
      <c r="D26" s="269"/>
      <c r="E26" s="269"/>
      <c r="F26" s="269"/>
      <c r="G26" s="269"/>
      <c r="H26" s="269"/>
      <c r="I26" s="269"/>
      <c r="J26" s="269"/>
      <c r="K26" s="269"/>
      <c r="L26" s="270"/>
      <c r="N26" s="268"/>
    </row>
    <row r="27" spans="1:14" s="267" customFormat="1" ht="12.75" customHeight="1">
      <c r="A27" s="875"/>
      <c r="B27" s="246"/>
      <c r="C27" s="269"/>
      <c r="D27" s="269"/>
      <c r="E27" s="269"/>
      <c r="F27" s="269"/>
      <c r="G27" s="269"/>
      <c r="H27" s="269"/>
      <c r="I27" s="269"/>
      <c r="J27" s="269"/>
      <c r="K27" s="269"/>
      <c r="L27" s="270"/>
      <c r="N27" s="268"/>
    </row>
    <row r="28" spans="1:14" s="267" customFormat="1" ht="17.25" customHeight="1">
      <c r="A28" s="876"/>
      <c r="B28" s="274"/>
      <c r="C28" s="275"/>
      <c r="D28" s="275"/>
      <c r="E28" s="275"/>
      <c r="F28" s="275"/>
      <c r="G28" s="275"/>
      <c r="H28" s="275"/>
      <c r="I28" s="275"/>
      <c r="J28" s="275"/>
      <c r="K28" s="275"/>
      <c r="L28" s="276"/>
      <c r="N28" s="268"/>
    </row>
    <row r="29" spans="1:14" s="267" customFormat="1" ht="59.25" customHeight="1">
      <c r="A29" s="246"/>
      <c r="B29" s="246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N29" s="268"/>
    </row>
    <row r="30" spans="1:14" s="267" customFormat="1" ht="27.75" customHeight="1">
      <c r="A30" s="557" t="s">
        <v>801</v>
      </c>
      <c r="B30" s="555"/>
      <c r="C30" s="556"/>
      <c r="D30" s="556"/>
      <c r="E30" s="556"/>
      <c r="F30" s="556"/>
      <c r="G30" s="556"/>
      <c r="H30" s="556"/>
      <c r="I30" s="556"/>
      <c r="J30" s="556"/>
      <c r="K30" s="556"/>
      <c r="L30" s="556"/>
      <c r="N30" s="268"/>
    </row>
    <row r="31" spans="1:14" ht="21" customHeight="1"/>
    <row r="32" spans="1:14">
      <c r="A32" s="874" t="s">
        <v>640</v>
      </c>
      <c r="B32" s="232" t="str">
        <f>B2</f>
        <v>NGÂN HÀNG TMCP NGOẠI THƯƠNG VIỆT NAM</v>
      </c>
      <c r="C32" s="278"/>
      <c r="D32" s="234"/>
      <c r="E32" s="235" t="s">
        <v>642</v>
      </c>
      <c r="F32" s="236"/>
      <c r="G32" s="236"/>
      <c r="H32" s="236"/>
      <c r="I32" s="236"/>
      <c r="J32" s="236"/>
      <c r="K32" s="236"/>
      <c r="L32" s="237"/>
    </row>
    <row r="33" spans="1:12">
      <c r="A33" s="875"/>
      <c r="B33" s="239"/>
      <c r="C33" s="238" t="s">
        <v>643</v>
      </c>
      <c r="D33" s="239"/>
      <c r="E33" s="240" t="s">
        <v>644</v>
      </c>
      <c r="F33" s="241"/>
      <c r="G33" s="241"/>
      <c r="H33" s="241"/>
      <c r="I33" s="241"/>
      <c r="J33" s="241"/>
      <c r="K33" s="241"/>
      <c r="L33" s="242"/>
    </row>
    <row r="34" spans="1:12">
      <c r="A34" s="875"/>
      <c r="B34" s="239"/>
      <c r="C34" s="243" t="s">
        <v>645</v>
      </c>
      <c r="D34" s="239"/>
      <c r="E34" s="241" t="str">
        <f>E4</f>
        <v>Ngày (date): 11 tháng 09 năm 2020</v>
      </c>
      <c r="F34" s="241"/>
      <c r="G34" s="241"/>
      <c r="H34" s="241"/>
      <c r="I34" s="241"/>
      <c r="J34" s="241"/>
      <c r="K34" s="241"/>
      <c r="L34" s="242"/>
    </row>
    <row r="35" spans="1:12">
      <c r="A35" s="875"/>
      <c r="B35" s="239"/>
      <c r="C35" s="243" t="s">
        <v>646</v>
      </c>
      <c r="D35" s="239"/>
      <c r="E35" s="239"/>
      <c r="F35" s="239"/>
      <c r="G35" s="239"/>
      <c r="H35" s="239"/>
      <c r="I35" s="239"/>
      <c r="J35" s="239"/>
      <c r="K35" s="239"/>
      <c r="L35" s="245"/>
    </row>
    <row r="36" spans="1:12" ht="4.5" customHeight="1">
      <c r="A36" s="875"/>
      <c r="B36" s="239"/>
      <c r="C36" s="238"/>
      <c r="D36" s="239"/>
      <c r="E36" s="239"/>
      <c r="F36" s="239"/>
      <c r="G36" s="239"/>
      <c r="H36" s="239"/>
      <c r="I36" s="239"/>
      <c r="J36" s="239"/>
      <c r="K36" s="239"/>
      <c r="L36" s="245"/>
    </row>
    <row r="37" spans="1:12">
      <c r="A37" s="875"/>
      <c r="B37" s="239"/>
      <c r="C37" s="247" t="s">
        <v>647</v>
      </c>
      <c r="D37" s="239"/>
      <c r="E37" s="247" t="s">
        <v>648</v>
      </c>
      <c r="F37" s="239"/>
      <c r="G37" s="239"/>
      <c r="H37" s="247" t="s">
        <v>649</v>
      </c>
      <c r="I37" s="239"/>
      <c r="J37" s="239"/>
      <c r="K37" s="239"/>
      <c r="L37" s="245"/>
    </row>
    <row r="38" spans="1:12">
      <c r="A38" s="875"/>
      <c r="B38" s="239"/>
      <c r="C38" s="238"/>
      <c r="D38" s="239"/>
      <c r="E38" s="248" t="str">
        <f>E8</f>
        <v>BẰNG SỐ: 318,639,500</v>
      </c>
      <c r="F38" s="249" t="s">
        <v>583</v>
      </c>
      <c r="G38" s="250"/>
      <c r="H38" s="250" t="s">
        <v>650</v>
      </c>
      <c r="I38" s="251"/>
      <c r="J38" s="250"/>
      <c r="K38" s="250"/>
      <c r="L38" s="245"/>
    </row>
    <row r="39" spans="1:12">
      <c r="A39" s="875"/>
      <c r="B39" s="279"/>
      <c r="C39" s="248" t="str">
        <f>C9</f>
        <v>Số TK: 0011000612393</v>
      </c>
      <c r="D39" s="239"/>
      <c r="E39" s="254" t="str">
        <f>E9</f>
        <v>BẰNG CHỮ:  Ba trăm mười tám triệu,</v>
      </c>
      <c r="F39" s="253"/>
      <c r="G39" s="250"/>
      <c r="H39" s="250" t="s">
        <v>652</v>
      </c>
      <c r="I39" s="249" t="s">
        <v>653</v>
      </c>
      <c r="J39" s="250"/>
      <c r="K39" s="250"/>
      <c r="L39" s="245"/>
    </row>
    <row r="40" spans="1:12">
      <c r="A40" s="875"/>
      <c r="B40" s="279"/>
      <c r="C40" s="248" t="str">
        <f>C10</f>
        <v>Tên TK: NGUYỄN VĂN LONG</v>
      </c>
      <c r="D40" s="239"/>
      <c r="E40" s="254" t="str">
        <f>E10</f>
        <v xml:space="preserve">sáu trăm ba mươi chín ngàn, </v>
      </c>
      <c r="F40" s="255"/>
      <c r="G40" s="250"/>
      <c r="H40" s="250"/>
      <c r="I40" s="250"/>
      <c r="J40" s="250"/>
      <c r="K40" s="250"/>
      <c r="L40" s="245"/>
    </row>
    <row r="41" spans="1:12">
      <c r="A41" s="875"/>
      <c r="B41" s="279"/>
      <c r="C41" s="248" t="str">
        <f>C11</f>
        <v>Địa chỉ: 16/562 Nguyễn Văn Linh, HP</v>
      </c>
      <c r="D41" s="239"/>
      <c r="E41" s="254" t="str">
        <f>E11</f>
        <v>năm trăm đồng chẵn./.</v>
      </c>
      <c r="F41" s="255"/>
      <c r="G41" s="250"/>
      <c r="H41" s="250"/>
      <c r="I41" s="250"/>
      <c r="J41" s="250"/>
      <c r="K41" s="250"/>
      <c r="L41" s="245"/>
    </row>
    <row r="42" spans="1:12">
      <c r="A42" s="875"/>
      <c r="B42" s="279"/>
      <c r="C42" s="248" t="str">
        <f>C12</f>
        <v>Tại NH: VCB HÀ NỘI</v>
      </c>
      <c r="D42" s="239"/>
      <c r="E42" s="256"/>
      <c r="F42" s="257"/>
      <c r="G42" s="250"/>
      <c r="H42" s="250"/>
      <c r="I42" s="250"/>
      <c r="J42" s="250"/>
      <c r="K42" s="250"/>
      <c r="L42" s="245"/>
    </row>
    <row r="43" spans="1:12" ht="5.25" customHeight="1">
      <c r="A43" s="875"/>
      <c r="B43" s="239"/>
      <c r="C43" s="238"/>
      <c r="D43" s="239"/>
      <c r="E43" s="239"/>
      <c r="F43" s="239"/>
      <c r="G43" s="239"/>
      <c r="H43" s="239"/>
      <c r="I43" s="239"/>
      <c r="J43" s="239"/>
      <c r="K43" s="239"/>
      <c r="L43" s="245"/>
    </row>
    <row r="44" spans="1:12">
      <c r="A44" s="875"/>
      <c r="B44" s="239"/>
      <c r="C44" s="238"/>
      <c r="D44" s="239"/>
      <c r="E44" s="247" t="str">
        <f>E14</f>
        <v xml:space="preserve">NỘI DUNG:  Công ty thanh toán tiền lương tháng 09/2020 </v>
      </c>
      <c r="F44" s="239"/>
      <c r="G44" s="239"/>
      <c r="H44" s="239"/>
      <c r="I44" s="239"/>
      <c r="J44" s="239"/>
      <c r="K44" s="239"/>
      <c r="L44" s="245"/>
    </row>
    <row r="45" spans="1:12">
      <c r="A45" s="875"/>
      <c r="B45" s="239"/>
      <c r="C45" s="247" t="s">
        <v>657</v>
      </c>
      <c r="D45" s="239"/>
      <c r="E45" s="280"/>
      <c r="F45" s="239"/>
      <c r="G45" s="239"/>
      <c r="H45" s="239"/>
      <c r="I45" s="239"/>
      <c r="J45" s="239"/>
      <c r="K45" s="239"/>
      <c r="L45" s="245"/>
    </row>
    <row r="46" spans="1:12" ht="5.25" customHeight="1">
      <c r="A46" s="875"/>
      <c r="B46" s="239"/>
      <c r="C46" s="238"/>
      <c r="D46" s="239"/>
      <c r="E46" s="238"/>
      <c r="F46" s="239"/>
      <c r="G46" s="239"/>
      <c r="H46" s="239"/>
      <c r="I46" s="239"/>
      <c r="J46" s="239"/>
      <c r="K46" s="239"/>
      <c r="L46" s="245"/>
    </row>
    <row r="47" spans="1:12">
      <c r="A47" s="875"/>
      <c r="B47" s="279"/>
      <c r="C47" s="248" t="str">
        <f>C17</f>
        <v>Số TK: Theo bảng kê đính kèm</v>
      </c>
      <c r="D47" s="239"/>
      <c r="E47" s="259" t="s">
        <v>659</v>
      </c>
      <c r="F47" s="260" t="s">
        <v>660</v>
      </c>
      <c r="G47" s="260"/>
      <c r="H47" s="260"/>
      <c r="I47" s="260"/>
      <c r="J47" s="260"/>
      <c r="K47" s="260"/>
      <c r="L47" s="261"/>
    </row>
    <row r="48" spans="1:12" ht="16.5" customHeight="1">
      <c r="A48" s="875"/>
      <c r="B48" s="279"/>
      <c r="C48" s="281" t="str">
        <f>C18</f>
        <v xml:space="preserve">Tên TK: </v>
      </c>
      <c r="D48" s="239"/>
      <c r="E48" s="239"/>
      <c r="F48" s="239"/>
      <c r="G48" s="239"/>
      <c r="H48" s="239"/>
      <c r="I48" s="239"/>
      <c r="J48" s="239"/>
      <c r="K48" s="239"/>
      <c r="L48" s="245"/>
    </row>
    <row r="49" spans="1:12" ht="16.5" customHeight="1">
      <c r="A49" s="875"/>
      <c r="B49" s="279"/>
      <c r="C49" s="282" t="str">
        <f>C19</f>
        <v xml:space="preserve">Địa chỉ: </v>
      </c>
      <c r="D49" s="239"/>
      <c r="E49" s="239"/>
      <c r="F49" s="239"/>
      <c r="G49" s="239"/>
      <c r="H49" s="239"/>
      <c r="I49" s="239"/>
      <c r="J49" s="239"/>
      <c r="K49" s="239"/>
      <c r="L49" s="245"/>
    </row>
    <row r="50" spans="1:12" ht="30.75" customHeight="1">
      <c r="A50" s="875"/>
      <c r="B50" s="279"/>
      <c r="C50" s="283" t="str">
        <f>C20</f>
        <v xml:space="preserve">Tại NH: </v>
      </c>
      <c r="D50" s="239"/>
      <c r="E50" s="264"/>
      <c r="F50" s="239"/>
      <c r="G50" s="239"/>
      <c r="H50" s="239"/>
      <c r="I50" s="239"/>
      <c r="J50" s="239"/>
      <c r="K50" s="239"/>
      <c r="L50" s="245"/>
    </row>
    <row r="51" spans="1:12" ht="18.75" customHeight="1">
      <c r="A51" s="875"/>
      <c r="B51" s="239"/>
      <c r="C51" s="238"/>
      <c r="D51" s="239"/>
      <c r="E51" s="264"/>
      <c r="F51" s="241"/>
      <c r="G51" s="241"/>
      <c r="H51" s="241"/>
      <c r="I51" s="241"/>
      <c r="J51" s="241"/>
      <c r="K51" s="241"/>
      <c r="L51" s="242"/>
    </row>
    <row r="52" spans="1:12">
      <c r="A52" s="875"/>
      <c r="B52" s="232"/>
      <c r="C52" s="232" t="s">
        <v>664</v>
      </c>
      <c r="D52" s="232"/>
      <c r="E52" s="232" t="s">
        <v>665</v>
      </c>
      <c r="F52" s="232"/>
      <c r="G52" s="232"/>
      <c r="H52" s="232"/>
      <c r="I52" s="232"/>
      <c r="J52" s="232"/>
      <c r="K52" s="232"/>
      <c r="L52" s="266"/>
    </row>
    <row r="53" spans="1:12" ht="3.75" customHeight="1">
      <c r="A53" s="875"/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70"/>
    </row>
    <row r="54" spans="1:12" ht="12.75" customHeight="1">
      <c r="A54" s="875"/>
      <c r="B54" s="269"/>
      <c r="C54" s="269"/>
      <c r="D54" s="269"/>
      <c r="E54" s="271" t="s">
        <v>666</v>
      </c>
      <c r="F54" s="271" t="s">
        <v>667</v>
      </c>
      <c r="G54" s="272"/>
      <c r="H54" s="272"/>
      <c r="I54" s="272" t="s">
        <v>668</v>
      </c>
      <c r="J54" s="272"/>
      <c r="K54" s="272"/>
      <c r="L54" s="273"/>
    </row>
    <row r="55" spans="1:12" ht="12.75" customHeight="1">
      <c r="A55" s="875"/>
      <c r="B55" s="269"/>
      <c r="C55" s="269"/>
      <c r="D55" s="269"/>
      <c r="E55" s="269"/>
      <c r="F55" s="269"/>
      <c r="G55" s="269"/>
      <c r="H55" s="269"/>
      <c r="I55" s="269"/>
      <c r="J55" s="269"/>
      <c r="K55" s="269"/>
      <c r="L55" s="270"/>
    </row>
    <row r="56" spans="1:12" ht="12.75" customHeight="1">
      <c r="A56" s="875"/>
      <c r="B56" s="269"/>
      <c r="C56" s="269"/>
      <c r="D56" s="269"/>
      <c r="E56" s="269"/>
      <c r="F56" s="269"/>
      <c r="G56" s="269"/>
      <c r="H56" s="269"/>
      <c r="I56" s="269"/>
      <c r="J56" s="269"/>
      <c r="K56" s="269"/>
      <c r="L56" s="270"/>
    </row>
    <row r="57" spans="1:12" ht="12.75" customHeight="1">
      <c r="A57" s="875"/>
      <c r="B57" s="269"/>
      <c r="C57" s="269"/>
      <c r="D57" s="269"/>
      <c r="E57" s="269"/>
      <c r="F57" s="269"/>
      <c r="G57" s="269"/>
      <c r="H57" s="269"/>
      <c r="I57" s="269"/>
      <c r="J57" s="269"/>
      <c r="K57" s="269"/>
      <c r="L57" s="270"/>
    </row>
    <row r="58" spans="1:12" ht="12" customHeight="1">
      <c r="A58" s="876"/>
      <c r="B58" s="275"/>
      <c r="C58" s="275"/>
      <c r="D58" s="275"/>
      <c r="E58" s="275"/>
      <c r="F58" s="275"/>
      <c r="G58" s="275"/>
      <c r="H58" s="275"/>
      <c r="I58" s="275"/>
      <c r="J58" s="275"/>
      <c r="K58" s="275"/>
      <c r="L58" s="276"/>
    </row>
    <row r="59" spans="1:12" ht="3.75" customHeight="1"/>
  </sheetData>
  <mergeCells count="2">
    <mergeCell ref="A2:A28"/>
    <mergeCell ref="A32:A58"/>
  </mergeCells>
  <printOptions horizontalCentered="1"/>
  <pageMargins left="0" right="0" top="0" bottom="0" header="0" footer="0"/>
  <pageSetup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460"/>
  <sheetViews>
    <sheetView zoomScale="90" zoomScaleNormal="90" workbookViewId="0">
      <pane xSplit="4" ySplit="9" topLeftCell="E20" activePane="bottomRight" state="frozen"/>
      <selection activeCell="D18" sqref="D18"/>
      <selection pane="topRight" activeCell="D18" sqref="D18"/>
      <selection pane="bottomLeft" activeCell="D18" sqref="D18"/>
      <selection pane="bottomRight" activeCell="D29" sqref="D28:D29"/>
    </sheetView>
  </sheetViews>
  <sheetFormatPr defaultRowHeight="15.75"/>
  <cols>
    <col min="1" max="1" width="5" style="294" customWidth="1"/>
    <col min="2" max="2" width="11.85546875" style="294" customWidth="1"/>
    <col min="3" max="3" width="25.85546875" style="293" customWidth="1"/>
    <col min="4" max="4" width="17.7109375" style="294" customWidth="1"/>
    <col min="5" max="5" width="14.85546875" style="294" customWidth="1"/>
    <col min="6" max="6" width="12.5703125" style="294" customWidth="1"/>
    <col min="7" max="7" width="8.28515625" style="294" customWidth="1"/>
    <col min="8" max="8" width="14.140625" style="430" customWidth="1"/>
    <col min="9" max="9" width="14.5703125" style="430" customWidth="1"/>
    <col min="10" max="10" width="13.140625" style="431" customWidth="1"/>
    <col min="11" max="11" width="16.28515625" style="431" customWidth="1"/>
    <col min="12" max="12" width="12" style="294" customWidth="1"/>
    <col min="13" max="13" width="7.7109375" style="294" customWidth="1"/>
    <col min="14" max="14" width="6.140625" style="432" customWidth="1"/>
    <col min="15" max="15" width="7.42578125" style="598" customWidth="1"/>
    <col min="16" max="16" width="7" style="598" customWidth="1"/>
    <col min="17" max="17" width="6.28515625" style="598" customWidth="1"/>
    <col min="18" max="21" width="5.85546875" style="598" customWidth="1"/>
    <col min="22" max="23" width="5.85546875" style="294" customWidth="1"/>
    <col min="24" max="24" width="6.5703125" style="294" customWidth="1"/>
    <col min="25" max="36" width="5.85546875" style="294" customWidth="1"/>
    <col min="37" max="37" width="5.85546875" style="433" customWidth="1"/>
    <col min="38" max="38" width="6" style="294" customWidth="1"/>
    <col min="39" max="39" width="7.140625" style="294" customWidth="1"/>
    <col min="40" max="40" width="6.140625" style="294" customWidth="1"/>
    <col min="41" max="42" width="5.85546875" style="294" customWidth="1"/>
    <col min="43" max="45" width="5.5703125" style="294" customWidth="1"/>
    <col min="46" max="46" width="9.5703125" style="294" customWidth="1"/>
    <col min="47" max="47" width="10.85546875" style="294" customWidth="1"/>
    <col min="48" max="48" width="11.85546875" style="294" customWidth="1"/>
    <col min="49" max="49" width="13.5703125" style="294" customWidth="1"/>
    <col min="50" max="50" width="21.85546875" style="294" customWidth="1"/>
    <col min="51" max="64" width="9.140625" style="294"/>
    <col min="65" max="65" width="11.28515625" style="294" bestFit="1" customWidth="1"/>
    <col min="66" max="288" width="9.140625" style="294"/>
    <col min="289" max="289" width="5.28515625" style="294" customWidth="1"/>
    <col min="290" max="290" width="19.5703125" style="294" customWidth="1"/>
    <col min="291" max="291" width="10.85546875" style="294" customWidth="1"/>
    <col min="292" max="292" width="5.140625" style="294" customWidth="1"/>
    <col min="293" max="293" width="20" style="294" customWidth="1"/>
    <col min="294" max="294" width="14.7109375" style="294" customWidth="1"/>
    <col min="295" max="295" width="40.85546875" style="294" customWidth="1"/>
    <col min="296" max="296" width="25.5703125" style="294" customWidth="1"/>
    <col min="297" max="297" width="14.28515625" style="294" customWidth="1"/>
    <col min="298" max="544" width="9.140625" style="294"/>
    <col min="545" max="545" width="5.28515625" style="294" customWidth="1"/>
    <col min="546" max="546" width="19.5703125" style="294" customWidth="1"/>
    <col min="547" max="547" width="10.85546875" style="294" customWidth="1"/>
    <col min="548" max="548" width="5.140625" style="294" customWidth="1"/>
    <col min="549" max="549" width="20" style="294" customWidth="1"/>
    <col min="550" max="550" width="14.7109375" style="294" customWidth="1"/>
    <col min="551" max="551" width="40.85546875" style="294" customWidth="1"/>
    <col min="552" max="552" width="25.5703125" style="294" customWidth="1"/>
    <col min="553" max="553" width="14.28515625" style="294" customWidth="1"/>
    <col min="554" max="800" width="9.140625" style="294"/>
    <col min="801" max="801" width="5.28515625" style="294" customWidth="1"/>
    <col min="802" max="802" width="19.5703125" style="294" customWidth="1"/>
    <col min="803" max="803" width="10.85546875" style="294" customWidth="1"/>
    <col min="804" max="804" width="5.140625" style="294" customWidth="1"/>
    <col min="805" max="805" width="20" style="294" customWidth="1"/>
    <col min="806" max="806" width="14.7109375" style="294" customWidth="1"/>
    <col min="807" max="807" width="40.85546875" style="294" customWidth="1"/>
    <col min="808" max="808" width="25.5703125" style="294" customWidth="1"/>
    <col min="809" max="809" width="14.28515625" style="294" customWidth="1"/>
    <col min="810" max="1056" width="9.140625" style="294"/>
    <col min="1057" max="1057" width="5.28515625" style="294" customWidth="1"/>
    <col min="1058" max="1058" width="19.5703125" style="294" customWidth="1"/>
    <col min="1059" max="1059" width="10.85546875" style="294" customWidth="1"/>
    <col min="1060" max="1060" width="5.140625" style="294" customWidth="1"/>
    <col min="1061" max="1061" width="20" style="294" customWidth="1"/>
    <col min="1062" max="1062" width="14.7109375" style="294" customWidth="1"/>
    <col min="1063" max="1063" width="40.85546875" style="294" customWidth="1"/>
    <col min="1064" max="1064" width="25.5703125" style="294" customWidth="1"/>
    <col min="1065" max="1065" width="14.28515625" style="294" customWidth="1"/>
    <col min="1066" max="1312" width="9.140625" style="294"/>
    <col min="1313" max="1313" width="5.28515625" style="294" customWidth="1"/>
    <col min="1314" max="1314" width="19.5703125" style="294" customWidth="1"/>
    <col min="1315" max="1315" width="10.85546875" style="294" customWidth="1"/>
    <col min="1316" max="1316" width="5.140625" style="294" customWidth="1"/>
    <col min="1317" max="1317" width="20" style="294" customWidth="1"/>
    <col min="1318" max="1318" width="14.7109375" style="294" customWidth="1"/>
    <col min="1319" max="1319" width="40.85546875" style="294" customWidth="1"/>
    <col min="1320" max="1320" width="25.5703125" style="294" customWidth="1"/>
    <col min="1321" max="1321" width="14.28515625" style="294" customWidth="1"/>
    <col min="1322" max="1568" width="9.140625" style="294"/>
    <col min="1569" max="1569" width="5.28515625" style="294" customWidth="1"/>
    <col min="1570" max="1570" width="19.5703125" style="294" customWidth="1"/>
    <col min="1571" max="1571" width="10.85546875" style="294" customWidth="1"/>
    <col min="1572" max="1572" width="5.140625" style="294" customWidth="1"/>
    <col min="1573" max="1573" width="20" style="294" customWidth="1"/>
    <col min="1574" max="1574" width="14.7109375" style="294" customWidth="1"/>
    <col min="1575" max="1575" width="40.85546875" style="294" customWidth="1"/>
    <col min="1576" max="1576" width="25.5703125" style="294" customWidth="1"/>
    <col min="1577" max="1577" width="14.28515625" style="294" customWidth="1"/>
    <col min="1578" max="1824" width="9.140625" style="294"/>
    <col min="1825" max="1825" width="5.28515625" style="294" customWidth="1"/>
    <col min="1826" max="1826" width="19.5703125" style="294" customWidth="1"/>
    <col min="1827" max="1827" width="10.85546875" style="294" customWidth="1"/>
    <col min="1828" max="1828" width="5.140625" style="294" customWidth="1"/>
    <col min="1829" max="1829" width="20" style="294" customWidth="1"/>
    <col min="1830" max="1830" width="14.7109375" style="294" customWidth="1"/>
    <col min="1831" max="1831" width="40.85546875" style="294" customWidth="1"/>
    <col min="1832" max="1832" width="25.5703125" style="294" customWidth="1"/>
    <col min="1833" max="1833" width="14.28515625" style="294" customWidth="1"/>
    <col min="1834" max="2080" width="9.140625" style="294"/>
    <col min="2081" max="2081" width="5.28515625" style="294" customWidth="1"/>
    <col min="2082" max="2082" width="19.5703125" style="294" customWidth="1"/>
    <col min="2083" max="2083" width="10.85546875" style="294" customWidth="1"/>
    <col min="2084" max="2084" width="5.140625" style="294" customWidth="1"/>
    <col min="2085" max="2085" width="20" style="294" customWidth="1"/>
    <col min="2086" max="2086" width="14.7109375" style="294" customWidth="1"/>
    <col min="2087" max="2087" width="40.85546875" style="294" customWidth="1"/>
    <col min="2088" max="2088" width="25.5703125" style="294" customWidth="1"/>
    <col min="2089" max="2089" width="14.28515625" style="294" customWidth="1"/>
    <col min="2090" max="2336" width="9.140625" style="294"/>
    <col min="2337" max="2337" width="5.28515625" style="294" customWidth="1"/>
    <col min="2338" max="2338" width="19.5703125" style="294" customWidth="1"/>
    <col min="2339" max="2339" width="10.85546875" style="294" customWidth="1"/>
    <col min="2340" max="2340" width="5.140625" style="294" customWidth="1"/>
    <col min="2341" max="2341" width="20" style="294" customWidth="1"/>
    <col min="2342" max="2342" width="14.7109375" style="294" customWidth="1"/>
    <col min="2343" max="2343" width="40.85546875" style="294" customWidth="1"/>
    <col min="2344" max="2344" width="25.5703125" style="294" customWidth="1"/>
    <col min="2345" max="2345" width="14.28515625" style="294" customWidth="1"/>
    <col min="2346" max="2592" width="9.140625" style="294"/>
    <col min="2593" max="2593" width="5.28515625" style="294" customWidth="1"/>
    <col min="2594" max="2594" width="19.5703125" style="294" customWidth="1"/>
    <col min="2595" max="2595" width="10.85546875" style="294" customWidth="1"/>
    <col min="2596" max="2596" width="5.140625" style="294" customWidth="1"/>
    <col min="2597" max="2597" width="20" style="294" customWidth="1"/>
    <col min="2598" max="2598" width="14.7109375" style="294" customWidth="1"/>
    <col min="2599" max="2599" width="40.85546875" style="294" customWidth="1"/>
    <col min="2600" max="2600" width="25.5703125" style="294" customWidth="1"/>
    <col min="2601" max="2601" width="14.28515625" style="294" customWidth="1"/>
    <col min="2602" max="2848" width="9.140625" style="294"/>
    <col min="2849" max="2849" width="5.28515625" style="294" customWidth="1"/>
    <col min="2850" max="2850" width="19.5703125" style="294" customWidth="1"/>
    <col min="2851" max="2851" width="10.85546875" style="294" customWidth="1"/>
    <col min="2852" max="2852" width="5.140625" style="294" customWidth="1"/>
    <col min="2853" max="2853" width="20" style="294" customWidth="1"/>
    <col min="2854" max="2854" width="14.7109375" style="294" customWidth="1"/>
    <col min="2855" max="2855" width="40.85546875" style="294" customWidth="1"/>
    <col min="2856" max="2856" width="25.5703125" style="294" customWidth="1"/>
    <col min="2857" max="2857" width="14.28515625" style="294" customWidth="1"/>
    <col min="2858" max="3104" width="9.140625" style="294"/>
    <col min="3105" max="3105" width="5.28515625" style="294" customWidth="1"/>
    <col min="3106" max="3106" width="19.5703125" style="294" customWidth="1"/>
    <col min="3107" max="3107" width="10.85546875" style="294" customWidth="1"/>
    <col min="3108" max="3108" width="5.140625" style="294" customWidth="1"/>
    <col min="3109" max="3109" width="20" style="294" customWidth="1"/>
    <col min="3110" max="3110" width="14.7109375" style="294" customWidth="1"/>
    <col min="3111" max="3111" width="40.85546875" style="294" customWidth="1"/>
    <col min="3112" max="3112" width="25.5703125" style="294" customWidth="1"/>
    <col min="3113" max="3113" width="14.28515625" style="294" customWidth="1"/>
    <col min="3114" max="3360" width="9.140625" style="294"/>
    <col min="3361" max="3361" width="5.28515625" style="294" customWidth="1"/>
    <col min="3362" max="3362" width="19.5703125" style="294" customWidth="1"/>
    <col min="3363" max="3363" width="10.85546875" style="294" customWidth="1"/>
    <col min="3364" max="3364" width="5.140625" style="294" customWidth="1"/>
    <col min="3365" max="3365" width="20" style="294" customWidth="1"/>
    <col min="3366" max="3366" width="14.7109375" style="294" customWidth="1"/>
    <col min="3367" max="3367" width="40.85546875" style="294" customWidth="1"/>
    <col min="3368" max="3368" width="25.5703125" style="294" customWidth="1"/>
    <col min="3369" max="3369" width="14.28515625" style="294" customWidth="1"/>
    <col min="3370" max="3616" width="9.140625" style="294"/>
    <col min="3617" max="3617" width="5.28515625" style="294" customWidth="1"/>
    <col min="3618" max="3618" width="19.5703125" style="294" customWidth="1"/>
    <col min="3619" max="3619" width="10.85546875" style="294" customWidth="1"/>
    <col min="3620" max="3620" width="5.140625" style="294" customWidth="1"/>
    <col min="3621" max="3621" width="20" style="294" customWidth="1"/>
    <col min="3622" max="3622" width="14.7109375" style="294" customWidth="1"/>
    <col min="3623" max="3623" width="40.85546875" style="294" customWidth="1"/>
    <col min="3624" max="3624" width="25.5703125" style="294" customWidth="1"/>
    <col min="3625" max="3625" width="14.28515625" style="294" customWidth="1"/>
    <col min="3626" max="3872" width="9.140625" style="294"/>
    <col min="3873" max="3873" width="5.28515625" style="294" customWidth="1"/>
    <col min="3874" max="3874" width="19.5703125" style="294" customWidth="1"/>
    <col min="3875" max="3875" width="10.85546875" style="294" customWidth="1"/>
    <col min="3876" max="3876" width="5.140625" style="294" customWidth="1"/>
    <col min="3877" max="3877" width="20" style="294" customWidth="1"/>
    <col min="3878" max="3878" width="14.7109375" style="294" customWidth="1"/>
    <col min="3879" max="3879" width="40.85546875" style="294" customWidth="1"/>
    <col min="3880" max="3880" width="25.5703125" style="294" customWidth="1"/>
    <col min="3881" max="3881" width="14.28515625" style="294" customWidth="1"/>
    <col min="3882" max="4128" width="9.140625" style="294"/>
    <col min="4129" max="4129" width="5.28515625" style="294" customWidth="1"/>
    <col min="4130" max="4130" width="19.5703125" style="294" customWidth="1"/>
    <col min="4131" max="4131" width="10.85546875" style="294" customWidth="1"/>
    <col min="4132" max="4132" width="5.140625" style="294" customWidth="1"/>
    <col min="4133" max="4133" width="20" style="294" customWidth="1"/>
    <col min="4134" max="4134" width="14.7109375" style="294" customWidth="1"/>
    <col min="4135" max="4135" width="40.85546875" style="294" customWidth="1"/>
    <col min="4136" max="4136" width="25.5703125" style="294" customWidth="1"/>
    <col min="4137" max="4137" width="14.28515625" style="294" customWidth="1"/>
    <col min="4138" max="4384" width="9.140625" style="294"/>
    <col min="4385" max="4385" width="5.28515625" style="294" customWidth="1"/>
    <col min="4386" max="4386" width="19.5703125" style="294" customWidth="1"/>
    <col min="4387" max="4387" width="10.85546875" style="294" customWidth="1"/>
    <col min="4388" max="4388" width="5.140625" style="294" customWidth="1"/>
    <col min="4389" max="4389" width="20" style="294" customWidth="1"/>
    <col min="4390" max="4390" width="14.7109375" style="294" customWidth="1"/>
    <col min="4391" max="4391" width="40.85546875" style="294" customWidth="1"/>
    <col min="4392" max="4392" width="25.5703125" style="294" customWidth="1"/>
    <col min="4393" max="4393" width="14.28515625" style="294" customWidth="1"/>
    <col min="4394" max="4640" width="9.140625" style="294"/>
    <col min="4641" max="4641" width="5.28515625" style="294" customWidth="1"/>
    <col min="4642" max="4642" width="19.5703125" style="294" customWidth="1"/>
    <col min="4643" max="4643" width="10.85546875" style="294" customWidth="1"/>
    <col min="4644" max="4644" width="5.140625" style="294" customWidth="1"/>
    <col min="4645" max="4645" width="20" style="294" customWidth="1"/>
    <col min="4646" max="4646" width="14.7109375" style="294" customWidth="1"/>
    <col min="4647" max="4647" width="40.85546875" style="294" customWidth="1"/>
    <col min="4648" max="4648" width="25.5703125" style="294" customWidth="1"/>
    <col min="4649" max="4649" width="14.28515625" style="294" customWidth="1"/>
    <col min="4650" max="4896" width="9.140625" style="294"/>
    <col min="4897" max="4897" width="5.28515625" style="294" customWidth="1"/>
    <col min="4898" max="4898" width="19.5703125" style="294" customWidth="1"/>
    <col min="4899" max="4899" width="10.85546875" style="294" customWidth="1"/>
    <col min="4900" max="4900" width="5.140625" style="294" customWidth="1"/>
    <col min="4901" max="4901" width="20" style="294" customWidth="1"/>
    <col min="4902" max="4902" width="14.7109375" style="294" customWidth="1"/>
    <col min="4903" max="4903" width="40.85546875" style="294" customWidth="1"/>
    <col min="4904" max="4904" width="25.5703125" style="294" customWidth="1"/>
    <col min="4905" max="4905" width="14.28515625" style="294" customWidth="1"/>
    <col min="4906" max="5152" width="9.140625" style="294"/>
    <col min="5153" max="5153" width="5.28515625" style="294" customWidth="1"/>
    <col min="5154" max="5154" width="19.5703125" style="294" customWidth="1"/>
    <col min="5155" max="5155" width="10.85546875" style="294" customWidth="1"/>
    <col min="5156" max="5156" width="5.140625" style="294" customWidth="1"/>
    <col min="5157" max="5157" width="20" style="294" customWidth="1"/>
    <col min="5158" max="5158" width="14.7109375" style="294" customWidth="1"/>
    <col min="5159" max="5159" width="40.85546875" style="294" customWidth="1"/>
    <col min="5160" max="5160" width="25.5703125" style="294" customWidth="1"/>
    <col min="5161" max="5161" width="14.28515625" style="294" customWidth="1"/>
    <col min="5162" max="5408" width="9.140625" style="294"/>
    <col min="5409" max="5409" width="5.28515625" style="294" customWidth="1"/>
    <col min="5410" max="5410" width="19.5703125" style="294" customWidth="1"/>
    <col min="5411" max="5411" width="10.85546875" style="294" customWidth="1"/>
    <col min="5412" max="5412" width="5.140625" style="294" customWidth="1"/>
    <col min="5413" max="5413" width="20" style="294" customWidth="1"/>
    <col min="5414" max="5414" width="14.7109375" style="294" customWidth="1"/>
    <col min="5415" max="5415" width="40.85546875" style="294" customWidth="1"/>
    <col min="5416" max="5416" width="25.5703125" style="294" customWidth="1"/>
    <col min="5417" max="5417" width="14.28515625" style="294" customWidth="1"/>
    <col min="5418" max="5664" width="9.140625" style="294"/>
    <col min="5665" max="5665" width="5.28515625" style="294" customWidth="1"/>
    <col min="5666" max="5666" width="19.5703125" style="294" customWidth="1"/>
    <col min="5667" max="5667" width="10.85546875" style="294" customWidth="1"/>
    <col min="5668" max="5668" width="5.140625" style="294" customWidth="1"/>
    <col min="5669" max="5669" width="20" style="294" customWidth="1"/>
    <col min="5670" max="5670" width="14.7109375" style="294" customWidth="1"/>
    <col min="5671" max="5671" width="40.85546875" style="294" customWidth="1"/>
    <col min="5672" max="5672" width="25.5703125" style="294" customWidth="1"/>
    <col min="5673" max="5673" width="14.28515625" style="294" customWidth="1"/>
    <col min="5674" max="5920" width="9.140625" style="294"/>
    <col min="5921" max="5921" width="5.28515625" style="294" customWidth="1"/>
    <col min="5922" max="5922" width="19.5703125" style="294" customWidth="1"/>
    <col min="5923" max="5923" width="10.85546875" style="294" customWidth="1"/>
    <col min="5924" max="5924" width="5.140625" style="294" customWidth="1"/>
    <col min="5925" max="5925" width="20" style="294" customWidth="1"/>
    <col min="5926" max="5926" width="14.7109375" style="294" customWidth="1"/>
    <col min="5927" max="5927" width="40.85546875" style="294" customWidth="1"/>
    <col min="5928" max="5928" width="25.5703125" style="294" customWidth="1"/>
    <col min="5929" max="5929" width="14.28515625" style="294" customWidth="1"/>
    <col min="5930" max="6176" width="9.140625" style="294"/>
    <col min="6177" max="6177" width="5.28515625" style="294" customWidth="1"/>
    <col min="6178" max="6178" width="19.5703125" style="294" customWidth="1"/>
    <col min="6179" max="6179" width="10.85546875" style="294" customWidth="1"/>
    <col min="6180" max="6180" width="5.140625" style="294" customWidth="1"/>
    <col min="6181" max="6181" width="20" style="294" customWidth="1"/>
    <col min="6182" max="6182" width="14.7109375" style="294" customWidth="1"/>
    <col min="6183" max="6183" width="40.85546875" style="294" customWidth="1"/>
    <col min="6184" max="6184" width="25.5703125" style="294" customWidth="1"/>
    <col min="6185" max="6185" width="14.28515625" style="294" customWidth="1"/>
    <col min="6186" max="6432" width="9.140625" style="294"/>
    <col min="6433" max="6433" width="5.28515625" style="294" customWidth="1"/>
    <col min="6434" max="6434" width="19.5703125" style="294" customWidth="1"/>
    <col min="6435" max="6435" width="10.85546875" style="294" customWidth="1"/>
    <col min="6436" max="6436" width="5.140625" style="294" customWidth="1"/>
    <col min="6437" max="6437" width="20" style="294" customWidth="1"/>
    <col min="6438" max="6438" width="14.7109375" style="294" customWidth="1"/>
    <col min="6439" max="6439" width="40.85546875" style="294" customWidth="1"/>
    <col min="6440" max="6440" width="25.5703125" style="294" customWidth="1"/>
    <col min="6441" max="6441" width="14.28515625" style="294" customWidth="1"/>
    <col min="6442" max="6688" width="9.140625" style="294"/>
    <col min="6689" max="6689" width="5.28515625" style="294" customWidth="1"/>
    <col min="6690" max="6690" width="19.5703125" style="294" customWidth="1"/>
    <col min="6691" max="6691" width="10.85546875" style="294" customWidth="1"/>
    <col min="6692" max="6692" width="5.140625" style="294" customWidth="1"/>
    <col min="6693" max="6693" width="20" style="294" customWidth="1"/>
    <col min="6694" max="6694" width="14.7109375" style="294" customWidth="1"/>
    <col min="6695" max="6695" width="40.85546875" style="294" customWidth="1"/>
    <col min="6696" max="6696" width="25.5703125" style="294" customWidth="1"/>
    <col min="6697" max="6697" width="14.28515625" style="294" customWidth="1"/>
    <col min="6698" max="6944" width="9.140625" style="294"/>
    <col min="6945" max="6945" width="5.28515625" style="294" customWidth="1"/>
    <col min="6946" max="6946" width="19.5703125" style="294" customWidth="1"/>
    <col min="6947" max="6947" width="10.85546875" style="294" customWidth="1"/>
    <col min="6948" max="6948" width="5.140625" style="294" customWidth="1"/>
    <col min="6949" max="6949" width="20" style="294" customWidth="1"/>
    <col min="6950" max="6950" width="14.7109375" style="294" customWidth="1"/>
    <col min="6951" max="6951" width="40.85546875" style="294" customWidth="1"/>
    <col min="6952" max="6952" width="25.5703125" style="294" customWidth="1"/>
    <col min="6953" max="6953" width="14.28515625" style="294" customWidth="1"/>
    <col min="6954" max="7200" width="9.140625" style="294"/>
    <col min="7201" max="7201" width="5.28515625" style="294" customWidth="1"/>
    <col min="7202" max="7202" width="19.5703125" style="294" customWidth="1"/>
    <col min="7203" max="7203" width="10.85546875" style="294" customWidth="1"/>
    <col min="7204" max="7204" width="5.140625" style="294" customWidth="1"/>
    <col min="7205" max="7205" width="20" style="294" customWidth="1"/>
    <col min="7206" max="7206" width="14.7109375" style="294" customWidth="1"/>
    <col min="7207" max="7207" width="40.85546875" style="294" customWidth="1"/>
    <col min="7208" max="7208" width="25.5703125" style="294" customWidth="1"/>
    <col min="7209" max="7209" width="14.28515625" style="294" customWidth="1"/>
    <col min="7210" max="7456" width="9.140625" style="294"/>
    <col min="7457" max="7457" width="5.28515625" style="294" customWidth="1"/>
    <col min="7458" max="7458" width="19.5703125" style="294" customWidth="1"/>
    <col min="7459" max="7459" width="10.85546875" style="294" customWidth="1"/>
    <col min="7460" max="7460" width="5.140625" style="294" customWidth="1"/>
    <col min="7461" max="7461" width="20" style="294" customWidth="1"/>
    <col min="7462" max="7462" width="14.7109375" style="294" customWidth="1"/>
    <col min="7463" max="7463" width="40.85546875" style="294" customWidth="1"/>
    <col min="7464" max="7464" width="25.5703125" style="294" customWidth="1"/>
    <col min="7465" max="7465" width="14.28515625" style="294" customWidth="1"/>
    <col min="7466" max="7712" width="9.140625" style="294"/>
    <col min="7713" max="7713" width="5.28515625" style="294" customWidth="1"/>
    <col min="7714" max="7714" width="19.5703125" style="294" customWidth="1"/>
    <col min="7715" max="7715" width="10.85546875" style="294" customWidth="1"/>
    <col min="7716" max="7716" width="5.140625" style="294" customWidth="1"/>
    <col min="7717" max="7717" width="20" style="294" customWidth="1"/>
    <col min="7718" max="7718" width="14.7109375" style="294" customWidth="1"/>
    <col min="7719" max="7719" width="40.85546875" style="294" customWidth="1"/>
    <col min="7720" max="7720" width="25.5703125" style="294" customWidth="1"/>
    <col min="7721" max="7721" width="14.28515625" style="294" customWidth="1"/>
    <col min="7722" max="7968" width="9.140625" style="294"/>
    <col min="7969" max="7969" width="5.28515625" style="294" customWidth="1"/>
    <col min="7970" max="7970" width="19.5703125" style="294" customWidth="1"/>
    <col min="7971" max="7971" width="10.85546875" style="294" customWidth="1"/>
    <col min="7972" max="7972" width="5.140625" style="294" customWidth="1"/>
    <col min="7973" max="7973" width="20" style="294" customWidth="1"/>
    <col min="7974" max="7974" width="14.7109375" style="294" customWidth="1"/>
    <col min="7975" max="7975" width="40.85546875" style="294" customWidth="1"/>
    <col min="7976" max="7976" width="25.5703125" style="294" customWidth="1"/>
    <col min="7977" max="7977" width="14.28515625" style="294" customWidth="1"/>
    <col min="7978" max="8224" width="9.140625" style="294"/>
    <col min="8225" max="8225" width="5.28515625" style="294" customWidth="1"/>
    <col min="8226" max="8226" width="19.5703125" style="294" customWidth="1"/>
    <col min="8227" max="8227" width="10.85546875" style="294" customWidth="1"/>
    <col min="8228" max="8228" width="5.140625" style="294" customWidth="1"/>
    <col min="8229" max="8229" width="20" style="294" customWidth="1"/>
    <col min="8230" max="8230" width="14.7109375" style="294" customWidth="1"/>
    <col min="8231" max="8231" width="40.85546875" style="294" customWidth="1"/>
    <col min="8232" max="8232" width="25.5703125" style="294" customWidth="1"/>
    <col min="8233" max="8233" width="14.28515625" style="294" customWidth="1"/>
    <col min="8234" max="8480" width="9.140625" style="294"/>
    <col min="8481" max="8481" width="5.28515625" style="294" customWidth="1"/>
    <col min="8482" max="8482" width="19.5703125" style="294" customWidth="1"/>
    <col min="8483" max="8483" width="10.85546875" style="294" customWidth="1"/>
    <col min="8484" max="8484" width="5.140625" style="294" customWidth="1"/>
    <col min="8485" max="8485" width="20" style="294" customWidth="1"/>
    <col min="8486" max="8486" width="14.7109375" style="294" customWidth="1"/>
    <col min="8487" max="8487" width="40.85546875" style="294" customWidth="1"/>
    <col min="8488" max="8488" width="25.5703125" style="294" customWidth="1"/>
    <col min="8489" max="8489" width="14.28515625" style="294" customWidth="1"/>
    <col min="8490" max="8736" width="9.140625" style="294"/>
    <col min="8737" max="8737" width="5.28515625" style="294" customWidth="1"/>
    <col min="8738" max="8738" width="19.5703125" style="294" customWidth="1"/>
    <col min="8739" max="8739" width="10.85546875" style="294" customWidth="1"/>
    <col min="8740" max="8740" width="5.140625" style="294" customWidth="1"/>
    <col min="8741" max="8741" width="20" style="294" customWidth="1"/>
    <col min="8742" max="8742" width="14.7109375" style="294" customWidth="1"/>
    <col min="8743" max="8743" width="40.85546875" style="294" customWidth="1"/>
    <col min="8744" max="8744" width="25.5703125" style="294" customWidth="1"/>
    <col min="8745" max="8745" width="14.28515625" style="294" customWidth="1"/>
    <col min="8746" max="8992" width="9.140625" style="294"/>
    <col min="8993" max="8993" width="5.28515625" style="294" customWidth="1"/>
    <col min="8994" max="8994" width="19.5703125" style="294" customWidth="1"/>
    <col min="8995" max="8995" width="10.85546875" style="294" customWidth="1"/>
    <col min="8996" max="8996" width="5.140625" style="294" customWidth="1"/>
    <col min="8997" max="8997" width="20" style="294" customWidth="1"/>
    <col min="8998" max="8998" width="14.7109375" style="294" customWidth="1"/>
    <col min="8999" max="8999" width="40.85546875" style="294" customWidth="1"/>
    <col min="9000" max="9000" width="25.5703125" style="294" customWidth="1"/>
    <col min="9001" max="9001" width="14.28515625" style="294" customWidth="1"/>
    <col min="9002" max="9248" width="9.140625" style="294"/>
    <col min="9249" max="9249" width="5.28515625" style="294" customWidth="1"/>
    <col min="9250" max="9250" width="19.5703125" style="294" customWidth="1"/>
    <col min="9251" max="9251" width="10.85546875" style="294" customWidth="1"/>
    <col min="9252" max="9252" width="5.140625" style="294" customWidth="1"/>
    <col min="9253" max="9253" width="20" style="294" customWidth="1"/>
    <col min="9254" max="9254" width="14.7109375" style="294" customWidth="1"/>
    <col min="9255" max="9255" width="40.85546875" style="294" customWidth="1"/>
    <col min="9256" max="9256" width="25.5703125" style="294" customWidth="1"/>
    <col min="9257" max="9257" width="14.28515625" style="294" customWidth="1"/>
    <col min="9258" max="9504" width="9.140625" style="294"/>
    <col min="9505" max="9505" width="5.28515625" style="294" customWidth="1"/>
    <col min="9506" max="9506" width="19.5703125" style="294" customWidth="1"/>
    <col min="9507" max="9507" width="10.85546875" style="294" customWidth="1"/>
    <col min="9508" max="9508" width="5.140625" style="294" customWidth="1"/>
    <col min="9509" max="9509" width="20" style="294" customWidth="1"/>
    <col min="9510" max="9510" width="14.7109375" style="294" customWidth="1"/>
    <col min="9511" max="9511" width="40.85546875" style="294" customWidth="1"/>
    <col min="9512" max="9512" width="25.5703125" style="294" customWidth="1"/>
    <col min="9513" max="9513" width="14.28515625" style="294" customWidth="1"/>
    <col min="9514" max="9760" width="9.140625" style="294"/>
    <col min="9761" max="9761" width="5.28515625" style="294" customWidth="1"/>
    <col min="9762" max="9762" width="19.5703125" style="294" customWidth="1"/>
    <col min="9763" max="9763" width="10.85546875" style="294" customWidth="1"/>
    <col min="9764" max="9764" width="5.140625" style="294" customWidth="1"/>
    <col min="9765" max="9765" width="20" style="294" customWidth="1"/>
    <col min="9766" max="9766" width="14.7109375" style="294" customWidth="1"/>
    <col min="9767" max="9767" width="40.85546875" style="294" customWidth="1"/>
    <col min="9768" max="9768" width="25.5703125" style="294" customWidth="1"/>
    <col min="9769" max="9769" width="14.28515625" style="294" customWidth="1"/>
    <col min="9770" max="10016" width="9.140625" style="294"/>
    <col min="10017" max="10017" width="5.28515625" style="294" customWidth="1"/>
    <col min="10018" max="10018" width="19.5703125" style="294" customWidth="1"/>
    <col min="10019" max="10019" width="10.85546875" style="294" customWidth="1"/>
    <col min="10020" max="10020" width="5.140625" style="294" customWidth="1"/>
    <col min="10021" max="10021" width="20" style="294" customWidth="1"/>
    <col min="10022" max="10022" width="14.7109375" style="294" customWidth="1"/>
    <col min="10023" max="10023" width="40.85546875" style="294" customWidth="1"/>
    <col min="10024" max="10024" width="25.5703125" style="294" customWidth="1"/>
    <col min="10025" max="10025" width="14.28515625" style="294" customWidth="1"/>
    <col min="10026" max="10272" width="9.140625" style="294"/>
    <col min="10273" max="10273" width="5.28515625" style="294" customWidth="1"/>
    <col min="10274" max="10274" width="19.5703125" style="294" customWidth="1"/>
    <col min="10275" max="10275" width="10.85546875" style="294" customWidth="1"/>
    <col min="10276" max="10276" width="5.140625" style="294" customWidth="1"/>
    <col min="10277" max="10277" width="20" style="294" customWidth="1"/>
    <col min="10278" max="10278" width="14.7109375" style="294" customWidth="1"/>
    <col min="10279" max="10279" width="40.85546875" style="294" customWidth="1"/>
    <col min="10280" max="10280" width="25.5703125" style="294" customWidth="1"/>
    <col min="10281" max="10281" width="14.28515625" style="294" customWidth="1"/>
    <col min="10282" max="10528" width="9.140625" style="294"/>
    <col min="10529" max="10529" width="5.28515625" style="294" customWidth="1"/>
    <col min="10530" max="10530" width="19.5703125" style="294" customWidth="1"/>
    <col min="10531" max="10531" width="10.85546875" style="294" customWidth="1"/>
    <col min="10532" max="10532" width="5.140625" style="294" customWidth="1"/>
    <col min="10533" max="10533" width="20" style="294" customWidth="1"/>
    <col min="10534" max="10534" width="14.7109375" style="294" customWidth="1"/>
    <col min="10535" max="10535" width="40.85546875" style="294" customWidth="1"/>
    <col min="10536" max="10536" width="25.5703125" style="294" customWidth="1"/>
    <col min="10537" max="10537" width="14.28515625" style="294" customWidth="1"/>
    <col min="10538" max="10784" width="9.140625" style="294"/>
    <col min="10785" max="10785" width="5.28515625" style="294" customWidth="1"/>
    <col min="10786" max="10786" width="19.5703125" style="294" customWidth="1"/>
    <col min="10787" max="10787" width="10.85546875" style="294" customWidth="1"/>
    <col min="10788" max="10788" width="5.140625" style="294" customWidth="1"/>
    <col min="10789" max="10789" width="20" style="294" customWidth="1"/>
    <col min="10790" max="10790" width="14.7109375" style="294" customWidth="1"/>
    <col min="10791" max="10791" width="40.85546875" style="294" customWidth="1"/>
    <col min="10792" max="10792" width="25.5703125" style="294" customWidth="1"/>
    <col min="10793" max="10793" width="14.28515625" style="294" customWidth="1"/>
    <col min="10794" max="11040" width="9.140625" style="294"/>
    <col min="11041" max="11041" width="5.28515625" style="294" customWidth="1"/>
    <col min="11042" max="11042" width="19.5703125" style="294" customWidth="1"/>
    <col min="11043" max="11043" width="10.85546875" style="294" customWidth="1"/>
    <col min="11044" max="11044" width="5.140625" style="294" customWidth="1"/>
    <col min="11045" max="11045" width="20" style="294" customWidth="1"/>
    <col min="11046" max="11046" width="14.7109375" style="294" customWidth="1"/>
    <col min="11047" max="11047" width="40.85546875" style="294" customWidth="1"/>
    <col min="11048" max="11048" width="25.5703125" style="294" customWidth="1"/>
    <col min="11049" max="11049" width="14.28515625" style="294" customWidth="1"/>
    <col min="11050" max="11296" width="9.140625" style="294"/>
    <col min="11297" max="11297" width="5.28515625" style="294" customWidth="1"/>
    <col min="11298" max="11298" width="19.5703125" style="294" customWidth="1"/>
    <col min="11299" max="11299" width="10.85546875" style="294" customWidth="1"/>
    <col min="11300" max="11300" width="5.140625" style="294" customWidth="1"/>
    <col min="11301" max="11301" width="20" style="294" customWidth="1"/>
    <col min="11302" max="11302" width="14.7109375" style="294" customWidth="1"/>
    <col min="11303" max="11303" width="40.85546875" style="294" customWidth="1"/>
    <col min="11304" max="11304" width="25.5703125" style="294" customWidth="1"/>
    <col min="11305" max="11305" width="14.28515625" style="294" customWidth="1"/>
    <col min="11306" max="11552" width="9.140625" style="294"/>
    <col min="11553" max="11553" width="5.28515625" style="294" customWidth="1"/>
    <col min="11554" max="11554" width="19.5703125" style="294" customWidth="1"/>
    <col min="11555" max="11555" width="10.85546875" style="294" customWidth="1"/>
    <col min="11556" max="11556" width="5.140625" style="294" customWidth="1"/>
    <col min="11557" max="11557" width="20" style="294" customWidth="1"/>
    <col min="11558" max="11558" width="14.7109375" style="294" customWidth="1"/>
    <col min="11559" max="11559" width="40.85546875" style="294" customWidth="1"/>
    <col min="11560" max="11560" width="25.5703125" style="294" customWidth="1"/>
    <col min="11561" max="11561" width="14.28515625" style="294" customWidth="1"/>
    <col min="11562" max="11808" width="9.140625" style="294"/>
    <col min="11809" max="11809" width="5.28515625" style="294" customWidth="1"/>
    <col min="11810" max="11810" width="19.5703125" style="294" customWidth="1"/>
    <col min="11811" max="11811" width="10.85546875" style="294" customWidth="1"/>
    <col min="11812" max="11812" width="5.140625" style="294" customWidth="1"/>
    <col min="11813" max="11813" width="20" style="294" customWidth="1"/>
    <col min="11814" max="11814" width="14.7109375" style="294" customWidth="1"/>
    <col min="11815" max="11815" width="40.85546875" style="294" customWidth="1"/>
    <col min="11816" max="11816" width="25.5703125" style="294" customWidth="1"/>
    <col min="11817" max="11817" width="14.28515625" style="294" customWidth="1"/>
    <col min="11818" max="12064" width="9.140625" style="294"/>
    <col min="12065" max="12065" width="5.28515625" style="294" customWidth="1"/>
    <col min="12066" max="12066" width="19.5703125" style="294" customWidth="1"/>
    <col min="12067" max="12067" width="10.85546875" style="294" customWidth="1"/>
    <col min="12068" max="12068" width="5.140625" style="294" customWidth="1"/>
    <col min="12069" max="12069" width="20" style="294" customWidth="1"/>
    <col min="12070" max="12070" width="14.7109375" style="294" customWidth="1"/>
    <col min="12071" max="12071" width="40.85546875" style="294" customWidth="1"/>
    <col min="12072" max="12072" width="25.5703125" style="294" customWidth="1"/>
    <col min="12073" max="12073" width="14.28515625" style="294" customWidth="1"/>
    <col min="12074" max="12320" width="9.140625" style="294"/>
    <col min="12321" max="12321" width="5.28515625" style="294" customWidth="1"/>
    <col min="12322" max="12322" width="19.5703125" style="294" customWidth="1"/>
    <col min="12323" max="12323" width="10.85546875" style="294" customWidth="1"/>
    <col min="12324" max="12324" width="5.140625" style="294" customWidth="1"/>
    <col min="12325" max="12325" width="20" style="294" customWidth="1"/>
    <col min="12326" max="12326" width="14.7109375" style="294" customWidth="1"/>
    <col min="12327" max="12327" width="40.85546875" style="294" customWidth="1"/>
    <col min="12328" max="12328" width="25.5703125" style="294" customWidth="1"/>
    <col min="12329" max="12329" width="14.28515625" style="294" customWidth="1"/>
    <col min="12330" max="12576" width="9.140625" style="294"/>
    <col min="12577" max="12577" width="5.28515625" style="294" customWidth="1"/>
    <col min="12578" max="12578" width="19.5703125" style="294" customWidth="1"/>
    <col min="12579" max="12579" width="10.85546875" style="294" customWidth="1"/>
    <col min="12580" max="12580" width="5.140625" style="294" customWidth="1"/>
    <col min="12581" max="12581" width="20" style="294" customWidth="1"/>
    <col min="12582" max="12582" width="14.7109375" style="294" customWidth="1"/>
    <col min="12583" max="12583" width="40.85546875" style="294" customWidth="1"/>
    <col min="12584" max="12584" width="25.5703125" style="294" customWidth="1"/>
    <col min="12585" max="12585" width="14.28515625" style="294" customWidth="1"/>
    <col min="12586" max="12832" width="9.140625" style="294"/>
    <col min="12833" max="12833" width="5.28515625" style="294" customWidth="1"/>
    <col min="12834" max="12834" width="19.5703125" style="294" customWidth="1"/>
    <col min="12835" max="12835" width="10.85546875" style="294" customWidth="1"/>
    <col min="12836" max="12836" width="5.140625" style="294" customWidth="1"/>
    <col min="12837" max="12837" width="20" style="294" customWidth="1"/>
    <col min="12838" max="12838" width="14.7109375" style="294" customWidth="1"/>
    <col min="12839" max="12839" width="40.85546875" style="294" customWidth="1"/>
    <col min="12840" max="12840" width="25.5703125" style="294" customWidth="1"/>
    <col min="12841" max="12841" width="14.28515625" style="294" customWidth="1"/>
    <col min="12842" max="13088" width="9.140625" style="294"/>
    <col min="13089" max="13089" width="5.28515625" style="294" customWidth="1"/>
    <col min="13090" max="13090" width="19.5703125" style="294" customWidth="1"/>
    <col min="13091" max="13091" width="10.85546875" style="294" customWidth="1"/>
    <col min="13092" max="13092" width="5.140625" style="294" customWidth="1"/>
    <col min="13093" max="13093" width="20" style="294" customWidth="1"/>
    <col min="13094" max="13094" width="14.7109375" style="294" customWidth="1"/>
    <col min="13095" max="13095" width="40.85546875" style="294" customWidth="1"/>
    <col min="13096" max="13096" width="25.5703125" style="294" customWidth="1"/>
    <col min="13097" max="13097" width="14.28515625" style="294" customWidth="1"/>
    <col min="13098" max="13344" width="9.140625" style="294"/>
    <col min="13345" max="13345" width="5.28515625" style="294" customWidth="1"/>
    <col min="13346" max="13346" width="19.5703125" style="294" customWidth="1"/>
    <col min="13347" max="13347" width="10.85546875" style="294" customWidth="1"/>
    <col min="13348" max="13348" width="5.140625" style="294" customWidth="1"/>
    <col min="13349" max="13349" width="20" style="294" customWidth="1"/>
    <col min="13350" max="13350" width="14.7109375" style="294" customWidth="1"/>
    <col min="13351" max="13351" width="40.85546875" style="294" customWidth="1"/>
    <col min="13352" max="13352" width="25.5703125" style="294" customWidth="1"/>
    <col min="13353" max="13353" width="14.28515625" style="294" customWidth="1"/>
    <col min="13354" max="13600" width="9.140625" style="294"/>
    <col min="13601" max="13601" width="5.28515625" style="294" customWidth="1"/>
    <col min="13602" max="13602" width="19.5703125" style="294" customWidth="1"/>
    <col min="13603" max="13603" width="10.85546875" style="294" customWidth="1"/>
    <col min="13604" max="13604" width="5.140625" style="294" customWidth="1"/>
    <col min="13605" max="13605" width="20" style="294" customWidth="1"/>
    <col min="13606" max="13606" width="14.7109375" style="294" customWidth="1"/>
    <col min="13607" max="13607" width="40.85546875" style="294" customWidth="1"/>
    <col min="13608" max="13608" width="25.5703125" style="294" customWidth="1"/>
    <col min="13609" max="13609" width="14.28515625" style="294" customWidth="1"/>
    <col min="13610" max="13856" width="9.140625" style="294"/>
    <col min="13857" max="13857" width="5.28515625" style="294" customWidth="1"/>
    <col min="13858" max="13858" width="19.5703125" style="294" customWidth="1"/>
    <col min="13859" max="13859" width="10.85546875" style="294" customWidth="1"/>
    <col min="13860" max="13860" width="5.140625" style="294" customWidth="1"/>
    <col min="13861" max="13861" width="20" style="294" customWidth="1"/>
    <col min="13862" max="13862" width="14.7109375" style="294" customWidth="1"/>
    <col min="13863" max="13863" width="40.85546875" style="294" customWidth="1"/>
    <col min="13864" max="13864" width="25.5703125" style="294" customWidth="1"/>
    <col min="13865" max="13865" width="14.28515625" style="294" customWidth="1"/>
    <col min="13866" max="14112" width="9.140625" style="294"/>
    <col min="14113" max="14113" width="5.28515625" style="294" customWidth="1"/>
    <col min="14114" max="14114" width="19.5703125" style="294" customWidth="1"/>
    <col min="14115" max="14115" width="10.85546875" style="294" customWidth="1"/>
    <col min="14116" max="14116" width="5.140625" style="294" customWidth="1"/>
    <col min="14117" max="14117" width="20" style="294" customWidth="1"/>
    <col min="14118" max="14118" width="14.7109375" style="294" customWidth="1"/>
    <col min="14119" max="14119" width="40.85546875" style="294" customWidth="1"/>
    <col min="14120" max="14120" width="25.5703125" style="294" customWidth="1"/>
    <col min="14121" max="14121" width="14.28515625" style="294" customWidth="1"/>
    <col min="14122" max="14368" width="9.140625" style="294"/>
    <col min="14369" max="14369" width="5.28515625" style="294" customWidth="1"/>
    <col min="14370" max="14370" width="19.5703125" style="294" customWidth="1"/>
    <col min="14371" max="14371" width="10.85546875" style="294" customWidth="1"/>
    <col min="14372" max="14372" width="5.140625" style="294" customWidth="1"/>
    <col min="14373" max="14373" width="20" style="294" customWidth="1"/>
    <col min="14374" max="14374" width="14.7109375" style="294" customWidth="1"/>
    <col min="14375" max="14375" width="40.85546875" style="294" customWidth="1"/>
    <col min="14376" max="14376" width="25.5703125" style="294" customWidth="1"/>
    <col min="14377" max="14377" width="14.28515625" style="294" customWidth="1"/>
    <col min="14378" max="14624" width="9.140625" style="294"/>
    <col min="14625" max="14625" width="5.28515625" style="294" customWidth="1"/>
    <col min="14626" max="14626" width="19.5703125" style="294" customWidth="1"/>
    <col min="14627" max="14627" width="10.85546875" style="294" customWidth="1"/>
    <col min="14628" max="14628" width="5.140625" style="294" customWidth="1"/>
    <col min="14629" max="14629" width="20" style="294" customWidth="1"/>
    <col min="14630" max="14630" width="14.7109375" style="294" customWidth="1"/>
    <col min="14631" max="14631" width="40.85546875" style="294" customWidth="1"/>
    <col min="14632" max="14632" width="25.5703125" style="294" customWidth="1"/>
    <col min="14633" max="14633" width="14.28515625" style="294" customWidth="1"/>
    <col min="14634" max="14880" width="9.140625" style="294"/>
    <col min="14881" max="14881" width="5.28515625" style="294" customWidth="1"/>
    <col min="14882" max="14882" width="19.5703125" style="294" customWidth="1"/>
    <col min="14883" max="14883" width="10.85546875" style="294" customWidth="1"/>
    <col min="14884" max="14884" width="5.140625" style="294" customWidth="1"/>
    <col min="14885" max="14885" width="20" style="294" customWidth="1"/>
    <col min="14886" max="14886" width="14.7109375" style="294" customWidth="1"/>
    <col min="14887" max="14887" width="40.85546875" style="294" customWidth="1"/>
    <col min="14888" max="14888" width="25.5703125" style="294" customWidth="1"/>
    <col min="14889" max="14889" width="14.28515625" style="294" customWidth="1"/>
    <col min="14890" max="15136" width="9.140625" style="294"/>
    <col min="15137" max="15137" width="5.28515625" style="294" customWidth="1"/>
    <col min="15138" max="15138" width="19.5703125" style="294" customWidth="1"/>
    <col min="15139" max="15139" width="10.85546875" style="294" customWidth="1"/>
    <col min="15140" max="15140" width="5.140625" style="294" customWidth="1"/>
    <col min="15141" max="15141" width="20" style="294" customWidth="1"/>
    <col min="15142" max="15142" width="14.7109375" style="294" customWidth="1"/>
    <col min="15143" max="15143" width="40.85546875" style="294" customWidth="1"/>
    <col min="15144" max="15144" width="25.5703125" style="294" customWidth="1"/>
    <col min="15145" max="15145" width="14.28515625" style="294" customWidth="1"/>
    <col min="15146" max="15392" width="9.140625" style="294"/>
    <col min="15393" max="15393" width="5.28515625" style="294" customWidth="1"/>
    <col min="15394" max="15394" width="19.5703125" style="294" customWidth="1"/>
    <col min="15395" max="15395" width="10.85546875" style="294" customWidth="1"/>
    <col min="15396" max="15396" width="5.140625" style="294" customWidth="1"/>
    <col min="15397" max="15397" width="20" style="294" customWidth="1"/>
    <col min="15398" max="15398" width="14.7109375" style="294" customWidth="1"/>
    <col min="15399" max="15399" width="40.85546875" style="294" customWidth="1"/>
    <col min="15400" max="15400" width="25.5703125" style="294" customWidth="1"/>
    <col min="15401" max="15401" width="14.28515625" style="294" customWidth="1"/>
    <col min="15402" max="15648" width="9.140625" style="294"/>
    <col min="15649" max="15649" width="5.28515625" style="294" customWidth="1"/>
    <col min="15650" max="15650" width="19.5703125" style="294" customWidth="1"/>
    <col min="15651" max="15651" width="10.85546875" style="294" customWidth="1"/>
    <col min="15652" max="15652" width="5.140625" style="294" customWidth="1"/>
    <col min="15653" max="15653" width="20" style="294" customWidth="1"/>
    <col min="15654" max="15654" width="14.7109375" style="294" customWidth="1"/>
    <col min="15655" max="15655" width="40.85546875" style="294" customWidth="1"/>
    <col min="15656" max="15656" width="25.5703125" style="294" customWidth="1"/>
    <col min="15657" max="15657" width="14.28515625" style="294" customWidth="1"/>
    <col min="15658" max="15904" width="9.140625" style="294"/>
    <col min="15905" max="15905" width="5.28515625" style="294" customWidth="1"/>
    <col min="15906" max="15906" width="19.5703125" style="294" customWidth="1"/>
    <col min="15907" max="15907" width="10.85546875" style="294" customWidth="1"/>
    <col min="15908" max="15908" width="5.140625" style="294" customWidth="1"/>
    <col min="15909" max="15909" width="20" style="294" customWidth="1"/>
    <col min="15910" max="15910" width="14.7109375" style="294" customWidth="1"/>
    <col min="15911" max="15911" width="40.85546875" style="294" customWidth="1"/>
    <col min="15912" max="15912" width="25.5703125" style="294" customWidth="1"/>
    <col min="15913" max="15913" width="14.28515625" style="294" customWidth="1"/>
    <col min="15914" max="16160" width="9.140625" style="294"/>
    <col min="16161" max="16161" width="5.28515625" style="294" customWidth="1"/>
    <col min="16162" max="16162" width="19.5703125" style="294" customWidth="1"/>
    <col min="16163" max="16163" width="10.85546875" style="294" customWidth="1"/>
    <col min="16164" max="16164" width="5.140625" style="294" customWidth="1"/>
    <col min="16165" max="16165" width="20" style="294" customWidth="1"/>
    <col min="16166" max="16166" width="14.7109375" style="294" customWidth="1"/>
    <col min="16167" max="16167" width="40.85546875" style="294" customWidth="1"/>
    <col min="16168" max="16168" width="25.5703125" style="294" customWidth="1"/>
    <col min="16169" max="16169" width="14.28515625" style="294" customWidth="1"/>
    <col min="16170" max="16380" width="9.140625" style="294"/>
    <col min="16381" max="16384" width="9.140625" style="294" customWidth="1"/>
  </cols>
  <sheetData>
    <row r="1" spans="1:51" s="292" customFormat="1">
      <c r="A1" s="292" t="s">
        <v>233</v>
      </c>
      <c r="C1" s="293"/>
      <c r="D1" s="294"/>
      <c r="H1" s="295"/>
      <c r="I1" s="295"/>
      <c r="J1" s="296"/>
      <c r="K1" s="296"/>
      <c r="N1" s="297"/>
      <c r="O1" s="298"/>
      <c r="P1" s="298"/>
      <c r="Q1" s="298"/>
      <c r="R1" s="298"/>
      <c r="S1" s="298"/>
      <c r="T1" s="298"/>
      <c r="U1" s="298"/>
      <c r="AK1" s="299"/>
    </row>
    <row r="2" spans="1:51" s="292" customFormat="1">
      <c r="A2" s="292" t="s">
        <v>234</v>
      </c>
      <c r="C2" s="293"/>
      <c r="D2" s="294"/>
      <c r="H2" s="295"/>
      <c r="I2" s="295"/>
      <c r="J2" s="296"/>
      <c r="K2" s="296"/>
      <c r="N2" s="297"/>
      <c r="O2" s="298"/>
      <c r="P2" s="298"/>
      <c r="Q2" s="298"/>
      <c r="R2" s="298"/>
      <c r="S2" s="298"/>
      <c r="T2" s="298"/>
      <c r="U2" s="298"/>
      <c r="AK2" s="299"/>
    </row>
    <row r="3" spans="1:51" s="301" customFormat="1" ht="27" customHeight="1">
      <c r="A3" s="971" t="s">
        <v>966</v>
      </c>
      <c r="B3" s="971"/>
      <c r="C3" s="972"/>
      <c r="D3" s="971"/>
      <c r="E3" s="971"/>
      <c r="F3" s="971"/>
      <c r="G3" s="971"/>
      <c r="H3" s="971"/>
      <c r="I3" s="971"/>
      <c r="J3" s="971"/>
      <c r="K3" s="971"/>
      <c r="L3" s="971"/>
      <c r="M3" s="971"/>
      <c r="N3" s="971"/>
      <c r="O3" s="300"/>
      <c r="P3" s="300"/>
      <c r="Q3" s="300"/>
      <c r="R3" s="300"/>
      <c r="S3" s="300"/>
      <c r="T3" s="300"/>
      <c r="U3" s="300"/>
      <c r="AK3" s="302"/>
    </row>
    <row r="4" spans="1:51" s="301" customFormat="1" ht="27" customHeight="1">
      <c r="A4" s="971" t="s">
        <v>967</v>
      </c>
      <c r="B4" s="971"/>
      <c r="C4" s="972"/>
      <c r="D4" s="971"/>
      <c r="E4" s="971"/>
      <c r="F4" s="971"/>
      <c r="G4" s="971"/>
      <c r="H4" s="971"/>
      <c r="I4" s="971"/>
      <c r="J4" s="971"/>
      <c r="K4" s="971"/>
      <c r="L4" s="971"/>
      <c r="M4" s="971"/>
      <c r="N4" s="971"/>
      <c r="O4" s="300"/>
      <c r="P4" s="300"/>
      <c r="Q4" s="300"/>
      <c r="R4" s="300"/>
      <c r="S4" s="300"/>
      <c r="T4" s="300"/>
      <c r="U4" s="300"/>
      <c r="AK4" s="302"/>
    </row>
    <row r="5" spans="1:51" s="308" customFormat="1" ht="27" customHeight="1">
      <c r="A5" s="303" t="s">
        <v>670</v>
      </c>
      <c r="B5" s="304"/>
      <c r="C5" s="305"/>
      <c r="D5" s="301"/>
      <c r="E5" s="304"/>
      <c r="F5" s="304"/>
      <c r="G5" s="304"/>
      <c r="H5" s="306"/>
      <c r="I5" s="306"/>
      <c r="J5" s="307"/>
      <c r="K5" s="307"/>
      <c r="N5" s="309"/>
      <c r="O5" s="310"/>
      <c r="P5" s="310"/>
      <c r="Q5" s="310"/>
      <c r="R5" s="310"/>
      <c r="S5" s="310"/>
      <c r="T5" s="310"/>
      <c r="U5" s="310"/>
      <c r="AK5" s="311"/>
    </row>
    <row r="6" spans="1:51" s="308" customFormat="1" ht="17.25" customHeight="1">
      <c r="A6" s="312" t="s">
        <v>671</v>
      </c>
      <c r="B6" s="304"/>
      <c r="C6" s="305"/>
      <c r="D6" s="301"/>
      <c r="E6" s="304"/>
      <c r="F6" s="304"/>
      <c r="G6" s="304"/>
      <c r="H6" s="306"/>
      <c r="I6" s="306"/>
      <c r="J6" s="307"/>
      <c r="K6" s="307"/>
      <c r="N6" s="309"/>
      <c r="O6" s="310"/>
      <c r="P6" s="310"/>
      <c r="Q6" s="310"/>
      <c r="R6" s="310"/>
      <c r="S6" s="310"/>
      <c r="T6" s="310"/>
      <c r="U6" s="310"/>
      <c r="AK6" s="311"/>
    </row>
    <row r="7" spans="1:51" s="301" customFormat="1" ht="33.75" customHeight="1">
      <c r="A7" s="313" t="s">
        <v>672</v>
      </c>
      <c r="C7" s="314"/>
      <c r="D7" s="315">
        <v>4729400</v>
      </c>
      <c r="E7" s="316"/>
      <c r="H7" s="317"/>
      <c r="I7" s="317"/>
      <c r="J7" s="318"/>
      <c r="K7" s="973"/>
      <c r="L7" s="973"/>
      <c r="M7" s="974"/>
      <c r="N7" s="973"/>
      <c r="O7" s="300"/>
      <c r="P7" s="300"/>
      <c r="Q7" s="300"/>
      <c r="R7" s="300"/>
      <c r="S7" s="300"/>
      <c r="T7" s="300"/>
      <c r="U7" s="300"/>
      <c r="V7" s="300"/>
      <c r="W7" s="300"/>
      <c r="Y7" s="300"/>
      <c r="Z7" s="300"/>
      <c r="AA7" s="300"/>
      <c r="AB7" s="300"/>
      <c r="AC7" s="300"/>
      <c r="AD7" s="300"/>
      <c r="AV7" s="319"/>
    </row>
    <row r="8" spans="1:51" s="298" customFormat="1" ht="33.75" customHeight="1">
      <c r="A8" s="320" t="s">
        <v>18</v>
      </c>
      <c r="B8" s="321" t="s">
        <v>673</v>
      </c>
      <c r="C8" s="322" t="s">
        <v>1</v>
      </c>
      <c r="D8" s="323" t="s">
        <v>674</v>
      </c>
      <c r="E8" s="323" t="s">
        <v>675</v>
      </c>
      <c r="F8" s="323" t="s">
        <v>676</v>
      </c>
      <c r="G8" s="321" t="s">
        <v>677</v>
      </c>
      <c r="H8" s="324" t="s">
        <v>678</v>
      </c>
      <c r="I8" s="324" t="s">
        <v>679</v>
      </c>
      <c r="J8" s="325" t="s">
        <v>4</v>
      </c>
      <c r="K8" s="325" t="s">
        <v>245</v>
      </c>
      <c r="L8" s="326" t="s">
        <v>680</v>
      </c>
      <c r="M8" s="321" t="s">
        <v>681</v>
      </c>
      <c r="N8" s="321" t="s">
        <v>682</v>
      </c>
      <c r="O8" s="328">
        <v>1</v>
      </c>
      <c r="P8" s="327">
        <v>2</v>
      </c>
      <c r="Q8" s="328">
        <v>3</v>
      </c>
      <c r="R8" s="328">
        <v>4</v>
      </c>
      <c r="S8" s="327">
        <v>5</v>
      </c>
      <c r="T8" s="327">
        <v>6</v>
      </c>
      <c r="U8" s="328">
        <v>7</v>
      </c>
      <c r="V8" s="328">
        <v>8</v>
      </c>
      <c r="W8" s="328">
        <v>9</v>
      </c>
      <c r="X8" s="328">
        <v>10</v>
      </c>
      <c r="Y8" s="328">
        <v>11</v>
      </c>
      <c r="Z8" s="328">
        <v>12</v>
      </c>
      <c r="AA8" s="327">
        <v>13</v>
      </c>
      <c r="AB8" s="328">
        <v>14</v>
      </c>
      <c r="AC8" s="328">
        <v>15</v>
      </c>
      <c r="AD8" s="328">
        <v>16</v>
      </c>
      <c r="AE8" s="328">
        <v>17</v>
      </c>
      <c r="AF8" s="328">
        <v>18</v>
      </c>
      <c r="AG8" s="327">
        <v>19</v>
      </c>
      <c r="AH8" s="327">
        <v>20</v>
      </c>
      <c r="AI8" s="328">
        <v>21</v>
      </c>
      <c r="AJ8" s="328">
        <v>22</v>
      </c>
      <c r="AK8" s="328">
        <v>23</v>
      </c>
      <c r="AL8" s="328">
        <v>24</v>
      </c>
      <c r="AM8" s="328">
        <v>25</v>
      </c>
      <c r="AN8" s="328">
        <v>26</v>
      </c>
      <c r="AO8" s="327">
        <v>27</v>
      </c>
      <c r="AP8" s="328">
        <v>28</v>
      </c>
      <c r="AQ8" s="328">
        <v>29</v>
      </c>
      <c r="AR8" s="328">
        <v>30</v>
      </c>
      <c r="AS8" s="321">
        <v>31</v>
      </c>
      <c r="AT8" s="329" t="s">
        <v>683</v>
      </c>
      <c r="AU8" s="326" t="s">
        <v>684</v>
      </c>
      <c r="AV8" s="330" t="s">
        <v>685</v>
      </c>
      <c r="AW8" s="330" t="s">
        <v>686</v>
      </c>
      <c r="AX8" s="331" t="s">
        <v>201</v>
      </c>
    </row>
    <row r="9" spans="1:51" s="342" customFormat="1" ht="16.5" customHeight="1">
      <c r="A9" s="332" t="s">
        <v>687</v>
      </c>
      <c r="B9" s="333" t="s">
        <v>688</v>
      </c>
      <c r="C9" s="334" t="s">
        <v>689</v>
      </c>
      <c r="D9" s="333"/>
      <c r="E9" s="333"/>
      <c r="F9" s="333"/>
      <c r="G9" s="333" t="s">
        <v>690</v>
      </c>
      <c r="H9" s="335" t="s">
        <v>691</v>
      </c>
      <c r="I9" s="335" t="s">
        <v>692</v>
      </c>
      <c r="J9" s="336"/>
      <c r="K9" s="336"/>
      <c r="L9" s="337" t="s">
        <v>693</v>
      </c>
      <c r="M9" s="333"/>
      <c r="N9" s="333" t="s">
        <v>694</v>
      </c>
      <c r="O9" s="339"/>
      <c r="P9" s="338"/>
      <c r="Q9" s="339"/>
      <c r="R9" s="339"/>
      <c r="S9" s="338"/>
      <c r="T9" s="338"/>
      <c r="U9" s="339"/>
      <c r="V9" s="339"/>
      <c r="W9" s="339"/>
      <c r="X9" s="339"/>
      <c r="Y9" s="339"/>
      <c r="Z9" s="339"/>
      <c r="AA9" s="338"/>
      <c r="AB9" s="339"/>
      <c r="AC9" s="339"/>
      <c r="AD9" s="339"/>
      <c r="AE9" s="339"/>
      <c r="AF9" s="339"/>
      <c r="AG9" s="338"/>
      <c r="AH9" s="338"/>
      <c r="AI9" s="339"/>
      <c r="AJ9" s="339"/>
      <c r="AK9" s="792"/>
      <c r="AL9" s="339"/>
      <c r="AM9" s="339"/>
      <c r="AN9" s="339"/>
      <c r="AO9" s="338"/>
      <c r="AP9" s="339"/>
      <c r="AQ9" s="339"/>
      <c r="AR9" s="339"/>
      <c r="AS9" s="333"/>
      <c r="AT9" s="335"/>
      <c r="AU9" s="333"/>
      <c r="AV9" s="333"/>
      <c r="AW9" s="340"/>
      <c r="AX9" s="341"/>
    </row>
    <row r="10" spans="1:51">
      <c r="A10" s="343">
        <v>1</v>
      </c>
      <c r="B10" s="358" t="s">
        <v>34</v>
      </c>
      <c r="C10" s="793" t="s">
        <v>78</v>
      </c>
      <c r="D10" s="344"/>
      <c r="E10" s="344" t="s">
        <v>700</v>
      </c>
      <c r="F10" s="344" t="s">
        <v>696</v>
      </c>
      <c r="G10" s="345" t="s">
        <v>697</v>
      </c>
      <c r="H10" s="356" t="s">
        <v>701</v>
      </c>
      <c r="I10" s="360" t="s">
        <v>448</v>
      </c>
      <c r="J10" s="360" t="s">
        <v>498</v>
      </c>
      <c r="K10" s="147" t="s">
        <v>702</v>
      </c>
      <c r="L10" s="347">
        <v>200319</v>
      </c>
      <c r="M10" s="348" t="s">
        <v>703</v>
      </c>
      <c r="N10" s="349">
        <f t="shared" ref="N10:N11" si="0">2020-RIGHT(H10,4)</f>
        <v>20</v>
      </c>
      <c r="O10" s="351" t="s">
        <v>124</v>
      </c>
      <c r="P10" s="350"/>
      <c r="Q10" s="351" t="s">
        <v>124</v>
      </c>
      <c r="R10" s="351" t="s">
        <v>124</v>
      </c>
      <c r="S10" s="350" t="s">
        <v>124</v>
      </c>
      <c r="T10" s="350" t="s">
        <v>124</v>
      </c>
      <c r="U10" s="351" t="s">
        <v>124</v>
      </c>
      <c r="V10" s="351" t="s">
        <v>124</v>
      </c>
      <c r="W10" s="351" t="s">
        <v>124</v>
      </c>
      <c r="X10" s="351" t="s">
        <v>124</v>
      </c>
      <c r="Y10" s="351" t="s">
        <v>124</v>
      </c>
      <c r="Z10" s="351" t="s">
        <v>124</v>
      </c>
      <c r="AA10" s="350"/>
      <c r="AB10" s="351" t="s">
        <v>124</v>
      </c>
      <c r="AC10" s="351" t="s">
        <v>124</v>
      </c>
      <c r="AD10" s="351" t="s">
        <v>124</v>
      </c>
      <c r="AE10" s="351" t="s">
        <v>124</v>
      </c>
      <c r="AF10" s="351" t="s">
        <v>124</v>
      </c>
      <c r="AG10" s="350" t="s">
        <v>124</v>
      </c>
      <c r="AH10" s="350" t="s">
        <v>124</v>
      </c>
      <c r="AI10" s="351" t="s">
        <v>124</v>
      </c>
      <c r="AJ10" s="351" t="s">
        <v>124</v>
      </c>
      <c r="AK10" s="351" t="s">
        <v>124</v>
      </c>
      <c r="AL10" s="351" t="s">
        <v>124</v>
      </c>
      <c r="AM10" s="351" t="s">
        <v>124</v>
      </c>
      <c r="AN10" s="351" t="s">
        <v>124</v>
      </c>
      <c r="AO10" s="350" t="s">
        <v>124</v>
      </c>
      <c r="AP10" s="351" t="s">
        <v>124</v>
      </c>
      <c r="AQ10" s="351"/>
      <c r="AR10" s="351"/>
      <c r="AS10" s="351"/>
      <c r="AT10" s="352"/>
      <c r="AU10" s="353">
        <f t="shared" ref="AU10:AU26" si="1">COUNTIF(O10:AS10,"HNS")</f>
        <v>26</v>
      </c>
      <c r="AV10" s="348" t="str">
        <f t="shared" ref="AV10:AV23" si="2">IF(COUNTIF(O10:AS10,"HNS")&gt;13,"đủ ĐK","")</f>
        <v>đủ ĐK</v>
      </c>
      <c r="AW10" s="354">
        <f t="shared" ref="AW10:AW11" si="3">$D$7*21.5%</f>
        <v>1016821</v>
      </c>
      <c r="AX10" s="355" t="s">
        <v>698</v>
      </c>
      <c r="AY10" s="294" t="s">
        <v>590</v>
      </c>
    </row>
    <row r="11" spans="1:51">
      <c r="A11" s="343">
        <v>2</v>
      </c>
      <c r="B11" s="358" t="s">
        <v>35</v>
      </c>
      <c r="C11" s="793" t="s">
        <v>79</v>
      </c>
      <c r="D11" s="344"/>
      <c r="E11" s="344" t="s">
        <v>700</v>
      </c>
      <c r="F11" s="344" t="s">
        <v>696</v>
      </c>
      <c r="G11" s="345" t="s">
        <v>704</v>
      </c>
      <c r="H11" s="356" t="s">
        <v>705</v>
      </c>
      <c r="I11" s="346" t="s">
        <v>968</v>
      </c>
      <c r="J11" s="357">
        <f>VLOOKUP(B11,'[13]Ngày công &amp; tiền lương'!B$12:I$97,7,FALSE)</f>
        <v>0</v>
      </c>
      <c r="K11" s="147" t="s">
        <v>480</v>
      </c>
      <c r="L11" s="347">
        <v>200320</v>
      </c>
      <c r="M11" s="348" t="s">
        <v>180</v>
      </c>
      <c r="N11" s="349">
        <f t="shared" si="0"/>
        <v>24</v>
      </c>
      <c r="O11" s="351" t="s">
        <v>124</v>
      </c>
      <c r="P11" s="350"/>
      <c r="Q11" s="351" t="s">
        <v>124</v>
      </c>
      <c r="R11" s="351" t="s">
        <v>124</v>
      </c>
      <c r="S11" s="350" t="s">
        <v>124</v>
      </c>
      <c r="T11" s="350" t="s">
        <v>124</v>
      </c>
      <c r="U11" s="351" t="s">
        <v>124</v>
      </c>
      <c r="V11" s="351" t="s">
        <v>124</v>
      </c>
      <c r="W11" s="351" t="s">
        <v>124</v>
      </c>
      <c r="X11" s="351" t="s">
        <v>124</v>
      </c>
      <c r="Y11" s="351" t="s">
        <v>124</v>
      </c>
      <c r="Z11" s="351" t="s">
        <v>124</v>
      </c>
      <c r="AA11" s="350" t="s">
        <v>124</v>
      </c>
      <c r="AB11" s="351" t="s">
        <v>124</v>
      </c>
      <c r="AC11" s="351" t="s">
        <v>124</v>
      </c>
      <c r="AD11" s="351" t="s">
        <v>124</v>
      </c>
      <c r="AE11" s="351" t="s">
        <v>124</v>
      </c>
      <c r="AF11" s="351" t="s">
        <v>124</v>
      </c>
      <c r="AG11" s="350" t="s">
        <v>124</v>
      </c>
      <c r="AH11" s="350" t="s">
        <v>124</v>
      </c>
      <c r="AI11" s="351" t="s">
        <v>124</v>
      </c>
      <c r="AJ11" s="351" t="s">
        <v>124</v>
      </c>
      <c r="AK11" s="351" t="s">
        <v>124</v>
      </c>
      <c r="AL11" s="351" t="s">
        <v>124</v>
      </c>
      <c r="AM11" s="351" t="s">
        <v>124</v>
      </c>
      <c r="AN11" s="351" t="s">
        <v>124</v>
      </c>
      <c r="AO11" s="350" t="s">
        <v>124</v>
      </c>
      <c r="AP11" s="351" t="s">
        <v>124</v>
      </c>
      <c r="AQ11" s="351" t="s">
        <v>124</v>
      </c>
      <c r="AR11" s="351" t="s">
        <v>124</v>
      </c>
      <c r="AS11" s="351"/>
      <c r="AT11" s="352"/>
      <c r="AU11" s="353">
        <f t="shared" si="1"/>
        <v>29</v>
      </c>
      <c r="AV11" s="348" t="str">
        <f t="shared" si="2"/>
        <v>đủ ĐK</v>
      </c>
      <c r="AW11" s="354">
        <f t="shared" si="3"/>
        <v>1016821</v>
      </c>
      <c r="AX11" s="355" t="s">
        <v>698</v>
      </c>
      <c r="AY11" s="294" t="s">
        <v>590</v>
      </c>
    </row>
    <row r="12" spans="1:51">
      <c r="A12" s="343">
        <v>3</v>
      </c>
      <c r="B12" s="361" t="s">
        <v>37</v>
      </c>
      <c r="C12" s="362" t="s">
        <v>81</v>
      </c>
      <c r="D12" s="344"/>
      <c r="E12" s="344" t="s">
        <v>695</v>
      </c>
      <c r="F12" s="344" t="s">
        <v>706</v>
      </c>
      <c r="G12" s="345" t="s">
        <v>697</v>
      </c>
      <c r="H12" s="363" t="s">
        <v>707</v>
      </c>
      <c r="I12" s="794" t="s">
        <v>451</v>
      </c>
      <c r="J12" s="364">
        <v>40673</v>
      </c>
      <c r="K12" s="147" t="s">
        <v>480</v>
      </c>
      <c r="L12" s="365">
        <v>200415</v>
      </c>
      <c r="M12" s="348" t="s">
        <v>180</v>
      </c>
      <c r="N12" s="363"/>
      <c r="O12" s="351" t="s">
        <v>124</v>
      </c>
      <c r="P12" s="350"/>
      <c r="Q12" s="351" t="s">
        <v>124</v>
      </c>
      <c r="R12" s="351" t="s">
        <v>124</v>
      </c>
      <c r="S12" s="350" t="s">
        <v>124</v>
      </c>
      <c r="T12" s="350" t="s">
        <v>124</v>
      </c>
      <c r="U12" s="351" t="s">
        <v>124</v>
      </c>
      <c r="V12" s="351" t="s">
        <v>124</v>
      </c>
      <c r="W12" s="351" t="s">
        <v>124</v>
      </c>
      <c r="X12" s="351" t="s">
        <v>124</v>
      </c>
      <c r="Y12" s="351" t="s">
        <v>124</v>
      </c>
      <c r="Z12" s="351" t="s">
        <v>124</v>
      </c>
      <c r="AA12" s="350" t="s">
        <v>124</v>
      </c>
      <c r="AB12" s="351" t="s">
        <v>124</v>
      </c>
      <c r="AC12" s="351" t="s">
        <v>124</v>
      </c>
      <c r="AD12" s="351" t="s">
        <v>124</v>
      </c>
      <c r="AE12" s="351" t="s">
        <v>124</v>
      </c>
      <c r="AF12" s="351" t="s">
        <v>124</v>
      </c>
      <c r="AG12" s="350" t="s">
        <v>124</v>
      </c>
      <c r="AH12" s="350" t="s">
        <v>124</v>
      </c>
      <c r="AI12" s="351" t="s">
        <v>124</v>
      </c>
      <c r="AJ12" s="351" t="s">
        <v>124</v>
      </c>
      <c r="AK12" s="351" t="s">
        <v>124</v>
      </c>
      <c r="AL12" s="351" t="s">
        <v>124</v>
      </c>
      <c r="AM12" s="351" t="s">
        <v>124</v>
      </c>
      <c r="AN12" s="351" t="s">
        <v>124</v>
      </c>
      <c r="AO12" s="350" t="s">
        <v>124</v>
      </c>
      <c r="AP12" s="351" t="s">
        <v>124</v>
      </c>
      <c r="AQ12" s="351" t="s">
        <v>124</v>
      </c>
      <c r="AR12" s="351" t="s">
        <v>124</v>
      </c>
      <c r="AS12" s="351"/>
      <c r="AT12" s="352"/>
      <c r="AU12" s="353">
        <f t="shared" si="1"/>
        <v>29</v>
      </c>
      <c r="AV12" s="348" t="str">
        <f t="shared" si="2"/>
        <v>đủ ĐK</v>
      </c>
      <c r="AW12" s="354">
        <f>$D$7*21.5%</f>
        <v>1016821</v>
      </c>
      <c r="AX12" s="355" t="s">
        <v>698</v>
      </c>
      <c r="AY12" s="294" t="s">
        <v>590</v>
      </c>
    </row>
    <row r="13" spans="1:51">
      <c r="A13" s="343">
        <v>4</v>
      </c>
      <c r="B13" s="361" t="s">
        <v>39</v>
      </c>
      <c r="C13" s="362" t="s">
        <v>83</v>
      </c>
      <c r="D13" s="344"/>
      <c r="E13" s="344" t="s">
        <v>699</v>
      </c>
      <c r="F13" s="344" t="s">
        <v>706</v>
      </c>
      <c r="G13" s="345" t="s">
        <v>697</v>
      </c>
      <c r="H13" s="363" t="s">
        <v>708</v>
      </c>
      <c r="I13" s="794" t="s">
        <v>452</v>
      </c>
      <c r="J13" s="147" t="s">
        <v>479</v>
      </c>
      <c r="K13" s="147" t="s">
        <v>480</v>
      </c>
      <c r="L13" s="365">
        <v>200507</v>
      </c>
      <c r="M13" s="348" t="s">
        <v>180</v>
      </c>
      <c r="N13" s="363" t="s">
        <v>610</v>
      </c>
      <c r="O13" s="351" t="s">
        <v>124</v>
      </c>
      <c r="P13" s="350"/>
      <c r="Q13" s="351" t="s">
        <v>124</v>
      </c>
      <c r="R13" s="351" t="s">
        <v>124</v>
      </c>
      <c r="S13" s="350" t="s">
        <v>124</v>
      </c>
      <c r="T13" s="350" t="s">
        <v>124</v>
      </c>
      <c r="U13" s="351" t="s">
        <v>124</v>
      </c>
      <c r="V13" s="351" t="s">
        <v>124</v>
      </c>
      <c r="W13" s="351" t="s">
        <v>124</v>
      </c>
      <c r="X13" s="351" t="s">
        <v>124</v>
      </c>
      <c r="Y13" s="351" t="s">
        <v>124</v>
      </c>
      <c r="Z13" s="351" t="s">
        <v>124</v>
      </c>
      <c r="AA13" s="350" t="s">
        <v>124</v>
      </c>
      <c r="AB13" s="351" t="s">
        <v>124</v>
      </c>
      <c r="AC13" s="351" t="s">
        <v>124</v>
      </c>
      <c r="AD13" s="351" t="s">
        <v>124</v>
      </c>
      <c r="AE13" s="351" t="s">
        <v>124</v>
      </c>
      <c r="AF13" s="351" t="s">
        <v>124</v>
      </c>
      <c r="AG13" s="350" t="s">
        <v>124</v>
      </c>
      <c r="AH13" s="350" t="s">
        <v>124</v>
      </c>
      <c r="AI13" s="351" t="s">
        <v>124</v>
      </c>
      <c r="AJ13" s="351" t="s">
        <v>124</v>
      </c>
      <c r="AK13" s="351" t="s">
        <v>124</v>
      </c>
      <c r="AL13" s="351" t="s">
        <v>124</v>
      </c>
      <c r="AM13" s="351" t="s">
        <v>124</v>
      </c>
      <c r="AN13" s="351" t="s">
        <v>124</v>
      </c>
      <c r="AO13" s="350" t="s">
        <v>124</v>
      </c>
      <c r="AP13" s="351" t="s">
        <v>124</v>
      </c>
      <c r="AQ13" s="351" t="s">
        <v>124</v>
      </c>
      <c r="AR13" s="351" t="s">
        <v>124</v>
      </c>
      <c r="AS13" s="351"/>
      <c r="AT13" s="352"/>
      <c r="AU13" s="353">
        <f t="shared" si="1"/>
        <v>29</v>
      </c>
      <c r="AV13" s="348" t="str">
        <f t="shared" si="2"/>
        <v>đủ ĐK</v>
      </c>
      <c r="AW13" s="354">
        <f t="shared" ref="AW13:AW26" si="4">$D$7*21.5%</f>
        <v>1016821</v>
      </c>
      <c r="AX13" s="355" t="s">
        <v>698</v>
      </c>
      <c r="AY13" s="294" t="s">
        <v>590</v>
      </c>
    </row>
    <row r="14" spans="1:51">
      <c r="A14" s="343">
        <v>5</v>
      </c>
      <c r="B14" s="361" t="s">
        <v>40</v>
      </c>
      <c r="C14" s="366" t="s">
        <v>84</v>
      </c>
      <c r="D14" s="344"/>
      <c r="E14" s="344" t="s">
        <v>709</v>
      </c>
      <c r="F14" s="344" t="s">
        <v>710</v>
      </c>
      <c r="G14" s="345" t="s">
        <v>697</v>
      </c>
      <c r="H14" s="367" t="s">
        <v>711</v>
      </c>
      <c r="I14" s="795">
        <v>175051305</v>
      </c>
      <c r="J14" s="147" t="s">
        <v>511</v>
      </c>
      <c r="K14" s="147" t="s">
        <v>132</v>
      </c>
      <c r="L14" s="365">
        <v>200518</v>
      </c>
      <c r="M14" s="348" t="s">
        <v>180</v>
      </c>
      <c r="N14" s="363" t="s">
        <v>615</v>
      </c>
      <c r="O14" s="351" t="s">
        <v>124</v>
      </c>
      <c r="P14" s="350"/>
      <c r="Q14" s="351" t="s">
        <v>124</v>
      </c>
      <c r="R14" s="351" t="s">
        <v>124</v>
      </c>
      <c r="S14" s="350" t="s">
        <v>124</v>
      </c>
      <c r="T14" s="350" t="s">
        <v>124</v>
      </c>
      <c r="U14" s="351" t="s">
        <v>124</v>
      </c>
      <c r="V14" s="351" t="s">
        <v>124</v>
      </c>
      <c r="W14" s="351" t="s">
        <v>124</v>
      </c>
      <c r="X14" s="351" t="s">
        <v>124</v>
      </c>
      <c r="Y14" s="351" t="s">
        <v>124</v>
      </c>
      <c r="Z14" s="351" t="s">
        <v>124</v>
      </c>
      <c r="AA14" s="350" t="s">
        <v>124</v>
      </c>
      <c r="AB14" s="351" t="s">
        <v>124</v>
      </c>
      <c r="AC14" s="351" t="s">
        <v>124</v>
      </c>
      <c r="AD14" s="351" t="s">
        <v>124</v>
      </c>
      <c r="AE14" s="351" t="s">
        <v>124</v>
      </c>
      <c r="AF14" s="351" t="s">
        <v>124</v>
      </c>
      <c r="AG14" s="350" t="s">
        <v>124</v>
      </c>
      <c r="AH14" s="350" t="s">
        <v>124</v>
      </c>
      <c r="AI14" s="351" t="s">
        <v>124</v>
      </c>
      <c r="AJ14" s="351" t="s">
        <v>124</v>
      </c>
      <c r="AK14" s="351" t="s">
        <v>124</v>
      </c>
      <c r="AL14" s="351" t="s">
        <v>124</v>
      </c>
      <c r="AM14" s="351" t="s">
        <v>124</v>
      </c>
      <c r="AN14" s="351" t="s">
        <v>124</v>
      </c>
      <c r="AO14" s="350" t="s">
        <v>124</v>
      </c>
      <c r="AP14" s="351" t="s">
        <v>124</v>
      </c>
      <c r="AQ14" s="351" t="s">
        <v>124</v>
      </c>
      <c r="AR14" s="351" t="s">
        <v>124</v>
      </c>
      <c r="AS14" s="351"/>
      <c r="AT14" s="352"/>
      <c r="AU14" s="353">
        <f t="shared" si="1"/>
        <v>29</v>
      </c>
      <c r="AV14" s="348" t="str">
        <f t="shared" si="2"/>
        <v>đủ ĐK</v>
      </c>
      <c r="AW14" s="354">
        <f t="shared" si="4"/>
        <v>1016821</v>
      </c>
      <c r="AX14" s="355" t="s">
        <v>698</v>
      </c>
      <c r="AY14" s="294" t="s">
        <v>590</v>
      </c>
    </row>
    <row r="15" spans="1:51">
      <c r="A15" s="343">
        <v>6</v>
      </c>
      <c r="B15" s="361" t="s">
        <v>392</v>
      </c>
      <c r="C15" s="366" t="s">
        <v>86</v>
      </c>
      <c r="D15" s="344"/>
      <c r="E15" s="344" t="s">
        <v>712</v>
      </c>
      <c r="F15" s="344" t="s">
        <v>713</v>
      </c>
      <c r="G15" s="345" t="s">
        <v>697</v>
      </c>
      <c r="H15" s="363" t="s">
        <v>714</v>
      </c>
      <c r="I15" s="794" t="s">
        <v>454</v>
      </c>
      <c r="J15" s="147" t="s">
        <v>501</v>
      </c>
      <c r="K15" s="147" t="s">
        <v>502</v>
      </c>
      <c r="L15" s="365">
        <v>200520</v>
      </c>
      <c r="M15" s="348" t="s">
        <v>180</v>
      </c>
      <c r="N15" s="363" t="s">
        <v>715</v>
      </c>
      <c r="O15" s="351" t="s">
        <v>124</v>
      </c>
      <c r="P15" s="350"/>
      <c r="Q15" s="351" t="s">
        <v>124</v>
      </c>
      <c r="R15" s="351" t="s">
        <v>124</v>
      </c>
      <c r="S15" s="350" t="s">
        <v>124</v>
      </c>
      <c r="T15" s="350" t="s">
        <v>124</v>
      </c>
      <c r="U15" s="351" t="s">
        <v>124</v>
      </c>
      <c r="V15" s="351" t="s">
        <v>124</v>
      </c>
      <c r="W15" s="351" t="s">
        <v>124</v>
      </c>
      <c r="X15" s="351" t="s">
        <v>124</v>
      </c>
      <c r="Y15" s="351" t="s">
        <v>124</v>
      </c>
      <c r="Z15" s="351" t="s">
        <v>124</v>
      </c>
      <c r="AA15" s="350" t="s">
        <v>124</v>
      </c>
      <c r="AB15" s="351" t="s">
        <v>124</v>
      </c>
      <c r="AC15" s="351"/>
      <c r="AD15" s="351"/>
      <c r="AE15" s="351" t="s">
        <v>124</v>
      </c>
      <c r="AF15" s="351" t="s">
        <v>124</v>
      </c>
      <c r="AG15" s="350" t="s">
        <v>124</v>
      </c>
      <c r="AH15" s="350" t="s">
        <v>124</v>
      </c>
      <c r="AI15" s="351" t="s">
        <v>124</v>
      </c>
      <c r="AJ15" s="351" t="s">
        <v>124</v>
      </c>
      <c r="AK15" s="351" t="s">
        <v>124</v>
      </c>
      <c r="AL15" s="351" t="s">
        <v>124</v>
      </c>
      <c r="AM15" s="351" t="s">
        <v>124</v>
      </c>
      <c r="AN15" s="351" t="s">
        <v>124</v>
      </c>
      <c r="AO15" s="350" t="s">
        <v>124</v>
      </c>
      <c r="AP15" s="351" t="s">
        <v>124</v>
      </c>
      <c r="AQ15" s="351" t="s">
        <v>124</v>
      </c>
      <c r="AR15" s="351" t="s">
        <v>124</v>
      </c>
      <c r="AS15" s="351"/>
      <c r="AT15" s="352"/>
      <c r="AU15" s="353">
        <f t="shared" si="1"/>
        <v>27</v>
      </c>
      <c r="AV15" s="348" t="str">
        <f t="shared" si="2"/>
        <v>đủ ĐK</v>
      </c>
      <c r="AW15" s="354">
        <f t="shared" si="4"/>
        <v>1016821</v>
      </c>
      <c r="AX15" s="355" t="s">
        <v>698</v>
      </c>
      <c r="AY15" s="294" t="s">
        <v>590</v>
      </c>
    </row>
    <row r="16" spans="1:51">
      <c r="A16" s="343">
        <v>7</v>
      </c>
      <c r="B16" s="361" t="s">
        <v>311</v>
      </c>
      <c r="C16" s="362" t="s">
        <v>88</v>
      </c>
      <c r="D16" s="344"/>
      <c r="E16" s="344" t="s">
        <v>716</v>
      </c>
      <c r="F16" s="344" t="s">
        <v>717</v>
      </c>
      <c r="G16" s="345" t="s">
        <v>697</v>
      </c>
      <c r="H16" s="363" t="s">
        <v>718</v>
      </c>
      <c r="I16" s="794" t="s">
        <v>446</v>
      </c>
      <c r="J16" s="147" t="s">
        <v>719</v>
      </c>
      <c r="K16" s="147" t="s">
        <v>137</v>
      </c>
      <c r="L16" s="347">
        <v>200525</v>
      </c>
      <c r="M16" s="348" t="s">
        <v>703</v>
      </c>
      <c r="N16" s="363" t="s">
        <v>616</v>
      </c>
      <c r="O16" s="351" t="s">
        <v>124</v>
      </c>
      <c r="P16" s="350"/>
      <c r="Q16" s="351" t="s">
        <v>124</v>
      </c>
      <c r="R16" s="351" t="s">
        <v>124</v>
      </c>
      <c r="S16" s="350" t="s">
        <v>124</v>
      </c>
      <c r="T16" s="350" t="s">
        <v>124</v>
      </c>
      <c r="U16" s="351" t="s">
        <v>124</v>
      </c>
      <c r="V16" s="351" t="s">
        <v>124</v>
      </c>
      <c r="W16" s="351" t="s">
        <v>124</v>
      </c>
      <c r="X16" s="351" t="s">
        <v>124</v>
      </c>
      <c r="Y16" s="351" t="s">
        <v>124</v>
      </c>
      <c r="Z16" s="351" t="s">
        <v>124</v>
      </c>
      <c r="AA16" s="350" t="s">
        <v>124</v>
      </c>
      <c r="AB16" s="351" t="s">
        <v>124</v>
      </c>
      <c r="AC16" s="351" t="s">
        <v>124</v>
      </c>
      <c r="AD16" s="351" t="s">
        <v>124</v>
      </c>
      <c r="AE16" s="351" t="s">
        <v>124</v>
      </c>
      <c r="AF16" s="351" t="s">
        <v>124</v>
      </c>
      <c r="AG16" s="350" t="s">
        <v>124</v>
      </c>
      <c r="AH16" s="350" t="s">
        <v>124</v>
      </c>
      <c r="AI16" s="351" t="s">
        <v>124</v>
      </c>
      <c r="AJ16" s="351" t="s">
        <v>124</v>
      </c>
      <c r="AK16" s="351" t="s">
        <v>124</v>
      </c>
      <c r="AL16" s="351" t="s">
        <v>124</v>
      </c>
      <c r="AM16" s="351" t="s">
        <v>124</v>
      </c>
      <c r="AN16" s="351" t="s">
        <v>124</v>
      </c>
      <c r="AO16" s="350" t="s">
        <v>124</v>
      </c>
      <c r="AP16" s="351" t="s">
        <v>124</v>
      </c>
      <c r="AQ16" s="351" t="s">
        <v>124</v>
      </c>
      <c r="AR16" s="351" t="s">
        <v>124</v>
      </c>
      <c r="AS16" s="351"/>
      <c r="AT16" s="352"/>
      <c r="AU16" s="353">
        <f t="shared" si="1"/>
        <v>29</v>
      </c>
      <c r="AV16" s="348" t="str">
        <f t="shared" si="2"/>
        <v>đủ ĐK</v>
      </c>
      <c r="AW16" s="354">
        <f t="shared" si="4"/>
        <v>1016821</v>
      </c>
      <c r="AX16" s="355" t="s">
        <v>698</v>
      </c>
      <c r="AY16" s="294" t="s">
        <v>590</v>
      </c>
    </row>
    <row r="17" spans="1:51">
      <c r="A17" s="343">
        <v>8</v>
      </c>
      <c r="B17" s="361" t="s">
        <v>42</v>
      </c>
      <c r="C17" s="362" t="s">
        <v>87</v>
      </c>
      <c r="D17" s="344"/>
      <c r="E17" s="344" t="s">
        <v>716</v>
      </c>
      <c r="F17" s="344" t="s">
        <v>717</v>
      </c>
      <c r="G17" s="345" t="s">
        <v>697</v>
      </c>
      <c r="H17" s="367" t="s">
        <v>720</v>
      </c>
      <c r="I17" s="368" t="s">
        <v>445</v>
      </c>
      <c r="J17" s="368" t="s">
        <v>495</v>
      </c>
      <c r="K17" s="359" t="s">
        <v>142</v>
      </c>
      <c r="L17" s="347">
        <v>200525</v>
      </c>
      <c r="M17" s="348" t="s">
        <v>703</v>
      </c>
      <c r="N17" s="363" t="s">
        <v>613</v>
      </c>
      <c r="O17" s="351" t="s">
        <v>124</v>
      </c>
      <c r="P17" s="350"/>
      <c r="Q17" s="351" t="s">
        <v>124</v>
      </c>
      <c r="R17" s="351" t="s">
        <v>124</v>
      </c>
      <c r="S17" s="350" t="s">
        <v>124</v>
      </c>
      <c r="T17" s="350" t="s">
        <v>124</v>
      </c>
      <c r="U17" s="351" t="s">
        <v>124</v>
      </c>
      <c r="V17" s="351" t="s">
        <v>124</v>
      </c>
      <c r="W17" s="351" t="s">
        <v>124</v>
      </c>
      <c r="X17" s="351" t="s">
        <v>124</v>
      </c>
      <c r="Y17" s="351" t="s">
        <v>124</v>
      </c>
      <c r="Z17" s="351" t="s">
        <v>124</v>
      </c>
      <c r="AA17" s="350" t="s">
        <v>124</v>
      </c>
      <c r="AB17" s="351" t="s">
        <v>124</v>
      </c>
      <c r="AC17" s="351" t="s">
        <v>124</v>
      </c>
      <c r="AD17" s="351" t="s">
        <v>124</v>
      </c>
      <c r="AE17" s="351" t="s">
        <v>124</v>
      </c>
      <c r="AF17" s="351" t="s">
        <v>124</v>
      </c>
      <c r="AG17" s="350" t="s">
        <v>124</v>
      </c>
      <c r="AH17" s="350" t="s">
        <v>124</v>
      </c>
      <c r="AI17" s="351" t="s">
        <v>124</v>
      </c>
      <c r="AJ17" s="351" t="s">
        <v>124</v>
      </c>
      <c r="AK17" s="351" t="s">
        <v>124</v>
      </c>
      <c r="AL17" s="351" t="s">
        <v>124</v>
      </c>
      <c r="AM17" s="351" t="s">
        <v>124</v>
      </c>
      <c r="AN17" s="351" t="s">
        <v>124</v>
      </c>
      <c r="AO17" s="350" t="s">
        <v>124</v>
      </c>
      <c r="AP17" s="351" t="s">
        <v>124</v>
      </c>
      <c r="AQ17" s="351" t="s">
        <v>124</v>
      </c>
      <c r="AR17" s="351" t="s">
        <v>124</v>
      </c>
      <c r="AS17" s="351"/>
      <c r="AT17" s="352"/>
      <c r="AU17" s="353">
        <f t="shared" si="1"/>
        <v>29</v>
      </c>
      <c r="AV17" s="348" t="str">
        <f t="shared" si="2"/>
        <v>đủ ĐK</v>
      </c>
      <c r="AW17" s="354">
        <f t="shared" si="4"/>
        <v>1016821</v>
      </c>
      <c r="AX17" s="355" t="s">
        <v>698</v>
      </c>
      <c r="AY17" s="294" t="s">
        <v>590</v>
      </c>
    </row>
    <row r="18" spans="1:51" ht="18" customHeight="1">
      <c r="A18" s="343">
        <v>9</v>
      </c>
      <c r="B18" s="369" t="s">
        <v>402</v>
      </c>
      <c r="C18" s="362" t="s">
        <v>91</v>
      </c>
      <c r="D18" s="344"/>
      <c r="E18" s="344" t="s">
        <v>721</v>
      </c>
      <c r="F18" s="344" t="s">
        <v>722</v>
      </c>
      <c r="G18" s="345" t="s">
        <v>704</v>
      </c>
      <c r="H18" s="363" t="s">
        <v>723</v>
      </c>
      <c r="I18" s="794" t="s">
        <v>456</v>
      </c>
      <c r="J18" s="147" t="s">
        <v>508</v>
      </c>
      <c r="K18" s="147" t="s">
        <v>702</v>
      </c>
      <c r="L18" s="370" t="s">
        <v>724</v>
      </c>
      <c r="M18" s="348" t="s">
        <v>180</v>
      </c>
      <c r="N18" s="363" t="s">
        <v>616</v>
      </c>
      <c r="O18" s="351" t="s">
        <v>124</v>
      </c>
      <c r="P18" s="350"/>
      <c r="Q18" s="351" t="s">
        <v>124</v>
      </c>
      <c r="R18" s="351" t="s">
        <v>124</v>
      </c>
      <c r="S18" s="350" t="s">
        <v>124</v>
      </c>
      <c r="T18" s="350" t="s">
        <v>124</v>
      </c>
      <c r="U18" s="351" t="s">
        <v>124</v>
      </c>
      <c r="V18" s="351" t="s">
        <v>124</v>
      </c>
      <c r="W18" s="351" t="s">
        <v>124</v>
      </c>
      <c r="X18" s="351" t="s">
        <v>124</v>
      </c>
      <c r="Y18" s="351" t="s">
        <v>124</v>
      </c>
      <c r="Z18" s="351" t="s">
        <v>124</v>
      </c>
      <c r="AA18" s="350" t="s">
        <v>124</v>
      </c>
      <c r="AB18" s="351" t="s">
        <v>124</v>
      </c>
      <c r="AC18" s="351" t="s">
        <v>124</v>
      </c>
      <c r="AD18" s="351" t="s">
        <v>124</v>
      </c>
      <c r="AE18" s="351" t="s">
        <v>124</v>
      </c>
      <c r="AF18" s="351" t="s">
        <v>124</v>
      </c>
      <c r="AG18" s="350" t="s">
        <v>124</v>
      </c>
      <c r="AH18" s="350" t="s">
        <v>124</v>
      </c>
      <c r="AI18" s="351" t="s">
        <v>124</v>
      </c>
      <c r="AJ18" s="351" t="s">
        <v>124</v>
      </c>
      <c r="AK18" s="351" t="s">
        <v>124</v>
      </c>
      <c r="AL18" s="351" t="s">
        <v>124</v>
      </c>
      <c r="AM18" s="351" t="s">
        <v>124</v>
      </c>
      <c r="AN18" s="351" t="s">
        <v>124</v>
      </c>
      <c r="AO18" s="350" t="s">
        <v>124</v>
      </c>
      <c r="AP18" s="351" t="s">
        <v>124</v>
      </c>
      <c r="AQ18" s="351" t="s">
        <v>124</v>
      </c>
      <c r="AR18" s="351" t="s">
        <v>124</v>
      </c>
      <c r="AS18" s="351"/>
      <c r="AT18" s="352"/>
      <c r="AU18" s="353">
        <f t="shared" si="1"/>
        <v>29</v>
      </c>
      <c r="AV18" s="348" t="str">
        <f t="shared" si="2"/>
        <v>đủ ĐK</v>
      </c>
      <c r="AW18" s="354">
        <f t="shared" si="4"/>
        <v>1016821</v>
      </c>
      <c r="AX18" s="355" t="s">
        <v>698</v>
      </c>
      <c r="AY18" s="294" t="s">
        <v>590</v>
      </c>
    </row>
    <row r="19" spans="1:51" ht="18" customHeight="1">
      <c r="A19" s="343">
        <v>10</v>
      </c>
      <c r="B19" s="369" t="s">
        <v>413</v>
      </c>
      <c r="C19" s="366" t="s">
        <v>96</v>
      </c>
      <c r="D19" s="344"/>
      <c r="E19" s="344" t="s">
        <v>725</v>
      </c>
      <c r="F19" s="344" t="s">
        <v>726</v>
      </c>
      <c r="G19" s="345" t="s">
        <v>704</v>
      </c>
      <c r="H19" s="367" t="s">
        <v>727</v>
      </c>
      <c r="I19" s="367" t="s">
        <v>457</v>
      </c>
      <c r="J19" s="371" t="s">
        <v>728</v>
      </c>
      <c r="K19" s="147" t="s">
        <v>702</v>
      </c>
      <c r="L19" s="370" t="s">
        <v>729</v>
      </c>
      <c r="M19" s="348" t="s">
        <v>180</v>
      </c>
      <c r="N19" s="363" t="s">
        <v>617</v>
      </c>
      <c r="O19" s="351" t="s">
        <v>124</v>
      </c>
      <c r="P19" s="350"/>
      <c r="Q19" s="351" t="s">
        <v>124</v>
      </c>
      <c r="R19" s="351" t="s">
        <v>124</v>
      </c>
      <c r="S19" s="350" t="s">
        <v>124</v>
      </c>
      <c r="T19" s="350" t="s">
        <v>124</v>
      </c>
      <c r="U19" s="351" t="s">
        <v>124</v>
      </c>
      <c r="V19" s="351" t="s">
        <v>124</v>
      </c>
      <c r="W19" s="351" t="s">
        <v>124</v>
      </c>
      <c r="X19" s="351" t="s">
        <v>124</v>
      </c>
      <c r="Y19" s="351" t="s">
        <v>124</v>
      </c>
      <c r="Z19" s="351" t="s">
        <v>124</v>
      </c>
      <c r="AA19" s="350" t="s">
        <v>124</v>
      </c>
      <c r="AB19" s="351" t="s">
        <v>124</v>
      </c>
      <c r="AC19" s="351" t="s">
        <v>124</v>
      </c>
      <c r="AD19" s="351" t="s">
        <v>124</v>
      </c>
      <c r="AE19" s="351" t="s">
        <v>124</v>
      </c>
      <c r="AF19" s="351" t="s">
        <v>124</v>
      </c>
      <c r="AG19" s="350" t="s">
        <v>124</v>
      </c>
      <c r="AH19" s="350" t="s">
        <v>124</v>
      </c>
      <c r="AI19" s="351"/>
      <c r="AJ19" s="351"/>
      <c r="AK19" s="351"/>
      <c r="AL19" s="351"/>
      <c r="AM19" s="351"/>
      <c r="AN19" s="351"/>
      <c r="AO19" s="350"/>
      <c r="AP19" s="351"/>
      <c r="AQ19" s="351"/>
      <c r="AR19" s="351"/>
      <c r="AS19" s="351"/>
      <c r="AT19" s="352"/>
      <c r="AU19" s="353">
        <f t="shared" si="1"/>
        <v>19</v>
      </c>
      <c r="AV19" s="348" t="str">
        <f t="shared" si="2"/>
        <v>đủ ĐK</v>
      </c>
      <c r="AW19" s="354">
        <f t="shared" si="4"/>
        <v>1016821</v>
      </c>
      <c r="AX19" s="355" t="s">
        <v>698</v>
      </c>
      <c r="AY19" s="294" t="s">
        <v>590</v>
      </c>
    </row>
    <row r="20" spans="1:51" ht="18" customHeight="1">
      <c r="A20" s="343">
        <v>11</v>
      </c>
      <c r="B20" s="369" t="s">
        <v>50</v>
      </c>
      <c r="C20" s="362" t="s">
        <v>100</v>
      </c>
      <c r="D20" s="344"/>
      <c r="E20" s="344" t="s">
        <v>730</v>
      </c>
      <c r="F20" s="344" t="s">
        <v>731</v>
      </c>
      <c r="G20" s="345" t="s">
        <v>697</v>
      </c>
      <c r="H20" s="363" t="s">
        <v>732</v>
      </c>
      <c r="I20" s="795">
        <v>184322401</v>
      </c>
      <c r="J20" s="371" t="s">
        <v>733</v>
      </c>
      <c r="K20" s="147" t="s">
        <v>139</v>
      </c>
      <c r="L20" s="370" t="s">
        <v>734</v>
      </c>
      <c r="M20" s="348" t="s">
        <v>180</v>
      </c>
      <c r="N20" s="363" t="s">
        <v>616</v>
      </c>
      <c r="O20" s="351" t="s">
        <v>124</v>
      </c>
      <c r="P20" s="350"/>
      <c r="Q20" s="351" t="s">
        <v>124</v>
      </c>
      <c r="R20" s="351" t="s">
        <v>124</v>
      </c>
      <c r="S20" s="350" t="s">
        <v>124</v>
      </c>
      <c r="T20" s="350" t="s">
        <v>124</v>
      </c>
      <c r="U20" s="351" t="s">
        <v>124</v>
      </c>
      <c r="V20" s="351"/>
      <c r="W20" s="351" t="s">
        <v>124</v>
      </c>
      <c r="X20" s="351" t="s">
        <v>124</v>
      </c>
      <c r="Y20" s="351" t="s">
        <v>124</v>
      </c>
      <c r="Z20" s="351"/>
      <c r="AA20" s="350"/>
      <c r="AB20" s="351" t="s">
        <v>124</v>
      </c>
      <c r="AC20" s="351" t="s">
        <v>124</v>
      </c>
      <c r="AD20" s="351" t="s">
        <v>124</v>
      </c>
      <c r="AE20" s="351" t="s">
        <v>124</v>
      </c>
      <c r="AF20" s="351" t="s">
        <v>124</v>
      </c>
      <c r="AG20" s="350" t="s">
        <v>124</v>
      </c>
      <c r="AH20" s="350" t="s">
        <v>124</v>
      </c>
      <c r="AI20" s="351" t="s">
        <v>124</v>
      </c>
      <c r="AJ20" s="351" t="s">
        <v>124</v>
      </c>
      <c r="AK20" s="351" t="s">
        <v>124</v>
      </c>
      <c r="AL20" s="351" t="s">
        <v>124</v>
      </c>
      <c r="AM20" s="351" t="s">
        <v>124</v>
      </c>
      <c r="AN20" s="351" t="s">
        <v>124</v>
      </c>
      <c r="AO20" s="350" t="s">
        <v>124</v>
      </c>
      <c r="AP20" s="351" t="s">
        <v>124</v>
      </c>
      <c r="AQ20" s="351" t="s">
        <v>124</v>
      </c>
      <c r="AR20" s="351" t="s">
        <v>124</v>
      </c>
      <c r="AS20" s="351"/>
      <c r="AT20" s="352"/>
      <c r="AU20" s="353">
        <f t="shared" si="1"/>
        <v>26</v>
      </c>
      <c r="AV20" s="348" t="str">
        <f t="shared" si="2"/>
        <v>đủ ĐK</v>
      </c>
      <c r="AW20" s="354">
        <f t="shared" si="4"/>
        <v>1016821</v>
      </c>
      <c r="AX20" s="355" t="s">
        <v>698</v>
      </c>
      <c r="AY20" s="294" t="s">
        <v>590</v>
      </c>
    </row>
    <row r="21" spans="1:51" ht="18" customHeight="1">
      <c r="A21" s="343">
        <v>12</v>
      </c>
      <c r="B21" s="361" t="s">
        <v>53</v>
      </c>
      <c r="C21" s="366" t="s">
        <v>103</v>
      </c>
      <c r="D21" s="344"/>
      <c r="E21" s="344" t="s">
        <v>735</v>
      </c>
      <c r="F21" s="344" t="s">
        <v>736</v>
      </c>
      <c r="G21" s="345" t="s">
        <v>704</v>
      </c>
      <c r="H21" s="363" t="s">
        <v>737</v>
      </c>
      <c r="I21" s="795">
        <v>186857471</v>
      </c>
      <c r="J21" s="371" t="s">
        <v>519</v>
      </c>
      <c r="K21" s="147" t="s">
        <v>135</v>
      </c>
      <c r="L21" s="370" t="s">
        <v>738</v>
      </c>
      <c r="M21" s="348" t="s">
        <v>180</v>
      </c>
      <c r="N21" s="363" t="s">
        <v>739</v>
      </c>
      <c r="O21" s="351" t="s">
        <v>124</v>
      </c>
      <c r="P21" s="350"/>
      <c r="Q21" s="351" t="s">
        <v>124</v>
      </c>
      <c r="R21" s="351" t="s">
        <v>124</v>
      </c>
      <c r="S21" s="350" t="s">
        <v>124</v>
      </c>
      <c r="T21" s="350" t="s">
        <v>124</v>
      </c>
      <c r="U21" s="351" t="s">
        <v>124</v>
      </c>
      <c r="V21" s="351" t="s">
        <v>124</v>
      </c>
      <c r="W21" s="351" t="s">
        <v>124</v>
      </c>
      <c r="X21" s="351" t="s">
        <v>124</v>
      </c>
      <c r="Y21" s="351" t="s">
        <v>124</v>
      </c>
      <c r="Z21" s="351" t="s">
        <v>124</v>
      </c>
      <c r="AA21" s="350" t="s">
        <v>124</v>
      </c>
      <c r="AB21" s="351" t="s">
        <v>124</v>
      </c>
      <c r="AC21" s="351" t="s">
        <v>124</v>
      </c>
      <c r="AD21" s="351" t="s">
        <v>124</v>
      </c>
      <c r="AE21" s="351" t="s">
        <v>124</v>
      </c>
      <c r="AF21" s="351" t="s">
        <v>124</v>
      </c>
      <c r="AG21" s="350" t="s">
        <v>124</v>
      </c>
      <c r="AH21" s="350" t="s">
        <v>124</v>
      </c>
      <c r="AI21" s="351" t="s">
        <v>124</v>
      </c>
      <c r="AJ21" s="351" t="s">
        <v>124</v>
      </c>
      <c r="AK21" s="351" t="s">
        <v>124</v>
      </c>
      <c r="AL21" s="351" t="s">
        <v>124</v>
      </c>
      <c r="AM21" s="351" t="s">
        <v>124</v>
      </c>
      <c r="AN21" s="351" t="s">
        <v>124</v>
      </c>
      <c r="AO21" s="350" t="s">
        <v>124</v>
      </c>
      <c r="AP21" s="351" t="s">
        <v>124</v>
      </c>
      <c r="AQ21" s="351" t="s">
        <v>124</v>
      </c>
      <c r="AR21" s="351" t="s">
        <v>124</v>
      </c>
      <c r="AS21" s="351"/>
      <c r="AT21" s="352"/>
      <c r="AU21" s="353">
        <f t="shared" si="1"/>
        <v>29</v>
      </c>
      <c r="AV21" s="348" t="str">
        <f t="shared" si="2"/>
        <v>đủ ĐK</v>
      </c>
      <c r="AW21" s="354">
        <f t="shared" si="4"/>
        <v>1016821</v>
      </c>
      <c r="AX21" s="355" t="s">
        <v>698</v>
      </c>
      <c r="AY21" s="294" t="s">
        <v>590</v>
      </c>
    </row>
    <row r="22" spans="1:51" ht="18" customHeight="1">
      <c r="A22" s="343">
        <v>13</v>
      </c>
      <c r="B22" s="373" t="s">
        <v>64</v>
      </c>
      <c r="C22" s="362" t="s">
        <v>116</v>
      </c>
      <c r="D22" s="344" t="s">
        <v>740</v>
      </c>
      <c r="E22" s="344" t="s">
        <v>741</v>
      </c>
      <c r="F22" s="344" t="s">
        <v>736</v>
      </c>
      <c r="G22" s="345" t="s">
        <v>697</v>
      </c>
      <c r="H22" s="363" t="s">
        <v>742</v>
      </c>
      <c r="I22" s="749">
        <v>187840012</v>
      </c>
      <c r="J22" s="147" t="s">
        <v>164</v>
      </c>
      <c r="K22" s="147" t="s">
        <v>504</v>
      </c>
      <c r="L22" s="347">
        <v>200716</v>
      </c>
      <c r="M22" s="348" t="s">
        <v>180</v>
      </c>
      <c r="N22" s="363" t="s">
        <v>617</v>
      </c>
      <c r="O22" s="351" t="s">
        <v>124</v>
      </c>
      <c r="P22" s="350"/>
      <c r="Q22" s="351" t="s">
        <v>124</v>
      </c>
      <c r="R22" s="351" t="s">
        <v>124</v>
      </c>
      <c r="S22" s="350" t="s">
        <v>124</v>
      </c>
      <c r="T22" s="350" t="s">
        <v>124</v>
      </c>
      <c r="U22" s="351" t="s">
        <v>124</v>
      </c>
      <c r="V22" s="351" t="s">
        <v>124</v>
      </c>
      <c r="W22" s="351" t="s">
        <v>124</v>
      </c>
      <c r="X22" s="351" t="s">
        <v>124</v>
      </c>
      <c r="Y22" s="351" t="s">
        <v>124</v>
      </c>
      <c r="Z22" s="351" t="s">
        <v>124</v>
      </c>
      <c r="AA22" s="350" t="s">
        <v>124</v>
      </c>
      <c r="AB22" s="351" t="s">
        <v>124</v>
      </c>
      <c r="AC22" s="351" t="s">
        <v>124</v>
      </c>
      <c r="AD22" s="351" t="s">
        <v>124</v>
      </c>
      <c r="AE22" s="351" t="s">
        <v>124</v>
      </c>
      <c r="AF22" s="351" t="s">
        <v>124</v>
      </c>
      <c r="AG22" s="350" t="s">
        <v>124</v>
      </c>
      <c r="AH22" s="350" t="s">
        <v>124</v>
      </c>
      <c r="AI22" s="351" t="s">
        <v>124</v>
      </c>
      <c r="AJ22" s="351" t="s">
        <v>124</v>
      </c>
      <c r="AK22" s="351" t="s">
        <v>124</v>
      </c>
      <c r="AL22" s="351" t="s">
        <v>124</v>
      </c>
      <c r="AM22" s="351" t="s">
        <v>124</v>
      </c>
      <c r="AN22" s="351" t="s">
        <v>124</v>
      </c>
      <c r="AO22" s="350" t="s">
        <v>124</v>
      </c>
      <c r="AP22" s="351" t="s">
        <v>124</v>
      </c>
      <c r="AQ22" s="351" t="s">
        <v>124</v>
      </c>
      <c r="AR22" s="351" t="s">
        <v>124</v>
      </c>
      <c r="AS22" s="351"/>
      <c r="AT22" s="352"/>
      <c r="AU22" s="353">
        <f t="shared" si="1"/>
        <v>29</v>
      </c>
      <c r="AV22" s="348" t="str">
        <f t="shared" si="2"/>
        <v>đủ ĐK</v>
      </c>
      <c r="AW22" s="354">
        <f t="shared" si="4"/>
        <v>1016821</v>
      </c>
      <c r="AX22" s="355" t="s">
        <v>698</v>
      </c>
      <c r="AY22" s="294" t="s">
        <v>590</v>
      </c>
    </row>
    <row r="23" spans="1:51" ht="18" customHeight="1">
      <c r="A23" s="343">
        <v>14</v>
      </c>
      <c r="B23" s="372" t="s">
        <v>432</v>
      </c>
      <c r="C23" s="362" t="s">
        <v>109</v>
      </c>
      <c r="D23" s="344" t="s">
        <v>743</v>
      </c>
      <c r="E23" s="344" t="s">
        <v>744</v>
      </c>
      <c r="F23" s="344" t="s">
        <v>745</v>
      </c>
      <c r="G23" s="345" t="s">
        <v>704</v>
      </c>
      <c r="H23" s="363" t="s">
        <v>746</v>
      </c>
      <c r="I23" s="796" t="s">
        <v>159</v>
      </c>
      <c r="J23" s="147" t="s">
        <v>160</v>
      </c>
      <c r="K23" s="147" t="s">
        <v>140</v>
      </c>
      <c r="L23" s="347">
        <v>200709</v>
      </c>
      <c r="M23" s="348" t="s">
        <v>180</v>
      </c>
      <c r="N23" s="363" t="s">
        <v>614</v>
      </c>
      <c r="O23" s="351" t="s">
        <v>124</v>
      </c>
      <c r="P23" s="350"/>
      <c r="Q23" s="351" t="s">
        <v>124</v>
      </c>
      <c r="R23" s="351" t="s">
        <v>124</v>
      </c>
      <c r="S23" s="350" t="s">
        <v>124</v>
      </c>
      <c r="T23" s="350" t="s">
        <v>124</v>
      </c>
      <c r="U23" s="351" t="s">
        <v>124</v>
      </c>
      <c r="V23" s="351" t="s">
        <v>124</v>
      </c>
      <c r="W23" s="351" t="s">
        <v>124</v>
      </c>
      <c r="X23" s="351" t="s">
        <v>124</v>
      </c>
      <c r="Y23" s="351" t="s">
        <v>124</v>
      </c>
      <c r="Z23" s="351" t="s">
        <v>124</v>
      </c>
      <c r="AA23" s="350" t="s">
        <v>124</v>
      </c>
      <c r="AB23" s="351" t="s">
        <v>124</v>
      </c>
      <c r="AC23" s="351" t="s">
        <v>124</v>
      </c>
      <c r="AD23" s="351" t="s">
        <v>124</v>
      </c>
      <c r="AE23" s="351" t="s">
        <v>124</v>
      </c>
      <c r="AF23" s="351" t="s">
        <v>124</v>
      </c>
      <c r="AG23" s="350" t="s">
        <v>124</v>
      </c>
      <c r="AH23" s="350" t="s">
        <v>124</v>
      </c>
      <c r="AI23" s="351" t="s">
        <v>124</v>
      </c>
      <c r="AJ23" s="351" t="s">
        <v>124</v>
      </c>
      <c r="AK23" s="351" t="s">
        <v>124</v>
      </c>
      <c r="AL23" s="351" t="s">
        <v>124</v>
      </c>
      <c r="AM23" s="351" t="s">
        <v>124</v>
      </c>
      <c r="AN23" s="351" t="s">
        <v>124</v>
      </c>
      <c r="AO23" s="350" t="s">
        <v>124</v>
      </c>
      <c r="AP23" s="351" t="s">
        <v>124</v>
      </c>
      <c r="AQ23" s="351" t="s">
        <v>124</v>
      </c>
      <c r="AR23" s="351" t="s">
        <v>124</v>
      </c>
      <c r="AS23" s="351"/>
      <c r="AT23" s="352"/>
      <c r="AU23" s="353">
        <f t="shared" si="1"/>
        <v>29</v>
      </c>
      <c r="AV23" s="348" t="str">
        <f t="shared" si="2"/>
        <v>đủ ĐK</v>
      </c>
      <c r="AW23" s="354">
        <f t="shared" si="4"/>
        <v>1016821</v>
      </c>
      <c r="AX23" s="355" t="s">
        <v>698</v>
      </c>
      <c r="AY23" s="294" t="s">
        <v>590</v>
      </c>
    </row>
    <row r="24" spans="1:51" ht="18" customHeight="1">
      <c r="A24" s="343">
        <v>15</v>
      </c>
      <c r="B24" s="797" t="s">
        <v>535</v>
      </c>
      <c r="C24" s="798" t="str">
        <f>VLOOKUP(B24,'[14]data nguồn'!B:Q,5,FALSE)</f>
        <v>Nguyễn Thị Ngọc Ánh</v>
      </c>
      <c r="D24" s="344" t="s">
        <v>969</v>
      </c>
      <c r="E24" s="344" t="s">
        <v>712</v>
      </c>
      <c r="F24" s="344" t="s">
        <v>713</v>
      </c>
      <c r="G24" s="345" t="s">
        <v>704</v>
      </c>
      <c r="H24" s="363" t="s">
        <v>970</v>
      </c>
      <c r="I24" s="796" t="s">
        <v>542</v>
      </c>
      <c r="J24" s="371" t="s">
        <v>971</v>
      </c>
      <c r="K24" s="147" t="s">
        <v>502</v>
      </c>
      <c r="L24" s="370">
        <v>200608</v>
      </c>
      <c r="M24" s="348" t="s">
        <v>180</v>
      </c>
      <c r="N24" s="363" t="s">
        <v>617</v>
      </c>
      <c r="O24" s="351" t="s">
        <v>124</v>
      </c>
      <c r="P24" s="350"/>
      <c r="Q24" s="351" t="s">
        <v>124</v>
      </c>
      <c r="R24" s="351" t="s">
        <v>124</v>
      </c>
      <c r="S24" s="350" t="s">
        <v>124</v>
      </c>
      <c r="T24" s="350" t="s">
        <v>124</v>
      </c>
      <c r="U24" s="351" t="s">
        <v>124</v>
      </c>
      <c r="V24" s="351" t="s">
        <v>124</v>
      </c>
      <c r="W24" s="351" t="s">
        <v>124</v>
      </c>
      <c r="X24" s="351" t="s">
        <v>124</v>
      </c>
      <c r="Y24" s="351" t="s">
        <v>124</v>
      </c>
      <c r="Z24" s="351" t="s">
        <v>124</v>
      </c>
      <c r="AA24" s="350" t="s">
        <v>124</v>
      </c>
      <c r="AB24" s="351" t="s">
        <v>124</v>
      </c>
      <c r="AC24" s="351" t="s">
        <v>124</v>
      </c>
      <c r="AD24" s="351" t="s">
        <v>124</v>
      </c>
      <c r="AE24" s="351" t="s">
        <v>124</v>
      </c>
      <c r="AF24" s="351" t="s">
        <v>124</v>
      </c>
      <c r="AG24" s="350" t="s">
        <v>124</v>
      </c>
      <c r="AH24" s="350" t="s">
        <v>124</v>
      </c>
      <c r="AI24" s="351" t="s">
        <v>124</v>
      </c>
      <c r="AJ24" s="351" t="s">
        <v>124</v>
      </c>
      <c r="AK24" s="351" t="s">
        <v>124</v>
      </c>
      <c r="AL24" s="351" t="s">
        <v>124</v>
      </c>
      <c r="AM24" s="351" t="s">
        <v>124</v>
      </c>
      <c r="AN24" s="351" t="s">
        <v>124</v>
      </c>
      <c r="AO24" s="350" t="s">
        <v>124</v>
      </c>
      <c r="AP24" s="351" t="s">
        <v>124</v>
      </c>
      <c r="AQ24" s="351" t="s">
        <v>124</v>
      </c>
      <c r="AR24" s="351" t="s">
        <v>124</v>
      </c>
      <c r="AS24" s="351"/>
      <c r="AT24" s="352"/>
      <c r="AU24" s="353">
        <f t="shared" si="1"/>
        <v>29</v>
      </c>
      <c r="AV24" s="348" t="str">
        <f t="shared" ref="AV24:AV26" si="5">IF(COUNTIF(O24:AS24,"HNS")&gt;9,"đủ ĐK","")</f>
        <v>đủ ĐK</v>
      </c>
      <c r="AW24" s="354">
        <f t="shared" si="4"/>
        <v>1016821</v>
      </c>
      <c r="AX24" s="355" t="s">
        <v>698</v>
      </c>
      <c r="AY24" s="294" t="s">
        <v>590</v>
      </c>
    </row>
    <row r="25" spans="1:51" ht="18" customHeight="1">
      <c r="A25" s="343">
        <v>16</v>
      </c>
      <c r="B25" s="799" t="s">
        <v>972</v>
      </c>
      <c r="C25" s="799" t="s">
        <v>973</v>
      </c>
      <c r="D25" s="344"/>
      <c r="E25" s="800"/>
      <c r="F25" s="800"/>
      <c r="G25" s="345"/>
      <c r="H25" s="367"/>
      <c r="I25" s="801"/>
      <c r="J25" s="802"/>
      <c r="K25" s="803"/>
      <c r="L25" s="804"/>
      <c r="M25" s="348" t="s">
        <v>180</v>
      </c>
      <c r="N25" s="363"/>
      <c r="O25" s="351"/>
      <c r="P25" s="350"/>
      <c r="Q25" s="351"/>
      <c r="R25" s="351"/>
      <c r="S25" s="350" t="s">
        <v>124</v>
      </c>
      <c r="T25" s="350" t="s">
        <v>124</v>
      </c>
      <c r="U25" s="351" t="s">
        <v>124</v>
      </c>
      <c r="V25" s="351" t="s">
        <v>124</v>
      </c>
      <c r="W25" s="351" t="s">
        <v>124</v>
      </c>
      <c r="X25" s="351" t="s">
        <v>124</v>
      </c>
      <c r="Y25" s="351" t="s">
        <v>124</v>
      </c>
      <c r="Z25" s="351" t="s">
        <v>124</v>
      </c>
      <c r="AA25" s="350" t="s">
        <v>124</v>
      </c>
      <c r="AB25" s="351" t="s">
        <v>124</v>
      </c>
      <c r="AC25" s="351" t="s">
        <v>124</v>
      </c>
      <c r="AD25" s="351" t="s">
        <v>124</v>
      </c>
      <c r="AE25" s="351" t="s">
        <v>124</v>
      </c>
      <c r="AF25" s="351" t="s">
        <v>124</v>
      </c>
      <c r="AG25" s="350" t="s">
        <v>124</v>
      </c>
      <c r="AH25" s="350"/>
      <c r="AI25" s="351" t="s">
        <v>124</v>
      </c>
      <c r="AJ25" s="351" t="s">
        <v>124</v>
      </c>
      <c r="AK25" s="351" t="s">
        <v>124</v>
      </c>
      <c r="AL25" s="351" t="s">
        <v>124</v>
      </c>
      <c r="AM25" s="351"/>
      <c r="AN25" s="351"/>
      <c r="AO25" s="350"/>
      <c r="AP25" s="351"/>
      <c r="AQ25" s="351"/>
      <c r="AR25" s="351"/>
      <c r="AS25" s="351"/>
      <c r="AT25" s="352"/>
      <c r="AU25" s="353">
        <f t="shared" si="1"/>
        <v>19</v>
      </c>
      <c r="AV25" s="348" t="str">
        <f t="shared" si="5"/>
        <v>đủ ĐK</v>
      </c>
      <c r="AW25" s="354">
        <f t="shared" si="4"/>
        <v>1016821</v>
      </c>
      <c r="AX25" s="355" t="s">
        <v>698</v>
      </c>
      <c r="AY25" s="294" t="s">
        <v>590</v>
      </c>
    </row>
    <row r="26" spans="1:51">
      <c r="A26" s="343">
        <v>17</v>
      </c>
      <c r="B26" s="799" t="s">
        <v>561</v>
      </c>
      <c r="C26" s="799" t="s">
        <v>565</v>
      </c>
      <c r="D26" s="344" t="s">
        <v>969</v>
      </c>
      <c r="E26" s="344" t="s">
        <v>712</v>
      </c>
      <c r="F26" s="344" t="s">
        <v>713</v>
      </c>
      <c r="G26" s="345" t="s">
        <v>697</v>
      </c>
      <c r="H26" s="796" t="s">
        <v>974</v>
      </c>
      <c r="I26" s="796" t="s">
        <v>563</v>
      </c>
      <c r="J26" s="796" t="s">
        <v>564</v>
      </c>
      <c r="K26" s="805" t="s">
        <v>502</v>
      </c>
      <c r="L26" s="370">
        <v>200820</v>
      </c>
      <c r="M26" s="348" t="s">
        <v>180</v>
      </c>
      <c r="N26" s="363"/>
      <c r="O26" s="351" t="s">
        <v>124</v>
      </c>
      <c r="P26" s="350"/>
      <c r="Q26" s="351" t="s">
        <v>124</v>
      </c>
      <c r="R26" s="351" t="s">
        <v>124</v>
      </c>
      <c r="S26" s="350" t="s">
        <v>124</v>
      </c>
      <c r="T26" s="350" t="s">
        <v>124</v>
      </c>
      <c r="U26" s="351" t="s">
        <v>124</v>
      </c>
      <c r="V26" s="351" t="s">
        <v>124</v>
      </c>
      <c r="W26" s="351" t="s">
        <v>124</v>
      </c>
      <c r="X26" s="351" t="s">
        <v>124</v>
      </c>
      <c r="Y26" s="351" t="s">
        <v>124</v>
      </c>
      <c r="Z26" s="351" t="s">
        <v>124</v>
      </c>
      <c r="AA26" s="350" t="s">
        <v>124</v>
      </c>
      <c r="AB26" s="351" t="s">
        <v>124</v>
      </c>
      <c r="AC26" s="351" t="s">
        <v>124</v>
      </c>
      <c r="AD26" s="351" t="s">
        <v>124</v>
      </c>
      <c r="AE26" s="351" t="s">
        <v>124</v>
      </c>
      <c r="AF26" s="351" t="s">
        <v>124</v>
      </c>
      <c r="AG26" s="350" t="s">
        <v>124</v>
      </c>
      <c r="AH26" s="350" t="s">
        <v>124</v>
      </c>
      <c r="AI26" s="351" t="s">
        <v>124</v>
      </c>
      <c r="AJ26" s="351" t="s">
        <v>124</v>
      </c>
      <c r="AK26" s="351" t="s">
        <v>124</v>
      </c>
      <c r="AL26" s="351" t="s">
        <v>124</v>
      </c>
      <c r="AM26" s="351" t="s">
        <v>124</v>
      </c>
      <c r="AN26" s="351" t="s">
        <v>124</v>
      </c>
      <c r="AO26" s="350" t="s">
        <v>124</v>
      </c>
      <c r="AP26" s="351" t="s">
        <v>124</v>
      </c>
      <c r="AQ26" s="351" t="s">
        <v>124</v>
      </c>
      <c r="AR26" s="351" t="s">
        <v>124</v>
      </c>
      <c r="AS26" s="353"/>
      <c r="AT26" s="352"/>
      <c r="AU26" s="353">
        <f t="shared" si="1"/>
        <v>29</v>
      </c>
      <c r="AV26" s="348" t="str">
        <f t="shared" si="5"/>
        <v>đủ ĐK</v>
      </c>
      <c r="AW26" s="354">
        <f t="shared" si="4"/>
        <v>1016821</v>
      </c>
      <c r="AX26" s="355" t="s">
        <v>698</v>
      </c>
      <c r="AY26" s="294" t="s">
        <v>590</v>
      </c>
    </row>
    <row r="27" spans="1:51" s="292" customFormat="1" ht="30.75" customHeight="1">
      <c r="A27" s="374" t="s">
        <v>600</v>
      </c>
      <c r="B27" s="799"/>
      <c r="C27" s="799"/>
      <c r="D27" s="375"/>
      <c r="E27" s="375"/>
      <c r="F27" s="375"/>
      <c r="G27" s="376"/>
      <c r="H27" s="377"/>
      <c r="I27" s="378"/>
      <c r="J27" s="379"/>
      <c r="K27" s="379"/>
      <c r="L27" s="380"/>
      <c r="M27" s="381"/>
      <c r="N27" s="377"/>
      <c r="O27" s="382"/>
      <c r="P27" s="350"/>
      <c r="Q27" s="382"/>
      <c r="R27" s="382"/>
      <c r="S27" s="350"/>
      <c r="T27" s="350"/>
      <c r="U27" s="382"/>
      <c r="V27" s="382"/>
      <c r="W27" s="382"/>
      <c r="X27" s="382"/>
      <c r="Y27" s="382"/>
      <c r="Z27" s="382"/>
      <c r="AA27" s="350"/>
      <c r="AB27" s="382"/>
      <c r="AC27" s="382"/>
      <c r="AD27" s="382"/>
      <c r="AE27" s="382"/>
      <c r="AF27" s="382"/>
      <c r="AG27" s="350"/>
      <c r="AH27" s="350"/>
      <c r="AI27" s="382"/>
      <c r="AJ27" s="382"/>
      <c r="AK27" s="382"/>
      <c r="AL27" s="382"/>
      <c r="AM27" s="383"/>
      <c r="AN27" s="383"/>
      <c r="AO27" s="350"/>
      <c r="AP27" s="382"/>
      <c r="AQ27" s="382"/>
      <c r="AR27" s="382"/>
      <c r="AS27" s="382"/>
      <c r="AT27" s="384"/>
      <c r="AU27" s="382"/>
      <c r="AV27" s="385" t="str">
        <f>IF(COUNTIF(O27:AS27,"HNS")&gt;13,"đủ ĐK","")</f>
        <v/>
      </c>
      <c r="AW27" s="806">
        <f>SUM(AW10:AW26)</f>
        <v>17285957</v>
      </c>
      <c r="AX27" s="386"/>
    </row>
    <row r="28" spans="1:51" s="292" customFormat="1">
      <c r="A28" s="387" t="s">
        <v>975</v>
      </c>
      <c r="B28" s="388"/>
      <c r="C28" s="389"/>
      <c r="D28" s="388"/>
      <c r="E28" s="388"/>
      <c r="F28" s="388"/>
      <c r="G28" s="390"/>
      <c r="H28" s="295"/>
      <c r="I28" s="391"/>
      <c r="J28" s="392"/>
      <c r="K28" s="392"/>
      <c r="L28" s="393"/>
      <c r="M28" s="394"/>
      <c r="N28" s="295"/>
      <c r="O28" s="298"/>
      <c r="P28" s="298"/>
      <c r="Q28" s="298"/>
      <c r="R28" s="298"/>
      <c r="S28" s="298"/>
      <c r="T28" s="298"/>
      <c r="U28" s="298"/>
      <c r="V28" s="298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O28" s="298"/>
      <c r="AP28" s="298"/>
      <c r="AQ28" s="298"/>
      <c r="AR28" s="298"/>
      <c r="AS28" s="298"/>
      <c r="AT28" s="298"/>
      <c r="AU28" s="298"/>
    </row>
    <row r="29" spans="1:51" s="308" customFormat="1" ht="18.75">
      <c r="A29" s="395" t="s">
        <v>976</v>
      </c>
      <c r="B29" s="396"/>
      <c r="C29" s="397"/>
      <c r="D29" s="396"/>
      <c r="E29" s="396"/>
      <c r="F29" s="396"/>
      <c r="G29" s="398"/>
      <c r="H29" s="399"/>
      <c r="I29" s="400"/>
      <c r="J29" s="401"/>
      <c r="K29" s="401"/>
      <c r="L29" s="402"/>
      <c r="M29" s="403"/>
      <c r="N29" s="399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310"/>
      <c r="AJ29" s="310"/>
      <c r="AK29" s="310"/>
      <c r="AL29" s="310"/>
      <c r="AO29" s="310"/>
      <c r="AP29" s="310"/>
      <c r="AQ29" s="310"/>
      <c r="AR29" s="310"/>
      <c r="AS29" s="310"/>
      <c r="AT29" s="310"/>
      <c r="AU29" s="310"/>
    </row>
    <row r="30" spans="1:51">
      <c r="A30" s="404"/>
      <c r="B30" s="405"/>
      <c r="C30" s="406"/>
      <c r="D30" s="405"/>
      <c r="E30" s="405"/>
      <c r="F30" s="405"/>
      <c r="G30" s="407"/>
      <c r="H30" s="408"/>
      <c r="I30" s="409"/>
      <c r="J30" s="410"/>
      <c r="K30" s="410" t="s">
        <v>977</v>
      </c>
      <c r="L30" s="411"/>
      <c r="M30" s="412"/>
      <c r="N30" s="408"/>
      <c r="O30" s="404"/>
      <c r="P30" s="404"/>
      <c r="Q30" s="404"/>
      <c r="R30" s="404"/>
      <c r="S30" s="404"/>
      <c r="T30" s="404"/>
      <c r="U30" s="404"/>
      <c r="V30" s="404"/>
      <c r="W30" s="404"/>
      <c r="X30" s="404"/>
      <c r="Y30" s="404"/>
      <c r="Z30" s="404"/>
      <c r="AA30" s="404"/>
      <c r="AB30" s="404"/>
      <c r="AC30" s="404"/>
      <c r="AD30" s="404"/>
      <c r="AE30" s="404"/>
      <c r="AF30" s="404"/>
      <c r="AG30" s="404"/>
      <c r="AH30" s="404"/>
      <c r="AI30" s="404"/>
      <c r="AJ30" s="404"/>
      <c r="AK30" s="404"/>
      <c r="AL30" s="404"/>
      <c r="AM30" s="413"/>
      <c r="AN30" s="413"/>
      <c r="AO30" s="404"/>
      <c r="AP30" s="404"/>
      <c r="AQ30" s="404"/>
      <c r="AR30" s="404"/>
      <c r="AS30" s="404"/>
      <c r="AT30" s="404"/>
      <c r="AU30" s="404"/>
      <c r="AV30" s="413"/>
      <c r="AW30" s="413"/>
      <c r="AX30" s="413"/>
    </row>
    <row r="31" spans="1:51">
      <c r="A31" s="404"/>
      <c r="B31" s="405"/>
      <c r="C31" s="406" t="s">
        <v>233</v>
      </c>
      <c r="D31" s="405" t="s">
        <v>233</v>
      </c>
      <c r="E31" s="405"/>
      <c r="F31" s="405"/>
      <c r="G31" s="407"/>
      <c r="H31" s="408"/>
      <c r="I31" s="409"/>
      <c r="J31" s="410"/>
      <c r="K31" s="410" t="s">
        <v>747</v>
      </c>
      <c r="L31" s="411"/>
      <c r="M31" s="412"/>
      <c r="N31" s="408"/>
      <c r="O31" s="404"/>
      <c r="P31" s="404"/>
      <c r="Q31" s="404"/>
      <c r="R31" s="404"/>
      <c r="S31" s="404"/>
      <c r="T31" s="404"/>
      <c r="U31" s="404"/>
      <c r="V31" s="404"/>
      <c r="W31" s="404"/>
      <c r="X31" s="404"/>
      <c r="Y31" s="404"/>
      <c r="Z31" s="404"/>
      <c r="AA31" s="404"/>
      <c r="AB31" s="404"/>
      <c r="AC31" s="404"/>
      <c r="AD31" s="404"/>
      <c r="AE31" s="404"/>
      <c r="AF31" s="404"/>
      <c r="AG31" s="404"/>
      <c r="AH31" s="404"/>
      <c r="AI31" s="404"/>
      <c r="AJ31" s="404"/>
      <c r="AK31" s="404"/>
      <c r="AL31" s="404"/>
      <c r="AM31" s="413"/>
      <c r="AN31" s="413"/>
      <c r="AO31" s="404"/>
      <c r="AP31" s="404"/>
      <c r="AQ31" s="404"/>
      <c r="AR31" s="404"/>
      <c r="AS31" s="404"/>
      <c r="AT31" s="404"/>
      <c r="AU31" s="404"/>
      <c r="AV31" s="413"/>
      <c r="AW31" s="413"/>
      <c r="AX31" s="413"/>
    </row>
    <row r="32" spans="1:51">
      <c r="A32" s="404"/>
      <c r="B32" s="405"/>
      <c r="C32" s="406"/>
      <c r="D32" s="405"/>
      <c r="E32" s="405"/>
      <c r="F32" s="405"/>
      <c r="G32" s="407"/>
      <c r="H32" s="408"/>
      <c r="I32" s="409"/>
      <c r="J32" s="410"/>
      <c r="K32" s="410"/>
      <c r="L32" s="411"/>
      <c r="M32" s="412"/>
      <c r="N32" s="408"/>
      <c r="O32" s="404"/>
      <c r="P32" s="404"/>
      <c r="Q32" s="404"/>
      <c r="R32" s="404"/>
      <c r="S32" s="404"/>
      <c r="T32" s="404"/>
      <c r="U32" s="404"/>
      <c r="V32" s="404"/>
      <c r="W32" s="404"/>
      <c r="X32" s="404"/>
      <c r="Y32" s="404"/>
      <c r="Z32" s="404"/>
      <c r="AA32" s="404"/>
      <c r="AB32" s="404"/>
      <c r="AC32" s="404"/>
      <c r="AD32" s="404"/>
      <c r="AE32" s="404"/>
      <c r="AF32" s="404"/>
      <c r="AG32" s="404"/>
      <c r="AH32" s="404"/>
      <c r="AI32" s="404"/>
      <c r="AJ32" s="404"/>
      <c r="AK32" s="404"/>
      <c r="AL32" s="404"/>
      <c r="AM32" s="413"/>
      <c r="AN32" s="413"/>
      <c r="AO32" s="404"/>
      <c r="AP32" s="404"/>
      <c r="AQ32" s="404"/>
      <c r="AR32" s="404"/>
      <c r="AS32" s="404"/>
      <c r="AT32" s="404"/>
      <c r="AU32" s="404"/>
      <c r="AV32" s="413"/>
      <c r="AW32" s="413"/>
      <c r="AX32" s="413"/>
    </row>
    <row r="33" spans="1:50">
      <c r="A33" s="414"/>
      <c r="B33" s="405"/>
      <c r="C33" s="406"/>
      <c r="D33" s="405"/>
      <c r="E33" s="405"/>
      <c r="F33" s="405"/>
      <c r="G33" s="407"/>
      <c r="H33" s="408"/>
      <c r="I33" s="409"/>
      <c r="J33" s="410"/>
      <c r="K33" s="410"/>
      <c r="L33" s="411"/>
      <c r="M33" s="412"/>
      <c r="N33" s="408"/>
      <c r="O33" s="404"/>
      <c r="P33" s="404"/>
      <c r="Q33" s="404"/>
      <c r="R33" s="404"/>
      <c r="S33" s="404"/>
      <c r="T33" s="404"/>
      <c r="U33" s="404"/>
      <c r="V33" s="404"/>
      <c r="W33" s="404"/>
      <c r="X33" s="404"/>
      <c r="Y33" s="404"/>
      <c r="Z33" s="404"/>
      <c r="AA33" s="404"/>
      <c r="AB33" s="404"/>
      <c r="AC33" s="404"/>
      <c r="AD33" s="404"/>
      <c r="AE33" s="404"/>
      <c r="AF33" s="404"/>
      <c r="AG33" s="404"/>
      <c r="AH33" s="404"/>
      <c r="AI33" s="404"/>
      <c r="AJ33" s="404"/>
      <c r="AK33" s="404"/>
      <c r="AL33" s="404"/>
      <c r="AM33" s="413"/>
      <c r="AN33" s="413"/>
      <c r="AO33" s="404"/>
      <c r="AP33" s="404"/>
      <c r="AQ33" s="404"/>
      <c r="AR33" s="404"/>
      <c r="AS33" s="404"/>
      <c r="AT33" s="404"/>
      <c r="AU33" s="404"/>
      <c r="AV33" s="413"/>
      <c r="AW33" s="413"/>
      <c r="AX33" s="413"/>
    </row>
    <row r="34" spans="1:50">
      <c r="A34" s="404"/>
      <c r="B34" s="405"/>
      <c r="C34" s="406"/>
      <c r="D34" s="405"/>
      <c r="E34" s="405"/>
      <c r="F34" s="405"/>
      <c r="G34" s="407"/>
      <c r="H34" s="408"/>
      <c r="I34" s="409"/>
      <c r="J34" s="410"/>
      <c r="K34" s="410"/>
      <c r="L34" s="411"/>
      <c r="M34" s="412"/>
      <c r="N34" s="408"/>
      <c r="O34" s="404"/>
      <c r="P34" s="404"/>
      <c r="Q34" s="404"/>
      <c r="R34" s="404"/>
      <c r="S34" s="404"/>
      <c r="T34" s="404"/>
      <c r="U34" s="404"/>
      <c r="V34" s="404"/>
      <c r="W34" s="404"/>
      <c r="X34" s="404"/>
      <c r="Y34" s="404"/>
      <c r="Z34" s="404"/>
      <c r="AA34" s="404"/>
      <c r="AB34" s="404"/>
      <c r="AC34" s="404"/>
      <c r="AD34" s="404"/>
      <c r="AE34" s="404"/>
      <c r="AF34" s="404"/>
      <c r="AG34" s="404"/>
      <c r="AH34" s="404"/>
      <c r="AI34" s="404"/>
      <c r="AJ34" s="404"/>
      <c r="AK34" s="404"/>
      <c r="AL34" s="404"/>
      <c r="AM34" s="413"/>
      <c r="AN34" s="413"/>
      <c r="AO34" s="404"/>
      <c r="AP34" s="404"/>
      <c r="AQ34" s="404"/>
      <c r="AR34" s="404"/>
      <c r="AS34" s="404"/>
      <c r="AT34" s="404"/>
      <c r="AU34" s="404"/>
      <c r="AV34" s="413"/>
      <c r="AW34" s="413"/>
      <c r="AX34" s="413"/>
    </row>
    <row r="35" spans="1:50">
      <c r="A35" s="404"/>
      <c r="B35" s="405"/>
      <c r="C35" s="406"/>
      <c r="D35" s="405"/>
      <c r="E35" s="405"/>
      <c r="F35" s="405"/>
      <c r="G35" s="407"/>
      <c r="H35" s="408"/>
      <c r="I35" s="409"/>
      <c r="J35" s="410"/>
      <c r="K35" s="410"/>
      <c r="L35" s="411"/>
      <c r="M35" s="412"/>
      <c r="N35" s="408"/>
      <c r="O35" s="404"/>
      <c r="P35" s="404"/>
      <c r="Q35" s="404"/>
      <c r="R35" s="404"/>
      <c r="S35" s="404"/>
      <c r="T35" s="404"/>
      <c r="U35" s="404"/>
      <c r="V35" s="404"/>
      <c r="W35" s="404"/>
      <c r="X35" s="404"/>
      <c r="Y35" s="404"/>
      <c r="Z35" s="404"/>
      <c r="AA35" s="404"/>
      <c r="AB35" s="404"/>
      <c r="AC35" s="404"/>
      <c r="AD35" s="404"/>
      <c r="AE35" s="404"/>
      <c r="AF35" s="404"/>
      <c r="AG35" s="404"/>
      <c r="AH35" s="404"/>
      <c r="AI35" s="404"/>
      <c r="AJ35" s="404"/>
      <c r="AK35" s="404"/>
      <c r="AL35" s="404"/>
      <c r="AM35" s="413"/>
      <c r="AN35" s="413"/>
      <c r="AO35" s="404"/>
      <c r="AP35" s="404"/>
      <c r="AQ35" s="404"/>
      <c r="AR35" s="404"/>
      <c r="AS35" s="404"/>
      <c r="AT35" s="404"/>
      <c r="AU35" s="404"/>
      <c r="AV35" s="413"/>
      <c r="AW35" s="413"/>
      <c r="AX35" s="413"/>
    </row>
    <row r="36" spans="1:50">
      <c r="A36" s="404"/>
      <c r="B36" s="405"/>
      <c r="C36" s="406"/>
      <c r="D36" s="405"/>
      <c r="E36" s="405"/>
      <c r="F36" s="405"/>
      <c r="G36" s="407"/>
      <c r="H36" s="408"/>
      <c r="I36" s="409"/>
      <c r="J36" s="410"/>
      <c r="K36" s="410"/>
      <c r="L36" s="411"/>
      <c r="M36" s="412"/>
      <c r="N36" s="408"/>
      <c r="O36" s="404"/>
      <c r="P36" s="404"/>
      <c r="Q36" s="404"/>
      <c r="R36" s="404"/>
      <c r="S36" s="404"/>
      <c r="T36" s="404"/>
      <c r="U36" s="404"/>
      <c r="V36" s="404"/>
      <c r="W36" s="404"/>
      <c r="X36" s="404"/>
      <c r="Y36" s="404"/>
      <c r="Z36" s="404"/>
      <c r="AA36" s="404"/>
      <c r="AB36" s="404"/>
      <c r="AC36" s="404"/>
      <c r="AD36" s="404"/>
      <c r="AE36" s="404"/>
      <c r="AF36" s="404"/>
      <c r="AG36" s="404"/>
      <c r="AH36" s="404"/>
      <c r="AI36" s="404"/>
      <c r="AJ36" s="404"/>
      <c r="AK36" s="404"/>
      <c r="AL36" s="404"/>
      <c r="AM36" s="413"/>
      <c r="AN36" s="413"/>
      <c r="AO36" s="404"/>
      <c r="AP36" s="404"/>
      <c r="AQ36" s="404"/>
      <c r="AR36" s="404"/>
      <c r="AS36" s="404"/>
      <c r="AT36" s="404"/>
      <c r="AU36" s="404"/>
      <c r="AV36" s="413"/>
      <c r="AW36" s="413"/>
      <c r="AX36" s="413"/>
    </row>
    <row r="37" spans="1:50">
      <c r="A37" s="404"/>
      <c r="B37" s="405"/>
      <c r="C37" s="406"/>
      <c r="D37" s="405"/>
      <c r="E37" s="405"/>
      <c r="F37" s="405"/>
      <c r="G37" s="407"/>
      <c r="H37" s="408"/>
      <c r="I37" s="409"/>
      <c r="J37" s="410"/>
      <c r="K37" s="410"/>
      <c r="L37" s="411"/>
      <c r="M37" s="412"/>
      <c r="N37" s="408"/>
      <c r="O37" s="404"/>
      <c r="P37" s="404"/>
      <c r="Q37" s="404"/>
      <c r="R37" s="404"/>
      <c r="S37" s="404"/>
      <c r="T37" s="404"/>
      <c r="U37" s="404"/>
      <c r="V37" s="404"/>
      <c r="W37" s="404"/>
      <c r="X37" s="404"/>
      <c r="Y37" s="404"/>
      <c r="Z37" s="404"/>
      <c r="AA37" s="404"/>
      <c r="AB37" s="404"/>
      <c r="AC37" s="404"/>
      <c r="AD37" s="404"/>
      <c r="AE37" s="404"/>
      <c r="AF37" s="404"/>
      <c r="AG37" s="404"/>
      <c r="AH37" s="404"/>
      <c r="AI37" s="404"/>
      <c r="AJ37" s="404"/>
      <c r="AK37" s="404"/>
      <c r="AL37" s="404"/>
      <c r="AM37" s="413"/>
      <c r="AN37" s="413"/>
      <c r="AO37" s="404"/>
      <c r="AP37" s="404"/>
      <c r="AQ37" s="404"/>
      <c r="AR37" s="404"/>
      <c r="AS37" s="404"/>
      <c r="AT37" s="404"/>
      <c r="AU37" s="404"/>
      <c r="AV37" s="413"/>
      <c r="AW37" s="413"/>
      <c r="AX37" s="413"/>
    </row>
    <row r="38" spans="1:50">
      <c r="A38" s="404"/>
      <c r="B38" s="405"/>
      <c r="C38" s="406"/>
      <c r="D38" s="405"/>
      <c r="E38" s="405"/>
      <c r="F38" s="405"/>
      <c r="G38" s="407"/>
      <c r="H38" s="408"/>
      <c r="I38" s="409"/>
      <c r="J38" s="410"/>
      <c r="K38" s="410"/>
      <c r="L38" s="411"/>
      <c r="M38" s="412"/>
      <c r="N38" s="408"/>
      <c r="O38" s="404"/>
      <c r="P38" s="404"/>
      <c r="Q38" s="404"/>
      <c r="R38" s="404"/>
      <c r="S38" s="404"/>
      <c r="T38" s="404"/>
      <c r="U38" s="404"/>
      <c r="V38" s="404"/>
      <c r="W38" s="404"/>
      <c r="X38" s="404"/>
      <c r="Y38" s="404"/>
      <c r="Z38" s="404"/>
      <c r="AA38" s="404"/>
      <c r="AB38" s="404"/>
      <c r="AC38" s="404"/>
      <c r="AD38" s="404"/>
      <c r="AE38" s="404"/>
      <c r="AF38" s="404"/>
      <c r="AG38" s="404"/>
      <c r="AH38" s="404"/>
      <c r="AI38" s="404"/>
      <c r="AJ38" s="404"/>
      <c r="AK38" s="404"/>
      <c r="AL38" s="404"/>
      <c r="AM38" s="413"/>
      <c r="AN38" s="413"/>
      <c r="AO38" s="404"/>
      <c r="AP38" s="404"/>
      <c r="AQ38" s="404"/>
      <c r="AR38" s="404"/>
      <c r="AS38" s="404"/>
      <c r="AT38" s="404"/>
      <c r="AU38" s="404"/>
      <c r="AV38" s="413"/>
      <c r="AW38" s="413"/>
      <c r="AX38" s="413"/>
    </row>
    <row r="39" spans="1:50">
      <c r="A39" s="404"/>
      <c r="B39" s="405"/>
      <c r="C39" s="406" t="s">
        <v>89</v>
      </c>
      <c r="D39" s="405"/>
      <c r="E39" s="405"/>
      <c r="F39" s="405"/>
      <c r="G39" s="407"/>
      <c r="H39" s="408"/>
      <c r="I39" s="409"/>
      <c r="J39" s="410"/>
      <c r="K39" s="410"/>
      <c r="L39" s="411"/>
      <c r="M39" s="412"/>
      <c r="N39" s="408"/>
      <c r="O39" s="404"/>
      <c r="P39" s="404"/>
      <c r="Q39" s="404"/>
      <c r="R39" s="404"/>
      <c r="S39" s="404"/>
      <c r="T39" s="404"/>
      <c r="U39" s="404"/>
      <c r="V39" s="404"/>
      <c r="W39" s="404"/>
      <c r="X39" s="404"/>
      <c r="Y39" s="404"/>
      <c r="Z39" s="404"/>
      <c r="AA39" s="404"/>
      <c r="AB39" s="404"/>
      <c r="AC39" s="404"/>
      <c r="AD39" s="404"/>
      <c r="AE39" s="404"/>
      <c r="AF39" s="404"/>
      <c r="AG39" s="404"/>
      <c r="AH39" s="404"/>
      <c r="AI39" s="404"/>
      <c r="AJ39" s="404"/>
      <c r="AK39" s="404"/>
      <c r="AL39" s="404"/>
      <c r="AM39" s="413"/>
      <c r="AN39" s="413"/>
      <c r="AO39" s="404"/>
      <c r="AP39" s="404"/>
      <c r="AQ39" s="404"/>
      <c r="AR39" s="404"/>
      <c r="AS39" s="404"/>
      <c r="AT39" s="404"/>
      <c r="AU39" s="404"/>
      <c r="AV39" s="413"/>
      <c r="AW39" s="413"/>
      <c r="AX39" s="413"/>
    </row>
    <row r="40" spans="1:50">
      <c r="A40" s="404"/>
      <c r="B40" s="405"/>
      <c r="C40" s="406" t="s">
        <v>90</v>
      </c>
      <c r="D40" s="405"/>
      <c r="E40" s="405"/>
      <c r="F40" s="405"/>
      <c r="G40" s="407"/>
      <c r="H40" s="408"/>
      <c r="I40" s="409"/>
      <c r="J40" s="410"/>
      <c r="K40" s="410"/>
      <c r="L40" s="411"/>
      <c r="M40" s="412"/>
      <c r="N40" s="408"/>
      <c r="O40" s="404"/>
      <c r="P40" s="404"/>
      <c r="Q40" s="404"/>
      <c r="R40" s="404"/>
      <c r="S40" s="404"/>
      <c r="T40" s="404"/>
      <c r="U40" s="404"/>
      <c r="V40" s="404"/>
      <c r="W40" s="404"/>
      <c r="X40" s="404"/>
      <c r="Y40" s="404"/>
      <c r="Z40" s="404"/>
      <c r="AA40" s="404"/>
      <c r="AB40" s="404"/>
      <c r="AC40" s="404"/>
      <c r="AD40" s="404"/>
      <c r="AE40" s="404"/>
      <c r="AF40" s="404"/>
      <c r="AG40" s="404"/>
      <c r="AH40" s="404"/>
      <c r="AI40" s="404"/>
      <c r="AJ40" s="404"/>
      <c r="AK40" s="404"/>
      <c r="AL40" s="404"/>
      <c r="AM40" s="413"/>
      <c r="AN40" s="413"/>
      <c r="AO40" s="404"/>
      <c r="AP40" s="404"/>
      <c r="AQ40" s="404"/>
      <c r="AR40" s="404"/>
      <c r="AS40" s="404"/>
      <c r="AT40" s="404"/>
      <c r="AU40" s="404"/>
      <c r="AV40" s="413"/>
      <c r="AW40" s="413"/>
      <c r="AX40" s="413"/>
    </row>
    <row r="41" spans="1:50">
      <c r="A41" s="404"/>
      <c r="B41" s="405"/>
      <c r="C41" s="406" t="s">
        <v>978</v>
      </c>
      <c r="D41" s="405"/>
      <c r="E41" s="405"/>
      <c r="F41" s="405"/>
      <c r="G41" s="407"/>
      <c r="H41" s="408"/>
      <c r="I41" s="409"/>
      <c r="J41" s="410"/>
      <c r="K41" s="410"/>
      <c r="L41" s="411"/>
      <c r="M41" s="412"/>
      <c r="N41" s="408"/>
      <c r="O41" s="404"/>
      <c r="P41" s="404"/>
      <c r="Q41" s="404"/>
      <c r="R41" s="404"/>
      <c r="S41" s="404"/>
      <c r="T41" s="404"/>
      <c r="U41" s="404"/>
      <c r="V41" s="404"/>
      <c r="W41" s="404"/>
      <c r="X41" s="404"/>
      <c r="Y41" s="404"/>
      <c r="Z41" s="404"/>
      <c r="AA41" s="404"/>
      <c r="AB41" s="404"/>
      <c r="AC41" s="404"/>
      <c r="AD41" s="404"/>
      <c r="AE41" s="404"/>
      <c r="AF41" s="404"/>
      <c r="AG41" s="404"/>
      <c r="AH41" s="404"/>
      <c r="AI41" s="404"/>
      <c r="AJ41" s="404"/>
      <c r="AK41" s="404"/>
      <c r="AL41" s="404"/>
      <c r="AM41" s="413"/>
      <c r="AN41" s="413"/>
      <c r="AO41" s="404"/>
      <c r="AP41" s="404"/>
      <c r="AQ41" s="404"/>
      <c r="AR41" s="404"/>
      <c r="AS41" s="404"/>
      <c r="AT41" s="404"/>
      <c r="AU41" s="404"/>
      <c r="AV41" s="413"/>
      <c r="AW41" s="413"/>
      <c r="AX41" s="413"/>
    </row>
    <row r="42" spans="1:50">
      <c r="A42" s="404"/>
      <c r="B42" s="405"/>
      <c r="C42" s="406"/>
      <c r="D42" s="405"/>
      <c r="E42" s="405"/>
      <c r="F42" s="405"/>
      <c r="G42" s="407"/>
      <c r="H42" s="408"/>
      <c r="I42" s="409"/>
      <c r="J42" s="410"/>
      <c r="K42" s="410"/>
      <c r="L42" s="411"/>
      <c r="M42" s="412"/>
      <c r="N42" s="408"/>
      <c r="O42" s="404"/>
      <c r="P42" s="404"/>
      <c r="Q42" s="404"/>
      <c r="R42" s="404"/>
      <c r="S42" s="404"/>
      <c r="T42" s="404"/>
      <c r="U42" s="404"/>
      <c r="V42" s="404"/>
      <c r="W42" s="404"/>
      <c r="X42" s="404"/>
      <c r="Y42" s="404"/>
      <c r="Z42" s="404"/>
      <c r="AA42" s="404"/>
      <c r="AB42" s="404"/>
      <c r="AC42" s="404"/>
      <c r="AD42" s="404"/>
      <c r="AE42" s="404"/>
      <c r="AF42" s="404"/>
      <c r="AG42" s="404"/>
      <c r="AH42" s="404"/>
      <c r="AI42" s="404"/>
      <c r="AJ42" s="404"/>
      <c r="AK42" s="404"/>
      <c r="AL42" s="404"/>
      <c r="AM42" s="413"/>
      <c r="AN42" s="413"/>
      <c r="AO42" s="404"/>
      <c r="AP42" s="404"/>
      <c r="AQ42" s="404"/>
      <c r="AR42" s="404"/>
      <c r="AS42" s="404"/>
      <c r="AT42" s="404"/>
      <c r="AU42" s="404"/>
      <c r="AV42" s="413"/>
      <c r="AW42" s="413"/>
      <c r="AX42" s="413"/>
    </row>
    <row r="43" spans="1:50">
      <c r="A43" s="404"/>
      <c r="B43" s="405"/>
      <c r="C43" s="406"/>
      <c r="D43" s="405"/>
      <c r="E43" s="405"/>
      <c r="F43" s="405"/>
      <c r="G43" s="407"/>
      <c r="H43" s="408"/>
      <c r="I43" s="409"/>
      <c r="J43" s="410"/>
      <c r="K43" s="410"/>
      <c r="L43" s="411"/>
      <c r="M43" s="412"/>
      <c r="N43" s="408"/>
      <c r="O43" s="404"/>
      <c r="P43" s="404"/>
      <c r="Q43" s="404"/>
      <c r="R43" s="404"/>
      <c r="S43" s="404"/>
      <c r="T43" s="404"/>
      <c r="U43" s="404"/>
      <c r="V43" s="404"/>
      <c r="W43" s="404"/>
      <c r="X43" s="404"/>
      <c r="Y43" s="404"/>
      <c r="Z43" s="404"/>
      <c r="AA43" s="404"/>
      <c r="AB43" s="404"/>
      <c r="AC43" s="404"/>
      <c r="AD43" s="404"/>
      <c r="AE43" s="404"/>
      <c r="AF43" s="404"/>
      <c r="AG43" s="404"/>
      <c r="AH43" s="404"/>
      <c r="AI43" s="404"/>
      <c r="AJ43" s="404"/>
      <c r="AK43" s="404"/>
      <c r="AL43" s="404"/>
      <c r="AM43" s="413"/>
      <c r="AN43" s="413"/>
      <c r="AO43" s="404"/>
      <c r="AP43" s="404"/>
      <c r="AQ43" s="404"/>
      <c r="AR43" s="404"/>
      <c r="AS43" s="404"/>
      <c r="AT43" s="404"/>
      <c r="AU43" s="404"/>
      <c r="AV43" s="413"/>
      <c r="AW43" s="413"/>
      <c r="AX43" s="413"/>
    </row>
    <row r="44" spans="1:50">
      <c r="A44" s="404"/>
      <c r="B44" s="405"/>
      <c r="C44" s="406"/>
      <c r="D44" s="405"/>
      <c r="E44" s="405"/>
      <c r="F44" s="405"/>
      <c r="G44" s="407"/>
      <c r="H44" s="408"/>
      <c r="I44" s="409"/>
      <c r="J44" s="410"/>
      <c r="K44" s="410"/>
      <c r="L44" s="411"/>
      <c r="M44" s="412"/>
      <c r="N44" s="408"/>
      <c r="O44" s="404"/>
      <c r="P44" s="404"/>
      <c r="Q44" s="404"/>
      <c r="R44" s="404"/>
      <c r="S44" s="404"/>
      <c r="T44" s="404"/>
      <c r="U44" s="404"/>
      <c r="V44" s="404"/>
      <c r="W44" s="404"/>
      <c r="X44" s="404"/>
      <c r="Y44" s="404"/>
      <c r="Z44" s="404"/>
      <c r="AA44" s="404"/>
      <c r="AB44" s="404"/>
      <c r="AC44" s="404"/>
      <c r="AD44" s="404"/>
      <c r="AE44" s="404"/>
      <c r="AF44" s="404"/>
      <c r="AG44" s="404"/>
      <c r="AH44" s="404"/>
      <c r="AI44" s="404"/>
      <c r="AJ44" s="404"/>
      <c r="AK44" s="404"/>
      <c r="AL44" s="404"/>
      <c r="AM44" s="413"/>
      <c r="AN44" s="413"/>
      <c r="AO44" s="404"/>
      <c r="AP44" s="404"/>
      <c r="AQ44" s="404"/>
      <c r="AR44" s="404"/>
      <c r="AS44" s="404"/>
      <c r="AT44" s="404"/>
      <c r="AU44" s="404"/>
      <c r="AV44" s="413"/>
      <c r="AW44" s="413"/>
      <c r="AX44" s="413"/>
    </row>
    <row r="45" spans="1:50">
      <c r="A45" s="404"/>
      <c r="B45" s="405"/>
      <c r="C45" s="406"/>
      <c r="D45" s="405"/>
      <c r="E45" s="405"/>
      <c r="F45" s="405"/>
      <c r="G45" s="407"/>
      <c r="H45" s="408"/>
      <c r="I45" s="409"/>
      <c r="J45" s="410"/>
      <c r="K45" s="410"/>
      <c r="L45" s="411"/>
      <c r="M45" s="412"/>
      <c r="N45" s="408"/>
      <c r="O45" s="404"/>
      <c r="P45" s="404"/>
      <c r="Q45" s="404"/>
      <c r="R45" s="404"/>
      <c r="S45" s="404"/>
      <c r="T45" s="404"/>
      <c r="U45" s="404"/>
      <c r="V45" s="404"/>
      <c r="W45" s="404"/>
      <c r="X45" s="404"/>
      <c r="Y45" s="404"/>
      <c r="Z45" s="404"/>
      <c r="AA45" s="404"/>
      <c r="AB45" s="404"/>
      <c r="AC45" s="404"/>
      <c r="AD45" s="404"/>
      <c r="AE45" s="404"/>
      <c r="AF45" s="404"/>
      <c r="AG45" s="404"/>
      <c r="AH45" s="404"/>
      <c r="AI45" s="404"/>
      <c r="AJ45" s="404"/>
      <c r="AK45" s="404"/>
      <c r="AL45" s="404"/>
      <c r="AM45" s="413"/>
      <c r="AN45" s="413"/>
      <c r="AO45" s="404"/>
      <c r="AP45" s="404"/>
      <c r="AQ45" s="404"/>
      <c r="AR45" s="404"/>
      <c r="AS45" s="404"/>
      <c r="AT45" s="404"/>
      <c r="AU45" s="404"/>
      <c r="AV45" s="413"/>
      <c r="AW45" s="413"/>
      <c r="AX45" s="413"/>
    </row>
    <row r="46" spans="1:50">
      <c r="A46" s="404"/>
      <c r="B46" s="405"/>
      <c r="C46" s="406"/>
      <c r="D46" s="405"/>
      <c r="E46" s="405"/>
      <c r="F46" s="405"/>
      <c r="G46" s="407"/>
      <c r="H46" s="408"/>
      <c r="I46" s="409"/>
      <c r="J46" s="410"/>
      <c r="K46" s="410"/>
      <c r="L46" s="411"/>
      <c r="M46" s="412"/>
      <c r="N46" s="408"/>
      <c r="O46" s="404"/>
      <c r="P46" s="404"/>
      <c r="Q46" s="404"/>
      <c r="R46" s="404"/>
      <c r="S46" s="404"/>
      <c r="T46" s="404"/>
      <c r="U46" s="404"/>
      <c r="V46" s="404"/>
      <c r="W46" s="404"/>
      <c r="X46" s="404"/>
      <c r="Y46" s="404"/>
      <c r="Z46" s="404"/>
      <c r="AA46" s="404"/>
      <c r="AB46" s="404"/>
      <c r="AC46" s="404"/>
      <c r="AD46" s="404"/>
      <c r="AE46" s="404"/>
      <c r="AF46" s="404"/>
      <c r="AG46" s="404"/>
      <c r="AH46" s="404"/>
      <c r="AI46" s="404"/>
      <c r="AJ46" s="404"/>
      <c r="AK46" s="404"/>
      <c r="AL46" s="404"/>
      <c r="AM46" s="413"/>
      <c r="AN46" s="413"/>
      <c r="AO46" s="404"/>
      <c r="AP46" s="404"/>
      <c r="AQ46" s="404"/>
      <c r="AR46" s="404"/>
      <c r="AS46" s="404"/>
      <c r="AT46" s="404"/>
      <c r="AU46" s="404"/>
      <c r="AV46" s="413"/>
      <c r="AW46" s="413"/>
      <c r="AX46" s="413"/>
    </row>
    <row r="47" spans="1:50">
      <c r="A47" s="404"/>
      <c r="B47" s="405"/>
      <c r="C47" s="406"/>
      <c r="D47" s="405"/>
      <c r="E47" s="405"/>
      <c r="F47" s="405"/>
      <c r="G47" s="407"/>
      <c r="H47" s="408"/>
      <c r="I47" s="409"/>
      <c r="J47" s="410"/>
      <c r="K47" s="410"/>
      <c r="L47" s="411"/>
      <c r="M47" s="412"/>
      <c r="N47" s="408"/>
      <c r="O47" s="404"/>
      <c r="P47" s="404"/>
      <c r="Q47" s="404"/>
      <c r="R47" s="404"/>
      <c r="S47" s="404"/>
      <c r="T47" s="404"/>
      <c r="U47" s="404"/>
      <c r="V47" s="404"/>
      <c r="W47" s="404"/>
      <c r="X47" s="404"/>
      <c r="Y47" s="404"/>
      <c r="Z47" s="404"/>
      <c r="AA47" s="404"/>
      <c r="AB47" s="404"/>
      <c r="AC47" s="404"/>
      <c r="AD47" s="404"/>
      <c r="AE47" s="404"/>
      <c r="AF47" s="404"/>
      <c r="AG47" s="404"/>
      <c r="AH47" s="404"/>
      <c r="AI47" s="404"/>
      <c r="AJ47" s="404"/>
      <c r="AK47" s="404"/>
      <c r="AL47" s="404"/>
      <c r="AM47" s="413"/>
      <c r="AN47" s="413"/>
      <c r="AO47" s="404"/>
      <c r="AP47" s="404"/>
      <c r="AQ47" s="404"/>
      <c r="AR47" s="404"/>
      <c r="AS47" s="404"/>
      <c r="AT47" s="404"/>
      <c r="AU47" s="404"/>
      <c r="AV47" s="413"/>
      <c r="AW47" s="413"/>
      <c r="AX47" s="413"/>
    </row>
    <row r="48" spans="1:50">
      <c r="A48" s="404"/>
      <c r="B48" s="405"/>
      <c r="C48" s="406"/>
      <c r="D48" s="405"/>
      <c r="E48" s="405"/>
      <c r="F48" s="405"/>
      <c r="G48" s="407"/>
      <c r="H48" s="408"/>
      <c r="I48" s="409"/>
      <c r="J48" s="410"/>
      <c r="K48" s="410"/>
      <c r="L48" s="411"/>
      <c r="M48" s="412"/>
      <c r="N48" s="408"/>
      <c r="O48" s="404"/>
      <c r="P48" s="404"/>
      <c r="Q48" s="404"/>
      <c r="R48" s="404"/>
      <c r="S48" s="404"/>
      <c r="T48" s="404"/>
      <c r="U48" s="404"/>
      <c r="V48" s="404"/>
      <c r="W48" s="404"/>
      <c r="X48" s="404"/>
      <c r="Y48" s="404"/>
      <c r="Z48" s="404"/>
      <c r="AA48" s="404"/>
      <c r="AB48" s="404"/>
      <c r="AC48" s="404"/>
      <c r="AD48" s="404"/>
      <c r="AE48" s="404"/>
      <c r="AF48" s="404"/>
      <c r="AG48" s="404"/>
      <c r="AH48" s="404"/>
      <c r="AI48" s="404"/>
      <c r="AJ48" s="404"/>
      <c r="AK48" s="404"/>
      <c r="AL48" s="404"/>
      <c r="AM48" s="413"/>
      <c r="AN48" s="413"/>
      <c r="AO48" s="404"/>
      <c r="AP48" s="404"/>
      <c r="AQ48" s="404"/>
      <c r="AR48" s="404"/>
      <c r="AS48" s="404"/>
      <c r="AT48" s="404"/>
      <c r="AU48" s="404"/>
      <c r="AV48" s="413"/>
      <c r="AW48" s="413"/>
      <c r="AX48" s="413"/>
    </row>
    <row r="49" spans="1:50">
      <c r="A49" s="404"/>
      <c r="B49" s="405"/>
      <c r="C49" s="406"/>
      <c r="D49" s="405"/>
      <c r="E49" s="405"/>
      <c r="F49" s="405"/>
      <c r="G49" s="407"/>
      <c r="H49" s="408"/>
      <c r="I49" s="409"/>
      <c r="J49" s="410"/>
      <c r="K49" s="410"/>
      <c r="L49" s="411"/>
      <c r="M49" s="412"/>
      <c r="N49" s="408"/>
      <c r="O49" s="404"/>
      <c r="P49" s="404"/>
      <c r="Q49" s="404"/>
      <c r="R49" s="404"/>
      <c r="S49" s="404"/>
      <c r="T49" s="404"/>
      <c r="U49" s="404"/>
      <c r="V49" s="404"/>
      <c r="W49" s="404"/>
      <c r="X49" s="404"/>
      <c r="Y49" s="404"/>
      <c r="Z49" s="404"/>
      <c r="AA49" s="404"/>
      <c r="AB49" s="404"/>
      <c r="AC49" s="404"/>
      <c r="AD49" s="404"/>
      <c r="AE49" s="404"/>
      <c r="AF49" s="404"/>
      <c r="AG49" s="404"/>
      <c r="AH49" s="404"/>
      <c r="AI49" s="404"/>
      <c r="AJ49" s="404"/>
      <c r="AK49" s="404"/>
      <c r="AL49" s="404"/>
      <c r="AM49" s="413"/>
      <c r="AN49" s="413"/>
      <c r="AO49" s="404"/>
      <c r="AP49" s="404"/>
      <c r="AQ49" s="404"/>
      <c r="AR49" s="404"/>
      <c r="AS49" s="404"/>
      <c r="AT49" s="404"/>
      <c r="AU49" s="404"/>
      <c r="AV49" s="413"/>
      <c r="AW49" s="413"/>
      <c r="AX49" s="413"/>
    </row>
    <row r="50" spans="1:50">
      <c r="A50" s="404"/>
      <c r="B50" s="405"/>
      <c r="C50" s="406"/>
      <c r="D50" s="405"/>
      <c r="E50" s="405"/>
      <c r="F50" s="405"/>
      <c r="G50" s="407"/>
      <c r="H50" s="408"/>
      <c r="I50" s="409"/>
      <c r="J50" s="410"/>
      <c r="K50" s="410"/>
      <c r="L50" s="411"/>
      <c r="M50" s="412"/>
      <c r="N50" s="408"/>
      <c r="O50" s="404"/>
      <c r="P50" s="404"/>
      <c r="Q50" s="404"/>
      <c r="R50" s="404"/>
      <c r="S50" s="404"/>
      <c r="T50" s="404"/>
      <c r="U50" s="404"/>
      <c r="V50" s="404"/>
      <c r="W50" s="404"/>
      <c r="X50" s="404"/>
      <c r="Y50" s="404"/>
      <c r="Z50" s="404"/>
      <c r="AA50" s="404"/>
      <c r="AB50" s="404"/>
      <c r="AC50" s="404"/>
      <c r="AD50" s="404"/>
      <c r="AE50" s="404"/>
      <c r="AF50" s="404"/>
      <c r="AG50" s="404"/>
      <c r="AH50" s="404"/>
      <c r="AI50" s="404"/>
      <c r="AJ50" s="404"/>
      <c r="AK50" s="404"/>
      <c r="AL50" s="404"/>
      <c r="AM50" s="413"/>
      <c r="AN50" s="413"/>
      <c r="AO50" s="404"/>
      <c r="AP50" s="404"/>
      <c r="AQ50" s="404"/>
      <c r="AR50" s="404"/>
      <c r="AS50" s="404"/>
      <c r="AT50" s="404"/>
      <c r="AU50" s="404"/>
      <c r="AV50" s="413"/>
      <c r="AW50" s="413"/>
      <c r="AX50" s="413"/>
    </row>
    <row r="51" spans="1:50">
      <c r="A51" s="404"/>
      <c r="B51" s="405"/>
      <c r="C51" s="406"/>
      <c r="D51" s="405"/>
      <c r="E51" s="405"/>
      <c r="F51" s="405"/>
      <c r="G51" s="407"/>
      <c r="H51" s="408"/>
      <c r="I51" s="409"/>
      <c r="J51" s="410"/>
      <c r="K51" s="410"/>
      <c r="L51" s="411"/>
      <c r="M51" s="412"/>
      <c r="N51" s="408"/>
      <c r="O51" s="404"/>
      <c r="P51" s="404"/>
      <c r="Q51" s="404"/>
      <c r="R51" s="404"/>
      <c r="S51" s="404"/>
      <c r="T51" s="404"/>
      <c r="U51" s="404"/>
      <c r="V51" s="404"/>
      <c r="W51" s="404"/>
      <c r="X51" s="404"/>
      <c r="Y51" s="404"/>
      <c r="Z51" s="404"/>
      <c r="AA51" s="404"/>
      <c r="AB51" s="404"/>
      <c r="AC51" s="404"/>
      <c r="AD51" s="404"/>
      <c r="AE51" s="404"/>
      <c r="AF51" s="404"/>
      <c r="AG51" s="404"/>
      <c r="AH51" s="404"/>
      <c r="AI51" s="404"/>
      <c r="AJ51" s="404"/>
      <c r="AK51" s="404"/>
      <c r="AL51" s="404"/>
      <c r="AM51" s="413"/>
      <c r="AN51" s="413"/>
      <c r="AO51" s="404"/>
      <c r="AP51" s="404"/>
      <c r="AQ51" s="404"/>
      <c r="AR51" s="404"/>
      <c r="AS51" s="404"/>
      <c r="AT51" s="404"/>
      <c r="AU51" s="404"/>
      <c r="AV51" s="413"/>
      <c r="AW51" s="413"/>
      <c r="AX51" s="413"/>
    </row>
    <row r="52" spans="1:50">
      <c r="A52" s="404"/>
      <c r="B52" s="405"/>
      <c r="C52" s="406"/>
      <c r="D52" s="405"/>
      <c r="E52" s="405"/>
      <c r="F52" s="405"/>
      <c r="G52" s="407"/>
      <c r="H52" s="408"/>
      <c r="I52" s="409"/>
      <c r="J52" s="410"/>
      <c r="K52" s="410"/>
      <c r="L52" s="411"/>
      <c r="M52" s="412"/>
      <c r="N52" s="408"/>
      <c r="O52" s="404"/>
      <c r="P52" s="404"/>
      <c r="Q52" s="404"/>
      <c r="R52" s="404"/>
      <c r="S52" s="404"/>
      <c r="T52" s="404"/>
      <c r="U52" s="404"/>
      <c r="V52" s="404"/>
      <c r="W52" s="404"/>
      <c r="X52" s="404"/>
      <c r="Y52" s="404"/>
      <c r="Z52" s="404"/>
      <c r="AA52" s="404"/>
      <c r="AB52" s="404"/>
      <c r="AC52" s="404"/>
      <c r="AD52" s="404"/>
      <c r="AE52" s="404"/>
      <c r="AF52" s="404"/>
      <c r="AG52" s="404"/>
      <c r="AH52" s="404"/>
      <c r="AI52" s="404"/>
      <c r="AJ52" s="404"/>
      <c r="AK52" s="404"/>
      <c r="AL52" s="404"/>
      <c r="AM52" s="413"/>
      <c r="AN52" s="413"/>
      <c r="AO52" s="404"/>
      <c r="AP52" s="404"/>
      <c r="AQ52" s="404"/>
      <c r="AR52" s="404"/>
      <c r="AS52" s="404"/>
      <c r="AT52" s="404"/>
      <c r="AU52" s="404"/>
      <c r="AV52" s="413"/>
      <c r="AW52" s="413"/>
      <c r="AX52" s="413"/>
    </row>
    <row r="53" spans="1:50">
      <c r="A53" s="404"/>
      <c r="B53" s="405"/>
      <c r="C53" s="406"/>
      <c r="D53" s="405"/>
      <c r="E53" s="405"/>
      <c r="F53" s="405"/>
      <c r="G53" s="407"/>
      <c r="H53" s="408"/>
      <c r="I53" s="409"/>
      <c r="J53" s="410"/>
      <c r="K53" s="410"/>
      <c r="L53" s="411"/>
      <c r="M53" s="412"/>
      <c r="N53" s="408"/>
      <c r="O53" s="404"/>
      <c r="P53" s="404"/>
      <c r="Q53" s="404"/>
      <c r="R53" s="404"/>
      <c r="S53" s="404"/>
      <c r="T53" s="404"/>
      <c r="U53" s="404"/>
      <c r="V53" s="404"/>
      <c r="W53" s="404"/>
      <c r="X53" s="404"/>
      <c r="Y53" s="404"/>
      <c r="Z53" s="404"/>
      <c r="AA53" s="404"/>
      <c r="AB53" s="404"/>
      <c r="AC53" s="404"/>
      <c r="AD53" s="404"/>
      <c r="AE53" s="404"/>
      <c r="AF53" s="404"/>
      <c r="AG53" s="404"/>
      <c r="AH53" s="404"/>
      <c r="AI53" s="404"/>
      <c r="AJ53" s="404"/>
      <c r="AK53" s="404"/>
      <c r="AL53" s="404"/>
      <c r="AM53" s="413"/>
      <c r="AN53" s="413"/>
      <c r="AO53" s="404"/>
      <c r="AP53" s="404"/>
      <c r="AQ53" s="404"/>
      <c r="AR53" s="404"/>
      <c r="AS53" s="404"/>
      <c r="AT53" s="404"/>
      <c r="AU53" s="404"/>
      <c r="AV53" s="413"/>
      <c r="AW53" s="413"/>
      <c r="AX53" s="413"/>
    </row>
    <row r="54" spans="1:50">
      <c r="A54" s="404"/>
      <c r="B54" s="405"/>
      <c r="C54" s="406"/>
      <c r="D54" s="405"/>
      <c r="E54" s="405"/>
      <c r="F54" s="405"/>
      <c r="G54" s="407"/>
      <c r="H54" s="408"/>
      <c r="I54" s="409"/>
      <c r="J54" s="410"/>
      <c r="K54" s="410"/>
      <c r="L54" s="411"/>
      <c r="M54" s="412"/>
      <c r="N54" s="408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404"/>
      <c r="AA54" s="404"/>
      <c r="AB54" s="404"/>
      <c r="AC54" s="404"/>
      <c r="AD54" s="404"/>
      <c r="AE54" s="404"/>
      <c r="AF54" s="404"/>
      <c r="AG54" s="404"/>
      <c r="AH54" s="404"/>
      <c r="AI54" s="404"/>
      <c r="AJ54" s="404"/>
      <c r="AK54" s="404"/>
      <c r="AL54" s="404"/>
      <c r="AM54" s="413"/>
      <c r="AN54" s="413"/>
      <c r="AO54" s="404"/>
      <c r="AP54" s="404"/>
      <c r="AQ54" s="404"/>
      <c r="AR54" s="404"/>
      <c r="AS54" s="404"/>
      <c r="AT54" s="404"/>
      <c r="AU54" s="404"/>
      <c r="AV54" s="413"/>
      <c r="AW54" s="413"/>
      <c r="AX54" s="413"/>
    </row>
    <row r="55" spans="1:50">
      <c r="A55" s="404"/>
      <c r="B55" s="405"/>
      <c r="C55" s="406"/>
      <c r="D55" s="405"/>
      <c r="E55" s="405"/>
      <c r="F55" s="405"/>
      <c r="G55" s="407"/>
      <c r="H55" s="408"/>
      <c r="I55" s="409"/>
      <c r="J55" s="410"/>
      <c r="K55" s="410"/>
      <c r="L55" s="411"/>
      <c r="M55" s="412"/>
      <c r="N55" s="408"/>
      <c r="O55" s="404"/>
      <c r="P55" s="404"/>
      <c r="Q55" s="404"/>
      <c r="R55" s="404"/>
      <c r="S55" s="404"/>
      <c r="T55" s="404"/>
      <c r="U55" s="404"/>
      <c r="V55" s="404"/>
      <c r="W55" s="404"/>
      <c r="X55" s="404"/>
      <c r="Y55" s="404"/>
      <c r="Z55" s="404"/>
      <c r="AA55" s="404"/>
      <c r="AB55" s="404"/>
      <c r="AC55" s="404"/>
      <c r="AD55" s="404"/>
      <c r="AE55" s="404"/>
      <c r="AF55" s="404"/>
      <c r="AG55" s="404"/>
      <c r="AH55" s="404"/>
      <c r="AI55" s="404"/>
      <c r="AJ55" s="404"/>
      <c r="AK55" s="404"/>
      <c r="AL55" s="404"/>
      <c r="AM55" s="413"/>
      <c r="AN55" s="413"/>
      <c r="AO55" s="404"/>
      <c r="AP55" s="404"/>
      <c r="AQ55" s="404"/>
      <c r="AR55" s="404"/>
      <c r="AS55" s="404"/>
      <c r="AT55" s="404"/>
      <c r="AU55" s="404"/>
      <c r="AV55" s="413"/>
      <c r="AW55" s="413"/>
      <c r="AX55" s="413"/>
    </row>
    <row r="56" spans="1:50">
      <c r="A56" s="404"/>
      <c r="B56" s="405"/>
      <c r="C56" s="406"/>
      <c r="D56" s="405"/>
      <c r="E56" s="405"/>
      <c r="F56" s="405"/>
      <c r="G56" s="407"/>
      <c r="H56" s="408"/>
      <c r="I56" s="409"/>
      <c r="J56" s="410"/>
      <c r="K56" s="410"/>
      <c r="L56" s="411"/>
      <c r="M56" s="412"/>
      <c r="N56" s="408"/>
      <c r="O56" s="404"/>
      <c r="P56" s="404"/>
      <c r="Q56" s="404"/>
      <c r="R56" s="404"/>
      <c r="S56" s="404"/>
      <c r="T56" s="404"/>
      <c r="U56" s="404"/>
      <c r="V56" s="404"/>
      <c r="W56" s="404"/>
      <c r="X56" s="404"/>
      <c r="Y56" s="404"/>
      <c r="Z56" s="404"/>
      <c r="AA56" s="404"/>
      <c r="AB56" s="404"/>
      <c r="AC56" s="404"/>
      <c r="AD56" s="404"/>
      <c r="AE56" s="404"/>
      <c r="AF56" s="404"/>
      <c r="AG56" s="404"/>
      <c r="AH56" s="404"/>
      <c r="AI56" s="404"/>
      <c r="AJ56" s="404"/>
      <c r="AK56" s="404"/>
      <c r="AL56" s="404"/>
      <c r="AM56" s="413"/>
      <c r="AN56" s="413"/>
      <c r="AO56" s="404"/>
      <c r="AP56" s="404"/>
      <c r="AQ56" s="404"/>
      <c r="AR56" s="404"/>
      <c r="AS56" s="404"/>
      <c r="AT56" s="404"/>
      <c r="AU56" s="404"/>
      <c r="AV56" s="413"/>
      <c r="AW56" s="413"/>
      <c r="AX56" s="413"/>
    </row>
    <row r="57" spans="1:50">
      <c r="A57" s="404"/>
      <c r="B57" s="405"/>
      <c r="C57" s="406"/>
      <c r="D57" s="405"/>
      <c r="E57" s="405"/>
      <c r="F57" s="405"/>
      <c r="G57" s="407"/>
      <c r="H57" s="408"/>
      <c r="I57" s="409"/>
      <c r="J57" s="410"/>
      <c r="K57" s="410"/>
      <c r="L57" s="411"/>
      <c r="M57" s="412"/>
      <c r="N57" s="408"/>
      <c r="O57" s="404"/>
      <c r="P57" s="404"/>
      <c r="Q57" s="404"/>
      <c r="R57" s="404"/>
      <c r="S57" s="404"/>
      <c r="T57" s="404"/>
      <c r="U57" s="404"/>
      <c r="V57" s="404"/>
      <c r="W57" s="404"/>
      <c r="X57" s="404"/>
      <c r="Y57" s="404"/>
      <c r="Z57" s="404"/>
      <c r="AA57" s="404"/>
      <c r="AB57" s="404"/>
      <c r="AC57" s="404"/>
      <c r="AD57" s="404"/>
      <c r="AE57" s="404"/>
      <c r="AF57" s="404"/>
      <c r="AG57" s="404"/>
      <c r="AH57" s="404"/>
      <c r="AI57" s="404"/>
      <c r="AJ57" s="404"/>
      <c r="AK57" s="404"/>
      <c r="AL57" s="404"/>
      <c r="AM57" s="413"/>
      <c r="AN57" s="413"/>
      <c r="AO57" s="404"/>
      <c r="AP57" s="404"/>
      <c r="AQ57" s="404"/>
      <c r="AR57" s="404"/>
      <c r="AS57" s="404"/>
      <c r="AT57" s="404"/>
      <c r="AU57" s="404"/>
      <c r="AV57" s="413"/>
      <c r="AW57" s="413"/>
      <c r="AX57" s="413"/>
    </row>
    <row r="58" spans="1:50">
      <c r="A58" s="404"/>
      <c r="B58" s="405"/>
      <c r="C58" s="406"/>
      <c r="D58" s="405"/>
      <c r="E58" s="405"/>
      <c r="F58" s="405"/>
      <c r="G58" s="407"/>
      <c r="H58" s="408"/>
      <c r="I58" s="409"/>
      <c r="J58" s="410"/>
      <c r="K58" s="410"/>
      <c r="L58" s="411"/>
      <c r="M58" s="412"/>
      <c r="N58" s="408"/>
      <c r="O58" s="404"/>
      <c r="P58" s="404"/>
      <c r="Q58" s="404"/>
      <c r="R58" s="404"/>
      <c r="S58" s="404"/>
      <c r="T58" s="404"/>
      <c r="U58" s="404"/>
      <c r="V58" s="404"/>
      <c r="W58" s="404"/>
      <c r="X58" s="404"/>
      <c r="Y58" s="404"/>
      <c r="Z58" s="404"/>
      <c r="AA58" s="404"/>
      <c r="AB58" s="404"/>
      <c r="AC58" s="404"/>
      <c r="AD58" s="404"/>
      <c r="AE58" s="404"/>
      <c r="AF58" s="404"/>
      <c r="AG58" s="404"/>
      <c r="AH58" s="404"/>
      <c r="AI58" s="404"/>
      <c r="AJ58" s="404"/>
      <c r="AK58" s="404"/>
      <c r="AL58" s="404"/>
      <c r="AM58" s="413"/>
      <c r="AN58" s="413"/>
      <c r="AO58" s="404"/>
      <c r="AP58" s="404"/>
      <c r="AQ58" s="404"/>
      <c r="AR58" s="404"/>
      <c r="AS58" s="404"/>
      <c r="AT58" s="404"/>
      <c r="AU58" s="404"/>
      <c r="AV58" s="413"/>
      <c r="AW58" s="413"/>
      <c r="AX58" s="413"/>
    </row>
    <row r="59" spans="1:50">
      <c r="A59" s="404"/>
      <c r="B59" s="405"/>
      <c r="C59" s="406"/>
      <c r="D59" s="405"/>
      <c r="E59" s="405"/>
      <c r="F59" s="405"/>
      <c r="G59" s="407"/>
      <c r="H59" s="408"/>
      <c r="I59" s="409"/>
      <c r="J59" s="410"/>
      <c r="K59" s="410"/>
      <c r="L59" s="411"/>
      <c r="M59" s="412"/>
      <c r="N59" s="408"/>
      <c r="O59" s="404"/>
      <c r="P59" s="404"/>
      <c r="Q59" s="404"/>
      <c r="R59" s="404"/>
      <c r="S59" s="404"/>
      <c r="T59" s="404"/>
      <c r="U59" s="404"/>
      <c r="V59" s="404"/>
      <c r="W59" s="404"/>
      <c r="X59" s="404"/>
      <c r="Y59" s="404"/>
      <c r="Z59" s="404"/>
      <c r="AA59" s="404"/>
      <c r="AB59" s="404"/>
      <c r="AC59" s="404"/>
      <c r="AD59" s="404"/>
      <c r="AE59" s="404"/>
      <c r="AF59" s="404"/>
      <c r="AG59" s="404"/>
      <c r="AH59" s="404"/>
      <c r="AI59" s="404"/>
      <c r="AJ59" s="404"/>
      <c r="AK59" s="404"/>
      <c r="AL59" s="404"/>
      <c r="AM59" s="413"/>
      <c r="AN59" s="413"/>
      <c r="AO59" s="404"/>
      <c r="AP59" s="404"/>
      <c r="AQ59" s="404"/>
      <c r="AR59" s="404"/>
      <c r="AS59" s="404"/>
      <c r="AT59" s="404"/>
      <c r="AU59" s="404"/>
      <c r="AV59" s="413"/>
      <c r="AW59" s="413"/>
      <c r="AX59" s="413"/>
    </row>
    <row r="60" spans="1:50">
      <c r="A60" s="404"/>
      <c r="B60" s="405"/>
      <c r="C60" s="406"/>
      <c r="D60" s="405"/>
      <c r="E60" s="405"/>
      <c r="F60" s="405"/>
      <c r="G60" s="407"/>
      <c r="H60" s="408"/>
      <c r="I60" s="409"/>
      <c r="J60" s="410"/>
      <c r="K60" s="410"/>
      <c r="L60" s="411"/>
      <c r="M60" s="412"/>
      <c r="N60" s="408"/>
      <c r="O60" s="404"/>
      <c r="P60" s="404"/>
      <c r="Q60" s="404"/>
      <c r="R60" s="404"/>
      <c r="S60" s="404"/>
      <c r="T60" s="404"/>
      <c r="U60" s="404"/>
      <c r="V60" s="404"/>
      <c r="W60" s="404"/>
      <c r="X60" s="404"/>
      <c r="Y60" s="404"/>
      <c r="Z60" s="404"/>
      <c r="AA60" s="404"/>
      <c r="AB60" s="404"/>
      <c r="AC60" s="404"/>
      <c r="AD60" s="404"/>
      <c r="AE60" s="404"/>
      <c r="AF60" s="404"/>
      <c r="AG60" s="404"/>
      <c r="AH60" s="404"/>
      <c r="AI60" s="404"/>
      <c r="AJ60" s="404"/>
      <c r="AK60" s="404"/>
      <c r="AL60" s="404"/>
      <c r="AM60" s="413"/>
      <c r="AN60" s="413"/>
      <c r="AO60" s="404"/>
      <c r="AP60" s="404"/>
      <c r="AQ60" s="404"/>
      <c r="AR60" s="404"/>
      <c r="AS60" s="404"/>
      <c r="AT60" s="404"/>
      <c r="AU60" s="404"/>
      <c r="AV60" s="413"/>
      <c r="AW60" s="413"/>
      <c r="AX60" s="413"/>
    </row>
    <row r="61" spans="1:50">
      <c r="A61" s="404"/>
      <c r="B61" s="405"/>
      <c r="C61" s="406"/>
      <c r="D61" s="405"/>
      <c r="E61" s="405"/>
      <c r="F61" s="405"/>
      <c r="G61" s="407"/>
      <c r="H61" s="408"/>
      <c r="I61" s="409"/>
      <c r="J61" s="410"/>
      <c r="K61" s="410"/>
      <c r="L61" s="411"/>
      <c r="M61" s="412"/>
      <c r="N61" s="408"/>
      <c r="O61" s="404"/>
      <c r="P61" s="404"/>
      <c r="Q61" s="404"/>
      <c r="R61" s="404"/>
      <c r="S61" s="404"/>
      <c r="T61" s="404"/>
      <c r="U61" s="404"/>
      <c r="V61" s="404"/>
      <c r="W61" s="404"/>
      <c r="X61" s="404"/>
      <c r="Y61" s="404"/>
      <c r="Z61" s="404"/>
      <c r="AA61" s="404"/>
      <c r="AB61" s="404"/>
      <c r="AC61" s="404"/>
      <c r="AD61" s="404"/>
      <c r="AE61" s="404"/>
      <c r="AF61" s="404"/>
      <c r="AG61" s="404"/>
      <c r="AH61" s="404"/>
      <c r="AI61" s="404"/>
      <c r="AJ61" s="404"/>
      <c r="AK61" s="404"/>
      <c r="AL61" s="404"/>
      <c r="AM61" s="413"/>
      <c r="AN61" s="413"/>
      <c r="AO61" s="404"/>
      <c r="AP61" s="404"/>
      <c r="AQ61" s="404"/>
      <c r="AR61" s="404"/>
      <c r="AS61" s="404"/>
      <c r="AT61" s="404"/>
      <c r="AU61" s="404"/>
      <c r="AV61" s="413"/>
      <c r="AW61" s="413"/>
      <c r="AX61" s="413"/>
    </row>
    <row r="62" spans="1:50">
      <c r="A62" s="404"/>
      <c r="B62" s="405"/>
      <c r="C62" s="406"/>
      <c r="D62" s="405"/>
      <c r="E62" s="405"/>
      <c r="F62" s="405"/>
      <c r="G62" s="407"/>
      <c r="H62" s="408"/>
      <c r="I62" s="409"/>
      <c r="J62" s="410"/>
      <c r="K62" s="410"/>
      <c r="L62" s="411"/>
      <c r="M62" s="412"/>
      <c r="N62" s="408"/>
      <c r="O62" s="404"/>
      <c r="P62" s="404"/>
      <c r="Q62" s="404"/>
      <c r="R62" s="404"/>
      <c r="S62" s="404"/>
      <c r="T62" s="404"/>
      <c r="U62" s="404"/>
      <c r="V62" s="404"/>
      <c r="W62" s="404"/>
      <c r="X62" s="404"/>
      <c r="Y62" s="404"/>
      <c r="Z62" s="404"/>
      <c r="AA62" s="404"/>
      <c r="AB62" s="404"/>
      <c r="AC62" s="404"/>
      <c r="AD62" s="404"/>
      <c r="AE62" s="404"/>
      <c r="AF62" s="404"/>
      <c r="AG62" s="404"/>
      <c r="AH62" s="404"/>
      <c r="AI62" s="404"/>
      <c r="AJ62" s="404"/>
      <c r="AK62" s="404"/>
      <c r="AL62" s="404"/>
      <c r="AM62" s="413"/>
      <c r="AN62" s="413"/>
      <c r="AO62" s="404"/>
      <c r="AP62" s="404"/>
      <c r="AQ62" s="404"/>
      <c r="AR62" s="404"/>
      <c r="AS62" s="404"/>
      <c r="AT62" s="404"/>
      <c r="AU62" s="404"/>
      <c r="AV62" s="413"/>
      <c r="AW62" s="413"/>
      <c r="AX62" s="413"/>
    </row>
    <row r="63" spans="1:50">
      <c r="A63" s="404"/>
      <c r="B63" s="405"/>
      <c r="C63" s="406"/>
      <c r="D63" s="405"/>
      <c r="E63" s="405"/>
      <c r="F63" s="405"/>
      <c r="G63" s="407"/>
      <c r="H63" s="408"/>
      <c r="I63" s="409"/>
      <c r="J63" s="410"/>
      <c r="K63" s="410"/>
      <c r="L63" s="411"/>
      <c r="M63" s="412"/>
      <c r="N63" s="408"/>
      <c r="O63" s="404"/>
      <c r="P63" s="404"/>
      <c r="Q63" s="404"/>
      <c r="R63" s="404"/>
      <c r="S63" s="404"/>
      <c r="T63" s="404"/>
      <c r="U63" s="404"/>
      <c r="V63" s="404"/>
      <c r="W63" s="404"/>
      <c r="X63" s="404"/>
      <c r="Y63" s="404"/>
      <c r="Z63" s="404"/>
      <c r="AA63" s="404"/>
      <c r="AB63" s="404"/>
      <c r="AC63" s="404"/>
      <c r="AD63" s="404"/>
      <c r="AE63" s="404"/>
      <c r="AF63" s="404"/>
      <c r="AG63" s="404"/>
      <c r="AH63" s="404"/>
      <c r="AI63" s="404"/>
      <c r="AJ63" s="404"/>
      <c r="AK63" s="404"/>
      <c r="AL63" s="404"/>
      <c r="AM63" s="413"/>
      <c r="AN63" s="413"/>
      <c r="AO63" s="404"/>
      <c r="AP63" s="404"/>
      <c r="AQ63" s="404"/>
      <c r="AR63" s="404"/>
      <c r="AS63" s="404"/>
      <c r="AT63" s="404"/>
      <c r="AU63" s="404"/>
      <c r="AV63" s="413"/>
      <c r="AW63" s="413"/>
      <c r="AX63" s="413"/>
    </row>
    <row r="64" spans="1:50">
      <c r="A64" s="404"/>
      <c r="B64" s="405"/>
      <c r="C64" s="406"/>
      <c r="D64" s="405"/>
      <c r="E64" s="405"/>
      <c r="F64" s="405"/>
      <c r="G64" s="407"/>
      <c r="H64" s="408"/>
      <c r="I64" s="409"/>
      <c r="J64" s="410"/>
      <c r="K64" s="410"/>
      <c r="L64" s="411"/>
      <c r="M64" s="412"/>
      <c r="N64" s="408"/>
      <c r="O64" s="404"/>
      <c r="P64" s="404"/>
      <c r="Q64" s="404"/>
      <c r="R64" s="404"/>
      <c r="S64" s="404"/>
      <c r="T64" s="404"/>
      <c r="U64" s="404"/>
      <c r="V64" s="404"/>
      <c r="W64" s="404"/>
      <c r="X64" s="404"/>
      <c r="Y64" s="404"/>
      <c r="Z64" s="404"/>
      <c r="AA64" s="404"/>
      <c r="AB64" s="404"/>
      <c r="AC64" s="404"/>
      <c r="AD64" s="404"/>
      <c r="AE64" s="404"/>
      <c r="AF64" s="404"/>
      <c r="AG64" s="404"/>
      <c r="AH64" s="404"/>
      <c r="AI64" s="404"/>
      <c r="AJ64" s="404"/>
      <c r="AK64" s="404"/>
      <c r="AL64" s="404"/>
      <c r="AM64" s="413"/>
      <c r="AN64" s="413"/>
      <c r="AO64" s="404"/>
      <c r="AP64" s="404"/>
      <c r="AQ64" s="404"/>
      <c r="AR64" s="404"/>
      <c r="AS64" s="404"/>
      <c r="AT64" s="404"/>
      <c r="AU64" s="404"/>
      <c r="AV64" s="413"/>
      <c r="AW64" s="413"/>
      <c r="AX64" s="413"/>
    </row>
    <row r="65" spans="1:50">
      <c r="A65" s="404"/>
      <c r="B65" s="405"/>
      <c r="C65" s="406"/>
      <c r="D65" s="405"/>
      <c r="E65" s="405"/>
      <c r="F65" s="405"/>
      <c r="G65" s="407"/>
      <c r="H65" s="408"/>
      <c r="I65" s="409"/>
      <c r="J65" s="410"/>
      <c r="K65" s="410"/>
      <c r="L65" s="411"/>
      <c r="M65" s="412"/>
      <c r="N65" s="408"/>
      <c r="O65" s="404"/>
      <c r="P65" s="404"/>
      <c r="Q65" s="404"/>
      <c r="R65" s="404"/>
      <c r="S65" s="404"/>
      <c r="T65" s="404"/>
      <c r="U65" s="404"/>
      <c r="V65" s="404"/>
      <c r="W65" s="404"/>
      <c r="X65" s="404"/>
      <c r="Y65" s="404"/>
      <c r="Z65" s="404"/>
      <c r="AA65" s="404"/>
      <c r="AB65" s="404"/>
      <c r="AC65" s="404"/>
      <c r="AD65" s="404"/>
      <c r="AE65" s="404"/>
      <c r="AF65" s="404"/>
      <c r="AG65" s="404"/>
      <c r="AH65" s="404"/>
      <c r="AI65" s="404"/>
      <c r="AJ65" s="404"/>
      <c r="AK65" s="404"/>
      <c r="AL65" s="404"/>
      <c r="AM65" s="413"/>
      <c r="AN65" s="413"/>
      <c r="AO65" s="404"/>
      <c r="AP65" s="404"/>
      <c r="AQ65" s="404"/>
      <c r="AR65" s="404"/>
      <c r="AS65" s="404"/>
      <c r="AT65" s="404"/>
      <c r="AU65" s="404"/>
      <c r="AV65" s="413"/>
      <c r="AW65" s="413"/>
      <c r="AX65" s="413"/>
    </row>
    <row r="66" spans="1:50">
      <c r="A66" s="404"/>
      <c r="B66" s="405"/>
      <c r="C66" s="406"/>
      <c r="D66" s="405"/>
      <c r="E66" s="405"/>
      <c r="F66" s="405"/>
      <c r="G66" s="407"/>
      <c r="H66" s="408"/>
      <c r="I66" s="409"/>
      <c r="J66" s="410"/>
      <c r="K66" s="410"/>
      <c r="L66" s="411"/>
      <c r="M66" s="412"/>
      <c r="N66" s="408"/>
      <c r="O66" s="404"/>
      <c r="P66" s="404"/>
      <c r="Q66" s="404"/>
      <c r="R66" s="404"/>
      <c r="S66" s="404"/>
      <c r="T66" s="404"/>
      <c r="U66" s="404"/>
      <c r="V66" s="404"/>
      <c r="W66" s="404"/>
      <c r="X66" s="404"/>
      <c r="Y66" s="404"/>
      <c r="Z66" s="404"/>
      <c r="AA66" s="404"/>
      <c r="AB66" s="404"/>
      <c r="AC66" s="404"/>
      <c r="AD66" s="404"/>
      <c r="AE66" s="404"/>
      <c r="AF66" s="404"/>
      <c r="AG66" s="404"/>
      <c r="AH66" s="404"/>
      <c r="AI66" s="404"/>
      <c r="AJ66" s="404"/>
      <c r="AK66" s="404"/>
      <c r="AL66" s="404"/>
      <c r="AM66" s="413"/>
      <c r="AN66" s="413"/>
      <c r="AO66" s="404"/>
      <c r="AP66" s="404"/>
      <c r="AQ66" s="404"/>
      <c r="AR66" s="404"/>
      <c r="AS66" s="404"/>
      <c r="AT66" s="404"/>
      <c r="AU66" s="404"/>
      <c r="AV66" s="413"/>
      <c r="AW66" s="413"/>
      <c r="AX66" s="413"/>
    </row>
    <row r="67" spans="1:50">
      <c r="A67" s="404"/>
      <c r="B67" s="405"/>
      <c r="C67" s="406"/>
      <c r="D67" s="405"/>
      <c r="E67" s="405"/>
      <c r="F67" s="405"/>
      <c r="G67" s="407"/>
      <c r="H67" s="408"/>
      <c r="I67" s="409"/>
      <c r="J67" s="410"/>
      <c r="K67" s="410"/>
      <c r="L67" s="411"/>
      <c r="M67" s="412"/>
      <c r="N67" s="408"/>
      <c r="O67" s="404"/>
      <c r="P67" s="404"/>
      <c r="Q67" s="404"/>
      <c r="R67" s="404"/>
      <c r="S67" s="404"/>
      <c r="T67" s="404"/>
      <c r="U67" s="404"/>
      <c r="V67" s="404"/>
      <c r="W67" s="404"/>
      <c r="X67" s="404"/>
      <c r="Y67" s="404"/>
      <c r="Z67" s="404"/>
      <c r="AA67" s="404"/>
      <c r="AB67" s="404"/>
      <c r="AC67" s="404"/>
      <c r="AD67" s="404"/>
      <c r="AE67" s="404"/>
      <c r="AF67" s="404"/>
      <c r="AG67" s="404"/>
      <c r="AH67" s="404"/>
      <c r="AI67" s="404"/>
      <c r="AJ67" s="404"/>
      <c r="AK67" s="404"/>
      <c r="AL67" s="404"/>
      <c r="AM67" s="413"/>
      <c r="AN67" s="413"/>
      <c r="AO67" s="404"/>
      <c r="AP67" s="404"/>
      <c r="AQ67" s="404"/>
      <c r="AR67" s="404"/>
      <c r="AS67" s="404"/>
      <c r="AT67" s="404"/>
      <c r="AU67" s="404"/>
      <c r="AV67" s="413"/>
      <c r="AW67" s="413"/>
      <c r="AX67" s="413"/>
    </row>
    <row r="68" spans="1:50">
      <c r="A68" s="404"/>
      <c r="B68" s="405"/>
      <c r="C68" s="406"/>
      <c r="D68" s="405"/>
      <c r="E68" s="405"/>
      <c r="F68" s="405"/>
      <c r="G68" s="407"/>
      <c r="H68" s="408"/>
      <c r="I68" s="409"/>
      <c r="J68" s="410"/>
      <c r="K68" s="410"/>
      <c r="L68" s="411"/>
      <c r="M68" s="412"/>
      <c r="N68" s="408"/>
      <c r="O68" s="404"/>
      <c r="P68" s="404"/>
      <c r="Q68" s="404"/>
      <c r="R68" s="404"/>
      <c r="S68" s="404"/>
      <c r="T68" s="404"/>
      <c r="U68" s="404"/>
      <c r="V68" s="404"/>
      <c r="W68" s="404"/>
      <c r="X68" s="404"/>
      <c r="Y68" s="404"/>
      <c r="Z68" s="404"/>
      <c r="AA68" s="404"/>
      <c r="AB68" s="404"/>
      <c r="AC68" s="404"/>
      <c r="AD68" s="404"/>
      <c r="AE68" s="404"/>
      <c r="AF68" s="404"/>
      <c r="AG68" s="404"/>
      <c r="AH68" s="404"/>
      <c r="AI68" s="404"/>
      <c r="AJ68" s="404"/>
      <c r="AK68" s="404"/>
      <c r="AL68" s="404"/>
      <c r="AM68" s="413"/>
      <c r="AN68" s="413"/>
      <c r="AO68" s="404"/>
      <c r="AP68" s="404"/>
      <c r="AQ68" s="404"/>
      <c r="AR68" s="404"/>
      <c r="AS68" s="404"/>
      <c r="AT68" s="404"/>
      <c r="AU68" s="404"/>
      <c r="AV68" s="413"/>
      <c r="AW68" s="413"/>
      <c r="AX68" s="413"/>
    </row>
    <row r="69" spans="1:50">
      <c r="A69" s="404"/>
      <c r="B69" s="405"/>
      <c r="C69" s="406"/>
      <c r="D69" s="405"/>
      <c r="E69" s="405"/>
      <c r="F69" s="405"/>
      <c r="G69" s="407"/>
      <c r="H69" s="408"/>
      <c r="I69" s="409"/>
      <c r="J69" s="410"/>
      <c r="K69" s="410"/>
      <c r="L69" s="411"/>
      <c r="M69" s="412"/>
      <c r="N69" s="408"/>
      <c r="O69" s="404"/>
      <c r="P69" s="404"/>
      <c r="Q69" s="404"/>
      <c r="R69" s="404"/>
      <c r="S69" s="404"/>
      <c r="T69" s="404"/>
      <c r="U69" s="404"/>
      <c r="V69" s="404"/>
      <c r="W69" s="404"/>
      <c r="X69" s="404"/>
      <c r="Y69" s="404"/>
      <c r="Z69" s="404"/>
      <c r="AA69" s="404"/>
      <c r="AB69" s="404"/>
      <c r="AC69" s="404"/>
      <c r="AD69" s="404"/>
      <c r="AE69" s="404"/>
      <c r="AF69" s="404"/>
      <c r="AG69" s="404"/>
      <c r="AH69" s="404"/>
      <c r="AI69" s="404"/>
      <c r="AJ69" s="404"/>
      <c r="AK69" s="404"/>
      <c r="AL69" s="404"/>
      <c r="AM69" s="413"/>
      <c r="AN69" s="413"/>
      <c r="AO69" s="404"/>
      <c r="AP69" s="404"/>
      <c r="AQ69" s="404"/>
      <c r="AR69" s="404"/>
      <c r="AS69" s="404"/>
      <c r="AT69" s="404"/>
      <c r="AU69" s="404"/>
      <c r="AV69" s="413"/>
      <c r="AW69" s="413"/>
      <c r="AX69" s="413"/>
    </row>
    <row r="70" spans="1:50">
      <c r="A70" s="404"/>
      <c r="B70" s="405"/>
      <c r="C70" s="406"/>
      <c r="D70" s="405"/>
      <c r="E70" s="405"/>
      <c r="F70" s="405"/>
      <c r="G70" s="407"/>
      <c r="H70" s="408"/>
      <c r="I70" s="409"/>
      <c r="J70" s="410"/>
      <c r="K70" s="410"/>
      <c r="L70" s="411"/>
      <c r="M70" s="412"/>
      <c r="N70" s="408"/>
      <c r="O70" s="404"/>
      <c r="P70" s="404"/>
      <c r="Q70" s="404"/>
      <c r="R70" s="404"/>
      <c r="S70" s="404"/>
      <c r="T70" s="404"/>
      <c r="U70" s="404"/>
      <c r="V70" s="404"/>
      <c r="W70" s="404"/>
      <c r="X70" s="404"/>
      <c r="Y70" s="404"/>
      <c r="Z70" s="404"/>
      <c r="AA70" s="404"/>
      <c r="AB70" s="404"/>
      <c r="AC70" s="404"/>
      <c r="AD70" s="404"/>
      <c r="AE70" s="404"/>
      <c r="AF70" s="404"/>
      <c r="AG70" s="404"/>
      <c r="AH70" s="404"/>
      <c r="AI70" s="404"/>
      <c r="AJ70" s="404"/>
      <c r="AK70" s="404"/>
      <c r="AL70" s="404"/>
      <c r="AM70" s="413"/>
      <c r="AN70" s="413"/>
      <c r="AO70" s="404"/>
      <c r="AP70" s="404"/>
      <c r="AQ70" s="404"/>
      <c r="AR70" s="404"/>
      <c r="AS70" s="404"/>
      <c r="AT70" s="404"/>
      <c r="AU70" s="404"/>
      <c r="AV70" s="413"/>
      <c r="AW70" s="413"/>
      <c r="AX70" s="413"/>
    </row>
    <row r="71" spans="1:50">
      <c r="A71" s="404"/>
      <c r="B71" s="405"/>
      <c r="C71" s="406"/>
      <c r="D71" s="405"/>
      <c r="E71" s="405"/>
      <c r="F71" s="405"/>
      <c r="G71" s="407"/>
      <c r="H71" s="408"/>
      <c r="I71" s="409"/>
      <c r="J71" s="410"/>
      <c r="K71" s="410"/>
      <c r="L71" s="411"/>
      <c r="M71" s="412"/>
      <c r="N71" s="408"/>
      <c r="O71" s="404"/>
      <c r="P71" s="404"/>
      <c r="Q71" s="404"/>
      <c r="R71" s="404"/>
      <c r="S71" s="404"/>
      <c r="T71" s="404"/>
      <c r="U71" s="404"/>
      <c r="V71" s="404"/>
      <c r="W71" s="404"/>
      <c r="X71" s="404"/>
      <c r="Y71" s="404"/>
      <c r="Z71" s="404"/>
      <c r="AA71" s="404"/>
      <c r="AB71" s="404"/>
      <c r="AC71" s="404"/>
      <c r="AD71" s="404"/>
      <c r="AE71" s="404"/>
      <c r="AF71" s="404"/>
      <c r="AG71" s="404"/>
      <c r="AH71" s="404"/>
      <c r="AI71" s="404"/>
      <c r="AJ71" s="404"/>
      <c r="AK71" s="404"/>
      <c r="AL71" s="404"/>
      <c r="AM71" s="413"/>
      <c r="AN71" s="413"/>
      <c r="AO71" s="404"/>
      <c r="AP71" s="404"/>
      <c r="AQ71" s="404"/>
      <c r="AR71" s="404"/>
      <c r="AS71" s="404"/>
      <c r="AT71" s="404"/>
      <c r="AU71" s="404"/>
      <c r="AV71" s="413"/>
      <c r="AW71" s="413"/>
      <c r="AX71" s="413"/>
    </row>
    <row r="72" spans="1:50">
      <c r="A72" s="404"/>
      <c r="B72" s="405"/>
      <c r="C72" s="406"/>
      <c r="D72" s="405"/>
      <c r="E72" s="405"/>
      <c r="F72" s="405"/>
      <c r="G72" s="407"/>
      <c r="H72" s="408"/>
      <c r="I72" s="409"/>
      <c r="J72" s="410"/>
      <c r="K72" s="410"/>
      <c r="L72" s="411"/>
      <c r="M72" s="412"/>
      <c r="N72" s="408"/>
      <c r="O72" s="404"/>
      <c r="P72" s="404"/>
      <c r="Q72" s="404"/>
      <c r="R72" s="404"/>
      <c r="S72" s="404"/>
      <c r="T72" s="404"/>
      <c r="U72" s="404"/>
      <c r="V72" s="404"/>
      <c r="W72" s="404"/>
      <c r="X72" s="404"/>
      <c r="Y72" s="404"/>
      <c r="Z72" s="404"/>
      <c r="AA72" s="404"/>
      <c r="AB72" s="404"/>
      <c r="AC72" s="404"/>
      <c r="AD72" s="404"/>
      <c r="AE72" s="404"/>
      <c r="AF72" s="404"/>
      <c r="AG72" s="404"/>
      <c r="AH72" s="404"/>
      <c r="AI72" s="404"/>
      <c r="AJ72" s="404"/>
      <c r="AK72" s="404"/>
      <c r="AL72" s="404"/>
      <c r="AM72" s="413"/>
      <c r="AN72" s="413"/>
      <c r="AO72" s="404"/>
      <c r="AP72" s="404"/>
      <c r="AQ72" s="404"/>
      <c r="AR72" s="404"/>
      <c r="AS72" s="404"/>
      <c r="AT72" s="404"/>
      <c r="AU72" s="404"/>
      <c r="AV72" s="413"/>
      <c r="AW72" s="413"/>
      <c r="AX72" s="413"/>
    </row>
    <row r="73" spans="1:50">
      <c r="A73" s="404"/>
      <c r="B73" s="405"/>
      <c r="C73" s="406"/>
      <c r="D73" s="405"/>
      <c r="E73" s="405"/>
      <c r="F73" s="405"/>
      <c r="G73" s="407"/>
      <c r="H73" s="408"/>
      <c r="I73" s="409"/>
      <c r="J73" s="410"/>
      <c r="K73" s="410"/>
      <c r="L73" s="411"/>
      <c r="M73" s="412"/>
      <c r="N73" s="408"/>
      <c r="O73" s="404"/>
      <c r="P73" s="404"/>
      <c r="Q73" s="404"/>
      <c r="R73" s="404"/>
      <c r="S73" s="404"/>
      <c r="T73" s="404"/>
      <c r="U73" s="404"/>
      <c r="V73" s="404"/>
      <c r="W73" s="404"/>
      <c r="X73" s="404"/>
      <c r="Y73" s="404"/>
      <c r="Z73" s="404"/>
      <c r="AA73" s="404"/>
      <c r="AB73" s="404"/>
      <c r="AC73" s="404"/>
      <c r="AD73" s="404"/>
      <c r="AE73" s="404"/>
      <c r="AF73" s="404"/>
      <c r="AG73" s="404"/>
      <c r="AH73" s="404"/>
      <c r="AI73" s="404"/>
      <c r="AJ73" s="404"/>
      <c r="AK73" s="404"/>
      <c r="AL73" s="404"/>
      <c r="AM73" s="413"/>
      <c r="AN73" s="413"/>
      <c r="AO73" s="404"/>
      <c r="AP73" s="404"/>
      <c r="AQ73" s="404"/>
      <c r="AR73" s="404"/>
      <c r="AS73" s="404"/>
      <c r="AT73" s="404"/>
      <c r="AU73" s="404"/>
      <c r="AV73" s="413"/>
      <c r="AW73" s="413"/>
      <c r="AX73" s="413"/>
    </row>
    <row r="74" spans="1:50">
      <c r="A74" s="404"/>
      <c r="B74" s="405"/>
      <c r="C74" s="406"/>
      <c r="D74" s="405"/>
      <c r="E74" s="405"/>
      <c r="F74" s="405"/>
      <c r="G74" s="407"/>
      <c r="H74" s="408"/>
      <c r="I74" s="409"/>
      <c r="J74" s="410"/>
      <c r="K74" s="410"/>
      <c r="L74" s="411"/>
      <c r="M74" s="412"/>
      <c r="N74" s="408"/>
      <c r="O74" s="404"/>
      <c r="P74" s="404"/>
      <c r="Q74" s="404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404"/>
      <c r="AC74" s="404"/>
      <c r="AD74" s="404"/>
      <c r="AE74" s="404"/>
      <c r="AF74" s="404"/>
      <c r="AG74" s="404"/>
      <c r="AH74" s="404"/>
      <c r="AI74" s="404"/>
      <c r="AJ74" s="404"/>
      <c r="AK74" s="404"/>
      <c r="AL74" s="404"/>
      <c r="AM74" s="413"/>
      <c r="AN74" s="413"/>
      <c r="AO74" s="404"/>
      <c r="AP74" s="404"/>
      <c r="AQ74" s="404"/>
      <c r="AR74" s="404"/>
      <c r="AS74" s="404"/>
      <c r="AT74" s="404"/>
      <c r="AU74" s="404"/>
      <c r="AV74" s="413"/>
      <c r="AW74" s="413"/>
      <c r="AX74" s="413"/>
    </row>
    <row r="75" spans="1:50">
      <c r="A75" s="404"/>
      <c r="B75" s="405"/>
      <c r="C75" s="406"/>
      <c r="D75" s="405"/>
      <c r="E75" s="405"/>
      <c r="F75" s="405"/>
      <c r="G75" s="407"/>
      <c r="H75" s="408"/>
      <c r="I75" s="409"/>
      <c r="J75" s="410"/>
      <c r="K75" s="410"/>
      <c r="L75" s="411"/>
      <c r="M75" s="412"/>
      <c r="N75" s="408"/>
      <c r="O75" s="404"/>
      <c r="P75" s="404"/>
      <c r="Q75" s="404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404"/>
      <c r="AC75" s="404"/>
      <c r="AD75" s="404"/>
      <c r="AE75" s="404"/>
      <c r="AF75" s="404"/>
      <c r="AG75" s="404"/>
      <c r="AH75" s="404"/>
      <c r="AI75" s="404"/>
      <c r="AJ75" s="404"/>
      <c r="AK75" s="404"/>
      <c r="AL75" s="404"/>
      <c r="AM75" s="413"/>
      <c r="AN75" s="413"/>
      <c r="AO75" s="404"/>
      <c r="AP75" s="404"/>
      <c r="AQ75" s="404"/>
      <c r="AR75" s="404"/>
      <c r="AS75" s="404"/>
      <c r="AT75" s="404"/>
      <c r="AU75" s="404"/>
      <c r="AV75" s="413"/>
      <c r="AW75" s="413"/>
      <c r="AX75" s="413"/>
    </row>
    <row r="76" spans="1:50">
      <c r="A76" s="404"/>
      <c r="B76" s="405"/>
      <c r="C76" s="406"/>
      <c r="D76" s="405"/>
      <c r="E76" s="405"/>
      <c r="F76" s="405"/>
      <c r="G76" s="407"/>
      <c r="H76" s="408"/>
      <c r="I76" s="409"/>
      <c r="J76" s="410"/>
      <c r="K76" s="410"/>
      <c r="L76" s="411"/>
      <c r="M76" s="412"/>
      <c r="N76" s="408"/>
      <c r="O76" s="404"/>
      <c r="P76" s="404"/>
      <c r="Q76" s="404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404"/>
      <c r="AC76" s="404"/>
      <c r="AD76" s="404"/>
      <c r="AE76" s="404"/>
      <c r="AF76" s="404"/>
      <c r="AG76" s="404"/>
      <c r="AH76" s="404"/>
      <c r="AI76" s="404"/>
      <c r="AJ76" s="404"/>
      <c r="AK76" s="404"/>
      <c r="AL76" s="404"/>
      <c r="AM76" s="413"/>
      <c r="AN76" s="413"/>
      <c r="AO76" s="404"/>
      <c r="AP76" s="404"/>
      <c r="AQ76" s="404"/>
      <c r="AR76" s="404"/>
      <c r="AS76" s="404"/>
      <c r="AT76" s="404"/>
      <c r="AU76" s="404"/>
      <c r="AV76" s="413"/>
      <c r="AW76" s="413"/>
      <c r="AX76" s="413"/>
    </row>
    <row r="77" spans="1:50">
      <c r="A77" s="404"/>
      <c r="B77" s="405"/>
      <c r="C77" s="406"/>
      <c r="D77" s="405"/>
      <c r="E77" s="405"/>
      <c r="F77" s="405"/>
      <c r="G77" s="407"/>
      <c r="H77" s="408"/>
      <c r="I77" s="409"/>
      <c r="J77" s="410"/>
      <c r="K77" s="410"/>
      <c r="L77" s="411"/>
      <c r="M77" s="412"/>
      <c r="N77" s="408"/>
      <c r="O77" s="404"/>
      <c r="P77" s="404"/>
      <c r="Q77" s="404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404"/>
      <c r="AC77" s="404"/>
      <c r="AD77" s="404"/>
      <c r="AE77" s="404"/>
      <c r="AF77" s="404"/>
      <c r="AG77" s="404"/>
      <c r="AH77" s="404"/>
      <c r="AI77" s="404"/>
      <c r="AJ77" s="404"/>
      <c r="AK77" s="404"/>
      <c r="AL77" s="404"/>
      <c r="AM77" s="413"/>
      <c r="AN77" s="413"/>
      <c r="AO77" s="404"/>
      <c r="AP77" s="404"/>
      <c r="AQ77" s="404"/>
      <c r="AR77" s="404"/>
      <c r="AS77" s="404"/>
      <c r="AT77" s="404"/>
      <c r="AU77" s="404"/>
      <c r="AV77" s="413"/>
      <c r="AW77" s="413"/>
      <c r="AX77" s="413"/>
    </row>
    <row r="78" spans="1:50">
      <c r="A78" s="404"/>
      <c r="B78" s="405"/>
      <c r="C78" s="406"/>
      <c r="D78" s="405"/>
      <c r="E78" s="405"/>
      <c r="F78" s="405"/>
      <c r="G78" s="407"/>
      <c r="H78" s="408"/>
      <c r="I78" s="409"/>
      <c r="J78" s="410"/>
      <c r="K78" s="410"/>
      <c r="L78" s="411"/>
      <c r="M78" s="412"/>
      <c r="N78" s="408"/>
      <c r="O78" s="404"/>
      <c r="P78" s="404"/>
      <c r="Q78" s="404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404"/>
      <c r="AC78" s="404"/>
      <c r="AD78" s="404"/>
      <c r="AE78" s="404"/>
      <c r="AF78" s="404"/>
      <c r="AG78" s="404"/>
      <c r="AH78" s="404"/>
      <c r="AI78" s="404"/>
      <c r="AJ78" s="404"/>
      <c r="AK78" s="404"/>
      <c r="AL78" s="404"/>
      <c r="AM78" s="413"/>
      <c r="AN78" s="413"/>
      <c r="AO78" s="404"/>
      <c r="AP78" s="404"/>
      <c r="AQ78" s="404"/>
      <c r="AR78" s="404"/>
      <c r="AS78" s="404"/>
      <c r="AT78" s="404"/>
      <c r="AU78" s="404"/>
      <c r="AV78" s="413"/>
      <c r="AW78" s="413"/>
      <c r="AX78" s="413"/>
    </row>
    <row r="79" spans="1:50">
      <c r="A79" s="404"/>
      <c r="B79" s="405"/>
      <c r="C79" s="406"/>
      <c r="D79" s="405"/>
      <c r="E79" s="405"/>
      <c r="F79" s="405"/>
      <c r="G79" s="407"/>
      <c r="H79" s="408"/>
      <c r="I79" s="409"/>
      <c r="J79" s="410"/>
      <c r="K79" s="410"/>
      <c r="L79" s="411"/>
      <c r="M79" s="412"/>
      <c r="N79" s="408"/>
      <c r="O79" s="404"/>
      <c r="P79" s="404"/>
      <c r="Q79" s="404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404"/>
      <c r="AC79" s="404"/>
      <c r="AD79" s="404"/>
      <c r="AE79" s="404"/>
      <c r="AF79" s="404"/>
      <c r="AG79" s="404"/>
      <c r="AH79" s="404"/>
      <c r="AI79" s="404"/>
      <c r="AJ79" s="404"/>
      <c r="AK79" s="404"/>
      <c r="AL79" s="404"/>
      <c r="AM79" s="413"/>
      <c r="AN79" s="413"/>
      <c r="AO79" s="404"/>
      <c r="AP79" s="404"/>
      <c r="AQ79" s="404"/>
      <c r="AR79" s="404"/>
      <c r="AS79" s="404"/>
      <c r="AT79" s="404"/>
      <c r="AU79" s="404"/>
      <c r="AV79" s="413"/>
      <c r="AW79" s="413"/>
      <c r="AX79" s="413"/>
    </row>
    <row r="80" spans="1:50">
      <c r="A80" s="404"/>
      <c r="B80" s="405"/>
      <c r="C80" s="406"/>
      <c r="D80" s="405"/>
      <c r="E80" s="405"/>
      <c r="F80" s="405"/>
      <c r="G80" s="407"/>
      <c r="H80" s="408"/>
      <c r="I80" s="409"/>
      <c r="J80" s="410"/>
      <c r="K80" s="410"/>
      <c r="L80" s="411"/>
      <c r="M80" s="412"/>
      <c r="N80" s="408"/>
      <c r="O80" s="404"/>
      <c r="P80" s="404"/>
      <c r="Q80" s="404"/>
      <c r="R80" s="404"/>
      <c r="S80" s="404"/>
      <c r="T80" s="404"/>
      <c r="U80" s="404"/>
      <c r="V80" s="404"/>
      <c r="W80" s="404"/>
      <c r="X80" s="404"/>
      <c r="Y80" s="404"/>
      <c r="Z80" s="404"/>
      <c r="AA80" s="404"/>
      <c r="AB80" s="404"/>
      <c r="AC80" s="404"/>
      <c r="AD80" s="404"/>
      <c r="AE80" s="404"/>
      <c r="AF80" s="404"/>
      <c r="AG80" s="404"/>
      <c r="AH80" s="404"/>
      <c r="AI80" s="404"/>
      <c r="AJ80" s="404"/>
      <c r="AK80" s="404"/>
      <c r="AL80" s="404"/>
      <c r="AM80" s="413"/>
      <c r="AN80" s="413"/>
      <c r="AO80" s="404"/>
      <c r="AP80" s="404"/>
      <c r="AQ80" s="404"/>
      <c r="AR80" s="404"/>
      <c r="AS80" s="404"/>
      <c r="AT80" s="404"/>
      <c r="AU80" s="404"/>
      <c r="AV80" s="413"/>
      <c r="AW80" s="413"/>
      <c r="AX80" s="413"/>
    </row>
    <row r="81" spans="1:50">
      <c r="A81" s="404"/>
      <c r="B81" s="405"/>
      <c r="C81" s="406"/>
      <c r="D81" s="405"/>
      <c r="E81" s="405"/>
      <c r="F81" s="405"/>
      <c r="G81" s="407"/>
      <c r="H81" s="408"/>
      <c r="I81" s="409"/>
      <c r="J81" s="410"/>
      <c r="K81" s="410"/>
      <c r="L81" s="411"/>
      <c r="M81" s="412"/>
      <c r="N81" s="408"/>
      <c r="O81" s="404"/>
      <c r="P81" s="404"/>
      <c r="Q81" s="404"/>
      <c r="R81" s="404"/>
      <c r="S81" s="404"/>
      <c r="T81" s="404"/>
      <c r="U81" s="404"/>
      <c r="V81" s="404"/>
      <c r="W81" s="404"/>
      <c r="X81" s="404"/>
      <c r="Y81" s="404"/>
      <c r="Z81" s="404"/>
      <c r="AA81" s="404"/>
      <c r="AB81" s="404"/>
      <c r="AC81" s="404"/>
      <c r="AD81" s="404"/>
      <c r="AE81" s="404"/>
      <c r="AF81" s="404"/>
      <c r="AG81" s="404"/>
      <c r="AH81" s="404"/>
      <c r="AI81" s="404"/>
      <c r="AJ81" s="404"/>
      <c r="AK81" s="404"/>
      <c r="AL81" s="404"/>
      <c r="AM81" s="413"/>
      <c r="AN81" s="413"/>
      <c r="AO81" s="404"/>
      <c r="AP81" s="404"/>
      <c r="AQ81" s="404"/>
      <c r="AR81" s="404"/>
      <c r="AS81" s="404"/>
      <c r="AT81" s="404"/>
      <c r="AU81" s="404"/>
      <c r="AV81" s="413"/>
      <c r="AW81" s="413"/>
      <c r="AX81" s="413"/>
    </row>
    <row r="82" spans="1:50">
      <c r="A82" s="404"/>
      <c r="B82" s="405"/>
      <c r="C82" s="406"/>
      <c r="D82" s="405"/>
      <c r="E82" s="405"/>
      <c r="F82" s="405"/>
      <c r="G82" s="407"/>
      <c r="H82" s="408"/>
      <c r="I82" s="409"/>
      <c r="J82" s="410"/>
      <c r="K82" s="410"/>
      <c r="L82" s="411"/>
      <c r="M82" s="412"/>
      <c r="N82" s="408"/>
      <c r="O82" s="404"/>
      <c r="P82" s="404"/>
      <c r="Q82" s="404"/>
      <c r="R82" s="404"/>
      <c r="S82" s="404"/>
      <c r="T82" s="404"/>
      <c r="U82" s="404"/>
      <c r="V82" s="404"/>
      <c r="W82" s="404"/>
      <c r="X82" s="404"/>
      <c r="Y82" s="404"/>
      <c r="Z82" s="404"/>
      <c r="AA82" s="404"/>
      <c r="AB82" s="404"/>
      <c r="AC82" s="404"/>
      <c r="AD82" s="404"/>
      <c r="AE82" s="404"/>
      <c r="AF82" s="404"/>
      <c r="AG82" s="404"/>
      <c r="AH82" s="404"/>
      <c r="AI82" s="404"/>
      <c r="AJ82" s="404"/>
      <c r="AK82" s="404"/>
      <c r="AL82" s="404"/>
      <c r="AM82" s="413"/>
      <c r="AN82" s="413"/>
      <c r="AO82" s="404"/>
      <c r="AP82" s="404"/>
      <c r="AQ82" s="404"/>
      <c r="AR82" s="404"/>
      <c r="AS82" s="404"/>
      <c r="AT82" s="404"/>
      <c r="AU82" s="404"/>
      <c r="AV82" s="413"/>
      <c r="AW82" s="413"/>
      <c r="AX82" s="413"/>
    </row>
    <row r="83" spans="1:50">
      <c r="A83" s="404"/>
      <c r="B83" s="405"/>
      <c r="C83" s="406"/>
      <c r="D83" s="405"/>
      <c r="E83" s="405"/>
      <c r="F83" s="405"/>
      <c r="G83" s="407"/>
      <c r="H83" s="408"/>
      <c r="I83" s="409"/>
      <c r="J83" s="410"/>
      <c r="K83" s="410"/>
      <c r="L83" s="411"/>
      <c r="M83" s="412"/>
      <c r="N83" s="408"/>
      <c r="O83" s="404"/>
      <c r="P83" s="404"/>
      <c r="Q83" s="404"/>
      <c r="R83" s="404"/>
      <c r="S83" s="404"/>
      <c r="T83" s="404"/>
      <c r="U83" s="404"/>
      <c r="V83" s="404"/>
      <c r="W83" s="404"/>
      <c r="X83" s="404"/>
      <c r="Y83" s="404"/>
      <c r="Z83" s="404"/>
      <c r="AA83" s="404"/>
      <c r="AB83" s="404"/>
      <c r="AC83" s="404"/>
      <c r="AD83" s="404"/>
      <c r="AE83" s="404"/>
      <c r="AF83" s="404"/>
      <c r="AG83" s="404"/>
      <c r="AH83" s="404"/>
      <c r="AI83" s="404"/>
      <c r="AJ83" s="404"/>
      <c r="AK83" s="404"/>
      <c r="AL83" s="404"/>
      <c r="AM83" s="413"/>
      <c r="AN83" s="413"/>
      <c r="AO83" s="404"/>
      <c r="AP83" s="404"/>
      <c r="AQ83" s="404"/>
      <c r="AR83" s="404"/>
      <c r="AS83" s="404"/>
      <c r="AT83" s="404"/>
      <c r="AU83" s="404"/>
      <c r="AV83" s="413"/>
      <c r="AW83" s="413"/>
      <c r="AX83" s="413"/>
    </row>
    <row r="84" spans="1:50">
      <c r="A84" s="404"/>
      <c r="B84" s="405"/>
      <c r="C84" s="406"/>
      <c r="D84" s="405"/>
      <c r="E84" s="405"/>
      <c r="F84" s="405"/>
      <c r="G84" s="407"/>
      <c r="H84" s="408"/>
      <c r="I84" s="409"/>
      <c r="J84" s="410"/>
      <c r="K84" s="410"/>
      <c r="L84" s="411"/>
      <c r="M84" s="412"/>
      <c r="N84" s="408"/>
      <c r="O84" s="404"/>
      <c r="P84" s="404"/>
      <c r="Q84" s="404"/>
      <c r="R84" s="404"/>
      <c r="S84" s="404"/>
      <c r="T84" s="404"/>
      <c r="U84" s="404"/>
      <c r="V84" s="404"/>
      <c r="W84" s="404"/>
      <c r="X84" s="404"/>
      <c r="Y84" s="404"/>
      <c r="Z84" s="404"/>
      <c r="AA84" s="404"/>
      <c r="AB84" s="404"/>
      <c r="AC84" s="404"/>
      <c r="AD84" s="404"/>
      <c r="AE84" s="404"/>
      <c r="AF84" s="404"/>
      <c r="AG84" s="404"/>
      <c r="AH84" s="404"/>
      <c r="AI84" s="404"/>
      <c r="AJ84" s="404"/>
      <c r="AK84" s="404"/>
      <c r="AL84" s="404"/>
      <c r="AM84" s="413"/>
      <c r="AN84" s="413"/>
      <c r="AO84" s="404"/>
      <c r="AP84" s="404"/>
      <c r="AQ84" s="404"/>
      <c r="AR84" s="404"/>
      <c r="AS84" s="404"/>
      <c r="AT84" s="404"/>
      <c r="AU84" s="404"/>
      <c r="AV84" s="413"/>
      <c r="AW84" s="413"/>
      <c r="AX84" s="413"/>
    </row>
    <row r="85" spans="1:50">
      <c r="A85" s="404"/>
      <c r="B85" s="405"/>
      <c r="C85" s="406"/>
      <c r="D85" s="405"/>
      <c r="E85" s="405"/>
      <c r="F85" s="405"/>
      <c r="G85" s="407"/>
      <c r="H85" s="408"/>
      <c r="I85" s="409"/>
      <c r="J85" s="410"/>
      <c r="K85" s="410"/>
      <c r="L85" s="411"/>
      <c r="M85" s="412"/>
      <c r="N85" s="408"/>
      <c r="O85" s="404"/>
      <c r="P85" s="404"/>
      <c r="Q85" s="404"/>
      <c r="R85" s="404"/>
      <c r="S85" s="404"/>
      <c r="T85" s="404"/>
      <c r="U85" s="404"/>
      <c r="V85" s="404"/>
      <c r="W85" s="404"/>
      <c r="X85" s="404"/>
      <c r="Y85" s="404"/>
      <c r="Z85" s="404"/>
      <c r="AA85" s="404"/>
      <c r="AB85" s="404"/>
      <c r="AC85" s="404"/>
      <c r="AD85" s="404"/>
      <c r="AE85" s="404"/>
      <c r="AF85" s="404"/>
      <c r="AG85" s="404"/>
      <c r="AH85" s="404"/>
      <c r="AI85" s="404"/>
      <c r="AJ85" s="404"/>
      <c r="AK85" s="404"/>
      <c r="AL85" s="404"/>
      <c r="AM85" s="413"/>
      <c r="AN85" s="413"/>
      <c r="AO85" s="404"/>
      <c r="AP85" s="404"/>
      <c r="AQ85" s="404"/>
      <c r="AR85" s="404"/>
      <c r="AS85" s="404"/>
      <c r="AT85" s="404"/>
      <c r="AU85" s="404"/>
      <c r="AV85" s="413"/>
      <c r="AW85" s="413"/>
      <c r="AX85" s="413"/>
    </row>
    <row r="86" spans="1:50">
      <c r="A86" s="404"/>
      <c r="B86" s="405"/>
      <c r="C86" s="406"/>
      <c r="D86" s="405"/>
      <c r="E86" s="405"/>
      <c r="F86" s="405"/>
      <c r="G86" s="407"/>
      <c r="H86" s="408"/>
      <c r="I86" s="409"/>
      <c r="J86" s="410"/>
      <c r="K86" s="410"/>
      <c r="L86" s="411"/>
      <c r="M86" s="412"/>
      <c r="N86" s="408"/>
      <c r="O86" s="404"/>
      <c r="P86" s="404"/>
      <c r="Q86" s="404"/>
      <c r="R86" s="404"/>
      <c r="S86" s="404"/>
      <c r="T86" s="404"/>
      <c r="U86" s="404"/>
      <c r="V86" s="404"/>
      <c r="W86" s="404"/>
      <c r="X86" s="404"/>
      <c r="Y86" s="404"/>
      <c r="Z86" s="404"/>
      <c r="AA86" s="404"/>
      <c r="AB86" s="404"/>
      <c r="AC86" s="404"/>
      <c r="AD86" s="404"/>
      <c r="AE86" s="404"/>
      <c r="AF86" s="404"/>
      <c r="AG86" s="404"/>
      <c r="AH86" s="404"/>
      <c r="AI86" s="404"/>
      <c r="AJ86" s="404"/>
      <c r="AK86" s="404"/>
      <c r="AL86" s="404"/>
      <c r="AM86" s="413"/>
      <c r="AN86" s="413"/>
      <c r="AO86" s="404"/>
      <c r="AP86" s="404"/>
      <c r="AQ86" s="404"/>
      <c r="AR86" s="404"/>
      <c r="AS86" s="404"/>
      <c r="AT86" s="404"/>
      <c r="AU86" s="404"/>
      <c r="AV86" s="413"/>
      <c r="AW86" s="413"/>
      <c r="AX86" s="413"/>
    </row>
    <row r="87" spans="1:50">
      <c r="A87" s="404"/>
      <c r="B87" s="405"/>
      <c r="C87" s="415"/>
      <c r="D87" s="416"/>
      <c r="E87" s="416"/>
      <c r="F87" s="416"/>
      <c r="G87" s="407"/>
      <c r="H87" s="408"/>
      <c r="I87" s="409"/>
      <c r="J87" s="410"/>
      <c r="K87" s="410"/>
      <c r="L87" s="411"/>
      <c r="M87" s="412"/>
      <c r="N87" s="408"/>
      <c r="O87" s="404"/>
      <c r="P87" s="404"/>
      <c r="Q87" s="404"/>
      <c r="R87" s="404"/>
      <c r="S87" s="404"/>
      <c r="T87" s="404"/>
      <c r="U87" s="404"/>
      <c r="V87" s="404"/>
      <c r="W87" s="404"/>
      <c r="X87" s="404"/>
      <c r="Y87" s="404"/>
      <c r="Z87" s="404"/>
      <c r="AA87" s="404"/>
      <c r="AB87" s="404"/>
      <c r="AC87" s="404"/>
      <c r="AD87" s="404"/>
      <c r="AE87" s="404"/>
      <c r="AF87" s="404"/>
      <c r="AG87" s="404"/>
      <c r="AH87" s="404"/>
      <c r="AI87" s="404"/>
      <c r="AJ87" s="404"/>
      <c r="AK87" s="404"/>
      <c r="AL87" s="404"/>
      <c r="AM87" s="413"/>
      <c r="AN87" s="413"/>
      <c r="AO87" s="404"/>
      <c r="AP87" s="404"/>
      <c r="AQ87" s="404"/>
      <c r="AR87" s="404"/>
      <c r="AS87" s="404"/>
      <c r="AT87" s="404"/>
      <c r="AU87" s="404"/>
      <c r="AV87" s="413"/>
      <c r="AW87" s="413"/>
      <c r="AX87" s="413"/>
    </row>
    <row r="88" spans="1:50">
      <c r="A88" s="404"/>
      <c r="B88" s="405"/>
      <c r="C88" s="406"/>
      <c r="D88" s="405"/>
      <c r="E88" s="405"/>
      <c r="F88" s="405"/>
      <c r="G88" s="407"/>
      <c r="H88" s="408"/>
      <c r="I88" s="409"/>
      <c r="J88" s="410"/>
      <c r="K88" s="410"/>
      <c r="L88" s="411"/>
      <c r="M88" s="412"/>
      <c r="N88" s="408"/>
      <c r="O88" s="404"/>
      <c r="P88" s="404"/>
      <c r="Q88" s="404"/>
      <c r="R88" s="404"/>
      <c r="S88" s="404"/>
      <c r="T88" s="404"/>
      <c r="U88" s="404"/>
      <c r="V88" s="404"/>
      <c r="W88" s="404"/>
      <c r="X88" s="404"/>
      <c r="Y88" s="404"/>
      <c r="Z88" s="404"/>
      <c r="AA88" s="404"/>
      <c r="AB88" s="404"/>
      <c r="AC88" s="404"/>
      <c r="AD88" s="404"/>
      <c r="AE88" s="404"/>
      <c r="AF88" s="404"/>
      <c r="AG88" s="404"/>
      <c r="AH88" s="404"/>
      <c r="AI88" s="404"/>
      <c r="AJ88" s="404"/>
      <c r="AK88" s="404"/>
      <c r="AL88" s="404"/>
      <c r="AM88" s="413"/>
      <c r="AN88" s="413"/>
      <c r="AO88" s="404"/>
      <c r="AP88" s="404"/>
      <c r="AQ88" s="404"/>
      <c r="AR88" s="404"/>
      <c r="AS88" s="404"/>
      <c r="AT88" s="404"/>
      <c r="AU88" s="404"/>
      <c r="AV88" s="413"/>
      <c r="AW88" s="413"/>
      <c r="AX88" s="413"/>
    </row>
    <row r="89" spans="1:50">
      <c r="A89" s="404"/>
      <c r="B89" s="405"/>
      <c r="C89" s="406"/>
      <c r="D89" s="405"/>
      <c r="E89" s="405"/>
      <c r="F89" s="405"/>
      <c r="G89" s="407"/>
      <c r="H89" s="408"/>
      <c r="I89" s="409"/>
      <c r="J89" s="410"/>
      <c r="K89" s="410"/>
      <c r="L89" s="411"/>
      <c r="M89" s="412"/>
      <c r="N89" s="408"/>
      <c r="O89" s="404"/>
      <c r="P89" s="404"/>
      <c r="Q89" s="404"/>
      <c r="R89" s="404"/>
      <c r="S89" s="404"/>
      <c r="T89" s="404"/>
      <c r="U89" s="404"/>
      <c r="V89" s="404"/>
      <c r="W89" s="404"/>
      <c r="X89" s="404"/>
      <c r="Y89" s="404"/>
      <c r="Z89" s="404"/>
      <c r="AA89" s="404"/>
      <c r="AB89" s="404"/>
      <c r="AC89" s="404"/>
      <c r="AD89" s="404"/>
      <c r="AE89" s="404"/>
      <c r="AF89" s="404"/>
      <c r="AG89" s="404"/>
      <c r="AH89" s="404"/>
      <c r="AI89" s="404"/>
      <c r="AJ89" s="404"/>
      <c r="AK89" s="404"/>
      <c r="AL89" s="404"/>
      <c r="AM89" s="413"/>
      <c r="AN89" s="413"/>
      <c r="AO89" s="404"/>
      <c r="AP89" s="404"/>
      <c r="AQ89" s="404"/>
      <c r="AR89" s="404"/>
      <c r="AS89" s="404"/>
      <c r="AT89" s="404"/>
      <c r="AU89" s="404"/>
      <c r="AV89" s="413"/>
      <c r="AW89" s="413"/>
      <c r="AX89" s="413"/>
    </row>
    <row r="90" spans="1:50">
      <c r="A90" s="404"/>
      <c r="B90" s="405"/>
      <c r="C90" s="406"/>
      <c r="D90" s="405"/>
      <c r="E90" s="405"/>
      <c r="F90" s="405"/>
      <c r="G90" s="407"/>
      <c r="H90" s="408"/>
      <c r="I90" s="409"/>
      <c r="J90" s="410"/>
      <c r="K90" s="410"/>
      <c r="L90" s="411"/>
      <c r="M90" s="412"/>
      <c r="N90" s="408"/>
      <c r="O90" s="404"/>
      <c r="P90" s="404"/>
      <c r="Q90" s="404"/>
      <c r="R90" s="404"/>
      <c r="S90" s="404"/>
      <c r="T90" s="404"/>
      <c r="U90" s="404"/>
      <c r="V90" s="404"/>
      <c r="W90" s="404"/>
      <c r="X90" s="404"/>
      <c r="Y90" s="404"/>
      <c r="Z90" s="404"/>
      <c r="AA90" s="404"/>
      <c r="AB90" s="404"/>
      <c r="AC90" s="404"/>
      <c r="AD90" s="404"/>
      <c r="AE90" s="404"/>
      <c r="AF90" s="404"/>
      <c r="AG90" s="404"/>
      <c r="AH90" s="404"/>
      <c r="AI90" s="404"/>
      <c r="AJ90" s="404"/>
      <c r="AK90" s="404"/>
      <c r="AL90" s="404"/>
      <c r="AM90" s="413"/>
      <c r="AN90" s="413"/>
      <c r="AO90" s="404"/>
      <c r="AP90" s="404"/>
      <c r="AQ90" s="404"/>
      <c r="AR90" s="404"/>
      <c r="AS90" s="404"/>
      <c r="AT90" s="404"/>
      <c r="AU90" s="404"/>
      <c r="AV90" s="413"/>
      <c r="AW90" s="413"/>
      <c r="AX90" s="413"/>
    </row>
    <row r="91" spans="1:50">
      <c r="A91" s="404"/>
      <c r="B91" s="405"/>
      <c r="C91" s="406"/>
      <c r="D91" s="405"/>
      <c r="E91" s="405"/>
      <c r="F91" s="405"/>
      <c r="G91" s="407"/>
      <c r="H91" s="408"/>
      <c r="I91" s="409"/>
      <c r="J91" s="410"/>
      <c r="K91" s="410"/>
      <c r="L91" s="411"/>
      <c r="M91" s="412"/>
      <c r="N91" s="408"/>
      <c r="O91" s="404"/>
      <c r="P91" s="404"/>
      <c r="Q91" s="404"/>
      <c r="R91" s="404"/>
      <c r="S91" s="404"/>
      <c r="T91" s="404"/>
      <c r="U91" s="404"/>
      <c r="V91" s="404"/>
      <c r="W91" s="404"/>
      <c r="X91" s="404"/>
      <c r="Y91" s="404"/>
      <c r="Z91" s="404"/>
      <c r="AA91" s="404"/>
      <c r="AB91" s="404"/>
      <c r="AC91" s="404"/>
      <c r="AD91" s="404"/>
      <c r="AE91" s="404"/>
      <c r="AF91" s="404"/>
      <c r="AG91" s="404"/>
      <c r="AH91" s="404"/>
      <c r="AI91" s="404"/>
      <c r="AJ91" s="404"/>
      <c r="AK91" s="404"/>
      <c r="AL91" s="404"/>
      <c r="AM91" s="413"/>
      <c r="AN91" s="413"/>
      <c r="AO91" s="404"/>
      <c r="AP91" s="404"/>
      <c r="AQ91" s="404"/>
      <c r="AR91" s="404"/>
      <c r="AS91" s="404"/>
      <c r="AT91" s="404"/>
      <c r="AU91" s="404"/>
      <c r="AV91" s="413"/>
      <c r="AW91" s="413"/>
      <c r="AX91" s="413"/>
    </row>
    <row r="92" spans="1:50">
      <c r="A92" s="404"/>
      <c r="B92" s="405"/>
      <c r="C92" s="406"/>
      <c r="D92" s="405"/>
      <c r="E92" s="405"/>
      <c r="F92" s="405"/>
      <c r="G92" s="407"/>
      <c r="H92" s="408"/>
      <c r="I92" s="409"/>
      <c r="J92" s="410"/>
      <c r="K92" s="410"/>
      <c r="L92" s="411"/>
      <c r="M92" s="412"/>
      <c r="N92" s="408"/>
      <c r="O92" s="404"/>
      <c r="P92" s="404"/>
      <c r="Q92" s="404"/>
      <c r="R92" s="404"/>
      <c r="S92" s="404"/>
      <c r="T92" s="404"/>
      <c r="U92" s="404"/>
      <c r="V92" s="404"/>
      <c r="W92" s="404"/>
      <c r="X92" s="404"/>
      <c r="Y92" s="404"/>
      <c r="Z92" s="404"/>
      <c r="AA92" s="404"/>
      <c r="AB92" s="404"/>
      <c r="AC92" s="404"/>
      <c r="AD92" s="404"/>
      <c r="AE92" s="404"/>
      <c r="AF92" s="404"/>
      <c r="AG92" s="404"/>
      <c r="AH92" s="404"/>
      <c r="AI92" s="404"/>
      <c r="AJ92" s="404"/>
      <c r="AK92" s="404"/>
      <c r="AL92" s="404"/>
      <c r="AM92" s="413"/>
      <c r="AN92" s="413"/>
      <c r="AO92" s="404"/>
      <c r="AP92" s="404"/>
      <c r="AQ92" s="404"/>
      <c r="AR92" s="404"/>
      <c r="AS92" s="404"/>
      <c r="AT92" s="404"/>
      <c r="AU92" s="404"/>
      <c r="AV92" s="413"/>
      <c r="AW92" s="413"/>
      <c r="AX92" s="413"/>
    </row>
    <row r="93" spans="1:50">
      <c r="A93" s="404"/>
      <c r="B93" s="405"/>
      <c r="C93" s="406"/>
      <c r="D93" s="405"/>
      <c r="E93" s="405"/>
      <c r="F93" s="405"/>
      <c r="G93" s="407"/>
      <c r="H93" s="408"/>
      <c r="I93" s="409"/>
      <c r="J93" s="410"/>
      <c r="K93" s="410"/>
      <c r="L93" s="411"/>
      <c r="M93" s="412"/>
      <c r="N93" s="408"/>
      <c r="O93" s="404"/>
      <c r="P93" s="404"/>
      <c r="Q93" s="404"/>
      <c r="R93" s="404"/>
      <c r="S93" s="404"/>
      <c r="T93" s="404"/>
      <c r="U93" s="404"/>
      <c r="V93" s="404"/>
      <c r="W93" s="404"/>
      <c r="X93" s="404"/>
      <c r="Y93" s="404"/>
      <c r="Z93" s="404"/>
      <c r="AA93" s="404"/>
      <c r="AB93" s="404"/>
      <c r="AC93" s="404"/>
      <c r="AD93" s="404"/>
      <c r="AE93" s="404"/>
      <c r="AF93" s="404"/>
      <c r="AG93" s="404"/>
      <c r="AH93" s="404"/>
      <c r="AI93" s="404"/>
      <c r="AJ93" s="404"/>
      <c r="AK93" s="404"/>
      <c r="AL93" s="404"/>
      <c r="AM93" s="413"/>
      <c r="AN93" s="413"/>
      <c r="AO93" s="404"/>
      <c r="AP93" s="404"/>
      <c r="AQ93" s="404"/>
      <c r="AR93" s="404"/>
      <c r="AS93" s="404"/>
      <c r="AT93" s="404"/>
      <c r="AU93" s="404"/>
      <c r="AV93" s="413"/>
      <c r="AW93" s="413"/>
      <c r="AX93" s="413"/>
    </row>
    <row r="94" spans="1:50">
      <c r="A94" s="404"/>
      <c r="B94" s="405"/>
      <c r="C94" s="406"/>
      <c r="D94" s="405"/>
      <c r="E94" s="405"/>
      <c r="F94" s="405"/>
      <c r="G94" s="407"/>
      <c r="H94" s="408"/>
      <c r="I94" s="409"/>
      <c r="J94" s="410"/>
      <c r="K94" s="410"/>
      <c r="L94" s="411"/>
      <c r="M94" s="412"/>
      <c r="N94" s="408"/>
      <c r="O94" s="404"/>
      <c r="P94" s="404"/>
      <c r="Q94" s="404"/>
      <c r="R94" s="404"/>
      <c r="S94" s="404"/>
      <c r="T94" s="404"/>
      <c r="U94" s="404"/>
      <c r="V94" s="404"/>
      <c r="W94" s="404"/>
      <c r="X94" s="404"/>
      <c r="Y94" s="404"/>
      <c r="Z94" s="404"/>
      <c r="AA94" s="404"/>
      <c r="AB94" s="404"/>
      <c r="AC94" s="404"/>
      <c r="AD94" s="404"/>
      <c r="AE94" s="404"/>
      <c r="AF94" s="404"/>
      <c r="AG94" s="404"/>
      <c r="AH94" s="404"/>
      <c r="AI94" s="404"/>
      <c r="AJ94" s="404"/>
      <c r="AK94" s="404"/>
      <c r="AL94" s="404"/>
      <c r="AM94" s="413"/>
      <c r="AN94" s="413"/>
      <c r="AO94" s="404"/>
      <c r="AP94" s="404"/>
      <c r="AQ94" s="404"/>
      <c r="AR94" s="404"/>
      <c r="AS94" s="404"/>
      <c r="AT94" s="404"/>
      <c r="AU94" s="404"/>
      <c r="AV94" s="413"/>
      <c r="AW94" s="413"/>
      <c r="AX94" s="413"/>
    </row>
    <row r="95" spans="1:50">
      <c r="A95" s="404"/>
      <c r="B95" s="405"/>
      <c r="C95" s="406"/>
      <c r="D95" s="405"/>
      <c r="E95" s="405"/>
      <c r="F95" s="405"/>
      <c r="G95" s="407"/>
      <c r="H95" s="408"/>
      <c r="I95" s="409"/>
      <c r="J95" s="410"/>
      <c r="K95" s="410"/>
      <c r="L95" s="411"/>
      <c r="M95" s="412"/>
      <c r="N95" s="408"/>
      <c r="O95" s="404"/>
      <c r="P95" s="404"/>
      <c r="Q95" s="404"/>
      <c r="R95" s="404"/>
      <c r="S95" s="404"/>
      <c r="T95" s="404"/>
      <c r="U95" s="404"/>
      <c r="V95" s="404"/>
      <c r="W95" s="404"/>
      <c r="X95" s="404"/>
      <c r="Y95" s="404"/>
      <c r="Z95" s="404"/>
      <c r="AA95" s="404"/>
      <c r="AB95" s="404"/>
      <c r="AC95" s="404"/>
      <c r="AD95" s="404"/>
      <c r="AE95" s="404"/>
      <c r="AF95" s="404"/>
      <c r="AG95" s="404"/>
      <c r="AH95" s="404"/>
      <c r="AI95" s="404"/>
      <c r="AJ95" s="404"/>
      <c r="AK95" s="404"/>
      <c r="AL95" s="404"/>
      <c r="AM95" s="413"/>
      <c r="AN95" s="413"/>
      <c r="AO95" s="404"/>
      <c r="AP95" s="404"/>
      <c r="AQ95" s="404"/>
      <c r="AR95" s="404"/>
      <c r="AS95" s="404"/>
      <c r="AT95" s="404"/>
      <c r="AU95" s="404"/>
      <c r="AV95" s="413"/>
      <c r="AW95" s="413"/>
      <c r="AX95" s="413"/>
    </row>
    <row r="96" spans="1:50">
      <c r="A96" s="404"/>
      <c r="B96" s="405"/>
      <c r="C96" s="406"/>
      <c r="D96" s="405"/>
      <c r="E96" s="405"/>
      <c r="F96" s="405"/>
      <c r="G96" s="407"/>
      <c r="H96" s="408"/>
      <c r="I96" s="409"/>
      <c r="J96" s="410"/>
      <c r="K96" s="410"/>
      <c r="L96" s="411"/>
      <c r="M96" s="412"/>
      <c r="N96" s="408"/>
      <c r="O96" s="404"/>
      <c r="P96" s="404"/>
      <c r="Q96" s="404"/>
      <c r="R96" s="404"/>
      <c r="S96" s="404"/>
      <c r="T96" s="404"/>
      <c r="U96" s="404"/>
      <c r="V96" s="404"/>
      <c r="W96" s="404"/>
      <c r="X96" s="404"/>
      <c r="Y96" s="404"/>
      <c r="Z96" s="404"/>
      <c r="AA96" s="404"/>
      <c r="AB96" s="404"/>
      <c r="AC96" s="404"/>
      <c r="AD96" s="404"/>
      <c r="AE96" s="404"/>
      <c r="AF96" s="404"/>
      <c r="AG96" s="404"/>
      <c r="AH96" s="404"/>
      <c r="AI96" s="404"/>
      <c r="AJ96" s="404"/>
      <c r="AK96" s="404"/>
      <c r="AL96" s="404"/>
      <c r="AM96" s="413"/>
      <c r="AN96" s="413"/>
      <c r="AO96" s="404"/>
      <c r="AP96" s="404"/>
      <c r="AQ96" s="404"/>
      <c r="AR96" s="404"/>
      <c r="AS96" s="404"/>
      <c r="AT96" s="404"/>
      <c r="AU96" s="404"/>
      <c r="AV96" s="413"/>
      <c r="AW96" s="413"/>
      <c r="AX96" s="413"/>
    </row>
    <row r="97" spans="1:50">
      <c r="A97" s="404"/>
      <c r="B97" s="405"/>
      <c r="C97" s="406"/>
      <c r="D97" s="405"/>
      <c r="E97" s="405"/>
      <c r="F97" s="405"/>
      <c r="G97" s="407"/>
      <c r="H97" s="408"/>
      <c r="I97" s="409"/>
      <c r="J97" s="410"/>
      <c r="K97" s="410"/>
      <c r="L97" s="411"/>
      <c r="M97" s="412"/>
      <c r="N97" s="408"/>
      <c r="O97" s="404"/>
      <c r="P97" s="404"/>
      <c r="Q97" s="404"/>
      <c r="R97" s="404"/>
      <c r="S97" s="404"/>
      <c r="T97" s="404"/>
      <c r="U97" s="404"/>
      <c r="V97" s="404"/>
      <c r="W97" s="404"/>
      <c r="X97" s="404"/>
      <c r="Y97" s="404"/>
      <c r="Z97" s="404"/>
      <c r="AA97" s="404"/>
      <c r="AB97" s="404"/>
      <c r="AC97" s="404"/>
      <c r="AD97" s="404"/>
      <c r="AE97" s="404"/>
      <c r="AF97" s="404"/>
      <c r="AG97" s="404"/>
      <c r="AH97" s="404"/>
      <c r="AI97" s="404"/>
      <c r="AJ97" s="404"/>
      <c r="AK97" s="404"/>
      <c r="AL97" s="404"/>
      <c r="AM97" s="413"/>
      <c r="AN97" s="413"/>
      <c r="AO97" s="404"/>
      <c r="AP97" s="404"/>
      <c r="AQ97" s="404"/>
      <c r="AR97" s="404"/>
      <c r="AS97" s="404"/>
      <c r="AT97" s="404"/>
      <c r="AU97" s="404"/>
      <c r="AV97" s="413"/>
      <c r="AW97" s="413"/>
      <c r="AX97" s="413"/>
    </row>
    <row r="98" spans="1:50">
      <c r="A98" s="404"/>
      <c r="B98" s="405"/>
      <c r="C98" s="406"/>
      <c r="D98" s="405"/>
      <c r="E98" s="405"/>
      <c r="F98" s="405"/>
      <c r="G98" s="407"/>
      <c r="H98" s="408"/>
      <c r="I98" s="409"/>
      <c r="J98" s="410"/>
      <c r="K98" s="410"/>
      <c r="L98" s="411"/>
      <c r="M98" s="412"/>
      <c r="N98" s="408"/>
      <c r="O98" s="404"/>
      <c r="P98" s="404"/>
      <c r="Q98" s="404"/>
      <c r="R98" s="404"/>
      <c r="S98" s="404"/>
      <c r="T98" s="404"/>
      <c r="U98" s="404"/>
      <c r="V98" s="404"/>
      <c r="W98" s="404"/>
      <c r="X98" s="404"/>
      <c r="Y98" s="404"/>
      <c r="Z98" s="404"/>
      <c r="AA98" s="404"/>
      <c r="AB98" s="404"/>
      <c r="AC98" s="404"/>
      <c r="AD98" s="404"/>
      <c r="AE98" s="404"/>
      <c r="AF98" s="404"/>
      <c r="AG98" s="404"/>
      <c r="AH98" s="404"/>
      <c r="AI98" s="404"/>
      <c r="AJ98" s="404"/>
      <c r="AK98" s="404"/>
      <c r="AL98" s="404"/>
      <c r="AM98" s="413"/>
      <c r="AN98" s="413"/>
      <c r="AO98" s="404"/>
      <c r="AP98" s="404"/>
      <c r="AQ98" s="404"/>
      <c r="AR98" s="404"/>
      <c r="AS98" s="404"/>
      <c r="AT98" s="404"/>
      <c r="AU98" s="404"/>
      <c r="AV98" s="413"/>
      <c r="AW98" s="413"/>
      <c r="AX98" s="413"/>
    </row>
    <row r="99" spans="1:50">
      <c r="A99" s="404"/>
      <c r="B99" s="405"/>
      <c r="C99" s="406"/>
      <c r="D99" s="405"/>
      <c r="E99" s="405"/>
      <c r="F99" s="405"/>
      <c r="G99" s="407"/>
      <c r="H99" s="408"/>
      <c r="I99" s="409"/>
      <c r="J99" s="410"/>
      <c r="K99" s="410"/>
      <c r="L99" s="411"/>
      <c r="M99" s="412"/>
      <c r="N99" s="408"/>
      <c r="O99" s="404"/>
      <c r="P99" s="404"/>
      <c r="Q99" s="404"/>
      <c r="R99" s="404"/>
      <c r="S99" s="404"/>
      <c r="T99" s="404"/>
      <c r="U99" s="404"/>
      <c r="V99" s="404"/>
      <c r="W99" s="404"/>
      <c r="X99" s="404"/>
      <c r="Y99" s="404"/>
      <c r="Z99" s="404"/>
      <c r="AA99" s="404"/>
      <c r="AB99" s="404"/>
      <c r="AC99" s="404"/>
      <c r="AD99" s="404"/>
      <c r="AE99" s="404"/>
      <c r="AF99" s="404"/>
      <c r="AG99" s="404"/>
      <c r="AH99" s="404"/>
      <c r="AI99" s="404"/>
      <c r="AJ99" s="404"/>
      <c r="AK99" s="404"/>
      <c r="AL99" s="404"/>
      <c r="AM99" s="413"/>
      <c r="AN99" s="413"/>
      <c r="AO99" s="404"/>
      <c r="AP99" s="404"/>
      <c r="AQ99" s="404"/>
      <c r="AR99" s="404"/>
      <c r="AS99" s="404"/>
      <c r="AT99" s="404"/>
      <c r="AU99" s="404"/>
      <c r="AV99" s="413"/>
      <c r="AW99" s="413"/>
      <c r="AX99" s="413"/>
    </row>
    <row r="100" spans="1:50">
      <c r="A100" s="404"/>
      <c r="B100" s="405"/>
      <c r="C100" s="406"/>
      <c r="D100" s="405"/>
      <c r="E100" s="405"/>
      <c r="F100" s="405"/>
      <c r="G100" s="407"/>
      <c r="H100" s="408"/>
      <c r="I100" s="409"/>
      <c r="J100" s="410"/>
      <c r="K100" s="410"/>
      <c r="L100" s="411"/>
      <c r="M100" s="412"/>
      <c r="N100" s="408"/>
      <c r="O100" s="404"/>
      <c r="P100" s="404"/>
      <c r="Q100" s="404"/>
      <c r="R100" s="404"/>
      <c r="S100" s="404"/>
      <c r="T100" s="404"/>
      <c r="U100" s="404"/>
      <c r="V100" s="404"/>
      <c r="W100" s="404"/>
      <c r="X100" s="404"/>
      <c r="Y100" s="404"/>
      <c r="Z100" s="404"/>
      <c r="AA100" s="404"/>
      <c r="AB100" s="404"/>
      <c r="AC100" s="404"/>
      <c r="AD100" s="404"/>
      <c r="AE100" s="404"/>
      <c r="AF100" s="404"/>
      <c r="AG100" s="404"/>
      <c r="AH100" s="404"/>
      <c r="AI100" s="404"/>
      <c r="AJ100" s="404"/>
      <c r="AK100" s="404"/>
      <c r="AL100" s="404"/>
      <c r="AM100" s="413"/>
      <c r="AN100" s="413"/>
      <c r="AO100" s="404"/>
      <c r="AP100" s="404"/>
      <c r="AQ100" s="404"/>
      <c r="AR100" s="404"/>
      <c r="AS100" s="404"/>
      <c r="AT100" s="404"/>
      <c r="AU100" s="404"/>
      <c r="AV100" s="413"/>
      <c r="AW100" s="413"/>
      <c r="AX100" s="413"/>
    </row>
    <row r="101" spans="1:50">
      <c r="A101" s="404"/>
      <c r="B101" s="405"/>
      <c r="C101" s="406"/>
      <c r="D101" s="405"/>
      <c r="E101" s="405"/>
      <c r="F101" s="405"/>
      <c r="G101" s="407"/>
      <c r="H101" s="408"/>
      <c r="I101" s="409"/>
      <c r="J101" s="410"/>
      <c r="K101" s="410"/>
      <c r="L101" s="411"/>
      <c r="M101" s="412"/>
      <c r="N101" s="408"/>
      <c r="O101" s="404"/>
      <c r="P101" s="404"/>
      <c r="Q101" s="404"/>
      <c r="R101" s="404"/>
      <c r="S101" s="404"/>
      <c r="T101" s="404"/>
      <c r="U101" s="404"/>
      <c r="V101" s="404"/>
      <c r="W101" s="404"/>
      <c r="X101" s="404"/>
      <c r="Y101" s="404"/>
      <c r="Z101" s="404"/>
      <c r="AA101" s="404"/>
      <c r="AB101" s="404"/>
      <c r="AC101" s="404"/>
      <c r="AD101" s="404"/>
      <c r="AE101" s="404"/>
      <c r="AF101" s="404"/>
      <c r="AG101" s="404"/>
      <c r="AH101" s="404"/>
      <c r="AI101" s="404"/>
      <c r="AJ101" s="404"/>
      <c r="AK101" s="404"/>
      <c r="AL101" s="404"/>
      <c r="AM101" s="413"/>
      <c r="AN101" s="413"/>
      <c r="AO101" s="404"/>
      <c r="AP101" s="404"/>
      <c r="AQ101" s="404"/>
      <c r="AR101" s="404"/>
      <c r="AS101" s="404"/>
      <c r="AT101" s="404"/>
      <c r="AU101" s="404"/>
      <c r="AV101" s="413"/>
      <c r="AW101" s="413"/>
      <c r="AX101" s="413"/>
    </row>
    <row r="102" spans="1:50">
      <c r="A102" s="404"/>
      <c r="B102" s="405"/>
      <c r="C102" s="406"/>
      <c r="D102" s="405"/>
      <c r="E102" s="405"/>
      <c r="F102" s="405"/>
      <c r="G102" s="407"/>
      <c r="H102" s="408"/>
      <c r="I102" s="409"/>
      <c r="J102" s="410"/>
      <c r="K102" s="410"/>
      <c r="L102" s="411"/>
      <c r="M102" s="412"/>
      <c r="N102" s="408"/>
      <c r="O102" s="404"/>
      <c r="P102" s="404"/>
      <c r="Q102" s="404"/>
      <c r="R102" s="404"/>
      <c r="S102" s="404"/>
      <c r="T102" s="404"/>
      <c r="U102" s="404"/>
      <c r="V102" s="404"/>
      <c r="W102" s="404"/>
      <c r="X102" s="404"/>
      <c r="Y102" s="404"/>
      <c r="Z102" s="404"/>
      <c r="AA102" s="404"/>
      <c r="AB102" s="404"/>
      <c r="AC102" s="404"/>
      <c r="AD102" s="404"/>
      <c r="AE102" s="404"/>
      <c r="AF102" s="404"/>
      <c r="AG102" s="404"/>
      <c r="AH102" s="404"/>
      <c r="AI102" s="404"/>
      <c r="AJ102" s="404"/>
      <c r="AK102" s="404"/>
      <c r="AL102" s="404"/>
      <c r="AM102" s="413"/>
      <c r="AN102" s="413"/>
      <c r="AO102" s="404"/>
      <c r="AP102" s="404"/>
      <c r="AQ102" s="404"/>
      <c r="AR102" s="404"/>
      <c r="AS102" s="404"/>
      <c r="AT102" s="404"/>
      <c r="AU102" s="404"/>
      <c r="AV102" s="413"/>
      <c r="AW102" s="413"/>
      <c r="AX102" s="413"/>
    </row>
    <row r="103" spans="1:50">
      <c r="A103" s="404"/>
      <c r="B103" s="405"/>
      <c r="C103" s="406"/>
      <c r="D103" s="405"/>
      <c r="E103" s="405"/>
      <c r="F103" s="405"/>
      <c r="G103" s="407"/>
      <c r="H103" s="408"/>
      <c r="I103" s="409"/>
      <c r="J103" s="410"/>
      <c r="K103" s="410"/>
      <c r="L103" s="411"/>
      <c r="M103" s="412"/>
      <c r="N103" s="408"/>
      <c r="O103" s="404"/>
      <c r="P103" s="404"/>
      <c r="Q103" s="404"/>
      <c r="R103" s="404"/>
      <c r="S103" s="404"/>
      <c r="T103" s="404"/>
      <c r="U103" s="404"/>
      <c r="V103" s="404"/>
      <c r="W103" s="404"/>
      <c r="X103" s="404"/>
      <c r="Y103" s="404"/>
      <c r="Z103" s="404"/>
      <c r="AA103" s="404"/>
      <c r="AB103" s="404"/>
      <c r="AC103" s="404"/>
      <c r="AD103" s="404"/>
      <c r="AE103" s="404"/>
      <c r="AF103" s="404"/>
      <c r="AG103" s="404"/>
      <c r="AH103" s="404"/>
      <c r="AI103" s="404"/>
      <c r="AJ103" s="404"/>
      <c r="AK103" s="404"/>
      <c r="AL103" s="404"/>
      <c r="AM103" s="413"/>
      <c r="AN103" s="413"/>
      <c r="AO103" s="404"/>
      <c r="AP103" s="404"/>
      <c r="AQ103" s="404"/>
      <c r="AR103" s="404"/>
      <c r="AS103" s="404"/>
      <c r="AT103" s="404"/>
      <c r="AU103" s="404"/>
      <c r="AV103" s="413"/>
      <c r="AW103" s="413"/>
      <c r="AX103" s="413"/>
    </row>
    <row r="104" spans="1:50">
      <c r="A104" s="404"/>
      <c r="B104" s="405"/>
      <c r="C104" s="406"/>
      <c r="D104" s="405"/>
      <c r="E104" s="405"/>
      <c r="F104" s="405"/>
      <c r="G104" s="407"/>
      <c r="H104" s="408"/>
      <c r="I104" s="409"/>
      <c r="J104" s="410"/>
      <c r="K104" s="410"/>
      <c r="L104" s="411"/>
      <c r="M104" s="412"/>
      <c r="N104" s="408"/>
      <c r="O104" s="404"/>
      <c r="P104" s="404"/>
      <c r="Q104" s="404"/>
      <c r="R104" s="404"/>
      <c r="S104" s="404"/>
      <c r="T104" s="404"/>
      <c r="U104" s="404"/>
      <c r="V104" s="404"/>
      <c r="W104" s="404"/>
      <c r="X104" s="404"/>
      <c r="Y104" s="404"/>
      <c r="Z104" s="404"/>
      <c r="AA104" s="404"/>
      <c r="AB104" s="404"/>
      <c r="AC104" s="404"/>
      <c r="AD104" s="404"/>
      <c r="AE104" s="404"/>
      <c r="AF104" s="404"/>
      <c r="AG104" s="404"/>
      <c r="AH104" s="404"/>
      <c r="AI104" s="404"/>
      <c r="AJ104" s="404"/>
      <c r="AK104" s="404"/>
      <c r="AL104" s="404"/>
      <c r="AM104" s="413"/>
      <c r="AN104" s="413"/>
      <c r="AO104" s="404"/>
      <c r="AP104" s="404"/>
      <c r="AQ104" s="404"/>
      <c r="AR104" s="404"/>
      <c r="AS104" s="404"/>
      <c r="AT104" s="404"/>
      <c r="AU104" s="404"/>
      <c r="AV104" s="413"/>
      <c r="AW104" s="413"/>
      <c r="AX104" s="413"/>
    </row>
    <row r="105" spans="1:50">
      <c r="A105" s="404"/>
      <c r="B105" s="405"/>
      <c r="C105" s="406"/>
      <c r="D105" s="405"/>
      <c r="E105" s="405"/>
      <c r="F105" s="405"/>
      <c r="G105" s="407"/>
      <c r="H105" s="408"/>
      <c r="I105" s="409"/>
      <c r="J105" s="410"/>
      <c r="K105" s="410"/>
      <c r="L105" s="411"/>
      <c r="M105" s="412"/>
      <c r="N105" s="408"/>
      <c r="O105" s="404"/>
      <c r="P105" s="404"/>
      <c r="Q105" s="404"/>
      <c r="R105" s="404"/>
      <c r="S105" s="404"/>
      <c r="T105" s="404"/>
      <c r="U105" s="404"/>
      <c r="V105" s="404"/>
      <c r="W105" s="404"/>
      <c r="X105" s="404"/>
      <c r="Y105" s="404"/>
      <c r="Z105" s="404"/>
      <c r="AA105" s="404"/>
      <c r="AB105" s="404"/>
      <c r="AC105" s="404"/>
      <c r="AD105" s="404"/>
      <c r="AE105" s="404"/>
      <c r="AF105" s="404"/>
      <c r="AG105" s="404"/>
      <c r="AH105" s="404"/>
      <c r="AI105" s="404"/>
      <c r="AJ105" s="404"/>
      <c r="AK105" s="404"/>
      <c r="AL105" s="404"/>
      <c r="AM105" s="413"/>
      <c r="AN105" s="413"/>
      <c r="AO105" s="404"/>
      <c r="AP105" s="404"/>
      <c r="AQ105" s="404"/>
      <c r="AR105" s="404"/>
      <c r="AS105" s="404"/>
      <c r="AT105" s="404"/>
      <c r="AU105" s="404"/>
      <c r="AV105" s="413"/>
      <c r="AW105" s="413"/>
      <c r="AX105" s="413"/>
    </row>
    <row r="106" spans="1:50">
      <c r="A106" s="404"/>
      <c r="B106" s="405"/>
      <c r="C106" s="406"/>
      <c r="D106" s="405"/>
      <c r="E106" s="405"/>
      <c r="F106" s="405"/>
      <c r="G106" s="407"/>
      <c r="H106" s="408"/>
      <c r="I106" s="409"/>
      <c r="J106" s="410"/>
      <c r="K106" s="410"/>
      <c r="L106" s="411"/>
      <c r="M106" s="412"/>
      <c r="N106" s="408"/>
      <c r="O106" s="404"/>
      <c r="P106" s="404"/>
      <c r="Q106" s="404"/>
      <c r="R106" s="404"/>
      <c r="S106" s="404"/>
      <c r="T106" s="404"/>
      <c r="U106" s="404"/>
      <c r="V106" s="404"/>
      <c r="W106" s="404"/>
      <c r="X106" s="404"/>
      <c r="Y106" s="404"/>
      <c r="Z106" s="404"/>
      <c r="AA106" s="404"/>
      <c r="AB106" s="404"/>
      <c r="AC106" s="404"/>
      <c r="AD106" s="404"/>
      <c r="AE106" s="404"/>
      <c r="AF106" s="404"/>
      <c r="AG106" s="404"/>
      <c r="AH106" s="404"/>
      <c r="AI106" s="404"/>
      <c r="AJ106" s="404"/>
      <c r="AK106" s="404"/>
      <c r="AL106" s="404"/>
      <c r="AM106" s="413"/>
      <c r="AN106" s="413"/>
      <c r="AO106" s="404"/>
      <c r="AP106" s="404"/>
      <c r="AQ106" s="404"/>
      <c r="AR106" s="404"/>
      <c r="AS106" s="404"/>
      <c r="AT106" s="404"/>
      <c r="AU106" s="404"/>
      <c r="AV106" s="413"/>
      <c r="AW106" s="413"/>
      <c r="AX106" s="413"/>
    </row>
    <row r="107" spans="1:50">
      <c r="A107" s="404"/>
      <c r="B107" s="405"/>
      <c r="C107" s="406"/>
      <c r="D107" s="405"/>
      <c r="E107" s="405"/>
      <c r="F107" s="405"/>
      <c r="G107" s="407"/>
      <c r="H107" s="408"/>
      <c r="I107" s="409"/>
      <c r="J107" s="410"/>
      <c r="K107" s="410"/>
      <c r="L107" s="411"/>
      <c r="M107" s="412"/>
      <c r="N107" s="408"/>
      <c r="O107" s="404"/>
      <c r="P107" s="404"/>
      <c r="Q107" s="404"/>
      <c r="R107" s="404"/>
      <c r="S107" s="404"/>
      <c r="T107" s="404"/>
      <c r="U107" s="404"/>
      <c r="V107" s="404"/>
      <c r="W107" s="404"/>
      <c r="X107" s="404"/>
      <c r="Y107" s="404"/>
      <c r="Z107" s="404"/>
      <c r="AA107" s="404"/>
      <c r="AB107" s="404"/>
      <c r="AC107" s="404"/>
      <c r="AD107" s="404"/>
      <c r="AE107" s="404"/>
      <c r="AF107" s="404"/>
      <c r="AG107" s="404"/>
      <c r="AH107" s="404"/>
      <c r="AI107" s="404"/>
      <c r="AJ107" s="404"/>
      <c r="AK107" s="404"/>
      <c r="AL107" s="404"/>
      <c r="AM107" s="413"/>
      <c r="AN107" s="413"/>
      <c r="AO107" s="404"/>
      <c r="AP107" s="404"/>
      <c r="AQ107" s="404"/>
      <c r="AR107" s="404"/>
      <c r="AS107" s="404"/>
      <c r="AT107" s="404"/>
      <c r="AU107" s="404"/>
      <c r="AV107" s="413"/>
      <c r="AW107" s="413"/>
      <c r="AX107" s="413"/>
    </row>
    <row r="108" spans="1:50">
      <c r="A108" s="404"/>
      <c r="B108" s="405"/>
      <c r="C108" s="406"/>
      <c r="D108" s="405"/>
      <c r="E108" s="405"/>
      <c r="F108" s="405"/>
      <c r="G108" s="407"/>
      <c r="H108" s="408"/>
      <c r="I108" s="409"/>
      <c r="J108" s="410"/>
      <c r="K108" s="410"/>
      <c r="L108" s="411"/>
      <c r="M108" s="412"/>
      <c r="N108" s="408"/>
      <c r="O108" s="404"/>
      <c r="P108" s="404"/>
      <c r="Q108" s="404"/>
      <c r="R108" s="404"/>
      <c r="S108" s="404"/>
      <c r="T108" s="404"/>
      <c r="U108" s="404"/>
      <c r="V108" s="404"/>
      <c r="W108" s="404"/>
      <c r="X108" s="404"/>
      <c r="Y108" s="404"/>
      <c r="Z108" s="404"/>
      <c r="AA108" s="404"/>
      <c r="AB108" s="404"/>
      <c r="AC108" s="404"/>
      <c r="AD108" s="404"/>
      <c r="AE108" s="404"/>
      <c r="AF108" s="404"/>
      <c r="AG108" s="404"/>
      <c r="AH108" s="404"/>
      <c r="AI108" s="404"/>
      <c r="AJ108" s="404"/>
      <c r="AK108" s="404"/>
      <c r="AL108" s="404"/>
      <c r="AM108" s="413"/>
      <c r="AN108" s="413"/>
      <c r="AO108" s="404"/>
      <c r="AP108" s="404"/>
      <c r="AQ108" s="404"/>
      <c r="AR108" s="404"/>
      <c r="AS108" s="404"/>
      <c r="AT108" s="404"/>
      <c r="AU108" s="404"/>
      <c r="AV108" s="413"/>
      <c r="AW108" s="413"/>
      <c r="AX108" s="413"/>
    </row>
    <row r="109" spans="1:50">
      <c r="A109" s="404"/>
      <c r="B109" s="405"/>
      <c r="C109" s="406"/>
      <c r="D109" s="405"/>
      <c r="E109" s="405"/>
      <c r="F109" s="405"/>
      <c r="G109" s="407"/>
      <c r="H109" s="408"/>
      <c r="I109" s="409"/>
      <c r="J109" s="410"/>
      <c r="K109" s="410"/>
      <c r="L109" s="411"/>
      <c r="M109" s="412"/>
      <c r="N109" s="408"/>
      <c r="O109" s="404"/>
      <c r="P109" s="404"/>
      <c r="Q109" s="404"/>
      <c r="R109" s="404"/>
      <c r="S109" s="404"/>
      <c r="T109" s="404"/>
      <c r="U109" s="404"/>
      <c r="V109" s="404"/>
      <c r="W109" s="404"/>
      <c r="X109" s="404"/>
      <c r="Y109" s="404"/>
      <c r="Z109" s="404"/>
      <c r="AA109" s="404"/>
      <c r="AB109" s="404"/>
      <c r="AC109" s="404"/>
      <c r="AD109" s="404"/>
      <c r="AE109" s="404"/>
      <c r="AF109" s="404"/>
      <c r="AG109" s="404"/>
      <c r="AH109" s="404"/>
      <c r="AI109" s="404"/>
      <c r="AJ109" s="404"/>
      <c r="AK109" s="404"/>
      <c r="AL109" s="404"/>
      <c r="AM109" s="413"/>
      <c r="AN109" s="413"/>
      <c r="AO109" s="404"/>
      <c r="AP109" s="404"/>
      <c r="AQ109" s="404"/>
      <c r="AR109" s="404"/>
      <c r="AS109" s="404"/>
      <c r="AT109" s="404"/>
      <c r="AU109" s="404"/>
      <c r="AV109" s="413"/>
      <c r="AW109" s="413"/>
      <c r="AX109" s="413"/>
    </row>
    <row r="110" spans="1:50">
      <c r="A110" s="404"/>
      <c r="B110" s="405"/>
      <c r="C110" s="406"/>
      <c r="D110" s="405"/>
      <c r="E110" s="405"/>
      <c r="F110" s="405"/>
      <c r="G110" s="407"/>
      <c r="H110" s="408"/>
      <c r="I110" s="409"/>
      <c r="J110" s="410"/>
      <c r="K110" s="410"/>
      <c r="L110" s="411"/>
      <c r="M110" s="412"/>
      <c r="N110" s="408"/>
      <c r="O110" s="404"/>
      <c r="P110" s="404"/>
      <c r="Q110" s="404"/>
      <c r="R110" s="404"/>
      <c r="S110" s="404"/>
      <c r="T110" s="404"/>
      <c r="U110" s="404"/>
      <c r="V110" s="404"/>
      <c r="W110" s="404"/>
      <c r="X110" s="404"/>
      <c r="Y110" s="404"/>
      <c r="Z110" s="404"/>
      <c r="AA110" s="404"/>
      <c r="AB110" s="404"/>
      <c r="AC110" s="404"/>
      <c r="AD110" s="404"/>
      <c r="AE110" s="404"/>
      <c r="AF110" s="404"/>
      <c r="AG110" s="404"/>
      <c r="AH110" s="404"/>
      <c r="AI110" s="404"/>
      <c r="AJ110" s="404"/>
      <c r="AK110" s="404"/>
      <c r="AL110" s="404"/>
      <c r="AM110" s="413"/>
      <c r="AN110" s="413"/>
      <c r="AO110" s="404"/>
      <c r="AP110" s="404"/>
      <c r="AQ110" s="404"/>
      <c r="AR110" s="404"/>
      <c r="AS110" s="404"/>
      <c r="AT110" s="404"/>
      <c r="AU110" s="404"/>
      <c r="AV110" s="413"/>
      <c r="AW110" s="413"/>
      <c r="AX110" s="413"/>
    </row>
    <row r="111" spans="1:50">
      <c r="A111" s="404"/>
      <c r="B111" s="405"/>
      <c r="C111" s="406"/>
      <c r="D111" s="405"/>
      <c r="E111" s="405"/>
      <c r="F111" s="405"/>
      <c r="G111" s="407"/>
      <c r="H111" s="408"/>
      <c r="I111" s="409"/>
      <c r="J111" s="410"/>
      <c r="K111" s="410"/>
      <c r="L111" s="411"/>
      <c r="M111" s="412"/>
      <c r="N111" s="408"/>
      <c r="O111" s="404"/>
      <c r="P111" s="404"/>
      <c r="Q111" s="404"/>
      <c r="R111" s="404"/>
      <c r="S111" s="404"/>
      <c r="T111" s="404"/>
      <c r="U111" s="404"/>
      <c r="V111" s="404"/>
      <c r="W111" s="404"/>
      <c r="X111" s="404"/>
      <c r="Y111" s="404"/>
      <c r="Z111" s="404"/>
      <c r="AA111" s="404"/>
      <c r="AB111" s="404"/>
      <c r="AC111" s="404"/>
      <c r="AD111" s="404"/>
      <c r="AE111" s="404"/>
      <c r="AF111" s="404"/>
      <c r="AG111" s="404"/>
      <c r="AH111" s="404"/>
      <c r="AI111" s="404"/>
      <c r="AJ111" s="404"/>
      <c r="AK111" s="404"/>
      <c r="AL111" s="404"/>
      <c r="AM111" s="413"/>
      <c r="AN111" s="413"/>
      <c r="AO111" s="404"/>
      <c r="AP111" s="404"/>
      <c r="AQ111" s="404"/>
      <c r="AR111" s="404"/>
      <c r="AS111" s="404"/>
      <c r="AT111" s="404"/>
      <c r="AU111" s="404"/>
      <c r="AV111" s="413"/>
      <c r="AW111" s="413"/>
      <c r="AX111" s="413"/>
    </row>
    <row r="112" spans="1:50">
      <c r="A112" s="404"/>
      <c r="B112" s="405"/>
      <c r="C112" s="406"/>
      <c r="D112" s="405"/>
      <c r="E112" s="405"/>
      <c r="F112" s="405"/>
      <c r="G112" s="407"/>
      <c r="H112" s="408"/>
      <c r="I112" s="409"/>
      <c r="J112" s="410"/>
      <c r="K112" s="410"/>
      <c r="L112" s="411"/>
      <c r="M112" s="412"/>
      <c r="N112" s="408"/>
      <c r="O112" s="404"/>
      <c r="P112" s="404"/>
      <c r="Q112" s="404"/>
      <c r="R112" s="404"/>
      <c r="S112" s="404"/>
      <c r="T112" s="404"/>
      <c r="U112" s="404"/>
      <c r="V112" s="404"/>
      <c r="W112" s="404"/>
      <c r="X112" s="404"/>
      <c r="Y112" s="404"/>
      <c r="Z112" s="404"/>
      <c r="AA112" s="404"/>
      <c r="AB112" s="404"/>
      <c r="AC112" s="404"/>
      <c r="AD112" s="404"/>
      <c r="AE112" s="404"/>
      <c r="AF112" s="404"/>
      <c r="AG112" s="404"/>
      <c r="AH112" s="404"/>
      <c r="AI112" s="404"/>
      <c r="AJ112" s="404"/>
      <c r="AK112" s="404"/>
      <c r="AL112" s="404"/>
      <c r="AM112" s="413"/>
      <c r="AN112" s="413"/>
      <c r="AO112" s="404"/>
      <c r="AP112" s="404"/>
      <c r="AQ112" s="404"/>
      <c r="AR112" s="404"/>
      <c r="AS112" s="404"/>
      <c r="AT112" s="404"/>
      <c r="AU112" s="404"/>
      <c r="AV112" s="413"/>
      <c r="AW112" s="413"/>
      <c r="AX112" s="413"/>
    </row>
    <row r="113" spans="1:50">
      <c r="A113" s="404"/>
      <c r="B113" s="405"/>
      <c r="C113" s="406"/>
      <c r="D113" s="405"/>
      <c r="E113" s="405"/>
      <c r="F113" s="405"/>
      <c r="G113" s="407"/>
      <c r="H113" s="408"/>
      <c r="I113" s="409"/>
      <c r="J113" s="410"/>
      <c r="K113" s="410"/>
      <c r="L113" s="411"/>
      <c r="M113" s="412"/>
      <c r="N113" s="408"/>
      <c r="O113" s="404"/>
      <c r="P113" s="404"/>
      <c r="Q113" s="404"/>
      <c r="R113" s="404"/>
      <c r="S113" s="404"/>
      <c r="T113" s="404"/>
      <c r="U113" s="404"/>
      <c r="V113" s="404"/>
      <c r="W113" s="404"/>
      <c r="X113" s="404"/>
      <c r="Y113" s="404"/>
      <c r="Z113" s="404"/>
      <c r="AA113" s="404"/>
      <c r="AB113" s="404"/>
      <c r="AC113" s="404"/>
      <c r="AD113" s="404"/>
      <c r="AE113" s="404"/>
      <c r="AF113" s="404"/>
      <c r="AG113" s="404"/>
      <c r="AH113" s="404"/>
      <c r="AI113" s="404"/>
      <c r="AJ113" s="404"/>
      <c r="AK113" s="404"/>
      <c r="AL113" s="404"/>
      <c r="AM113" s="413"/>
      <c r="AN113" s="413"/>
      <c r="AO113" s="404"/>
      <c r="AP113" s="404"/>
      <c r="AQ113" s="404"/>
      <c r="AR113" s="404"/>
      <c r="AS113" s="404"/>
      <c r="AT113" s="404"/>
      <c r="AU113" s="404"/>
      <c r="AV113" s="413"/>
      <c r="AW113" s="413"/>
      <c r="AX113" s="413"/>
    </row>
    <row r="114" spans="1:50">
      <c r="A114" s="404"/>
      <c r="B114" s="417"/>
      <c r="C114" s="406"/>
      <c r="D114" s="405"/>
      <c r="E114" s="405"/>
      <c r="F114" s="405"/>
      <c r="G114" s="407"/>
      <c r="H114" s="408"/>
      <c r="I114" s="409"/>
      <c r="J114" s="410"/>
      <c r="K114" s="410"/>
      <c r="L114" s="411"/>
      <c r="M114" s="412"/>
      <c r="N114" s="408"/>
      <c r="O114" s="404"/>
      <c r="P114" s="404"/>
      <c r="Q114" s="404"/>
      <c r="R114" s="404"/>
      <c r="S114" s="404"/>
      <c r="T114" s="404"/>
      <c r="U114" s="404"/>
      <c r="V114" s="404"/>
      <c r="W114" s="404"/>
      <c r="X114" s="404"/>
      <c r="Y114" s="404"/>
      <c r="Z114" s="404"/>
      <c r="AA114" s="404"/>
      <c r="AB114" s="404"/>
      <c r="AC114" s="404"/>
      <c r="AD114" s="404"/>
      <c r="AE114" s="404"/>
      <c r="AF114" s="404"/>
      <c r="AG114" s="404"/>
      <c r="AH114" s="404"/>
      <c r="AI114" s="404"/>
      <c r="AJ114" s="404"/>
      <c r="AK114" s="404"/>
      <c r="AL114" s="404"/>
      <c r="AM114" s="413"/>
      <c r="AN114" s="413"/>
      <c r="AO114" s="404"/>
      <c r="AP114" s="404"/>
      <c r="AQ114" s="404"/>
      <c r="AR114" s="404"/>
      <c r="AS114" s="404"/>
      <c r="AT114" s="404"/>
      <c r="AU114" s="404"/>
      <c r="AV114" s="413"/>
      <c r="AW114" s="413"/>
      <c r="AX114" s="413"/>
    </row>
    <row r="115" spans="1:50">
      <c r="A115" s="404"/>
      <c r="B115" s="405"/>
      <c r="C115" s="418"/>
      <c r="D115" s="407"/>
      <c r="E115" s="407"/>
      <c r="F115" s="407"/>
      <c r="G115" s="407"/>
      <c r="H115" s="408"/>
      <c r="I115" s="409"/>
      <c r="J115" s="410"/>
      <c r="K115" s="410"/>
      <c r="L115" s="411"/>
      <c r="M115" s="412"/>
      <c r="N115" s="408"/>
      <c r="O115" s="404"/>
      <c r="P115" s="404"/>
      <c r="Q115" s="404"/>
      <c r="R115" s="404"/>
      <c r="S115" s="404"/>
      <c r="T115" s="404"/>
      <c r="U115" s="404"/>
      <c r="V115" s="404"/>
      <c r="W115" s="404"/>
      <c r="X115" s="404"/>
      <c r="Y115" s="404"/>
      <c r="Z115" s="404"/>
      <c r="AA115" s="404"/>
      <c r="AB115" s="404"/>
      <c r="AC115" s="404"/>
      <c r="AD115" s="404"/>
      <c r="AE115" s="404"/>
      <c r="AF115" s="404"/>
      <c r="AG115" s="404"/>
      <c r="AH115" s="404"/>
      <c r="AI115" s="404"/>
      <c r="AJ115" s="404"/>
      <c r="AK115" s="404"/>
      <c r="AL115" s="404"/>
      <c r="AM115" s="404"/>
      <c r="AN115" s="404"/>
      <c r="AO115" s="404"/>
      <c r="AP115" s="404"/>
      <c r="AQ115" s="404"/>
      <c r="AR115" s="404"/>
      <c r="AS115" s="404"/>
      <c r="AT115" s="404"/>
      <c r="AU115" s="404"/>
      <c r="AV115" s="413"/>
      <c r="AW115" s="413"/>
      <c r="AX115" s="413"/>
    </row>
    <row r="116" spans="1:50">
      <c r="A116" s="404"/>
      <c r="B116" s="405"/>
      <c r="C116" s="418"/>
      <c r="D116" s="407"/>
      <c r="E116" s="407"/>
      <c r="F116" s="407"/>
      <c r="G116" s="407"/>
      <c r="H116" s="408"/>
      <c r="I116" s="409"/>
      <c r="J116" s="410"/>
      <c r="K116" s="410"/>
      <c r="L116" s="411"/>
      <c r="M116" s="412"/>
      <c r="N116" s="408"/>
      <c r="O116" s="404"/>
      <c r="P116" s="404"/>
      <c r="Q116" s="404"/>
      <c r="R116" s="404"/>
      <c r="S116" s="404"/>
      <c r="T116" s="404"/>
      <c r="U116" s="404"/>
      <c r="V116" s="404"/>
      <c r="W116" s="404"/>
      <c r="X116" s="404"/>
      <c r="Y116" s="404"/>
      <c r="Z116" s="404"/>
      <c r="AA116" s="404"/>
      <c r="AB116" s="404"/>
      <c r="AC116" s="404"/>
      <c r="AD116" s="404"/>
      <c r="AE116" s="404"/>
      <c r="AF116" s="404"/>
      <c r="AG116" s="404"/>
      <c r="AH116" s="404"/>
      <c r="AI116" s="404"/>
      <c r="AJ116" s="404"/>
      <c r="AK116" s="404"/>
      <c r="AL116" s="404"/>
      <c r="AM116" s="413"/>
      <c r="AN116" s="413"/>
      <c r="AO116" s="404"/>
      <c r="AP116" s="404"/>
      <c r="AQ116" s="404"/>
      <c r="AR116" s="404"/>
      <c r="AS116" s="404"/>
      <c r="AT116" s="404"/>
      <c r="AU116" s="404"/>
      <c r="AV116" s="413"/>
      <c r="AW116" s="413"/>
      <c r="AX116" s="413"/>
    </row>
    <row r="117" spans="1:50">
      <c r="A117" s="404"/>
      <c r="B117" s="417"/>
      <c r="C117" s="419"/>
      <c r="D117" s="420"/>
      <c r="E117" s="420"/>
      <c r="F117" s="420"/>
      <c r="G117" s="420"/>
      <c r="H117" s="421"/>
      <c r="I117" s="422"/>
      <c r="J117" s="423"/>
      <c r="K117" s="423"/>
      <c r="L117" s="411"/>
      <c r="M117" s="412"/>
      <c r="N117" s="408"/>
      <c r="O117" s="404"/>
      <c r="P117" s="404"/>
      <c r="Q117" s="404"/>
      <c r="R117" s="404"/>
      <c r="S117" s="404"/>
      <c r="T117" s="404"/>
      <c r="U117" s="404"/>
      <c r="V117" s="404"/>
      <c r="W117" s="404"/>
      <c r="X117" s="404"/>
      <c r="Y117" s="404"/>
      <c r="Z117" s="404"/>
      <c r="AA117" s="404"/>
      <c r="AB117" s="404"/>
      <c r="AC117" s="404"/>
      <c r="AD117" s="404"/>
      <c r="AE117" s="404"/>
      <c r="AF117" s="404"/>
      <c r="AG117" s="404"/>
      <c r="AH117" s="404"/>
      <c r="AI117" s="404"/>
      <c r="AJ117" s="404"/>
      <c r="AK117" s="404"/>
      <c r="AL117" s="404"/>
      <c r="AM117" s="413"/>
      <c r="AN117" s="413"/>
      <c r="AO117" s="404"/>
      <c r="AP117" s="404"/>
      <c r="AQ117" s="404"/>
      <c r="AR117" s="404"/>
      <c r="AS117" s="404"/>
      <c r="AT117" s="404"/>
      <c r="AU117" s="404"/>
      <c r="AV117" s="413"/>
      <c r="AW117" s="413"/>
      <c r="AX117" s="413"/>
    </row>
    <row r="118" spans="1:50">
      <c r="A118" s="404"/>
      <c r="B118" s="417"/>
      <c r="C118" s="424"/>
      <c r="D118" s="417"/>
      <c r="E118" s="417"/>
      <c r="F118" s="417"/>
      <c r="G118" s="420"/>
      <c r="H118" s="408"/>
      <c r="I118" s="409"/>
      <c r="J118" s="410"/>
      <c r="K118" s="410"/>
      <c r="L118" s="411"/>
      <c r="M118" s="412"/>
      <c r="N118" s="408"/>
      <c r="O118" s="404"/>
      <c r="P118" s="404"/>
      <c r="Q118" s="404"/>
      <c r="R118" s="404"/>
      <c r="S118" s="404"/>
      <c r="T118" s="404"/>
      <c r="U118" s="404"/>
      <c r="V118" s="404"/>
      <c r="W118" s="404"/>
      <c r="X118" s="404"/>
      <c r="Y118" s="404"/>
      <c r="Z118" s="404"/>
      <c r="AA118" s="404"/>
      <c r="AB118" s="404"/>
      <c r="AC118" s="404"/>
      <c r="AD118" s="404"/>
      <c r="AE118" s="404"/>
      <c r="AF118" s="404"/>
      <c r="AG118" s="404"/>
      <c r="AH118" s="404"/>
      <c r="AI118" s="404"/>
      <c r="AJ118" s="404"/>
      <c r="AK118" s="404"/>
      <c r="AL118" s="404"/>
      <c r="AM118" s="413"/>
      <c r="AN118" s="413"/>
      <c r="AO118" s="404"/>
      <c r="AP118" s="404"/>
      <c r="AQ118" s="404"/>
      <c r="AR118" s="404"/>
      <c r="AS118" s="404"/>
      <c r="AT118" s="404"/>
      <c r="AU118" s="404"/>
      <c r="AV118" s="413"/>
      <c r="AW118" s="413"/>
      <c r="AX118" s="413"/>
    </row>
    <row r="119" spans="1:50">
      <c r="A119" s="404"/>
      <c r="B119" s="417"/>
      <c r="C119" s="424"/>
      <c r="D119" s="417"/>
      <c r="E119" s="417"/>
      <c r="F119" s="417"/>
      <c r="G119" s="420"/>
      <c r="H119" s="408"/>
      <c r="I119" s="409"/>
      <c r="J119" s="410"/>
      <c r="K119" s="410"/>
      <c r="L119" s="411"/>
      <c r="M119" s="412"/>
      <c r="N119" s="408"/>
      <c r="O119" s="404"/>
      <c r="P119" s="404"/>
      <c r="Q119" s="404"/>
      <c r="R119" s="404"/>
      <c r="S119" s="404"/>
      <c r="T119" s="404"/>
      <c r="U119" s="404"/>
      <c r="V119" s="404"/>
      <c r="W119" s="404"/>
      <c r="X119" s="404"/>
      <c r="Y119" s="404"/>
      <c r="Z119" s="404"/>
      <c r="AA119" s="404"/>
      <c r="AB119" s="404"/>
      <c r="AC119" s="404"/>
      <c r="AD119" s="404"/>
      <c r="AE119" s="404"/>
      <c r="AF119" s="404"/>
      <c r="AG119" s="404"/>
      <c r="AH119" s="404"/>
      <c r="AI119" s="404"/>
      <c r="AJ119" s="404"/>
      <c r="AK119" s="404"/>
      <c r="AL119" s="404"/>
      <c r="AM119" s="413"/>
      <c r="AN119" s="413"/>
      <c r="AO119" s="404"/>
      <c r="AP119" s="404"/>
      <c r="AQ119" s="404"/>
      <c r="AR119" s="404"/>
      <c r="AS119" s="404"/>
      <c r="AT119" s="404"/>
      <c r="AU119" s="404"/>
      <c r="AV119" s="413"/>
      <c r="AW119" s="413"/>
      <c r="AX119" s="413"/>
    </row>
    <row r="120" spans="1:50">
      <c r="A120" s="404"/>
      <c r="B120" s="417"/>
      <c r="C120" s="424"/>
      <c r="D120" s="417"/>
      <c r="E120" s="417"/>
      <c r="F120" s="417"/>
      <c r="G120" s="420"/>
      <c r="H120" s="408"/>
      <c r="I120" s="409"/>
      <c r="J120" s="410"/>
      <c r="K120" s="410"/>
      <c r="L120" s="411"/>
      <c r="M120" s="412"/>
      <c r="N120" s="408"/>
      <c r="O120" s="404"/>
      <c r="P120" s="404"/>
      <c r="Q120" s="404"/>
      <c r="R120" s="404"/>
      <c r="S120" s="404"/>
      <c r="T120" s="404"/>
      <c r="U120" s="404"/>
      <c r="V120" s="404"/>
      <c r="W120" s="404"/>
      <c r="X120" s="404"/>
      <c r="Y120" s="404"/>
      <c r="Z120" s="404"/>
      <c r="AA120" s="404"/>
      <c r="AB120" s="404"/>
      <c r="AC120" s="404"/>
      <c r="AD120" s="404"/>
      <c r="AE120" s="404"/>
      <c r="AF120" s="404"/>
      <c r="AG120" s="404"/>
      <c r="AH120" s="404"/>
      <c r="AI120" s="404"/>
      <c r="AJ120" s="404"/>
      <c r="AK120" s="404"/>
      <c r="AL120" s="404"/>
      <c r="AM120" s="413"/>
      <c r="AN120" s="413"/>
      <c r="AO120" s="404"/>
      <c r="AP120" s="404"/>
      <c r="AQ120" s="404"/>
      <c r="AR120" s="404"/>
      <c r="AS120" s="404"/>
      <c r="AT120" s="404"/>
      <c r="AU120" s="404"/>
      <c r="AV120" s="413"/>
      <c r="AW120" s="413"/>
      <c r="AX120" s="413"/>
    </row>
    <row r="121" spans="1:50">
      <c r="A121" s="404"/>
      <c r="B121" s="417"/>
      <c r="C121" s="424"/>
      <c r="D121" s="417"/>
      <c r="E121" s="417"/>
      <c r="F121" s="417"/>
      <c r="G121" s="420"/>
      <c r="H121" s="408"/>
      <c r="I121" s="409"/>
      <c r="J121" s="410"/>
      <c r="K121" s="410"/>
      <c r="L121" s="411"/>
      <c r="M121" s="412"/>
      <c r="N121" s="408"/>
      <c r="O121" s="404"/>
      <c r="P121" s="404"/>
      <c r="Q121" s="404"/>
      <c r="R121" s="404"/>
      <c r="S121" s="404"/>
      <c r="T121" s="404"/>
      <c r="U121" s="404"/>
      <c r="V121" s="404"/>
      <c r="W121" s="404"/>
      <c r="X121" s="404"/>
      <c r="Y121" s="404"/>
      <c r="Z121" s="404"/>
      <c r="AA121" s="404"/>
      <c r="AB121" s="404"/>
      <c r="AC121" s="404"/>
      <c r="AD121" s="404"/>
      <c r="AE121" s="404"/>
      <c r="AF121" s="404"/>
      <c r="AG121" s="404"/>
      <c r="AH121" s="404"/>
      <c r="AI121" s="404"/>
      <c r="AJ121" s="404"/>
      <c r="AK121" s="404"/>
      <c r="AL121" s="404"/>
      <c r="AM121" s="413"/>
      <c r="AN121" s="413"/>
      <c r="AO121" s="413"/>
      <c r="AP121" s="404"/>
      <c r="AQ121" s="404"/>
      <c r="AR121" s="404"/>
      <c r="AS121" s="404"/>
      <c r="AT121" s="404"/>
      <c r="AU121" s="404"/>
      <c r="AV121" s="413"/>
      <c r="AW121" s="413"/>
      <c r="AX121" s="413"/>
    </row>
    <row r="122" spans="1:50">
      <c r="A122" s="404"/>
      <c r="B122" s="417"/>
      <c r="C122" s="424"/>
      <c r="D122" s="417"/>
      <c r="E122" s="417"/>
      <c r="F122" s="417"/>
      <c r="G122" s="420"/>
      <c r="H122" s="408"/>
      <c r="I122" s="409"/>
      <c r="J122" s="410"/>
      <c r="K122" s="410"/>
      <c r="L122" s="411"/>
      <c r="M122" s="412"/>
      <c r="N122" s="408"/>
      <c r="O122" s="404"/>
      <c r="P122" s="404"/>
      <c r="Q122" s="404"/>
      <c r="R122" s="404"/>
      <c r="S122" s="404"/>
      <c r="T122" s="404"/>
      <c r="U122" s="404"/>
      <c r="V122" s="404"/>
      <c r="W122" s="404"/>
      <c r="X122" s="404"/>
      <c r="Y122" s="404"/>
      <c r="Z122" s="404"/>
      <c r="AA122" s="404"/>
      <c r="AB122" s="404"/>
      <c r="AC122" s="404"/>
      <c r="AD122" s="404"/>
      <c r="AE122" s="404"/>
      <c r="AF122" s="404"/>
      <c r="AG122" s="404"/>
      <c r="AH122" s="404"/>
      <c r="AI122" s="404"/>
      <c r="AJ122" s="404"/>
      <c r="AK122" s="404"/>
      <c r="AL122" s="404"/>
      <c r="AM122" s="413"/>
      <c r="AN122" s="413"/>
      <c r="AO122" s="413"/>
      <c r="AP122" s="404"/>
      <c r="AQ122" s="404"/>
      <c r="AR122" s="404"/>
      <c r="AS122" s="404"/>
      <c r="AT122" s="404"/>
      <c r="AU122" s="404"/>
      <c r="AV122" s="413"/>
      <c r="AW122" s="413"/>
      <c r="AX122" s="413"/>
    </row>
    <row r="123" spans="1:50">
      <c r="A123" s="404"/>
      <c r="B123" s="417"/>
      <c r="C123" s="424"/>
      <c r="D123" s="417"/>
      <c r="E123" s="417"/>
      <c r="F123" s="417"/>
      <c r="G123" s="420"/>
      <c r="H123" s="408"/>
      <c r="I123" s="409"/>
      <c r="J123" s="410"/>
      <c r="K123" s="410"/>
      <c r="L123" s="411"/>
      <c r="M123" s="412"/>
      <c r="N123" s="408"/>
      <c r="O123" s="404"/>
      <c r="P123" s="404"/>
      <c r="Q123" s="404"/>
      <c r="R123" s="404"/>
      <c r="S123" s="404"/>
      <c r="T123" s="404"/>
      <c r="U123" s="404"/>
      <c r="V123" s="404"/>
      <c r="W123" s="404"/>
      <c r="X123" s="404"/>
      <c r="Y123" s="404"/>
      <c r="Z123" s="404"/>
      <c r="AA123" s="404"/>
      <c r="AB123" s="404"/>
      <c r="AC123" s="404"/>
      <c r="AD123" s="404"/>
      <c r="AE123" s="404"/>
      <c r="AF123" s="404"/>
      <c r="AG123" s="404"/>
      <c r="AH123" s="404"/>
      <c r="AI123" s="404"/>
      <c r="AJ123" s="404"/>
      <c r="AK123" s="404"/>
      <c r="AL123" s="404"/>
      <c r="AM123" s="413"/>
      <c r="AN123" s="413"/>
      <c r="AO123" s="413"/>
      <c r="AP123" s="404"/>
      <c r="AQ123" s="404"/>
      <c r="AR123" s="404"/>
      <c r="AS123" s="404"/>
      <c r="AT123" s="404"/>
      <c r="AU123" s="404"/>
      <c r="AV123" s="413"/>
      <c r="AW123" s="413"/>
      <c r="AX123" s="413"/>
    </row>
    <row r="124" spans="1:50">
      <c r="A124" s="404"/>
      <c r="B124" s="405"/>
      <c r="C124" s="406"/>
      <c r="D124" s="405"/>
      <c r="E124" s="405"/>
      <c r="F124" s="405"/>
      <c r="G124" s="407"/>
      <c r="H124" s="408"/>
      <c r="I124" s="409"/>
      <c r="J124" s="410"/>
      <c r="K124" s="410"/>
      <c r="L124" s="411"/>
      <c r="M124" s="412"/>
      <c r="N124" s="408"/>
      <c r="O124" s="404"/>
      <c r="P124" s="404"/>
      <c r="Q124" s="404"/>
      <c r="R124" s="404"/>
      <c r="S124" s="404"/>
      <c r="T124" s="404"/>
      <c r="U124" s="404"/>
      <c r="V124" s="413"/>
      <c r="W124" s="413"/>
      <c r="X124" s="413"/>
      <c r="Y124" s="413"/>
      <c r="Z124" s="413"/>
      <c r="AA124" s="404"/>
      <c r="AB124" s="404"/>
      <c r="AC124" s="404"/>
      <c r="AD124" s="404"/>
      <c r="AE124" s="413"/>
      <c r="AF124" s="413"/>
      <c r="AG124" s="413"/>
      <c r="AH124" s="413"/>
      <c r="AI124" s="413"/>
      <c r="AJ124" s="404"/>
      <c r="AK124" s="404"/>
      <c r="AL124" s="404"/>
      <c r="AM124" s="413"/>
      <c r="AN124" s="413"/>
      <c r="AO124" s="413"/>
      <c r="AP124" s="404"/>
      <c r="AQ124" s="404"/>
      <c r="AR124" s="404"/>
      <c r="AS124" s="404"/>
      <c r="AT124" s="404"/>
      <c r="AU124" s="404"/>
      <c r="AV124" s="413"/>
      <c r="AW124" s="413"/>
      <c r="AX124" s="413"/>
    </row>
    <row r="125" spans="1:50">
      <c r="A125" s="404"/>
      <c r="B125" s="405"/>
      <c r="C125" s="406"/>
      <c r="D125" s="405"/>
      <c r="E125" s="405"/>
      <c r="F125" s="405"/>
      <c r="G125" s="407"/>
      <c r="H125" s="408"/>
      <c r="I125" s="409"/>
      <c r="J125" s="410"/>
      <c r="K125" s="410"/>
      <c r="L125" s="411"/>
      <c r="M125" s="412"/>
      <c r="N125" s="408"/>
      <c r="O125" s="404"/>
      <c r="P125" s="404"/>
      <c r="Q125" s="404"/>
      <c r="R125" s="404"/>
      <c r="S125" s="404"/>
      <c r="T125" s="404"/>
      <c r="U125" s="404"/>
      <c r="V125" s="413"/>
      <c r="W125" s="413"/>
      <c r="X125" s="413"/>
      <c r="Y125" s="413"/>
      <c r="Z125" s="413"/>
      <c r="AA125" s="404"/>
      <c r="AB125" s="404"/>
      <c r="AC125" s="404"/>
      <c r="AD125" s="404"/>
      <c r="AE125" s="413"/>
      <c r="AF125" s="413"/>
      <c r="AG125" s="413"/>
      <c r="AH125" s="413"/>
      <c r="AI125" s="413"/>
      <c r="AJ125" s="404"/>
      <c r="AK125" s="404"/>
      <c r="AL125" s="404"/>
      <c r="AM125" s="413"/>
      <c r="AN125" s="413"/>
      <c r="AO125" s="413"/>
      <c r="AP125" s="404"/>
      <c r="AQ125" s="404"/>
      <c r="AR125" s="404"/>
      <c r="AS125" s="404"/>
      <c r="AT125" s="404"/>
      <c r="AU125" s="404"/>
      <c r="AV125" s="413"/>
      <c r="AW125" s="413"/>
      <c r="AX125" s="413"/>
    </row>
    <row r="126" spans="1:50">
      <c r="A126" s="404"/>
      <c r="B126" s="405"/>
      <c r="C126" s="406"/>
      <c r="D126" s="405"/>
      <c r="E126" s="405"/>
      <c r="F126" s="405"/>
      <c r="G126" s="407"/>
      <c r="H126" s="408"/>
      <c r="I126" s="409"/>
      <c r="J126" s="410"/>
      <c r="K126" s="410"/>
      <c r="L126" s="411"/>
      <c r="M126" s="404"/>
      <c r="N126" s="408"/>
      <c r="O126" s="404"/>
      <c r="P126" s="404"/>
      <c r="Q126" s="404"/>
      <c r="R126" s="404"/>
      <c r="S126" s="404"/>
      <c r="T126" s="404"/>
      <c r="U126" s="404"/>
      <c r="V126" s="413"/>
      <c r="W126" s="413"/>
      <c r="X126" s="413"/>
      <c r="Y126" s="413"/>
      <c r="Z126" s="413"/>
      <c r="AA126" s="404"/>
      <c r="AB126" s="404"/>
      <c r="AC126" s="404"/>
      <c r="AD126" s="404"/>
      <c r="AE126" s="413"/>
      <c r="AF126" s="413"/>
      <c r="AG126" s="413"/>
      <c r="AH126" s="413"/>
      <c r="AI126" s="413"/>
      <c r="AJ126" s="404"/>
      <c r="AK126" s="404"/>
      <c r="AL126" s="404"/>
      <c r="AM126" s="413"/>
      <c r="AN126" s="413"/>
      <c r="AO126" s="413"/>
      <c r="AP126" s="404"/>
      <c r="AQ126" s="404"/>
      <c r="AR126" s="404"/>
      <c r="AS126" s="404"/>
      <c r="AT126" s="404"/>
      <c r="AU126" s="404"/>
      <c r="AV126" s="413"/>
      <c r="AW126" s="413"/>
      <c r="AX126" s="413"/>
    </row>
    <row r="127" spans="1:50">
      <c r="A127" s="404"/>
      <c r="B127" s="405"/>
      <c r="C127" s="406"/>
      <c r="D127" s="405"/>
      <c r="E127" s="405"/>
      <c r="F127" s="405"/>
      <c r="G127" s="407"/>
      <c r="H127" s="408"/>
      <c r="I127" s="409"/>
      <c r="J127" s="410"/>
      <c r="K127" s="410"/>
      <c r="L127" s="411"/>
      <c r="M127" s="404"/>
      <c r="N127" s="408"/>
      <c r="O127" s="404"/>
      <c r="P127" s="404"/>
      <c r="Q127" s="404"/>
      <c r="R127" s="404"/>
      <c r="S127" s="404"/>
      <c r="T127" s="404"/>
      <c r="U127" s="404"/>
      <c r="V127" s="413"/>
      <c r="W127" s="413"/>
      <c r="X127" s="413"/>
      <c r="Y127" s="413"/>
      <c r="Z127" s="413"/>
      <c r="AA127" s="404"/>
      <c r="AB127" s="404"/>
      <c r="AC127" s="404"/>
      <c r="AD127" s="404"/>
      <c r="AE127" s="413"/>
      <c r="AF127" s="413"/>
      <c r="AG127" s="413"/>
      <c r="AH127" s="413"/>
      <c r="AI127" s="413"/>
      <c r="AJ127" s="404"/>
      <c r="AK127" s="404"/>
      <c r="AL127" s="404"/>
      <c r="AM127" s="413"/>
      <c r="AN127" s="413"/>
      <c r="AO127" s="413"/>
      <c r="AP127" s="404"/>
      <c r="AQ127" s="404"/>
      <c r="AR127" s="404"/>
      <c r="AS127" s="404"/>
      <c r="AT127" s="404"/>
      <c r="AU127" s="404"/>
      <c r="AV127" s="413"/>
      <c r="AW127" s="413"/>
      <c r="AX127" s="413"/>
    </row>
    <row r="128" spans="1:50">
      <c r="A128" s="404"/>
      <c r="B128" s="405"/>
      <c r="C128" s="406"/>
      <c r="D128" s="405"/>
      <c r="E128" s="405"/>
      <c r="F128" s="405"/>
      <c r="G128" s="407"/>
      <c r="H128" s="408"/>
      <c r="I128" s="409"/>
      <c r="J128" s="410"/>
      <c r="K128" s="410"/>
      <c r="L128" s="411"/>
      <c r="M128" s="404"/>
      <c r="N128" s="408"/>
      <c r="O128" s="404"/>
      <c r="P128" s="404"/>
      <c r="Q128" s="404"/>
      <c r="R128" s="404"/>
      <c r="S128" s="404"/>
      <c r="T128" s="404"/>
      <c r="U128" s="404"/>
      <c r="V128" s="413"/>
      <c r="W128" s="413"/>
      <c r="X128" s="413"/>
      <c r="Y128" s="413"/>
      <c r="Z128" s="413"/>
      <c r="AA128" s="404"/>
      <c r="AB128" s="404"/>
      <c r="AC128" s="404"/>
      <c r="AD128" s="404"/>
      <c r="AE128" s="413"/>
      <c r="AF128" s="413"/>
      <c r="AG128" s="413"/>
      <c r="AH128" s="413"/>
      <c r="AI128" s="413"/>
      <c r="AJ128" s="404"/>
      <c r="AK128" s="404"/>
      <c r="AL128" s="404"/>
      <c r="AM128" s="413"/>
      <c r="AN128" s="413"/>
      <c r="AO128" s="413"/>
      <c r="AP128" s="413"/>
      <c r="AQ128" s="413"/>
      <c r="AR128" s="413"/>
      <c r="AS128" s="413"/>
      <c r="AT128" s="413"/>
      <c r="AU128" s="413"/>
      <c r="AV128" s="413"/>
      <c r="AW128" s="413"/>
      <c r="AX128" s="413"/>
    </row>
    <row r="129" spans="1:50">
      <c r="A129" s="404"/>
      <c r="B129" s="405"/>
      <c r="C129" s="406"/>
      <c r="D129" s="405"/>
      <c r="E129" s="405"/>
      <c r="F129" s="405"/>
      <c r="G129" s="407"/>
      <c r="H129" s="408"/>
      <c r="I129" s="409"/>
      <c r="J129" s="410"/>
      <c r="K129" s="410"/>
      <c r="L129" s="411"/>
      <c r="M129" s="404"/>
      <c r="N129" s="408"/>
      <c r="O129" s="404"/>
      <c r="P129" s="404"/>
      <c r="Q129" s="404"/>
      <c r="R129" s="404"/>
      <c r="S129" s="404"/>
      <c r="T129" s="404"/>
      <c r="U129" s="404"/>
      <c r="V129" s="413"/>
      <c r="W129" s="413"/>
      <c r="X129" s="413"/>
      <c r="Y129" s="413"/>
      <c r="Z129" s="413"/>
      <c r="AA129" s="404"/>
      <c r="AB129" s="404"/>
      <c r="AC129" s="404"/>
      <c r="AD129" s="404"/>
      <c r="AE129" s="413"/>
      <c r="AF129" s="413"/>
      <c r="AG129" s="413"/>
      <c r="AH129" s="413"/>
      <c r="AI129" s="413"/>
      <c r="AJ129" s="404"/>
      <c r="AK129" s="404"/>
      <c r="AL129" s="404"/>
      <c r="AM129" s="413"/>
      <c r="AN129" s="413"/>
      <c r="AO129" s="413"/>
      <c r="AP129" s="413"/>
      <c r="AQ129" s="413"/>
      <c r="AR129" s="413"/>
      <c r="AS129" s="413"/>
      <c r="AT129" s="413"/>
      <c r="AU129" s="413"/>
      <c r="AV129" s="413"/>
      <c r="AW129" s="413"/>
      <c r="AX129" s="413"/>
    </row>
    <row r="130" spans="1:50">
      <c r="A130" s="404"/>
      <c r="B130" s="405"/>
      <c r="C130" s="406"/>
      <c r="D130" s="405"/>
      <c r="E130" s="405"/>
      <c r="F130" s="405"/>
      <c r="G130" s="407"/>
      <c r="H130" s="408"/>
      <c r="I130" s="409"/>
      <c r="J130" s="410"/>
      <c r="K130" s="410"/>
      <c r="L130" s="411"/>
      <c r="M130" s="404"/>
      <c r="N130" s="408"/>
      <c r="O130" s="404"/>
      <c r="P130" s="404"/>
      <c r="Q130" s="404"/>
      <c r="R130" s="404"/>
      <c r="S130" s="404"/>
      <c r="T130" s="404"/>
      <c r="U130" s="404"/>
      <c r="V130" s="413"/>
      <c r="W130" s="413"/>
      <c r="X130" s="413"/>
      <c r="Y130" s="413"/>
      <c r="Z130" s="413"/>
      <c r="AA130" s="404"/>
      <c r="AB130" s="404"/>
      <c r="AC130" s="404"/>
      <c r="AD130" s="404"/>
      <c r="AE130" s="413"/>
      <c r="AF130" s="413"/>
      <c r="AG130" s="413"/>
      <c r="AH130" s="413"/>
      <c r="AI130" s="413"/>
      <c r="AJ130" s="404"/>
      <c r="AK130" s="404"/>
      <c r="AL130" s="404"/>
      <c r="AM130" s="413"/>
      <c r="AN130" s="413"/>
      <c r="AO130" s="413"/>
      <c r="AP130" s="413"/>
      <c r="AQ130" s="413"/>
      <c r="AR130" s="413"/>
      <c r="AS130" s="413"/>
      <c r="AT130" s="413"/>
      <c r="AU130" s="413"/>
      <c r="AV130" s="413"/>
      <c r="AW130" s="413"/>
      <c r="AX130" s="413"/>
    </row>
    <row r="131" spans="1:50">
      <c r="A131" s="404"/>
      <c r="B131" s="405"/>
      <c r="C131" s="406"/>
      <c r="D131" s="405"/>
      <c r="E131" s="405"/>
      <c r="F131" s="405"/>
      <c r="G131" s="407"/>
      <c r="H131" s="408"/>
      <c r="I131" s="409"/>
      <c r="J131" s="410"/>
      <c r="K131" s="410"/>
      <c r="L131" s="411"/>
      <c r="M131" s="404"/>
      <c r="N131" s="408"/>
      <c r="O131" s="404"/>
      <c r="P131" s="404"/>
      <c r="Q131" s="404"/>
      <c r="R131" s="404"/>
      <c r="S131" s="404"/>
      <c r="T131" s="404"/>
      <c r="U131" s="404"/>
      <c r="V131" s="413"/>
      <c r="W131" s="413"/>
      <c r="X131" s="413"/>
      <c r="Y131" s="413"/>
      <c r="Z131" s="413"/>
      <c r="AA131" s="404"/>
      <c r="AB131" s="404"/>
      <c r="AC131" s="404"/>
      <c r="AD131" s="404"/>
      <c r="AE131" s="413"/>
      <c r="AF131" s="413"/>
      <c r="AG131" s="413"/>
      <c r="AH131" s="413"/>
      <c r="AI131" s="413"/>
      <c r="AJ131" s="404"/>
      <c r="AK131" s="404"/>
      <c r="AL131" s="404"/>
      <c r="AM131" s="413"/>
      <c r="AN131" s="413"/>
      <c r="AO131" s="413"/>
      <c r="AP131" s="413"/>
      <c r="AQ131" s="413"/>
      <c r="AR131" s="413"/>
      <c r="AS131" s="413"/>
      <c r="AT131" s="413"/>
      <c r="AU131" s="413"/>
      <c r="AV131" s="413"/>
      <c r="AW131" s="413"/>
      <c r="AX131" s="413"/>
    </row>
    <row r="132" spans="1:50">
      <c r="A132" s="404"/>
      <c r="B132" s="405"/>
      <c r="C132" s="406"/>
      <c r="D132" s="405"/>
      <c r="E132" s="405"/>
      <c r="F132" s="405"/>
      <c r="G132" s="407"/>
      <c r="H132" s="408"/>
      <c r="I132" s="409"/>
      <c r="J132" s="410"/>
      <c r="K132" s="410"/>
      <c r="L132" s="411"/>
      <c r="M132" s="404"/>
      <c r="N132" s="408"/>
      <c r="O132" s="404"/>
      <c r="P132" s="404"/>
      <c r="Q132" s="404"/>
      <c r="R132" s="404"/>
      <c r="S132" s="404"/>
      <c r="T132" s="404"/>
      <c r="U132" s="404"/>
      <c r="V132" s="413"/>
      <c r="W132" s="413"/>
      <c r="X132" s="413"/>
      <c r="Y132" s="413"/>
      <c r="Z132" s="413"/>
      <c r="AA132" s="404"/>
      <c r="AB132" s="404"/>
      <c r="AC132" s="404"/>
      <c r="AD132" s="404"/>
      <c r="AE132" s="413"/>
      <c r="AF132" s="413"/>
      <c r="AG132" s="413"/>
      <c r="AH132" s="413"/>
      <c r="AI132" s="413"/>
      <c r="AJ132" s="404"/>
      <c r="AK132" s="404"/>
      <c r="AL132" s="404"/>
      <c r="AM132" s="413"/>
      <c r="AN132" s="413"/>
      <c r="AO132" s="413"/>
      <c r="AP132" s="413"/>
      <c r="AQ132" s="413"/>
      <c r="AR132" s="413"/>
      <c r="AS132" s="413"/>
      <c r="AT132" s="413"/>
      <c r="AU132" s="413"/>
      <c r="AV132" s="413"/>
      <c r="AW132" s="413"/>
      <c r="AX132" s="413"/>
    </row>
    <row r="133" spans="1:50">
      <c r="A133" s="404"/>
      <c r="B133" s="405"/>
      <c r="C133" s="406"/>
      <c r="D133" s="405"/>
      <c r="E133" s="405"/>
      <c r="F133" s="405"/>
      <c r="G133" s="407"/>
      <c r="H133" s="408"/>
      <c r="I133" s="409"/>
      <c r="J133" s="410"/>
      <c r="K133" s="410"/>
      <c r="L133" s="411"/>
      <c r="M133" s="404"/>
      <c r="N133" s="408"/>
      <c r="O133" s="404"/>
      <c r="P133" s="404"/>
      <c r="Q133" s="404"/>
      <c r="R133" s="404"/>
      <c r="S133" s="404"/>
      <c r="T133" s="404"/>
      <c r="U133" s="404"/>
      <c r="V133" s="413"/>
      <c r="W133" s="413"/>
      <c r="X133" s="413"/>
      <c r="Y133" s="413"/>
      <c r="Z133" s="413"/>
      <c r="AA133" s="404"/>
      <c r="AB133" s="404"/>
      <c r="AC133" s="404"/>
      <c r="AD133" s="404"/>
      <c r="AE133" s="413"/>
      <c r="AF133" s="413"/>
      <c r="AG133" s="413"/>
      <c r="AH133" s="413"/>
      <c r="AI133" s="413"/>
      <c r="AJ133" s="404"/>
      <c r="AK133" s="404"/>
      <c r="AL133" s="404"/>
      <c r="AM133" s="413"/>
      <c r="AN133" s="413"/>
      <c r="AO133" s="413"/>
      <c r="AP133" s="413"/>
      <c r="AQ133" s="413"/>
      <c r="AR133" s="413"/>
      <c r="AS133" s="413"/>
      <c r="AT133" s="413"/>
      <c r="AU133" s="413"/>
      <c r="AV133" s="413"/>
      <c r="AW133" s="413"/>
      <c r="AX133" s="413"/>
    </row>
    <row r="134" spans="1:50">
      <c r="A134" s="404"/>
      <c r="B134" s="405"/>
      <c r="C134" s="406"/>
      <c r="D134" s="405"/>
      <c r="E134" s="405"/>
      <c r="F134" s="405"/>
      <c r="G134" s="407"/>
      <c r="H134" s="408"/>
      <c r="I134" s="409"/>
      <c r="J134" s="410"/>
      <c r="K134" s="410"/>
      <c r="L134" s="411"/>
      <c r="M134" s="404"/>
      <c r="N134" s="408"/>
      <c r="O134" s="404"/>
      <c r="P134" s="404"/>
      <c r="Q134" s="404"/>
      <c r="R134" s="404"/>
      <c r="S134" s="404"/>
      <c r="T134" s="404"/>
      <c r="U134" s="404"/>
      <c r="V134" s="413"/>
      <c r="W134" s="413"/>
      <c r="X134" s="413"/>
      <c r="Y134" s="413"/>
      <c r="Z134" s="413"/>
      <c r="AA134" s="404"/>
      <c r="AB134" s="404"/>
      <c r="AC134" s="404"/>
      <c r="AD134" s="404"/>
      <c r="AE134" s="413"/>
      <c r="AF134" s="413"/>
      <c r="AG134" s="413"/>
      <c r="AH134" s="413"/>
      <c r="AI134" s="413"/>
      <c r="AJ134" s="404"/>
      <c r="AK134" s="404"/>
      <c r="AL134" s="404"/>
      <c r="AM134" s="413"/>
      <c r="AN134" s="413"/>
      <c r="AO134" s="413"/>
      <c r="AP134" s="413"/>
      <c r="AQ134" s="413"/>
      <c r="AR134" s="413"/>
      <c r="AS134" s="413"/>
      <c r="AT134" s="413"/>
      <c r="AU134" s="413"/>
      <c r="AV134" s="413"/>
      <c r="AW134" s="413"/>
      <c r="AX134" s="413"/>
    </row>
    <row r="135" spans="1:50">
      <c r="A135" s="404"/>
      <c r="B135" s="405"/>
      <c r="C135" s="425"/>
      <c r="D135" s="426"/>
      <c r="E135" s="426"/>
      <c r="F135" s="426"/>
      <c r="G135" s="407"/>
      <c r="H135" s="408"/>
      <c r="I135" s="409"/>
      <c r="J135" s="410"/>
      <c r="K135" s="410"/>
      <c r="L135" s="411"/>
      <c r="M135" s="404"/>
      <c r="N135" s="408"/>
      <c r="O135" s="404"/>
      <c r="P135" s="404"/>
      <c r="Q135" s="404"/>
      <c r="R135" s="404"/>
      <c r="S135" s="404"/>
      <c r="T135" s="404"/>
      <c r="U135" s="404"/>
      <c r="V135" s="413"/>
      <c r="W135" s="413"/>
      <c r="X135" s="413"/>
      <c r="Y135" s="413"/>
      <c r="Z135" s="413"/>
      <c r="AA135" s="413"/>
      <c r="AB135" s="413"/>
      <c r="AC135" s="413"/>
      <c r="AD135" s="413"/>
      <c r="AE135" s="413"/>
      <c r="AF135" s="413"/>
      <c r="AG135" s="413"/>
      <c r="AH135" s="413"/>
      <c r="AI135" s="413"/>
      <c r="AJ135" s="404"/>
      <c r="AK135" s="404"/>
      <c r="AL135" s="404"/>
      <c r="AM135" s="413"/>
      <c r="AN135" s="413"/>
      <c r="AO135" s="413"/>
      <c r="AP135" s="413"/>
      <c r="AQ135" s="413"/>
      <c r="AR135" s="413"/>
      <c r="AS135" s="413"/>
      <c r="AT135" s="413"/>
      <c r="AU135" s="413"/>
      <c r="AV135" s="413"/>
      <c r="AW135" s="413"/>
      <c r="AX135" s="413"/>
    </row>
    <row r="136" spans="1:50">
      <c r="A136" s="404"/>
      <c r="B136" s="405"/>
      <c r="C136" s="425"/>
      <c r="D136" s="426"/>
      <c r="E136" s="426"/>
      <c r="F136" s="426"/>
      <c r="G136" s="407"/>
      <c r="H136" s="408"/>
      <c r="I136" s="409"/>
      <c r="J136" s="410"/>
      <c r="K136" s="410"/>
      <c r="L136" s="411"/>
      <c r="M136" s="404"/>
      <c r="N136" s="408"/>
      <c r="O136" s="404"/>
      <c r="P136" s="404"/>
      <c r="Q136" s="404"/>
      <c r="R136" s="404"/>
      <c r="S136" s="404"/>
      <c r="T136" s="404"/>
      <c r="U136" s="404"/>
      <c r="V136" s="404"/>
      <c r="W136" s="413"/>
      <c r="X136" s="413"/>
      <c r="Y136" s="413"/>
      <c r="Z136" s="413"/>
      <c r="AA136" s="413"/>
      <c r="AB136" s="413"/>
      <c r="AC136" s="413"/>
      <c r="AD136" s="413"/>
      <c r="AE136" s="413"/>
      <c r="AF136" s="413"/>
      <c r="AG136" s="413"/>
      <c r="AH136" s="413"/>
      <c r="AI136" s="413"/>
      <c r="AJ136" s="404"/>
      <c r="AK136" s="404"/>
      <c r="AL136" s="404"/>
      <c r="AM136" s="413"/>
      <c r="AN136" s="413"/>
      <c r="AO136" s="413"/>
      <c r="AP136" s="413"/>
      <c r="AQ136" s="413"/>
      <c r="AR136" s="413"/>
      <c r="AS136" s="413"/>
      <c r="AT136" s="413"/>
      <c r="AU136" s="413"/>
      <c r="AV136" s="413"/>
      <c r="AW136" s="413"/>
      <c r="AX136" s="413"/>
    </row>
    <row r="137" spans="1:50">
      <c r="A137" s="404"/>
      <c r="B137" s="405"/>
      <c r="C137" s="406"/>
      <c r="D137" s="405"/>
      <c r="E137" s="405"/>
      <c r="F137" s="405"/>
      <c r="G137" s="407"/>
      <c r="H137" s="408"/>
      <c r="I137" s="409"/>
      <c r="J137" s="410"/>
      <c r="K137" s="410"/>
      <c r="L137" s="411"/>
      <c r="M137" s="404"/>
      <c r="N137" s="408"/>
      <c r="O137" s="404"/>
      <c r="P137" s="404"/>
      <c r="Q137" s="404"/>
      <c r="R137" s="404"/>
      <c r="S137" s="404"/>
      <c r="T137" s="404"/>
      <c r="U137" s="404"/>
      <c r="V137" s="413"/>
      <c r="W137" s="413"/>
      <c r="X137" s="413"/>
      <c r="Y137" s="413"/>
      <c r="Z137" s="413"/>
      <c r="AA137" s="413"/>
      <c r="AB137" s="413"/>
      <c r="AC137" s="413"/>
      <c r="AD137" s="413"/>
      <c r="AE137" s="413"/>
      <c r="AF137" s="413"/>
      <c r="AG137" s="413"/>
      <c r="AH137" s="413"/>
      <c r="AI137" s="413"/>
      <c r="AJ137" s="404"/>
      <c r="AK137" s="404"/>
      <c r="AL137" s="404"/>
      <c r="AM137" s="413"/>
      <c r="AN137" s="413"/>
      <c r="AO137" s="413"/>
      <c r="AP137" s="413"/>
      <c r="AQ137" s="413"/>
      <c r="AR137" s="413"/>
      <c r="AS137" s="413"/>
      <c r="AT137" s="413"/>
      <c r="AU137" s="413"/>
      <c r="AV137" s="413"/>
      <c r="AW137" s="413"/>
      <c r="AX137" s="413"/>
    </row>
    <row r="138" spans="1:50">
      <c r="A138" s="404"/>
      <c r="B138" s="405"/>
      <c r="C138" s="406"/>
      <c r="D138" s="405"/>
      <c r="E138" s="405"/>
      <c r="F138" s="405"/>
      <c r="G138" s="407"/>
      <c r="H138" s="408"/>
      <c r="I138" s="409"/>
      <c r="J138" s="410"/>
      <c r="K138" s="410"/>
      <c r="L138" s="411"/>
      <c r="M138" s="404"/>
      <c r="N138" s="408"/>
      <c r="O138" s="404"/>
      <c r="P138" s="404"/>
      <c r="Q138" s="404"/>
      <c r="R138" s="404"/>
      <c r="S138" s="404"/>
      <c r="T138" s="404"/>
      <c r="U138" s="404"/>
      <c r="V138" s="413"/>
      <c r="W138" s="413"/>
      <c r="X138" s="413"/>
      <c r="Y138" s="413"/>
      <c r="Z138" s="413"/>
      <c r="AA138" s="413"/>
      <c r="AB138" s="413"/>
      <c r="AC138" s="413"/>
      <c r="AD138" s="413"/>
      <c r="AE138" s="413"/>
      <c r="AF138" s="413"/>
      <c r="AG138" s="413"/>
      <c r="AH138" s="413"/>
      <c r="AI138" s="413"/>
      <c r="AJ138" s="404"/>
      <c r="AK138" s="404"/>
      <c r="AL138" s="404"/>
      <c r="AM138" s="413"/>
      <c r="AN138" s="413"/>
      <c r="AO138" s="413"/>
      <c r="AP138" s="413"/>
      <c r="AQ138" s="413"/>
      <c r="AR138" s="413"/>
      <c r="AS138" s="413"/>
      <c r="AT138" s="413"/>
      <c r="AU138" s="413"/>
      <c r="AV138" s="413"/>
      <c r="AW138" s="413"/>
      <c r="AX138" s="413"/>
    </row>
    <row r="139" spans="1:50">
      <c r="A139" s="404"/>
      <c r="B139" s="405"/>
      <c r="C139" s="406"/>
      <c r="D139" s="405"/>
      <c r="E139" s="405"/>
      <c r="F139" s="405"/>
      <c r="G139" s="407"/>
      <c r="H139" s="408"/>
      <c r="I139" s="409"/>
      <c r="J139" s="410"/>
      <c r="K139" s="410"/>
      <c r="L139" s="411"/>
      <c r="M139" s="404"/>
      <c r="N139" s="408"/>
      <c r="O139" s="404"/>
      <c r="P139" s="404"/>
      <c r="Q139" s="404"/>
      <c r="R139" s="404"/>
      <c r="S139" s="404"/>
      <c r="T139" s="404"/>
      <c r="U139" s="404"/>
      <c r="V139" s="413"/>
      <c r="W139" s="413"/>
      <c r="X139" s="413"/>
      <c r="Y139" s="413"/>
      <c r="Z139" s="413"/>
      <c r="AA139" s="413"/>
      <c r="AB139" s="413"/>
      <c r="AC139" s="413"/>
      <c r="AD139" s="413"/>
      <c r="AE139" s="413"/>
      <c r="AF139" s="413"/>
      <c r="AG139" s="413"/>
      <c r="AH139" s="413"/>
      <c r="AI139" s="413"/>
      <c r="AJ139" s="404"/>
      <c r="AK139" s="404"/>
      <c r="AL139" s="404"/>
      <c r="AM139" s="413"/>
      <c r="AN139" s="413"/>
      <c r="AO139" s="413"/>
      <c r="AP139" s="413"/>
      <c r="AQ139" s="413"/>
      <c r="AR139" s="413"/>
      <c r="AS139" s="413"/>
      <c r="AT139" s="413"/>
      <c r="AU139" s="413"/>
      <c r="AV139" s="413"/>
      <c r="AW139" s="413"/>
      <c r="AX139" s="413"/>
    </row>
    <row r="140" spans="1:50">
      <c r="A140" s="404"/>
      <c r="B140" s="405"/>
      <c r="C140" s="406"/>
      <c r="D140" s="405"/>
      <c r="E140" s="405"/>
      <c r="F140" s="405"/>
      <c r="G140" s="407"/>
      <c r="H140" s="408"/>
      <c r="I140" s="409"/>
      <c r="J140" s="410"/>
      <c r="K140" s="410"/>
      <c r="L140" s="411"/>
      <c r="M140" s="404"/>
      <c r="N140" s="408"/>
      <c r="O140" s="404"/>
      <c r="P140" s="404"/>
      <c r="Q140" s="404"/>
      <c r="R140" s="404"/>
      <c r="S140" s="404"/>
      <c r="T140" s="404"/>
      <c r="U140" s="404"/>
      <c r="V140" s="413"/>
      <c r="W140" s="413"/>
      <c r="X140" s="413"/>
      <c r="Y140" s="413"/>
      <c r="Z140" s="413"/>
      <c r="AA140" s="413"/>
      <c r="AB140" s="413"/>
      <c r="AC140" s="413"/>
      <c r="AD140" s="413"/>
      <c r="AE140" s="413"/>
      <c r="AF140" s="413"/>
      <c r="AG140" s="413"/>
      <c r="AH140" s="413"/>
      <c r="AI140" s="413"/>
      <c r="AJ140" s="404"/>
      <c r="AK140" s="404"/>
      <c r="AL140" s="404"/>
      <c r="AM140" s="413"/>
      <c r="AN140" s="413"/>
      <c r="AO140" s="413"/>
      <c r="AP140" s="413"/>
      <c r="AQ140" s="413"/>
      <c r="AR140" s="413"/>
      <c r="AS140" s="413"/>
      <c r="AT140" s="413"/>
      <c r="AU140" s="413"/>
      <c r="AV140" s="413"/>
      <c r="AW140" s="413"/>
      <c r="AX140" s="413"/>
    </row>
    <row r="141" spans="1:50">
      <c r="A141" s="404"/>
      <c r="B141" s="405"/>
      <c r="C141" s="406"/>
      <c r="D141" s="405"/>
      <c r="E141" s="405"/>
      <c r="F141" s="405"/>
      <c r="G141" s="407"/>
      <c r="H141" s="408"/>
      <c r="I141" s="409"/>
      <c r="J141" s="410"/>
      <c r="K141" s="410"/>
      <c r="L141" s="411"/>
      <c r="M141" s="404"/>
      <c r="N141" s="408"/>
      <c r="O141" s="404"/>
      <c r="P141" s="404"/>
      <c r="Q141" s="404"/>
      <c r="R141" s="404"/>
      <c r="S141" s="404"/>
      <c r="T141" s="404"/>
      <c r="U141" s="404"/>
      <c r="V141" s="413"/>
      <c r="W141" s="413"/>
      <c r="X141" s="413"/>
      <c r="Y141" s="413"/>
      <c r="Z141" s="413"/>
      <c r="AA141" s="413"/>
      <c r="AB141" s="413"/>
      <c r="AC141" s="413"/>
      <c r="AD141" s="413"/>
      <c r="AE141" s="413"/>
      <c r="AF141" s="413"/>
      <c r="AG141" s="413"/>
      <c r="AH141" s="413"/>
      <c r="AI141" s="413"/>
      <c r="AJ141" s="404"/>
      <c r="AK141" s="404"/>
      <c r="AL141" s="404"/>
      <c r="AM141" s="413"/>
      <c r="AN141" s="413"/>
      <c r="AO141" s="413"/>
      <c r="AP141" s="413"/>
      <c r="AQ141" s="413"/>
      <c r="AR141" s="413"/>
      <c r="AS141" s="413"/>
      <c r="AT141" s="413"/>
      <c r="AU141" s="413"/>
      <c r="AV141" s="413"/>
      <c r="AW141" s="413"/>
      <c r="AX141" s="413"/>
    </row>
    <row r="142" spans="1:50">
      <c r="A142" s="404"/>
      <c r="B142" s="405"/>
      <c r="C142" s="406"/>
      <c r="D142" s="405"/>
      <c r="E142" s="405"/>
      <c r="F142" s="405"/>
      <c r="G142" s="407"/>
      <c r="H142" s="408"/>
      <c r="I142" s="409"/>
      <c r="J142" s="410"/>
      <c r="K142" s="410"/>
      <c r="L142" s="411"/>
      <c r="M142" s="404"/>
      <c r="N142" s="408"/>
      <c r="O142" s="404"/>
      <c r="P142" s="404"/>
      <c r="Q142" s="404"/>
      <c r="R142" s="404"/>
      <c r="S142" s="404"/>
      <c r="T142" s="404"/>
      <c r="U142" s="404"/>
      <c r="V142" s="413"/>
      <c r="W142" s="413"/>
      <c r="X142" s="413"/>
      <c r="Y142" s="413"/>
      <c r="Z142" s="413"/>
      <c r="AA142" s="413"/>
      <c r="AB142" s="413"/>
      <c r="AC142" s="413"/>
      <c r="AD142" s="413"/>
      <c r="AE142" s="413"/>
      <c r="AF142" s="413"/>
      <c r="AG142" s="413"/>
      <c r="AH142" s="413"/>
      <c r="AI142" s="413"/>
      <c r="AJ142" s="404"/>
      <c r="AK142" s="404"/>
      <c r="AL142" s="404"/>
      <c r="AM142" s="413"/>
      <c r="AN142" s="413"/>
      <c r="AO142" s="413"/>
      <c r="AP142" s="413"/>
      <c r="AQ142" s="413"/>
      <c r="AR142" s="413"/>
      <c r="AS142" s="413"/>
      <c r="AT142" s="413"/>
      <c r="AU142" s="413"/>
      <c r="AV142" s="413"/>
      <c r="AW142" s="413"/>
      <c r="AX142" s="413"/>
    </row>
    <row r="143" spans="1:50">
      <c r="A143" s="404"/>
      <c r="B143" s="405"/>
      <c r="C143" s="406"/>
      <c r="D143" s="405"/>
      <c r="E143" s="405"/>
      <c r="F143" s="405"/>
      <c r="G143" s="407"/>
      <c r="H143" s="408"/>
      <c r="I143" s="409"/>
      <c r="J143" s="410"/>
      <c r="K143" s="410"/>
      <c r="L143" s="411"/>
      <c r="M143" s="404"/>
      <c r="N143" s="408"/>
      <c r="O143" s="404"/>
      <c r="P143" s="404"/>
      <c r="Q143" s="404"/>
      <c r="R143" s="404"/>
      <c r="S143" s="404"/>
      <c r="T143" s="404"/>
      <c r="U143" s="404"/>
      <c r="V143" s="413"/>
      <c r="W143" s="413"/>
      <c r="X143" s="413"/>
      <c r="Y143" s="413"/>
      <c r="Z143" s="413"/>
      <c r="AA143" s="413"/>
      <c r="AB143" s="413"/>
      <c r="AC143" s="413"/>
      <c r="AD143" s="413"/>
      <c r="AE143" s="413"/>
      <c r="AF143" s="413"/>
      <c r="AG143" s="413"/>
      <c r="AH143" s="413"/>
      <c r="AI143" s="413"/>
      <c r="AJ143" s="404"/>
      <c r="AK143" s="404"/>
      <c r="AL143" s="413"/>
      <c r="AM143" s="413"/>
      <c r="AN143" s="413"/>
      <c r="AO143" s="413"/>
      <c r="AP143" s="413"/>
      <c r="AQ143" s="413"/>
      <c r="AR143" s="413"/>
      <c r="AS143" s="413"/>
      <c r="AT143" s="413"/>
      <c r="AU143" s="413"/>
      <c r="AV143" s="413"/>
      <c r="AW143" s="413"/>
      <c r="AX143" s="413"/>
    </row>
    <row r="144" spans="1:50">
      <c r="I144" s="427"/>
      <c r="J144" s="428"/>
      <c r="K144" s="428"/>
    </row>
    <row r="145" spans="9:11">
      <c r="I145" s="427"/>
      <c r="J145" s="428"/>
      <c r="K145" s="428"/>
    </row>
    <row r="146" spans="9:11">
      <c r="I146" s="427"/>
      <c r="J146" s="428"/>
      <c r="K146" s="428"/>
    </row>
    <row r="147" spans="9:11">
      <c r="I147" s="427"/>
      <c r="J147" s="428"/>
      <c r="K147" s="428"/>
    </row>
    <row r="163" spans="3:6">
      <c r="C163" s="429"/>
      <c r="D163" s="430"/>
      <c r="E163" s="430"/>
      <c r="F163" s="430"/>
    </row>
    <row r="457" spans="63:65">
      <c r="BK457" s="342" t="s">
        <v>748</v>
      </c>
    </row>
    <row r="459" spans="63:65">
      <c r="BM459" s="294">
        <v>378825802</v>
      </c>
    </row>
    <row r="460" spans="63:65">
      <c r="BK460" s="342" t="s">
        <v>749</v>
      </c>
    </row>
  </sheetData>
  <mergeCells count="3">
    <mergeCell ref="A3:N3"/>
    <mergeCell ref="A4:N4"/>
    <mergeCell ref="K7:N7"/>
  </mergeCells>
  <dataValidations count="1">
    <dataValidation type="list" allowBlank="1" showInputMessage="1" showErrorMessage="1" sqref="G10:G143">
      <formula1>"Nam,Nữ"</formula1>
    </dataValidation>
  </dataValidations>
  <pageMargins left="0.45" right="0.2" top="0.25" bottom="0.25" header="0" footer="0"/>
  <pageSetup paperSize="9" scale="85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160"/>
  <sheetViews>
    <sheetView workbookViewId="0">
      <pane xSplit="3" ySplit="8" topLeftCell="K129" activePane="bottomRight" state="frozen"/>
      <selection pane="topRight" activeCell="D1" sqref="D1"/>
      <selection pane="bottomLeft" activeCell="A9" sqref="A9"/>
      <selection pane="bottomRight" activeCell="M141" sqref="M141"/>
    </sheetView>
  </sheetViews>
  <sheetFormatPr defaultColWidth="9.140625" defaultRowHeight="15"/>
  <cols>
    <col min="1" max="1" width="5.5703125" style="59" customWidth="1"/>
    <col min="2" max="2" width="11.7109375" style="59" customWidth="1"/>
    <col min="3" max="3" width="17.140625" style="445" customWidth="1"/>
    <col min="4" max="5" width="11.7109375" style="59" customWidth="1"/>
    <col min="6" max="6" width="22.42578125" style="59" customWidth="1"/>
    <col min="7" max="7" width="11.140625" style="59" customWidth="1"/>
    <col min="8" max="9" width="11.42578125" style="59" customWidth="1"/>
    <col min="10" max="10" width="13.7109375" style="59" customWidth="1"/>
    <col min="11" max="11" width="14.5703125" style="59" customWidth="1"/>
    <col min="12" max="12" width="20.28515625" style="59" customWidth="1"/>
    <col min="13" max="13" width="9.85546875" style="59" customWidth="1"/>
    <col min="14" max="14" width="15.28515625" style="447" customWidth="1"/>
    <col min="15" max="15" width="35.5703125" style="59" customWidth="1"/>
    <col min="16" max="16" width="26.28515625" style="59" customWidth="1"/>
    <col min="17" max="17" width="26.85546875" style="59" customWidth="1"/>
    <col min="18" max="16384" width="9.140625" style="59"/>
  </cols>
  <sheetData>
    <row r="1" spans="1:17" ht="18.75" customHeight="1">
      <c r="A1" s="58" t="s">
        <v>233</v>
      </c>
      <c r="B1" s="58"/>
      <c r="C1" s="437"/>
      <c r="D1" s="58"/>
      <c r="E1" s="58"/>
      <c r="F1" s="58"/>
    </row>
    <row r="2" spans="1:17" ht="20.25" customHeight="1">
      <c r="A2" s="58" t="s">
        <v>234</v>
      </c>
      <c r="B2" s="58"/>
      <c r="C2" s="437"/>
      <c r="D2" s="58"/>
      <c r="E2" s="58"/>
      <c r="F2" s="58"/>
    </row>
    <row r="3" spans="1:17" ht="10.5" customHeight="1">
      <c r="A3" s="58"/>
      <c r="B3" s="58"/>
      <c r="C3" s="437"/>
      <c r="D3" s="58"/>
      <c r="E3" s="58"/>
      <c r="F3" s="58"/>
    </row>
    <row r="4" spans="1:17">
      <c r="A4" s="58" t="s">
        <v>235</v>
      </c>
      <c r="B4" s="58"/>
      <c r="C4" s="437"/>
      <c r="D4" s="58"/>
      <c r="E4" s="58"/>
      <c r="F4" s="58"/>
      <c r="G4" s="58"/>
      <c r="H4" s="58"/>
      <c r="I4" s="58"/>
      <c r="J4" s="58"/>
      <c r="K4" s="58"/>
      <c r="L4" s="58"/>
      <c r="M4" s="58"/>
      <c r="N4" s="437"/>
      <c r="O4" s="58"/>
      <c r="P4" s="58"/>
      <c r="Q4" s="58"/>
    </row>
    <row r="5" spans="1:17" ht="7.5" customHeight="1">
      <c r="A5" s="58"/>
      <c r="B5" s="58"/>
      <c r="C5" s="437"/>
      <c r="D5" s="58"/>
      <c r="E5" s="58"/>
      <c r="F5" s="58"/>
      <c r="G5" s="58"/>
      <c r="H5" s="58"/>
      <c r="I5" s="58"/>
      <c r="J5" s="58"/>
      <c r="K5" s="58"/>
      <c r="L5" s="58"/>
      <c r="M5" s="58"/>
      <c r="N5" s="437"/>
      <c r="O5" s="58"/>
      <c r="P5" s="58"/>
      <c r="Q5" s="58"/>
    </row>
    <row r="6" spans="1:17" s="67" customFormat="1" ht="13.5" customHeight="1">
      <c r="A6" s="61"/>
      <c r="B6" s="61">
        <v>1</v>
      </c>
      <c r="C6" s="438">
        <v>2</v>
      </c>
      <c r="D6" s="61">
        <v>3</v>
      </c>
      <c r="E6" s="61">
        <v>4</v>
      </c>
      <c r="F6" s="61">
        <v>5</v>
      </c>
      <c r="G6" s="61">
        <v>6</v>
      </c>
      <c r="H6" s="61">
        <v>7</v>
      </c>
      <c r="I6" s="61">
        <v>8</v>
      </c>
      <c r="J6" s="61">
        <v>9</v>
      </c>
      <c r="K6" s="61">
        <v>10</v>
      </c>
      <c r="L6" s="61">
        <v>11</v>
      </c>
      <c r="M6" s="61">
        <v>12</v>
      </c>
      <c r="N6" s="438">
        <v>13</v>
      </c>
      <c r="O6" s="61">
        <v>14</v>
      </c>
      <c r="P6" s="61">
        <v>15</v>
      </c>
      <c r="Q6" s="61">
        <v>16</v>
      </c>
    </row>
    <row r="7" spans="1:17" s="62" customFormat="1" ht="15.75" customHeight="1">
      <c r="A7" s="979" t="s">
        <v>18</v>
      </c>
      <c r="B7" s="981" t="s">
        <v>236</v>
      </c>
      <c r="C7" s="439" t="s">
        <v>429</v>
      </c>
      <c r="D7" s="88"/>
      <c r="E7" s="88"/>
      <c r="F7" s="981" t="s">
        <v>237</v>
      </c>
      <c r="G7" s="981" t="s">
        <v>238</v>
      </c>
      <c r="H7" s="981" t="s">
        <v>239</v>
      </c>
      <c r="I7" s="981" t="s">
        <v>240</v>
      </c>
      <c r="J7" s="90" t="s">
        <v>241</v>
      </c>
      <c r="K7" s="90"/>
      <c r="L7" s="90"/>
      <c r="M7" s="981" t="s">
        <v>536</v>
      </c>
      <c r="N7" s="983" t="s">
        <v>242</v>
      </c>
      <c r="O7" s="981" t="s">
        <v>243</v>
      </c>
      <c r="P7" s="975" t="s">
        <v>244</v>
      </c>
      <c r="Q7" s="977" t="s">
        <v>201</v>
      </c>
    </row>
    <row r="8" spans="1:17" s="62" customFormat="1" ht="15.75" customHeight="1">
      <c r="A8" s="980"/>
      <c r="B8" s="982"/>
      <c r="C8" s="440" t="s">
        <v>3</v>
      </c>
      <c r="D8" s="89" t="s">
        <v>4</v>
      </c>
      <c r="E8" s="89" t="s">
        <v>245</v>
      </c>
      <c r="F8" s="982"/>
      <c r="G8" s="982"/>
      <c r="H8" s="982"/>
      <c r="I8" s="982"/>
      <c r="J8" s="91" t="s">
        <v>3</v>
      </c>
      <c r="K8" s="91" t="s">
        <v>4</v>
      </c>
      <c r="L8" s="91" t="s">
        <v>245</v>
      </c>
      <c r="M8" s="982"/>
      <c r="N8" s="984"/>
      <c r="O8" s="982"/>
      <c r="P8" s="976"/>
      <c r="Q8" s="978"/>
    </row>
    <row r="9" spans="1:17">
      <c r="A9" s="73">
        <v>1</v>
      </c>
      <c r="B9" s="63" t="s">
        <v>246</v>
      </c>
      <c r="C9" s="441"/>
      <c r="D9" s="87"/>
      <c r="E9" s="87"/>
      <c r="F9" s="64" t="s">
        <v>247</v>
      </c>
      <c r="G9" s="65"/>
      <c r="H9" s="65"/>
      <c r="I9" s="65"/>
      <c r="J9" s="65"/>
      <c r="K9" s="65"/>
      <c r="L9" s="65"/>
      <c r="M9" s="92"/>
      <c r="N9" s="448" t="s">
        <v>773</v>
      </c>
      <c r="O9" s="64" t="s">
        <v>248</v>
      </c>
      <c r="P9" s="80" t="s">
        <v>247</v>
      </c>
      <c r="Q9" s="76"/>
    </row>
    <row r="10" spans="1:17">
      <c r="A10" s="73">
        <v>2</v>
      </c>
      <c r="B10" s="63" t="s">
        <v>249</v>
      </c>
      <c r="C10" s="441"/>
      <c r="D10" s="87"/>
      <c r="E10" s="87"/>
      <c r="F10" s="64" t="s">
        <v>144</v>
      </c>
      <c r="G10" s="65"/>
      <c r="H10" s="65"/>
      <c r="I10" s="65"/>
      <c r="J10" s="65"/>
      <c r="K10" s="65"/>
      <c r="L10" s="65"/>
      <c r="M10" s="92"/>
      <c r="N10" s="449"/>
      <c r="O10" s="64"/>
      <c r="P10" s="80" t="s">
        <v>144</v>
      </c>
      <c r="Q10" s="76"/>
    </row>
    <row r="11" spans="1:17">
      <c r="A11" s="73">
        <v>3</v>
      </c>
      <c r="B11" s="63" t="s">
        <v>250</v>
      </c>
      <c r="C11" s="441"/>
      <c r="D11" s="87" t="s">
        <v>130</v>
      </c>
      <c r="E11" s="87" t="s">
        <v>130</v>
      </c>
      <c r="F11" s="64" t="s">
        <v>251</v>
      </c>
      <c r="G11" s="65"/>
      <c r="H11" s="65"/>
      <c r="I11" s="65"/>
      <c r="J11" s="65"/>
      <c r="K11" s="65"/>
      <c r="L11" s="65"/>
      <c r="M11" s="92"/>
      <c r="N11" s="449" t="s">
        <v>252</v>
      </c>
      <c r="O11" s="64" t="s">
        <v>248</v>
      </c>
      <c r="P11" s="80" t="s">
        <v>251</v>
      </c>
      <c r="Q11" s="76"/>
    </row>
    <row r="12" spans="1:17">
      <c r="A12" s="73">
        <v>4</v>
      </c>
      <c r="B12" s="63" t="s">
        <v>253</v>
      </c>
      <c r="C12" s="441"/>
      <c r="D12" s="87"/>
      <c r="E12" s="87"/>
      <c r="F12" s="64" t="s">
        <v>21</v>
      </c>
      <c r="G12" s="65"/>
      <c r="H12" s="65"/>
      <c r="I12" s="65"/>
      <c r="J12" s="65"/>
      <c r="K12" s="65"/>
      <c r="L12" s="65"/>
      <c r="M12" s="92"/>
      <c r="N12" s="449"/>
      <c r="O12" s="64"/>
      <c r="P12" s="80" t="s">
        <v>21</v>
      </c>
      <c r="Q12" s="76"/>
    </row>
    <row r="13" spans="1:17">
      <c r="A13" s="73">
        <v>5</v>
      </c>
      <c r="B13" s="63" t="s">
        <v>254</v>
      </c>
      <c r="C13" s="441"/>
      <c r="D13" s="87" t="s">
        <v>130</v>
      </c>
      <c r="E13" s="87" t="s">
        <v>130</v>
      </c>
      <c r="F13" s="64" t="s">
        <v>255</v>
      </c>
      <c r="G13" s="65"/>
      <c r="H13" s="65"/>
      <c r="I13" s="65"/>
      <c r="J13" s="65"/>
      <c r="K13" s="65"/>
      <c r="L13" s="65"/>
      <c r="M13" s="92"/>
      <c r="N13" s="449" t="s">
        <v>774</v>
      </c>
      <c r="O13" s="64" t="s">
        <v>248</v>
      </c>
      <c r="P13" s="80" t="s">
        <v>255</v>
      </c>
      <c r="Q13" s="76"/>
    </row>
    <row r="14" spans="1:17">
      <c r="A14" s="73">
        <v>7</v>
      </c>
      <c r="B14" s="63" t="s">
        <v>256</v>
      </c>
      <c r="C14" s="441"/>
      <c r="D14" s="87" t="s">
        <v>130</v>
      </c>
      <c r="E14" s="87" t="s">
        <v>130</v>
      </c>
      <c r="F14" s="64" t="s">
        <v>257</v>
      </c>
      <c r="G14" s="65"/>
      <c r="H14" s="65"/>
      <c r="I14" s="65"/>
      <c r="J14" s="65"/>
      <c r="K14" s="65"/>
      <c r="L14" s="65"/>
      <c r="M14" s="92"/>
      <c r="N14" s="449" t="s">
        <v>258</v>
      </c>
      <c r="O14" s="64" t="s">
        <v>248</v>
      </c>
      <c r="P14" s="80" t="s">
        <v>257</v>
      </c>
      <c r="Q14" s="76"/>
    </row>
    <row r="15" spans="1:17">
      <c r="A15" s="73">
        <v>8</v>
      </c>
      <c r="B15" s="85" t="s">
        <v>259</v>
      </c>
      <c r="C15" s="441" t="s">
        <v>466</v>
      </c>
      <c r="D15" s="87" t="s">
        <v>481</v>
      </c>
      <c r="E15" s="87" t="s">
        <v>136</v>
      </c>
      <c r="F15" s="64" t="s">
        <v>260</v>
      </c>
      <c r="G15" s="65"/>
      <c r="H15" s="65"/>
      <c r="I15" s="65"/>
      <c r="J15" s="65"/>
      <c r="K15" s="65"/>
      <c r="L15" s="65"/>
      <c r="M15" s="92">
        <v>200714</v>
      </c>
      <c r="N15" s="449" t="s">
        <v>775</v>
      </c>
      <c r="O15" s="64" t="s">
        <v>248</v>
      </c>
      <c r="P15" s="80" t="s">
        <v>260</v>
      </c>
      <c r="Q15" s="76"/>
    </row>
    <row r="16" spans="1:17">
      <c r="A16" s="73">
        <v>9</v>
      </c>
      <c r="B16" s="63" t="s">
        <v>27</v>
      </c>
      <c r="C16" s="441" t="s">
        <v>439</v>
      </c>
      <c r="D16" s="87" t="s">
        <v>482</v>
      </c>
      <c r="E16" s="87" t="s">
        <v>483</v>
      </c>
      <c r="F16" s="64" t="s">
        <v>71</v>
      </c>
      <c r="G16" s="65"/>
      <c r="H16" s="65"/>
      <c r="I16" s="65"/>
      <c r="J16" s="65"/>
      <c r="K16" s="65"/>
      <c r="L16" s="65"/>
      <c r="M16" s="92">
        <v>200204</v>
      </c>
      <c r="N16" s="448" t="s">
        <v>261</v>
      </c>
      <c r="O16" s="64" t="s">
        <v>248</v>
      </c>
      <c r="P16" s="80" t="s">
        <v>71</v>
      </c>
      <c r="Q16" s="76"/>
    </row>
    <row r="17" spans="1:17">
      <c r="A17" s="73">
        <v>10</v>
      </c>
      <c r="B17" s="63" t="s">
        <v>262</v>
      </c>
      <c r="C17" s="441"/>
      <c r="D17" s="87" t="s">
        <v>130</v>
      </c>
      <c r="E17" s="87" t="s">
        <v>130</v>
      </c>
      <c r="F17" s="64" t="s">
        <v>263</v>
      </c>
      <c r="G17" s="65"/>
      <c r="H17" s="65"/>
      <c r="I17" s="65"/>
      <c r="J17" s="65"/>
      <c r="K17" s="65"/>
      <c r="L17" s="65"/>
      <c r="M17" s="92"/>
      <c r="N17" s="449" t="s">
        <v>264</v>
      </c>
      <c r="O17" s="64" t="s">
        <v>248</v>
      </c>
      <c r="P17" s="80" t="s">
        <v>263</v>
      </c>
      <c r="Q17" s="76"/>
    </row>
    <row r="18" spans="1:17">
      <c r="A18" s="73">
        <v>11</v>
      </c>
      <c r="B18" s="63" t="s">
        <v>265</v>
      </c>
      <c r="C18" s="441"/>
      <c r="D18" s="87" t="s">
        <v>130</v>
      </c>
      <c r="E18" s="87" t="s">
        <v>130</v>
      </c>
      <c r="F18" s="64" t="s">
        <v>266</v>
      </c>
      <c r="G18" s="65"/>
      <c r="H18" s="65"/>
      <c r="I18" s="65"/>
      <c r="J18" s="65"/>
      <c r="K18" s="65"/>
      <c r="L18" s="65"/>
      <c r="M18" s="92"/>
      <c r="N18" s="449" t="s">
        <v>776</v>
      </c>
      <c r="O18" s="64" t="s">
        <v>248</v>
      </c>
      <c r="P18" s="80" t="s">
        <v>266</v>
      </c>
      <c r="Q18" s="76"/>
    </row>
    <row r="19" spans="1:17">
      <c r="A19" s="73">
        <v>12</v>
      </c>
      <c r="B19" s="63" t="s">
        <v>28</v>
      </c>
      <c r="C19" s="441" t="s">
        <v>440</v>
      </c>
      <c r="D19" s="87" t="s">
        <v>484</v>
      </c>
      <c r="E19" s="87" t="s">
        <v>485</v>
      </c>
      <c r="F19" s="64" t="s">
        <v>72</v>
      </c>
      <c r="G19" s="65"/>
      <c r="H19" s="65"/>
      <c r="I19" s="65"/>
      <c r="J19" s="65"/>
      <c r="K19" s="65"/>
      <c r="L19" s="65"/>
      <c r="M19" s="92">
        <v>200207</v>
      </c>
      <c r="N19" s="449" t="s">
        <v>267</v>
      </c>
      <c r="O19" s="64" t="s">
        <v>248</v>
      </c>
      <c r="P19" s="80" t="s">
        <v>72</v>
      </c>
      <c r="Q19" s="76"/>
    </row>
    <row r="20" spans="1:17">
      <c r="A20" s="73">
        <v>13</v>
      </c>
      <c r="B20" s="63" t="s">
        <v>29</v>
      </c>
      <c r="C20" s="441" t="s">
        <v>441</v>
      </c>
      <c r="D20" s="87" t="s">
        <v>486</v>
      </c>
      <c r="E20" s="87" t="s">
        <v>133</v>
      </c>
      <c r="F20" s="64" t="s">
        <v>73</v>
      </c>
      <c r="G20" s="65"/>
      <c r="H20" s="65"/>
      <c r="I20" s="65"/>
      <c r="J20" s="65"/>
      <c r="K20" s="65"/>
      <c r="L20" s="65"/>
      <c r="M20" s="92">
        <v>200207</v>
      </c>
      <c r="N20" s="449" t="s">
        <v>268</v>
      </c>
      <c r="O20" s="64" t="s">
        <v>248</v>
      </c>
      <c r="P20" s="80" t="s">
        <v>73</v>
      </c>
      <c r="Q20" s="76"/>
    </row>
    <row r="21" spans="1:17">
      <c r="A21" s="73">
        <v>14</v>
      </c>
      <c r="B21" s="63" t="s">
        <v>30</v>
      </c>
      <c r="C21" s="441" t="s">
        <v>442</v>
      </c>
      <c r="D21" s="87" t="s">
        <v>487</v>
      </c>
      <c r="E21" s="87" t="s">
        <v>485</v>
      </c>
      <c r="F21" s="64" t="s">
        <v>74</v>
      </c>
      <c r="G21" s="65"/>
      <c r="H21" s="65"/>
      <c r="I21" s="65"/>
      <c r="J21" s="59" t="s">
        <v>442</v>
      </c>
      <c r="K21" s="65"/>
      <c r="L21" s="65"/>
      <c r="M21" s="92">
        <v>200209</v>
      </c>
      <c r="N21" s="59" t="s">
        <v>812</v>
      </c>
      <c r="O21" s="59" t="s">
        <v>248</v>
      </c>
      <c r="P21" s="59" t="s">
        <v>74</v>
      </c>
      <c r="Q21" s="76"/>
    </row>
    <row r="22" spans="1:17">
      <c r="A22" s="73">
        <v>17</v>
      </c>
      <c r="B22" s="63" t="s">
        <v>269</v>
      </c>
      <c r="C22" s="441"/>
      <c r="D22" s="87" t="s">
        <v>130</v>
      </c>
      <c r="E22" s="87" t="s">
        <v>130</v>
      </c>
      <c r="F22" s="64" t="s">
        <v>270</v>
      </c>
      <c r="G22" s="65"/>
      <c r="H22" s="65"/>
      <c r="I22" s="65"/>
      <c r="J22" s="65"/>
      <c r="K22" s="65"/>
      <c r="L22" s="65"/>
      <c r="M22" s="92"/>
      <c r="N22" s="449" t="s">
        <v>271</v>
      </c>
      <c r="O22" s="64" t="s">
        <v>248</v>
      </c>
      <c r="P22" s="80" t="s">
        <v>270</v>
      </c>
      <c r="Q22" s="76"/>
    </row>
    <row r="23" spans="1:17">
      <c r="A23" s="73">
        <v>18</v>
      </c>
      <c r="B23" s="63" t="s">
        <v>38</v>
      </c>
      <c r="C23" s="441" t="s">
        <v>443</v>
      </c>
      <c r="D23" s="87" t="s">
        <v>488</v>
      </c>
      <c r="E23" s="87" t="s">
        <v>485</v>
      </c>
      <c r="F23" s="64" t="s">
        <v>82</v>
      </c>
      <c r="G23" s="65"/>
      <c r="H23" s="65"/>
      <c r="I23" s="65"/>
      <c r="J23" s="65"/>
      <c r="K23" s="65"/>
      <c r="L23" s="65"/>
      <c r="M23" s="92">
        <v>200212</v>
      </c>
      <c r="N23" s="448" t="s">
        <v>272</v>
      </c>
      <c r="O23" s="64" t="s">
        <v>248</v>
      </c>
      <c r="P23" s="80" t="s">
        <v>273</v>
      </c>
      <c r="Q23" s="76" t="s">
        <v>274</v>
      </c>
    </row>
    <row r="24" spans="1:17">
      <c r="A24" s="73">
        <v>19</v>
      </c>
      <c r="B24" s="63" t="s">
        <v>31</v>
      </c>
      <c r="C24" s="441" t="s">
        <v>146</v>
      </c>
      <c r="D24" s="87" t="s">
        <v>147</v>
      </c>
      <c r="E24" s="87" t="s">
        <v>489</v>
      </c>
      <c r="F24" s="64" t="s">
        <v>75</v>
      </c>
      <c r="G24" s="65"/>
      <c r="H24" s="65"/>
      <c r="I24" s="65"/>
      <c r="J24" s="65"/>
      <c r="K24" s="65"/>
      <c r="L24" s="65"/>
      <c r="M24" s="92">
        <v>200217</v>
      </c>
      <c r="N24" s="449" t="s">
        <v>777</v>
      </c>
      <c r="O24" s="64" t="s">
        <v>248</v>
      </c>
      <c r="P24" s="80" t="s">
        <v>75</v>
      </c>
      <c r="Q24" s="76"/>
    </row>
    <row r="25" spans="1:17">
      <c r="A25" s="73">
        <v>20</v>
      </c>
      <c r="B25" s="63" t="s">
        <v>275</v>
      </c>
      <c r="C25" s="441"/>
      <c r="D25" s="87" t="s">
        <v>130</v>
      </c>
      <c r="E25" s="87" t="s">
        <v>130</v>
      </c>
      <c r="F25" s="64" t="s">
        <v>276</v>
      </c>
      <c r="G25" s="65"/>
      <c r="H25" s="65"/>
      <c r="I25" s="65"/>
      <c r="J25" s="65"/>
      <c r="K25" s="65"/>
      <c r="L25" s="65"/>
      <c r="M25" s="92"/>
      <c r="N25" s="449" t="s">
        <v>778</v>
      </c>
      <c r="O25" s="64" t="s">
        <v>248</v>
      </c>
      <c r="P25" s="80" t="s">
        <v>276</v>
      </c>
      <c r="Q25" s="76"/>
    </row>
    <row r="26" spans="1:17">
      <c r="A26" s="73">
        <v>21</v>
      </c>
      <c r="B26" s="63" t="s">
        <v>277</v>
      </c>
      <c r="C26" s="441"/>
      <c r="D26" s="87" t="s">
        <v>130</v>
      </c>
      <c r="E26" s="87" t="s">
        <v>130</v>
      </c>
      <c r="F26" s="64" t="s">
        <v>278</v>
      </c>
      <c r="G26" s="65"/>
      <c r="H26" s="65"/>
      <c r="I26" s="65"/>
      <c r="J26" s="65"/>
      <c r="K26" s="65"/>
      <c r="L26" s="65"/>
      <c r="M26" s="92"/>
      <c r="N26" s="449" t="s">
        <v>779</v>
      </c>
      <c r="O26" s="64" t="s">
        <v>248</v>
      </c>
      <c r="P26" s="80" t="s">
        <v>278</v>
      </c>
      <c r="Q26" s="76"/>
    </row>
    <row r="27" spans="1:17">
      <c r="A27" s="73">
        <v>22</v>
      </c>
      <c r="B27" s="63" t="s">
        <v>279</v>
      </c>
      <c r="C27" s="441" t="s">
        <v>490</v>
      </c>
      <c r="D27" s="87" t="s">
        <v>491</v>
      </c>
      <c r="E27" s="87" t="s">
        <v>131</v>
      </c>
      <c r="F27" s="64" t="s">
        <v>280</v>
      </c>
      <c r="G27" s="65"/>
      <c r="H27" s="65"/>
      <c r="I27" s="65"/>
      <c r="J27" s="65"/>
      <c r="K27" s="65"/>
      <c r="L27" s="65"/>
      <c r="M27" s="92"/>
      <c r="N27" s="449" t="s">
        <v>780</v>
      </c>
      <c r="O27" s="64" t="s">
        <v>248</v>
      </c>
      <c r="P27" s="80" t="s">
        <v>280</v>
      </c>
      <c r="Q27" s="76"/>
    </row>
    <row r="28" spans="1:17">
      <c r="A28" s="73">
        <v>24</v>
      </c>
      <c r="B28" s="63" t="s">
        <v>281</v>
      </c>
      <c r="C28" s="441" t="s">
        <v>754</v>
      </c>
      <c r="D28" s="87" t="s">
        <v>130</v>
      </c>
      <c r="E28" s="87" t="s">
        <v>130</v>
      </c>
      <c r="F28" s="64" t="s">
        <v>282</v>
      </c>
      <c r="G28" s="65"/>
      <c r="H28" s="65"/>
      <c r="I28" s="65"/>
      <c r="J28" s="65"/>
      <c r="K28" s="65"/>
      <c r="L28" s="65"/>
      <c r="M28" s="92"/>
      <c r="N28" s="449"/>
      <c r="O28" s="64"/>
      <c r="P28" s="80" t="s">
        <v>282</v>
      </c>
      <c r="Q28" s="76"/>
    </row>
    <row r="29" spans="1:17">
      <c r="A29" s="73">
        <v>25</v>
      </c>
      <c r="B29" s="63" t="s">
        <v>283</v>
      </c>
      <c r="C29" s="441" t="s">
        <v>492</v>
      </c>
      <c r="D29" s="87" t="s">
        <v>130</v>
      </c>
      <c r="E29" s="87" t="s">
        <v>130</v>
      </c>
      <c r="F29" s="64" t="s">
        <v>284</v>
      </c>
      <c r="G29" s="65"/>
      <c r="H29" s="65"/>
      <c r="I29" s="65"/>
      <c r="J29" s="65"/>
      <c r="K29" s="65"/>
      <c r="L29" s="65"/>
      <c r="M29" s="92"/>
      <c r="N29" s="449" t="s">
        <v>285</v>
      </c>
      <c r="O29" s="64" t="s">
        <v>248</v>
      </c>
      <c r="P29" s="80" t="s">
        <v>284</v>
      </c>
      <c r="Q29" s="76"/>
    </row>
    <row r="30" spans="1:17">
      <c r="A30" s="73">
        <v>27</v>
      </c>
      <c r="B30" s="63" t="s">
        <v>32</v>
      </c>
      <c r="C30" s="441" t="s">
        <v>444</v>
      </c>
      <c r="D30" s="87" t="s">
        <v>493</v>
      </c>
      <c r="E30" s="87" t="s">
        <v>489</v>
      </c>
      <c r="F30" s="64" t="s">
        <v>76</v>
      </c>
      <c r="G30" s="65"/>
      <c r="H30" s="65"/>
      <c r="I30" s="65"/>
      <c r="J30" s="65"/>
      <c r="K30" s="65"/>
      <c r="L30" s="65"/>
      <c r="M30" s="92">
        <v>200224</v>
      </c>
      <c r="N30" s="448" t="s">
        <v>781</v>
      </c>
      <c r="O30" s="64" t="s">
        <v>248</v>
      </c>
      <c r="P30" s="80" t="s">
        <v>76</v>
      </c>
      <c r="Q30" s="76"/>
    </row>
    <row r="31" spans="1:17">
      <c r="A31" s="73">
        <v>29</v>
      </c>
      <c r="B31" s="63" t="s">
        <v>286</v>
      </c>
      <c r="C31" s="441"/>
      <c r="D31" s="87" t="s">
        <v>130</v>
      </c>
      <c r="E31" s="87" t="s">
        <v>130</v>
      </c>
      <c r="F31" s="64" t="s">
        <v>287</v>
      </c>
      <c r="G31" s="65"/>
      <c r="H31" s="65"/>
      <c r="I31" s="65"/>
      <c r="J31" s="65"/>
      <c r="K31" s="65"/>
      <c r="L31" s="65"/>
      <c r="M31" s="92"/>
      <c r="N31" s="449"/>
      <c r="O31" s="64"/>
      <c r="P31" s="80" t="s">
        <v>287</v>
      </c>
      <c r="Q31" s="76"/>
    </row>
    <row r="32" spans="1:17">
      <c r="A32" s="73">
        <v>30</v>
      </c>
      <c r="B32" s="63" t="s">
        <v>288</v>
      </c>
      <c r="C32" s="441"/>
      <c r="D32" s="87" t="s">
        <v>130</v>
      </c>
      <c r="E32" s="87" t="s">
        <v>130</v>
      </c>
      <c r="F32" s="64" t="s">
        <v>289</v>
      </c>
      <c r="G32" s="65"/>
      <c r="H32" s="65"/>
      <c r="I32" s="65"/>
      <c r="J32" s="65"/>
      <c r="K32" s="65"/>
      <c r="L32" s="65"/>
      <c r="M32" s="92"/>
      <c r="N32" s="449"/>
      <c r="O32" s="64"/>
      <c r="P32" s="80" t="s">
        <v>289</v>
      </c>
      <c r="Q32" s="76"/>
    </row>
    <row r="33" spans="1:17">
      <c r="A33" s="73">
        <v>31</v>
      </c>
      <c r="B33" s="63" t="s">
        <v>290</v>
      </c>
      <c r="C33" s="441"/>
      <c r="D33" s="87" t="s">
        <v>130</v>
      </c>
      <c r="E33" s="87" t="s">
        <v>130</v>
      </c>
      <c r="F33" s="64" t="s">
        <v>291</v>
      </c>
      <c r="G33" s="65"/>
      <c r="H33" s="65"/>
      <c r="I33" s="65"/>
      <c r="J33" s="65"/>
      <c r="K33" s="65"/>
      <c r="L33" s="65"/>
      <c r="M33" s="92"/>
      <c r="N33" s="449"/>
      <c r="O33" s="64"/>
      <c r="P33" s="80" t="s">
        <v>291</v>
      </c>
      <c r="Q33" s="76"/>
    </row>
    <row r="34" spans="1:17">
      <c r="A34" s="73">
        <v>32</v>
      </c>
      <c r="B34" s="63" t="s">
        <v>292</v>
      </c>
      <c r="C34" s="441"/>
      <c r="D34" s="87" t="s">
        <v>130</v>
      </c>
      <c r="E34" s="87" t="s">
        <v>130</v>
      </c>
      <c r="F34" s="64" t="s">
        <v>293</v>
      </c>
      <c r="G34" s="65"/>
      <c r="H34" s="65"/>
      <c r="I34" s="65"/>
      <c r="J34" s="65"/>
      <c r="K34" s="65"/>
      <c r="L34" s="65"/>
      <c r="M34" s="92"/>
      <c r="N34" s="449" t="s">
        <v>294</v>
      </c>
      <c r="O34" s="64" t="s">
        <v>248</v>
      </c>
      <c r="P34" s="80" t="s">
        <v>293</v>
      </c>
      <c r="Q34" s="76"/>
    </row>
    <row r="35" spans="1:17">
      <c r="A35" s="73">
        <v>33</v>
      </c>
      <c r="B35" s="63" t="s">
        <v>295</v>
      </c>
      <c r="C35" s="441"/>
      <c r="D35" s="87" t="s">
        <v>130</v>
      </c>
      <c r="E35" s="87" t="s">
        <v>130</v>
      </c>
      <c r="F35" s="64" t="s">
        <v>296</v>
      </c>
      <c r="G35" s="65"/>
      <c r="H35" s="65"/>
      <c r="I35" s="65"/>
      <c r="J35" s="65"/>
      <c r="K35" s="65"/>
      <c r="L35" s="65"/>
      <c r="M35" s="92"/>
      <c r="N35" s="449" t="s">
        <v>297</v>
      </c>
      <c r="O35" s="64" t="s">
        <v>248</v>
      </c>
      <c r="P35" s="80" t="s">
        <v>296</v>
      </c>
      <c r="Q35" s="76"/>
    </row>
    <row r="36" spans="1:17">
      <c r="A36" s="73">
        <v>34</v>
      </c>
      <c r="B36" s="63" t="s">
        <v>298</v>
      </c>
      <c r="C36" s="441"/>
      <c r="D36" s="87" t="s">
        <v>130</v>
      </c>
      <c r="E36" s="87" t="s">
        <v>130</v>
      </c>
      <c r="F36" s="64" t="s">
        <v>299</v>
      </c>
      <c r="G36" s="65"/>
      <c r="H36" s="65"/>
      <c r="I36" s="65"/>
      <c r="J36" s="65"/>
      <c r="K36" s="65"/>
      <c r="L36" s="65"/>
      <c r="M36" s="92"/>
      <c r="N36" s="448" t="s">
        <v>300</v>
      </c>
      <c r="O36" s="64" t="s">
        <v>248</v>
      </c>
      <c r="P36" s="80" t="s">
        <v>299</v>
      </c>
      <c r="Q36" s="76"/>
    </row>
    <row r="37" spans="1:17">
      <c r="A37" s="73">
        <v>35</v>
      </c>
      <c r="B37" s="63" t="s">
        <v>301</v>
      </c>
      <c r="C37" s="441"/>
      <c r="D37" s="87" t="s">
        <v>130</v>
      </c>
      <c r="E37" s="87" t="s">
        <v>130</v>
      </c>
      <c r="F37" s="64" t="s">
        <v>302</v>
      </c>
      <c r="G37" s="65"/>
      <c r="H37" s="65"/>
      <c r="I37" s="65"/>
      <c r="J37" s="65"/>
      <c r="K37" s="65"/>
      <c r="L37" s="65"/>
      <c r="M37" s="92"/>
      <c r="N37" s="449"/>
      <c r="O37" s="64"/>
      <c r="P37" s="80" t="s">
        <v>302</v>
      </c>
      <c r="Q37" s="76"/>
    </row>
    <row r="38" spans="1:17">
      <c r="A38" s="73">
        <v>37</v>
      </c>
      <c r="B38" s="63" t="s">
        <v>303</v>
      </c>
      <c r="C38" s="441" t="s">
        <v>494</v>
      </c>
      <c r="D38" s="87" t="s">
        <v>130</v>
      </c>
      <c r="E38" s="87" t="s">
        <v>130</v>
      </c>
      <c r="F38" s="64" t="s">
        <v>304</v>
      </c>
      <c r="G38" s="65"/>
      <c r="H38" s="65"/>
      <c r="I38" s="65"/>
      <c r="J38" s="65"/>
      <c r="K38" s="65"/>
      <c r="L38" s="65"/>
      <c r="M38" s="92"/>
      <c r="N38" s="449"/>
      <c r="O38" s="64"/>
      <c r="P38" s="80" t="s">
        <v>304</v>
      </c>
      <c r="Q38" s="76"/>
    </row>
    <row r="39" spans="1:17">
      <c r="A39" s="73">
        <v>38</v>
      </c>
      <c r="B39" s="63" t="s">
        <v>305</v>
      </c>
      <c r="C39" s="441"/>
      <c r="D39" s="87" t="s">
        <v>130</v>
      </c>
      <c r="E39" s="87" t="s">
        <v>130</v>
      </c>
      <c r="F39" s="64" t="s">
        <v>306</v>
      </c>
      <c r="G39" s="65"/>
      <c r="H39" s="65"/>
      <c r="I39" s="65"/>
      <c r="J39" s="65"/>
      <c r="K39" s="65"/>
      <c r="L39" s="65"/>
      <c r="M39" s="92"/>
      <c r="N39" s="449" t="s">
        <v>307</v>
      </c>
      <c r="O39" s="64" t="s">
        <v>248</v>
      </c>
      <c r="P39" s="80" t="s">
        <v>306</v>
      </c>
      <c r="Q39" s="76"/>
    </row>
    <row r="40" spans="1:17">
      <c r="A40" s="73">
        <v>39</v>
      </c>
      <c r="B40" s="63" t="s">
        <v>308</v>
      </c>
      <c r="C40" s="441"/>
      <c r="D40" s="87" t="s">
        <v>130</v>
      </c>
      <c r="E40" s="87" t="s">
        <v>130</v>
      </c>
      <c r="F40" s="64" t="s">
        <v>309</v>
      </c>
      <c r="G40" s="65"/>
      <c r="H40" s="65"/>
      <c r="I40" s="65"/>
      <c r="J40" s="65"/>
      <c r="K40" s="65"/>
      <c r="L40" s="65"/>
      <c r="M40" s="92"/>
      <c r="N40" s="449" t="s">
        <v>782</v>
      </c>
      <c r="O40" s="64" t="s">
        <v>248</v>
      </c>
      <c r="P40" s="80" t="s">
        <v>309</v>
      </c>
      <c r="Q40" s="76"/>
    </row>
    <row r="41" spans="1:17">
      <c r="A41" s="73">
        <v>41</v>
      </c>
      <c r="B41" s="63" t="s">
        <v>42</v>
      </c>
      <c r="C41" s="441" t="s">
        <v>445</v>
      </c>
      <c r="D41" s="87" t="s">
        <v>495</v>
      </c>
      <c r="E41" s="87" t="s">
        <v>142</v>
      </c>
      <c r="F41" s="64" t="s">
        <v>87</v>
      </c>
      <c r="G41" s="65"/>
      <c r="H41" s="65"/>
      <c r="I41" s="65"/>
      <c r="J41" s="65"/>
      <c r="K41" s="65"/>
      <c r="L41" s="65"/>
      <c r="M41" s="92">
        <v>200525</v>
      </c>
      <c r="N41" s="449" t="s">
        <v>310</v>
      </c>
      <c r="O41" s="64" t="s">
        <v>248</v>
      </c>
      <c r="P41" s="80" t="s">
        <v>87</v>
      </c>
      <c r="Q41" s="76"/>
    </row>
    <row r="42" spans="1:17">
      <c r="A42" s="73">
        <v>42</v>
      </c>
      <c r="B42" s="63" t="s">
        <v>311</v>
      </c>
      <c r="C42" s="441" t="s">
        <v>446</v>
      </c>
      <c r="D42" s="87" t="s">
        <v>496</v>
      </c>
      <c r="E42" s="87" t="s">
        <v>142</v>
      </c>
      <c r="F42" s="64" t="s">
        <v>88</v>
      </c>
      <c r="G42" s="65"/>
      <c r="H42" s="65"/>
      <c r="I42" s="65"/>
      <c r="J42" s="65"/>
      <c r="K42" s="65"/>
      <c r="L42" s="65"/>
      <c r="M42" s="92">
        <v>200525</v>
      </c>
      <c r="N42" s="449" t="s">
        <v>312</v>
      </c>
      <c r="O42" s="64" t="s">
        <v>248</v>
      </c>
      <c r="P42" s="80" t="s">
        <v>88</v>
      </c>
      <c r="Q42" s="76"/>
    </row>
    <row r="43" spans="1:17">
      <c r="A43" s="73">
        <v>43</v>
      </c>
      <c r="B43" s="63" t="s">
        <v>313</v>
      </c>
      <c r="C43" s="441"/>
      <c r="D43" s="87" t="s">
        <v>130</v>
      </c>
      <c r="E43" s="87" t="s">
        <v>130</v>
      </c>
      <c r="F43" s="64" t="s">
        <v>314</v>
      </c>
      <c r="G43" s="65"/>
      <c r="H43" s="65"/>
      <c r="I43" s="65"/>
      <c r="J43" s="65"/>
      <c r="K43" s="65"/>
      <c r="L43" s="65"/>
      <c r="M43" s="92"/>
      <c r="N43" s="449"/>
      <c r="O43" s="64"/>
      <c r="P43" s="80" t="s">
        <v>314</v>
      </c>
      <c r="Q43" s="76"/>
    </row>
    <row r="44" spans="1:17">
      <c r="A44" s="73">
        <v>44</v>
      </c>
      <c r="B44" s="63" t="s">
        <v>33</v>
      </c>
      <c r="C44" s="441" t="s">
        <v>447</v>
      </c>
      <c r="D44" s="87" t="s">
        <v>497</v>
      </c>
      <c r="E44" s="87" t="s">
        <v>134</v>
      </c>
      <c r="F44" s="64" t="s">
        <v>77</v>
      </c>
      <c r="G44" s="65"/>
      <c r="H44" s="65"/>
      <c r="I44" s="65"/>
      <c r="J44" s="65"/>
      <c r="K44" s="65"/>
      <c r="L44" s="65"/>
      <c r="M44" s="92">
        <v>200310</v>
      </c>
      <c r="N44" s="449" t="s">
        <v>315</v>
      </c>
      <c r="O44" s="64" t="s">
        <v>248</v>
      </c>
      <c r="P44" s="80" t="s">
        <v>77</v>
      </c>
      <c r="Q44" s="76"/>
    </row>
    <row r="45" spans="1:17">
      <c r="A45" s="73">
        <v>45</v>
      </c>
      <c r="B45" s="63" t="s">
        <v>316</v>
      </c>
      <c r="C45" s="441"/>
      <c r="D45" s="87" t="s">
        <v>130</v>
      </c>
      <c r="E45" s="87" t="s">
        <v>130</v>
      </c>
      <c r="F45" s="64" t="s">
        <v>317</v>
      </c>
      <c r="G45" s="65"/>
      <c r="H45" s="65"/>
      <c r="I45" s="65"/>
      <c r="J45" s="65"/>
      <c r="K45" s="65"/>
      <c r="L45" s="65"/>
      <c r="M45" s="92"/>
      <c r="N45" s="449" t="s">
        <v>318</v>
      </c>
      <c r="O45" s="64" t="s">
        <v>248</v>
      </c>
      <c r="P45" s="80" t="s">
        <v>317</v>
      </c>
      <c r="Q45" s="76"/>
    </row>
    <row r="46" spans="1:17">
      <c r="A46" s="73">
        <v>47</v>
      </c>
      <c r="B46" s="63" t="s">
        <v>319</v>
      </c>
      <c r="C46" s="441"/>
      <c r="D46" s="87" t="s">
        <v>130</v>
      </c>
      <c r="E46" s="87" t="s">
        <v>130</v>
      </c>
      <c r="F46" s="64" t="s">
        <v>320</v>
      </c>
      <c r="G46" s="65"/>
      <c r="H46" s="65"/>
      <c r="I46" s="65"/>
      <c r="J46" s="65"/>
      <c r="K46" s="65"/>
      <c r="L46" s="65"/>
      <c r="M46" s="92"/>
      <c r="N46" s="449"/>
      <c r="O46" s="74"/>
      <c r="P46" s="80"/>
      <c r="Q46" s="76"/>
    </row>
    <row r="47" spans="1:17">
      <c r="A47" s="73">
        <v>48</v>
      </c>
      <c r="B47" s="63" t="s">
        <v>321</v>
      </c>
      <c r="C47" s="441"/>
      <c r="D47" s="87" t="s">
        <v>130</v>
      </c>
      <c r="E47" s="87" t="s">
        <v>130</v>
      </c>
      <c r="F47" s="64" t="s">
        <v>322</v>
      </c>
      <c r="G47" s="65"/>
      <c r="H47" s="65"/>
      <c r="I47" s="65"/>
      <c r="J47" s="65"/>
      <c r="K47" s="65"/>
      <c r="L47" s="65"/>
      <c r="M47" s="92"/>
      <c r="N47" s="449"/>
      <c r="O47" s="74"/>
      <c r="P47" s="80"/>
      <c r="Q47" s="76"/>
    </row>
    <row r="48" spans="1:17">
      <c r="A48" s="73">
        <v>49</v>
      </c>
      <c r="B48" s="63" t="s">
        <v>323</v>
      </c>
      <c r="C48" s="441"/>
      <c r="D48" s="87" t="s">
        <v>130</v>
      </c>
      <c r="E48" s="87" t="s">
        <v>130</v>
      </c>
      <c r="F48" s="64" t="s">
        <v>324</v>
      </c>
      <c r="G48" s="65"/>
      <c r="H48" s="65"/>
      <c r="I48" s="65"/>
      <c r="J48" s="65"/>
      <c r="K48" s="65"/>
      <c r="L48" s="65"/>
      <c r="M48" s="92"/>
      <c r="N48" s="449"/>
      <c r="O48" s="74"/>
      <c r="P48" s="80"/>
      <c r="Q48" s="76"/>
    </row>
    <row r="49" spans="1:17">
      <c r="A49" s="73">
        <v>50</v>
      </c>
      <c r="B49" s="75" t="s">
        <v>325</v>
      </c>
      <c r="C49" s="441"/>
      <c r="D49" s="87" t="s">
        <v>130</v>
      </c>
      <c r="E49" s="87" t="s">
        <v>130</v>
      </c>
      <c r="F49" s="64" t="s">
        <v>326</v>
      </c>
      <c r="G49" s="65"/>
      <c r="H49" s="65"/>
      <c r="I49" s="65"/>
      <c r="J49" s="65"/>
      <c r="K49" s="65"/>
      <c r="L49" s="65"/>
      <c r="M49" s="92"/>
      <c r="N49" s="449"/>
      <c r="O49" s="74"/>
      <c r="P49" s="80"/>
      <c r="Q49" s="77"/>
    </row>
    <row r="50" spans="1:17">
      <c r="A50" s="73">
        <v>51</v>
      </c>
      <c r="B50" s="75" t="s">
        <v>327</v>
      </c>
      <c r="C50" s="441"/>
      <c r="D50" s="87" t="s">
        <v>130</v>
      </c>
      <c r="E50" s="87" t="s">
        <v>130</v>
      </c>
      <c r="F50" s="64" t="s">
        <v>328</v>
      </c>
      <c r="G50" s="65"/>
      <c r="H50" s="65"/>
      <c r="I50" s="65"/>
      <c r="J50" s="65"/>
      <c r="K50" s="65"/>
      <c r="L50" s="65"/>
      <c r="M50" s="92"/>
      <c r="N50" s="449"/>
      <c r="O50" s="74"/>
      <c r="P50" s="80"/>
      <c r="Q50" s="77"/>
    </row>
    <row r="51" spans="1:17">
      <c r="A51" s="73">
        <v>52</v>
      </c>
      <c r="B51" s="63" t="s">
        <v>329</v>
      </c>
      <c r="C51" s="441"/>
      <c r="D51" s="87" t="s">
        <v>148</v>
      </c>
      <c r="E51" s="87" t="s">
        <v>130</v>
      </c>
      <c r="F51" s="64" t="s">
        <v>330</v>
      </c>
      <c r="G51" s="65"/>
      <c r="H51" s="65"/>
      <c r="I51" s="65"/>
      <c r="J51" s="65"/>
      <c r="K51" s="65"/>
      <c r="L51" s="65"/>
      <c r="M51" s="92"/>
      <c r="N51" s="449"/>
      <c r="O51" s="74"/>
      <c r="P51" s="80"/>
      <c r="Q51" s="76"/>
    </row>
    <row r="52" spans="1:17">
      <c r="A52" s="73">
        <v>53</v>
      </c>
      <c r="B52" s="75" t="s">
        <v>331</v>
      </c>
      <c r="C52" s="441"/>
      <c r="D52" s="87" t="s">
        <v>130</v>
      </c>
      <c r="E52" s="87" t="s">
        <v>130</v>
      </c>
      <c r="F52" s="64" t="s">
        <v>332</v>
      </c>
      <c r="G52" s="65"/>
      <c r="H52" s="65"/>
      <c r="I52" s="65"/>
      <c r="J52" s="65"/>
      <c r="K52" s="65"/>
      <c r="L52" s="65"/>
      <c r="M52" s="92"/>
      <c r="N52" s="449"/>
      <c r="O52" s="74"/>
      <c r="P52" s="80"/>
      <c r="Q52" s="77"/>
    </row>
    <row r="53" spans="1:17">
      <c r="A53" s="73">
        <v>54</v>
      </c>
      <c r="B53" s="75" t="s">
        <v>333</v>
      </c>
      <c r="C53" s="441"/>
      <c r="D53" s="87" t="s">
        <v>130</v>
      </c>
      <c r="E53" s="87" t="s">
        <v>130</v>
      </c>
      <c r="F53" s="64" t="s">
        <v>334</v>
      </c>
      <c r="G53" s="65"/>
      <c r="H53" s="65"/>
      <c r="I53" s="65"/>
      <c r="J53" s="65"/>
      <c r="K53" s="65"/>
      <c r="L53" s="65"/>
      <c r="M53" s="92"/>
      <c r="N53" s="449"/>
      <c r="O53" s="74"/>
      <c r="P53" s="80"/>
      <c r="Q53" s="77"/>
    </row>
    <row r="54" spans="1:17">
      <c r="A54" s="73">
        <v>55</v>
      </c>
      <c r="B54" s="63" t="s">
        <v>335</v>
      </c>
      <c r="C54" s="441"/>
      <c r="D54" s="87" t="s">
        <v>130</v>
      </c>
      <c r="E54" s="87" t="s">
        <v>130</v>
      </c>
      <c r="F54" s="64" t="s">
        <v>336</v>
      </c>
      <c r="G54" s="65"/>
      <c r="H54" s="65"/>
      <c r="I54" s="65"/>
      <c r="J54" s="65"/>
      <c r="K54" s="65"/>
      <c r="L54" s="65"/>
      <c r="M54" s="92"/>
      <c r="N54" s="449" t="s">
        <v>337</v>
      </c>
      <c r="O54" s="64" t="s">
        <v>248</v>
      </c>
      <c r="P54" s="80" t="s">
        <v>336</v>
      </c>
      <c r="Q54" s="76"/>
    </row>
    <row r="55" spans="1:17">
      <c r="A55" s="73">
        <v>56</v>
      </c>
      <c r="B55" s="63" t="s">
        <v>338</v>
      </c>
      <c r="C55" s="441"/>
      <c r="D55" s="87" t="s">
        <v>130</v>
      </c>
      <c r="E55" s="87" t="s">
        <v>130</v>
      </c>
      <c r="F55" s="64" t="s">
        <v>339</v>
      </c>
      <c r="G55" s="65"/>
      <c r="H55" s="65"/>
      <c r="I55" s="65"/>
      <c r="J55" s="65"/>
      <c r="K55" s="65"/>
      <c r="L55" s="65"/>
      <c r="M55" s="92"/>
      <c r="N55" s="449"/>
      <c r="O55" s="74"/>
      <c r="P55" s="80"/>
      <c r="Q55" s="76"/>
    </row>
    <row r="56" spans="1:17">
      <c r="A56" s="73">
        <v>57</v>
      </c>
      <c r="B56" s="63" t="s">
        <v>34</v>
      </c>
      <c r="C56" s="441" t="s">
        <v>448</v>
      </c>
      <c r="D56" s="87" t="s">
        <v>498</v>
      </c>
      <c r="E56" s="87" t="s">
        <v>483</v>
      </c>
      <c r="F56" s="64" t="s">
        <v>78</v>
      </c>
      <c r="G56" s="65"/>
      <c r="H56" s="65"/>
      <c r="I56" s="65"/>
      <c r="J56" s="65"/>
      <c r="K56" s="65"/>
      <c r="L56" s="65"/>
      <c r="M56" s="92">
        <v>200319</v>
      </c>
      <c r="N56" s="449" t="s">
        <v>340</v>
      </c>
      <c r="O56" s="64" t="s">
        <v>248</v>
      </c>
      <c r="P56" s="80" t="s">
        <v>78</v>
      </c>
      <c r="Q56" s="76"/>
    </row>
    <row r="57" spans="1:17">
      <c r="A57" s="73">
        <v>58</v>
      </c>
      <c r="B57" s="63" t="s">
        <v>341</v>
      </c>
      <c r="C57" s="441"/>
      <c r="D57" s="87" t="s">
        <v>148</v>
      </c>
      <c r="E57" s="87" t="s">
        <v>130</v>
      </c>
      <c r="F57" s="64" t="s">
        <v>342</v>
      </c>
      <c r="G57" s="65"/>
      <c r="H57" s="65"/>
      <c r="I57" s="65"/>
      <c r="J57" s="65"/>
      <c r="K57" s="65"/>
      <c r="L57" s="65"/>
      <c r="M57" s="92"/>
      <c r="N57" s="449" t="s">
        <v>343</v>
      </c>
      <c r="O57" s="64" t="s">
        <v>248</v>
      </c>
      <c r="P57" s="80" t="s">
        <v>342</v>
      </c>
      <c r="Q57" s="76"/>
    </row>
    <row r="58" spans="1:17">
      <c r="A58" s="73">
        <v>59</v>
      </c>
      <c r="B58" s="63" t="s">
        <v>35</v>
      </c>
      <c r="C58" s="441" t="s">
        <v>449</v>
      </c>
      <c r="D58" s="87">
        <v>0</v>
      </c>
      <c r="E58" s="87" t="s">
        <v>485</v>
      </c>
      <c r="F58" s="64" t="s">
        <v>79</v>
      </c>
      <c r="G58" s="65"/>
      <c r="H58" s="65"/>
      <c r="I58" s="65"/>
      <c r="J58" s="65"/>
      <c r="K58" s="65"/>
      <c r="L58" s="65"/>
      <c r="M58" s="92">
        <v>200319</v>
      </c>
      <c r="N58" s="448" t="s">
        <v>344</v>
      </c>
      <c r="O58" s="64" t="s">
        <v>248</v>
      </c>
      <c r="P58" s="80" t="s">
        <v>79</v>
      </c>
      <c r="Q58" s="76"/>
    </row>
    <row r="59" spans="1:17">
      <c r="A59" s="73">
        <v>60</v>
      </c>
      <c r="B59" s="63" t="s">
        <v>345</v>
      </c>
      <c r="C59" s="441"/>
      <c r="D59" s="87" t="s">
        <v>130</v>
      </c>
      <c r="E59" s="87" t="s">
        <v>130</v>
      </c>
      <c r="F59" s="64" t="s">
        <v>346</v>
      </c>
      <c r="G59" s="65"/>
      <c r="H59" s="65"/>
      <c r="I59" s="65"/>
      <c r="J59" s="65"/>
      <c r="K59" s="65"/>
      <c r="L59" s="65"/>
      <c r="M59" s="92"/>
      <c r="N59" s="449"/>
      <c r="O59" s="74"/>
      <c r="P59" s="80"/>
      <c r="Q59" s="76"/>
    </row>
    <row r="60" spans="1:17">
      <c r="A60" s="73">
        <v>61</v>
      </c>
      <c r="B60" s="63" t="s">
        <v>347</v>
      </c>
      <c r="C60" s="441"/>
      <c r="D60" s="87" t="s">
        <v>130</v>
      </c>
      <c r="E60" s="87" t="s">
        <v>130</v>
      </c>
      <c r="F60" s="64" t="s">
        <v>348</v>
      </c>
      <c r="G60" s="65"/>
      <c r="H60" s="65"/>
      <c r="I60" s="65"/>
      <c r="J60" s="65"/>
      <c r="K60" s="65"/>
      <c r="L60" s="65"/>
      <c r="M60" s="92"/>
      <c r="N60" s="449" t="s">
        <v>349</v>
      </c>
      <c r="O60" s="64" t="s">
        <v>248</v>
      </c>
      <c r="P60" s="80" t="s">
        <v>348</v>
      </c>
      <c r="Q60" s="76"/>
    </row>
    <row r="61" spans="1:17">
      <c r="A61" s="73">
        <v>62</v>
      </c>
      <c r="B61" s="63" t="s">
        <v>350</v>
      </c>
      <c r="C61" s="441"/>
      <c r="D61" s="87" t="s">
        <v>130</v>
      </c>
      <c r="E61" s="87" t="s">
        <v>130</v>
      </c>
      <c r="F61" s="64" t="s">
        <v>351</v>
      </c>
      <c r="G61" s="65"/>
      <c r="H61" s="65"/>
      <c r="I61" s="65"/>
      <c r="J61" s="65"/>
      <c r="K61" s="65"/>
      <c r="L61" s="65"/>
      <c r="M61" s="92"/>
      <c r="N61" s="448" t="s">
        <v>352</v>
      </c>
      <c r="O61" s="64" t="s">
        <v>248</v>
      </c>
      <c r="P61" s="80" t="s">
        <v>351</v>
      </c>
      <c r="Q61" s="76"/>
    </row>
    <row r="62" spans="1:17">
      <c r="A62" s="73">
        <v>63</v>
      </c>
      <c r="B62" s="63" t="s">
        <v>353</v>
      </c>
      <c r="C62" s="441"/>
      <c r="D62" s="87" t="s">
        <v>130</v>
      </c>
      <c r="E62" s="87" t="s">
        <v>130</v>
      </c>
      <c r="F62" s="64" t="s">
        <v>354</v>
      </c>
      <c r="G62" s="65"/>
      <c r="H62" s="65"/>
      <c r="I62" s="65"/>
      <c r="J62" s="65"/>
      <c r="K62" s="65"/>
      <c r="L62" s="65"/>
      <c r="M62" s="92"/>
      <c r="N62" s="449"/>
      <c r="O62" s="74"/>
      <c r="P62" s="80"/>
      <c r="Q62" s="76"/>
    </row>
    <row r="63" spans="1:17">
      <c r="A63" s="73">
        <v>64</v>
      </c>
      <c r="B63" s="63" t="s">
        <v>355</v>
      </c>
      <c r="C63" s="441"/>
      <c r="D63" s="87" t="s">
        <v>130</v>
      </c>
      <c r="E63" s="87" t="s">
        <v>130</v>
      </c>
      <c r="F63" s="64" t="s">
        <v>356</v>
      </c>
      <c r="G63" s="65"/>
      <c r="H63" s="65"/>
      <c r="I63" s="65"/>
      <c r="J63" s="65"/>
      <c r="K63" s="65"/>
      <c r="L63" s="65"/>
      <c r="M63" s="92"/>
      <c r="N63" s="449"/>
      <c r="O63" s="74"/>
      <c r="P63" s="80"/>
      <c r="Q63" s="76"/>
    </row>
    <row r="64" spans="1:17">
      <c r="A64" s="73">
        <v>65</v>
      </c>
      <c r="B64" s="63" t="s">
        <v>60</v>
      </c>
      <c r="C64" s="441" t="s">
        <v>464</v>
      </c>
      <c r="D64" s="87" t="s">
        <v>499</v>
      </c>
      <c r="E64" s="87" t="s">
        <v>136</v>
      </c>
      <c r="F64" s="64" t="s">
        <v>111</v>
      </c>
      <c r="G64" s="65"/>
      <c r="H64" s="65"/>
      <c r="I64" s="65"/>
      <c r="J64" s="65"/>
      <c r="K64" s="65"/>
      <c r="L64" s="65"/>
      <c r="M64" s="92">
        <v>200713</v>
      </c>
      <c r="N64" s="449"/>
      <c r="O64" s="74"/>
      <c r="P64" s="80"/>
      <c r="Q64" s="76"/>
    </row>
    <row r="65" spans="1:17">
      <c r="A65" s="73">
        <v>66</v>
      </c>
      <c r="B65" s="63" t="s">
        <v>357</v>
      </c>
      <c r="C65" s="441"/>
      <c r="D65" s="87" t="s">
        <v>130</v>
      </c>
      <c r="E65" s="87" t="s">
        <v>130</v>
      </c>
      <c r="F65" s="64" t="s">
        <v>358</v>
      </c>
      <c r="G65" s="65"/>
      <c r="H65" s="65"/>
      <c r="I65" s="65"/>
      <c r="J65" s="65"/>
      <c r="K65" s="65"/>
      <c r="L65" s="65"/>
      <c r="M65" s="92"/>
      <c r="N65" s="449"/>
      <c r="O65" s="74"/>
      <c r="P65" s="80"/>
      <c r="Q65" s="76"/>
    </row>
    <row r="66" spans="1:17">
      <c r="A66" s="73">
        <v>67</v>
      </c>
      <c r="B66" s="63" t="s">
        <v>359</v>
      </c>
      <c r="C66" s="441"/>
      <c r="D66" s="87" t="s">
        <v>148</v>
      </c>
      <c r="E66" s="87" t="s">
        <v>130</v>
      </c>
      <c r="F66" s="64" t="s">
        <v>360</v>
      </c>
      <c r="G66" s="65"/>
      <c r="H66" s="65"/>
      <c r="I66" s="65"/>
      <c r="J66" s="65"/>
      <c r="K66" s="65"/>
      <c r="L66" s="65"/>
      <c r="M66" s="92"/>
      <c r="N66" s="449"/>
      <c r="O66" s="74"/>
      <c r="P66" s="80"/>
      <c r="Q66" s="76"/>
    </row>
    <row r="67" spans="1:17">
      <c r="A67" s="73">
        <v>68</v>
      </c>
      <c r="B67" s="63" t="s">
        <v>361</v>
      </c>
      <c r="C67" s="441"/>
      <c r="D67" s="87" t="s">
        <v>130</v>
      </c>
      <c r="E67" s="87" t="s">
        <v>130</v>
      </c>
      <c r="F67" s="64" t="s">
        <v>362</v>
      </c>
      <c r="G67" s="65"/>
      <c r="H67" s="65"/>
      <c r="I67" s="65"/>
      <c r="J67" s="65"/>
      <c r="K67" s="65"/>
      <c r="L67" s="65"/>
      <c r="M67" s="92"/>
      <c r="N67" s="449"/>
      <c r="O67" s="74"/>
      <c r="P67" s="80"/>
      <c r="Q67" s="76"/>
    </row>
    <row r="68" spans="1:17">
      <c r="A68" s="73">
        <v>69</v>
      </c>
      <c r="B68" s="63" t="s">
        <v>363</v>
      </c>
      <c r="C68" s="441"/>
      <c r="D68" s="87" t="s">
        <v>130</v>
      </c>
      <c r="E68" s="87" t="s">
        <v>130</v>
      </c>
      <c r="F68" s="64" t="s">
        <v>364</v>
      </c>
      <c r="G68" s="65"/>
      <c r="H68" s="65"/>
      <c r="I68" s="65"/>
      <c r="J68" s="65"/>
      <c r="K68" s="65"/>
      <c r="L68" s="65"/>
      <c r="M68" s="92"/>
      <c r="N68" s="449"/>
      <c r="O68" s="74"/>
      <c r="P68" s="80"/>
      <c r="Q68" s="76"/>
    </row>
    <row r="69" spans="1:17">
      <c r="A69" s="73">
        <v>70</v>
      </c>
      <c r="B69" s="63" t="s">
        <v>365</v>
      </c>
      <c r="C69" s="441"/>
      <c r="D69" s="87" t="s">
        <v>130</v>
      </c>
      <c r="E69" s="87" t="s">
        <v>130</v>
      </c>
      <c r="F69" s="64" t="s">
        <v>366</v>
      </c>
      <c r="G69" s="65"/>
      <c r="H69" s="65"/>
      <c r="I69" s="65"/>
      <c r="J69" s="65"/>
      <c r="K69" s="65"/>
      <c r="L69" s="65"/>
      <c r="M69" s="92"/>
      <c r="N69" s="449"/>
      <c r="O69" s="74"/>
      <c r="P69" s="80"/>
      <c r="Q69" s="76"/>
    </row>
    <row r="70" spans="1:17">
      <c r="A70" s="73">
        <v>71</v>
      </c>
      <c r="B70" s="63" t="s">
        <v>367</v>
      </c>
      <c r="C70" s="441"/>
      <c r="D70" s="87" t="s">
        <v>130</v>
      </c>
      <c r="E70" s="87" t="s">
        <v>130</v>
      </c>
      <c r="F70" s="64" t="s">
        <v>368</v>
      </c>
      <c r="G70" s="65"/>
      <c r="H70" s="65"/>
      <c r="I70" s="65"/>
      <c r="J70" s="65"/>
      <c r="K70" s="65"/>
      <c r="L70" s="65"/>
      <c r="M70" s="92"/>
      <c r="N70" s="449"/>
      <c r="O70" s="74"/>
      <c r="P70" s="80"/>
      <c r="Q70" s="76"/>
    </row>
    <row r="71" spans="1:17">
      <c r="A71" s="73">
        <v>72</v>
      </c>
      <c r="B71" s="63" t="s">
        <v>369</v>
      </c>
      <c r="C71" s="441"/>
      <c r="D71" s="87" t="s">
        <v>130</v>
      </c>
      <c r="E71" s="87" t="s">
        <v>130</v>
      </c>
      <c r="F71" s="64" t="s">
        <v>370</v>
      </c>
      <c r="G71" s="65"/>
      <c r="H71" s="65"/>
      <c r="I71" s="65"/>
      <c r="J71" s="65"/>
      <c r="K71" s="65"/>
      <c r="L71" s="65"/>
      <c r="M71" s="92"/>
      <c r="N71" s="449"/>
      <c r="O71" s="74"/>
      <c r="P71" s="80"/>
      <c r="Q71" s="76"/>
    </row>
    <row r="72" spans="1:17">
      <c r="A72" s="73">
        <v>73</v>
      </c>
      <c r="B72" s="63" t="s">
        <v>371</v>
      </c>
      <c r="C72" s="441"/>
      <c r="D72" s="87" t="s">
        <v>130</v>
      </c>
      <c r="E72" s="87" t="s">
        <v>130</v>
      </c>
      <c r="F72" s="64" t="s">
        <v>372</v>
      </c>
      <c r="G72" s="65"/>
      <c r="H72" s="65"/>
      <c r="I72" s="65"/>
      <c r="J72" s="65"/>
      <c r="K72" s="65"/>
      <c r="L72" s="65"/>
      <c r="M72" s="92"/>
      <c r="N72" s="449"/>
      <c r="O72" s="74"/>
      <c r="P72" s="80"/>
      <c r="Q72" s="76"/>
    </row>
    <row r="73" spans="1:17">
      <c r="A73" s="73">
        <v>74</v>
      </c>
      <c r="B73" s="63" t="s">
        <v>373</v>
      </c>
      <c r="C73" s="441"/>
      <c r="D73" s="87" t="s">
        <v>130</v>
      </c>
      <c r="E73" s="87" t="s">
        <v>130</v>
      </c>
      <c r="F73" s="64" t="s">
        <v>374</v>
      </c>
      <c r="G73" s="65"/>
      <c r="H73" s="65"/>
      <c r="I73" s="65"/>
      <c r="J73" s="65"/>
      <c r="K73" s="65"/>
      <c r="L73" s="65"/>
      <c r="M73" s="92"/>
      <c r="N73" s="449"/>
      <c r="O73" s="74"/>
      <c r="P73" s="80"/>
      <c r="Q73" s="76"/>
    </row>
    <row r="74" spans="1:17">
      <c r="A74" s="73">
        <v>75</v>
      </c>
      <c r="B74" s="63" t="s">
        <v>375</v>
      </c>
      <c r="C74" s="441"/>
      <c r="D74" s="87" t="s">
        <v>130</v>
      </c>
      <c r="E74" s="87" t="s">
        <v>130</v>
      </c>
      <c r="F74" s="64" t="s">
        <v>376</v>
      </c>
      <c r="G74" s="65"/>
      <c r="H74" s="65"/>
      <c r="I74" s="65"/>
      <c r="J74" s="65"/>
      <c r="K74" s="65"/>
      <c r="L74" s="65"/>
      <c r="M74" s="92"/>
      <c r="N74" s="449"/>
      <c r="O74" s="74"/>
      <c r="P74" s="80"/>
      <c r="Q74" s="76"/>
    </row>
    <row r="75" spans="1:17">
      <c r="A75" s="73">
        <v>76</v>
      </c>
      <c r="B75" s="63" t="s">
        <v>377</v>
      </c>
      <c r="C75" s="441"/>
      <c r="D75" s="87" t="s">
        <v>130</v>
      </c>
      <c r="E75" s="87" t="s">
        <v>130</v>
      </c>
      <c r="F75" s="64" t="s">
        <v>378</v>
      </c>
      <c r="G75" s="65"/>
      <c r="H75" s="65"/>
      <c r="I75" s="65"/>
      <c r="J75" s="65"/>
      <c r="K75" s="65"/>
      <c r="L75" s="65"/>
      <c r="M75" s="92"/>
      <c r="N75" s="449"/>
      <c r="O75" s="74"/>
      <c r="P75" s="80"/>
      <c r="Q75" s="76"/>
    </row>
    <row r="76" spans="1:17">
      <c r="A76" s="73">
        <v>77</v>
      </c>
      <c r="B76" s="63" t="s">
        <v>379</v>
      </c>
      <c r="C76" s="441"/>
      <c r="D76" s="87" t="s">
        <v>130</v>
      </c>
      <c r="E76" s="87" t="s">
        <v>130</v>
      </c>
      <c r="F76" s="64" t="s">
        <v>380</v>
      </c>
      <c r="G76" s="65"/>
      <c r="H76" s="65"/>
      <c r="I76" s="65"/>
      <c r="J76" s="65"/>
      <c r="K76" s="65"/>
      <c r="L76" s="65"/>
      <c r="M76" s="92"/>
      <c r="N76" s="449"/>
      <c r="O76" s="74"/>
      <c r="P76" s="80"/>
      <c r="Q76" s="76"/>
    </row>
    <row r="77" spans="1:17">
      <c r="A77" s="73">
        <v>78</v>
      </c>
      <c r="B77" s="63" t="s">
        <v>381</v>
      </c>
      <c r="C77" s="441"/>
      <c r="D77" s="87" t="s">
        <v>130</v>
      </c>
      <c r="E77" s="87" t="s">
        <v>130</v>
      </c>
      <c r="F77" s="64" t="s">
        <v>382</v>
      </c>
      <c r="G77" s="65"/>
      <c r="H77" s="65"/>
      <c r="I77" s="65"/>
      <c r="J77" s="65"/>
      <c r="K77" s="65"/>
      <c r="L77" s="65"/>
      <c r="M77" s="92"/>
      <c r="N77" s="449"/>
      <c r="O77" s="74"/>
      <c r="P77" s="80"/>
      <c r="Q77" s="76"/>
    </row>
    <row r="78" spans="1:17">
      <c r="A78" s="73">
        <v>79</v>
      </c>
      <c r="B78" s="63" t="s">
        <v>383</v>
      </c>
      <c r="C78" s="441"/>
      <c r="D78" s="87" t="s">
        <v>130</v>
      </c>
      <c r="E78" s="87" t="s">
        <v>130</v>
      </c>
      <c r="F78" s="64" t="s">
        <v>384</v>
      </c>
      <c r="G78" s="65"/>
      <c r="H78" s="65"/>
      <c r="I78" s="65"/>
      <c r="J78" s="65"/>
      <c r="K78" s="65"/>
      <c r="L78" s="65"/>
      <c r="M78" s="92"/>
      <c r="N78" s="449"/>
      <c r="O78" s="74"/>
      <c r="P78" s="80"/>
      <c r="Q78" s="76"/>
    </row>
    <row r="79" spans="1:17">
      <c r="A79" s="73">
        <v>80</v>
      </c>
      <c r="B79" s="63" t="s">
        <v>385</v>
      </c>
      <c r="C79" s="441"/>
      <c r="D79" s="87" t="s">
        <v>130</v>
      </c>
      <c r="E79" s="87" t="s">
        <v>130</v>
      </c>
      <c r="F79" s="64" t="s">
        <v>386</v>
      </c>
      <c r="G79" s="65"/>
      <c r="H79" s="65"/>
      <c r="I79" s="65"/>
      <c r="J79" s="65"/>
      <c r="K79" s="65"/>
      <c r="L79" s="65"/>
      <c r="M79" s="92"/>
      <c r="N79" s="449"/>
      <c r="O79" s="74"/>
      <c r="P79" s="80"/>
      <c r="Q79" s="76"/>
    </row>
    <row r="80" spans="1:17">
      <c r="A80" s="73">
        <v>81</v>
      </c>
      <c r="B80" s="63" t="s">
        <v>387</v>
      </c>
      <c r="C80" s="441"/>
      <c r="D80" s="87" t="s">
        <v>130</v>
      </c>
      <c r="E80" s="87" t="s">
        <v>130</v>
      </c>
      <c r="F80" s="64" t="s">
        <v>388</v>
      </c>
      <c r="G80" s="65"/>
      <c r="H80" s="65"/>
      <c r="I80" s="65"/>
      <c r="J80" s="65"/>
      <c r="K80" s="65"/>
      <c r="L80" s="65"/>
      <c r="M80" s="92"/>
      <c r="N80" s="449"/>
      <c r="O80" s="74"/>
      <c r="P80" s="80"/>
      <c r="Q80" s="76"/>
    </row>
    <row r="81" spans="1:17" ht="15.75">
      <c r="A81" s="73">
        <v>82</v>
      </c>
      <c r="B81" s="63" t="s">
        <v>37</v>
      </c>
      <c r="C81" s="441" t="s">
        <v>451</v>
      </c>
      <c r="D81" s="87">
        <v>40673</v>
      </c>
      <c r="E81" s="87" t="s">
        <v>485</v>
      </c>
      <c r="F81" s="81" t="s">
        <v>81</v>
      </c>
      <c r="G81" s="65"/>
      <c r="H81" s="65"/>
      <c r="I81" s="65"/>
      <c r="J81" s="65"/>
      <c r="K81" s="65"/>
      <c r="L81" s="65"/>
      <c r="M81" s="92">
        <v>200415</v>
      </c>
      <c r="N81" s="448" t="s">
        <v>389</v>
      </c>
      <c r="O81" s="64" t="s">
        <v>248</v>
      </c>
      <c r="P81" s="80" t="s">
        <v>81</v>
      </c>
      <c r="Q81" s="78"/>
    </row>
    <row r="82" spans="1:17" ht="15.75">
      <c r="A82" s="73">
        <v>83</v>
      </c>
      <c r="B82" s="63" t="s">
        <v>390</v>
      </c>
      <c r="C82" s="441" t="s">
        <v>755</v>
      </c>
      <c r="D82" s="87" t="s">
        <v>500</v>
      </c>
      <c r="E82" s="87" t="s">
        <v>133</v>
      </c>
      <c r="F82" s="81" t="s">
        <v>95</v>
      </c>
      <c r="G82" s="65"/>
      <c r="H82" s="65"/>
      <c r="I82" s="65"/>
      <c r="J82" s="65"/>
      <c r="K82" s="65"/>
      <c r="L82" s="65"/>
      <c r="M82" s="92">
        <v>200617</v>
      </c>
      <c r="N82" s="448" t="s">
        <v>391</v>
      </c>
      <c r="O82" s="64" t="s">
        <v>248</v>
      </c>
      <c r="P82" s="80" t="s">
        <v>95</v>
      </c>
      <c r="Q82" s="78"/>
    </row>
    <row r="83" spans="1:17" ht="15.75">
      <c r="A83" s="73">
        <v>84</v>
      </c>
      <c r="B83" s="63" t="s">
        <v>392</v>
      </c>
      <c r="C83" s="441" t="s">
        <v>454</v>
      </c>
      <c r="D83" s="87" t="s">
        <v>501</v>
      </c>
      <c r="E83" s="87" t="s">
        <v>502</v>
      </c>
      <c r="F83" s="81" t="s">
        <v>86</v>
      </c>
      <c r="G83" s="65"/>
      <c r="H83" s="65"/>
      <c r="I83" s="65"/>
      <c r="J83" s="65"/>
      <c r="K83" s="65"/>
      <c r="L83" s="65"/>
      <c r="M83" s="92">
        <v>200520</v>
      </c>
      <c r="N83" s="82"/>
      <c r="O83" s="74"/>
      <c r="P83" s="80"/>
      <c r="Q83" s="79" t="s">
        <v>393</v>
      </c>
    </row>
    <row r="84" spans="1:17" ht="15.75">
      <c r="A84" s="73">
        <v>85</v>
      </c>
      <c r="B84" s="63" t="s">
        <v>52</v>
      </c>
      <c r="C84" s="441" t="s">
        <v>458</v>
      </c>
      <c r="D84" s="87" t="s">
        <v>503</v>
      </c>
      <c r="E84" s="87" t="s">
        <v>480</v>
      </c>
      <c r="F84" s="81" t="s">
        <v>102</v>
      </c>
      <c r="G84" s="65"/>
      <c r="H84" s="65"/>
      <c r="I84" s="65"/>
      <c r="J84" s="65"/>
      <c r="K84" s="65"/>
      <c r="L84" s="65"/>
      <c r="M84" s="92">
        <v>200630</v>
      </c>
      <c r="N84" s="448" t="s">
        <v>394</v>
      </c>
      <c r="O84" s="64" t="s">
        <v>248</v>
      </c>
      <c r="P84" s="80" t="s">
        <v>102</v>
      </c>
      <c r="Q84" s="78"/>
    </row>
    <row r="85" spans="1:17" ht="15.75">
      <c r="A85" s="73">
        <v>86</v>
      </c>
      <c r="B85" s="63" t="s">
        <v>432</v>
      </c>
      <c r="C85" s="441" t="s">
        <v>159</v>
      </c>
      <c r="D85" s="87" t="s">
        <v>160</v>
      </c>
      <c r="E85" s="87" t="s">
        <v>140</v>
      </c>
      <c r="F85" s="81" t="s">
        <v>109</v>
      </c>
      <c r="G85" s="65"/>
      <c r="H85" s="65"/>
      <c r="I85" s="65"/>
      <c r="J85" s="65"/>
      <c r="K85" s="65"/>
      <c r="L85" s="65"/>
      <c r="M85" s="92">
        <v>200709</v>
      </c>
      <c r="N85" s="448" t="s">
        <v>395</v>
      </c>
      <c r="O85" s="64" t="s">
        <v>248</v>
      </c>
      <c r="P85" s="80" t="s">
        <v>109</v>
      </c>
      <c r="Q85" s="78"/>
    </row>
    <row r="86" spans="1:17" ht="15.75">
      <c r="A86" s="73">
        <v>87</v>
      </c>
      <c r="B86" s="63" t="s">
        <v>64</v>
      </c>
      <c r="C86" s="441" t="s">
        <v>756</v>
      </c>
      <c r="D86" s="87" t="s">
        <v>164</v>
      </c>
      <c r="E86" s="87" t="s">
        <v>504</v>
      </c>
      <c r="F86" s="81" t="s">
        <v>116</v>
      </c>
      <c r="G86" s="65"/>
      <c r="H86" s="65"/>
      <c r="I86" s="65"/>
      <c r="J86" s="65"/>
      <c r="K86" s="65"/>
      <c r="L86" s="65"/>
      <c r="M86" s="92">
        <v>200712</v>
      </c>
      <c r="N86" s="448" t="s">
        <v>396</v>
      </c>
      <c r="O86" s="64" t="s">
        <v>248</v>
      </c>
      <c r="P86" s="80" t="s">
        <v>116</v>
      </c>
      <c r="Q86" s="78"/>
    </row>
    <row r="87" spans="1:17" ht="15.75">
      <c r="A87" s="73">
        <v>88</v>
      </c>
      <c r="B87" s="63" t="s">
        <v>397</v>
      </c>
      <c r="C87" s="441" t="s">
        <v>438</v>
      </c>
      <c r="D87" s="87" t="s">
        <v>505</v>
      </c>
      <c r="E87" s="87" t="s">
        <v>130</v>
      </c>
      <c r="F87" s="83" t="s">
        <v>89</v>
      </c>
      <c r="G87" s="65"/>
      <c r="H87" s="65"/>
      <c r="I87" s="65"/>
      <c r="J87" s="65"/>
      <c r="K87" s="65"/>
      <c r="L87" s="65"/>
      <c r="M87" s="92"/>
      <c r="N87" s="448" t="s">
        <v>398</v>
      </c>
      <c r="O87" s="64" t="s">
        <v>248</v>
      </c>
      <c r="P87" s="80" t="s">
        <v>89</v>
      </c>
      <c r="Q87" s="78"/>
    </row>
    <row r="88" spans="1:17" ht="15.75">
      <c r="A88" s="73">
        <v>89</v>
      </c>
      <c r="B88" s="63" t="s">
        <v>41</v>
      </c>
      <c r="C88" s="441" t="s">
        <v>453</v>
      </c>
      <c r="D88" s="87" t="s">
        <v>506</v>
      </c>
      <c r="E88" s="87" t="s">
        <v>135</v>
      </c>
      <c r="F88" s="83" t="s">
        <v>85</v>
      </c>
      <c r="G88" s="65"/>
      <c r="H88" s="65"/>
      <c r="I88" s="65"/>
      <c r="J88" s="65"/>
      <c r="K88" s="65"/>
      <c r="L88" s="65"/>
      <c r="M88" s="92">
        <v>200519</v>
      </c>
      <c r="N88" s="448" t="s">
        <v>399</v>
      </c>
      <c r="O88" s="64" t="s">
        <v>248</v>
      </c>
      <c r="P88" s="80" t="s">
        <v>85</v>
      </c>
      <c r="Q88" s="78"/>
    </row>
    <row r="89" spans="1:17" ht="15.75">
      <c r="A89" s="73">
        <v>90</v>
      </c>
      <c r="B89" s="63" t="s">
        <v>50</v>
      </c>
      <c r="C89" s="441" t="s">
        <v>757</v>
      </c>
      <c r="D89" s="87" t="s">
        <v>507</v>
      </c>
      <c r="E89" s="87" t="s">
        <v>139</v>
      </c>
      <c r="F89" s="81" t="s">
        <v>100</v>
      </c>
      <c r="G89" s="65"/>
      <c r="H89" s="65"/>
      <c r="I89" s="65"/>
      <c r="J89" s="65"/>
      <c r="K89" s="65"/>
      <c r="L89" s="65"/>
      <c r="M89" s="92">
        <v>200627</v>
      </c>
      <c r="N89" s="448" t="s">
        <v>400</v>
      </c>
      <c r="O89" s="64" t="s">
        <v>248</v>
      </c>
      <c r="P89" s="80" t="s">
        <v>100</v>
      </c>
      <c r="Q89" s="78"/>
    </row>
    <row r="90" spans="1:17" ht="15.75">
      <c r="A90" s="73">
        <v>91</v>
      </c>
      <c r="B90" s="63" t="s">
        <v>58</v>
      </c>
      <c r="C90" s="441" t="s">
        <v>758</v>
      </c>
      <c r="D90" s="87" t="s">
        <v>158</v>
      </c>
      <c r="E90" s="87" t="s">
        <v>135</v>
      </c>
      <c r="F90" s="81" t="s">
        <v>108</v>
      </c>
      <c r="G90" s="65"/>
      <c r="H90" s="65"/>
      <c r="I90" s="65"/>
      <c r="J90" s="65"/>
      <c r="K90" s="65"/>
      <c r="L90" s="65"/>
      <c r="M90" s="92">
        <v>200704</v>
      </c>
      <c r="N90" s="448" t="s">
        <v>401</v>
      </c>
      <c r="O90" s="64" t="s">
        <v>248</v>
      </c>
      <c r="P90" s="80" t="s">
        <v>108</v>
      </c>
      <c r="Q90" s="78"/>
    </row>
    <row r="91" spans="1:17" ht="15.75">
      <c r="A91" s="73">
        <v>92</v>
      </c>
      <c r="B91" s="63" t="s">
        <v>402</v>
      </c>
      <c r="C91" s="441" t="s">
        <v>456</v>
      </c>
      <c r="D91" s="87" t="s">
        <v>508</v>
      </c>
      <c r="E91" s="87" t="s">
        <v>483</v>
      </c>
      <c r="F91" s="81" t="s">
        <v>91</v>
      </c>
      <c r="G91" s="65"/>
      <c r="H91" s="65"/>
      <c r="I91" s="65"/>
      <c r="J91" s="65"/>
      <c r="K91" s="65"/>
      <c r="L91" s="65"/>
      <c r="M91" s="92">
        <v>200602</v>
      </c>
      <c r="N91" s="448" t="s">
        <v>403</v>
      </c>
      <c r="O91" s="64" t="s">
        <v>248</v>
      </c>
      <c r="P91" s="80" t="s">
        <v>91</v>
      </c>
      <c r="Q91" s="78"/>
    </row>
    <row r="92" spans="1:17" ht="15.75">
      <c r="A92" s="73">
        <v>93</v>
      </c>
      <c r="B92" s="63" t="s">
        <v>54</v>
      </c>
      <c r="C92" s="441" t="s">
        <v>459</v>
      </c>
      <c r="D92" s="87" t="s">
        <v>509</v>
      </c>
      <c r="E92" s="87" t="s">
        <v>131</v>
      </c>
      <c r="F92" s="81" t="s">
        <v>104</v>
      </c>
      <c r="G92" s="65"/>
      <c r="H92" s="65"/>
      <c r="I92" s="65"/>
      <c r="J92" s="65"/>
      <c r="K92" s="65"/>
      <c r="L92" s="65"/>
      <c r="M92" s="92">
        <v>200703</v>
      </c>
      <c r="N92" s="448" t="s">
        <v>404</v>
      </c>
      <c r="O92" s="64" t="s">
        <v>248</v>
      </c>
      <c r="P92" s="80" t="s">
        <v>104</v>
      </c>
      <c r="Q92" s="78" t="s">
        <v>789</v>
      </c>
    </row>
    <row r="93" spans="1:17" ht="15.75">
      <c r="A93" s="73">
        <v>94</v>
      </c>
      <c r="B93" s="63" t="s">
        <v>55</v>
      </c>
      <c r="C93" s="441" t="s">
        <v>460</v>
      </c>
      <c r="D93" s="87" t="s">
        <v>510</v>
      </c>
      <c r="E93" s="87" t="s">
        <v>131</v>
      </c>
      <c r="F93" s="81" t="s">
        <v>105</v>
      </c>
      <c r="G93" s="65"/>
      <c r="H93" s="65"/>
      <c r="I93" s="65"/>
      <c r="J93" s="65"/>
      <c r="K93" s="65"/>
      <c r="L93" s="65"/>
      <c r="M93" s="92">
        <v>200703</v>
      </c>
      <c r="N93" s="448" t="s">
        <v>405</v>
      </c>
      <c r="O93" s="64" t="s">
        <v>248</v>
      </c>
      <c r="P93" s="80" t="s">
        <v>105</v>
      </c>
      <c r="Q93" s="78" t="s">
        <v>789</v>
      </c>
    </row>
    <row r="94" spans="1:17" ht="15.75">
      <c r="A94" s="73">
        <v>95</v>
      </c>
      <c r="B94" s="63" t="s">
        <v>57</v>
      </c>
      <c r="C94" s="441" t="s">
        <v>157</v>
      </c>
      <c r="D94" s="87">
        <v>43469</v>
      </c>
      <c r="E94" s="87" t="s">
        <v>483</v>
      </c>
      <c r="F94" s="84" t="s">
        <v>107</v>
      </c>
      <c r="G94" s="65"/>
      <c r="H94" s="65"/>
      <c r="I94" s="65"/>
      <c r="J94" s="65"/>
      <c r="K94" s="65"/>
      <c r="L94" s="65"/>
      <c r="M94" s="92">
        <v>200703</v>
      </c>
      <c r="N94" s="448" t="s">
        <v>406</v>
      </c>
      <c r="O94" s="64" t="s">
        <v>248</v>
      </c>
      <c r="P94" s="80" t="s">
        <v>107</v>
      </c>
      <c r="Q94" s="78"/>
    </row>
    <row r="95" spans="1:17" ht="15.75">
      <c r="A95" s="73">
        <v>96</v>
      </c>
      <c r="B95" s="63" t="s">
        <v>53</v>
      </c>
      <c r="C95" s="442" t="s">
        <v>759</v>
      </c>
      <c r="D95" s="86" t="s">
        <v>519</v>
      </c>
      <c r="E95" s="86" t="s">
        <v>135</v>
      </c>
      <c r="F95" s="84" t="s">
        <v>103</v>
      </c>
      <c r="G95" s="65"/>
      <c r="H95" s="65"/>
      <c r="I95" s="65"/>
      <c r="J95" s="65"/>
      <c r="K95" s="65"/>
      <c r="L95" s="65"/>
      <c r="M95" s="92">
        <v>200629</v>
      </c>
      <c r="N95" s="448" t="s">
        <v>407</v>
      </c>
      <c r="O95" s="64" t="s">
        <v>248</v>
      </c>
      <c r="P95" s="80" t="s">
        <v>103</v>
      </c>
      <c r="Q95" s="59" t="s">
        <v>789</v>
      </c>
    </row>
    <row r="96" spans="1:17" ht="15.75">
      <c r="A96" s="73">
        <v>97</v>
      </c>
      <c r="B96" s="63" t="s">
        <v>39</v>
      </c>
      <c r="C96" s="441" t="s">
        <v>452</v>
      </c>
      <c r="D96" s="87" t="s">
        <v>479</v>
      </c>
      <c r="E96" s="87" t="s">
        <v>480</v>
      </c>
      <c r="F96" s="84" t="s">
        <v>83</v>
      </c>
      <c r="G96" s="65"/>
      <c r="H96" s="65"/>
      <c r="I96" s="65"/>
      <c r="J96" s="65"/>
      <c r="K96" s="65"/>
      <c r="L96" s="65"/>
      <c r="M96" s="92">
        <v>200507</v>
      </c>
      <c r="N96" s="448" t="s">
        <v>408</v>
      </c>
      <c r="O96" s="64" t="s">
        <v>248</v>
      </c>
      <c r="P96" s="80" t="s">
        <v>83</v>
      </c>
      <c r="Q96" s="78"/>
    </row>
    <row r="97" spans="1:17" ht="15.75">
      <c r="A97" s="73">
        <v>98</v>
      </c>
      <c r="B97" s="63" t="s">
        <v>56</v>
      </c>
      <c r="C97" s="441" t="s">
        <v>461</v>
      </c>
      <c r="D97" s="87">
        <v>41889</v>
      </c>
      <c r="E97" s="87" t="s">
        <v>135</v>
      </c>
      <c r="F97" s="84" t="s">
        <v>106</v>
      </c>
      <c r="G97" s="65"/>
      <c r="H97" s="65"/>
      <c r="I97" s="65"/>
      <c r="J97" s="65"/>
      <c r="K97" s="65"/>
      <c r="L97" s="65"/>
      <c r="M97" s="92">
        <v>200703</v>
      </c>
      <c r="N97" s="82"/>
      <c r="O97" s="74"/>
      <c r="P97" s="80"/>
      <c r="Q97" s="79" t="s">
        <v>409</v>
      </c>
    </row>
    <row r="98" spans="1:17" ht="15.75">
      <c r="A98" s="73">
        <v>99</v>
      </c>
      <c r="B98" s="63" t="s">
        <v>47</v>
      </c>
      <c r="C98" s="441" t="s">
        <v>151</v>
      </c>
      <c r="D98" s="87" t="s">
        <v>152</v>
      </c>
      <c r="E98" s="87" t="s">
        <v>483</v>
      </c>
      <c r="F98" s="84" t="s">
        <v>97</v>
      </c>
      <c r="G98" s="65"/>
      <c r="H98" s="65"/>
      <c r="I98" s="65"/>
      <c r="J98" s="65"/>
      <c r="K98" s="65"/>
      <c r="L98" s="65"/>
      <c r="M98" s="92">
        <v>200616</v>
      </c>
      <c r="N98" s="448" t="s">
        <v>410</v>
      </c>
      <c r="O98" s="64" t="s">
        <v>248</v>
      </c>
      <c r="P98" s="80" t="s">
        <v>97</v>
      </c>
      <c r="Q98" s="78"/>
    </row>
    <row r="99" spans="1:17" ht="15.75">
      <c r="A99" s="73">
        <v>100</v>
      </c>
      <c r="B99" s="63" t="s">
        <v>36</v>
      </c>
      <c r="C99" s="441" t="s">
        <v>450</v>
      </c>
      <c r="D99" s="87">
        <v>42788</v>
      </c>
      <c r="E99" s="87" t="s">
        <v>483</v>
      </c>
      <c r="F99" s="84" t="s">
        <v>80</v>
      </c>
      <c r="G99" s="65"/>
      <c r="H99" s="65"/>
      <c r="I99" s="65"/>
      <c r="J99" s="65"/>
      <c r="K99" s="65"/>
      <c r="L99" s="65"/>
      <c r="M99" s="92">
        <v>200415</v>
      </c>
      <c r="N99" s="448" t="s">
        <v>411</v>
      </c>
      <c r="O99" s="64" t="s">
        <v>248</v>
      </c>
      <c r="P99" s="80" t="s">
        <v>80</v>
      </c>
      <c r="Q99" s="78"/>
    </row>
    <row r="100" spans="1:17" ht="15.75">
      <c r="A100" s="73">
        <v>101</v>
      </c>
      <c r="B100" s="63" t="s">
        <v>40</v>
      </c>
      <c r="C100" s="441" t="s">
        <v>760</v>
      </c>
      <c r="D100" s="87" t="s">
        <v>511</v>
      </c>
      <c r="E100" s="87" t="s">
        <v>132</v>
      </c>
      <c r="F100" s="84" t="s">
        <v>84</v>
      </c>
      <c r="G100" s="65"/>
      <c r="H100" s="65"/>
      <c r="I100" s="65"/>
      <c r="J100" s="65"/>
      <c r="K100" s="65"/>
      <c r="L100" s="65"/>
      <c r="M100" s="92">
        <v>200518</v>
      </c>
      <c r="N100" s="448" t="s">
        <v>412</v>
      </c>
      <c r="O100" s="64" t="s">
        <v>248</v>
      </c>
      <c r="P100" s="80" t="s">
        <v>84</v>
      </c>
      <c r="Q100" s="78"/>
    </row>
    <row r="101" spans="1:17" ht="15.75">
      <c r="A101" s="73">
        <v>102</v>
      </c>
      <c r="B101" s="63" t="s">
        <v>413</v>
      </c>
      <c r="C101" s="441" t="s">
        <v>457</v>
      </c>
      <c r="D101" s="87" t="s">
        <v>512</v>
      </c>
      <c r="E101" s="87" t="s">
        <v>131</v>
      </c>
      <c r="F101" s="84" t="s">
        <v>96</v>
      </c>
      <c r="G101" s="65"/>
      <c r="H101" s="65"/>
      <c r="I101" s="65"/>
      <c r="J101" s="65"/>
      <c r="K101" s="65"/>
      <c r="L101" s="65"/>
      <c r="M101" s="92">
        <v>200618</v>
      </c>
      <c r="N101" s="448" t="s">
        <v>414</v>
      </c>
      <c r="O101" s="64" t="s">
        <v>248</v>
      </c>
      <c r="P101" s="80" t="s">
        <v>96</v>
      </c>
      <c r="Q101" s="78"/>
    </row>
    <row r="102" spans="1:17" ht="15.75">
      <c r="A102" s="73">
        <v>103</v>
      </c>
      <c r="B102" s="63" t="s">
        <v>51</v>
      </c>
      <c r="C102" s="441" t="s">
        <v>155</v>
      </c>
      <c r="D102" s="87" t="s">
        <v>156</v>
      </c>
      <c r="E102" s="87" t="s">
        <v>131</v>
      </c>
      <c r="F102" s="84" t="s">
        <v>101</v>
      </c>
      <c r="G102" s="65"/>
      <c r="H102" s="65"/>
      <c r="I102" s="65"/>
      <c r="J102" s="65"/>
      <c r="K102" s="65"/>
      <c r="L102" s="65"/>
      <c r="M102" s="92">
        <v>200630</v>
      </c>
      <c r="N102" s="448" t="s">
        <v>415</v>
      </c>
      <c r="O102" s="64" t="s">
        <v>248</v>
      </c>
      <c r="P102" s="80" t="s">
        <v>101</v>
      </c>
      <c r="Q102" s="78"/>
    </row>
    <row r="103" spans="1:17" ht="15.75">
      <c r="A103" s="73">
        <v>104</v>
      </c>
      <c r="B103" s="63" t="s">
        <v>44</v>
      </c>
      <c r="C103" s="441" t="s">
        <v>761</v>
      </c>
      <c r="D103" s="87" t="s">
        <v>513</v>
      </c>
      <c r="E103" s="87" t="s">
        <v>514</v>
      </c>
      <c r="F103" s="84" t="s">
        <v>92</v>
      </c>
      <c r="G103" s="65"/>
      <c r="H103" s="65"/>
      <c r="I103" s="65"/>
      <c r="J103" s="65"/>
      <c r="K103" s="65"/>
      <c r="L103" s="65"/>
      <c r="M103" s="92">
        <v>200609</v>
      </c>
      <c r="N103" s="448" t="s">
        <v>416</v>
      </c>
      <c r="O103" s="64" t="s">
        <v>248</v>
      </c>
      <c r="P103" s="80" t="s">
        <v>92</v>
      </c>
      <c r="Q103" s="78"/>
    </row>
    <row r="104" spans="1:17" ht="15.75">
      <c r="A104" s="73">
        <v>105</v>
      </c>
      <c r="B104" s="63" t="s">
        <v>417</v>
      </c>
      <c r="C104" s="441" t="s">
        <v>455</v>
      </c>
      <c r="D104" s="87" t="s">
        <v>515</v>
      </c>
      <c r="E104" s="87" t="s">
        <v>502</v>
      </c>
      <c r="F104" s="84" t="s">
        <v>90</v>
      </c>
      <c r="G104" s="65"/>
      <c r="H104" s="65"/>
      <c r="I104" s="65"/>
      <c r="J104" s="65"/>
      <c r="K104" s="65"/>
      <c r="L104" s="65"/>
      <c r="M104" s="92">
        <v>200601</v>
      </c>
      <c r="N104" s="448" t="s">
        <v>418</v>
      </c>
      <c r="O104" s="64" t="s">
        <v>248</v>
      </c>
      <c r="P104" s="80" t="s">
        <v>90</v>
      </c>
      <c r="Q104" s="78"/>
    </row>
    <row r="105" spans="1:17" ht="15.75">
      <c r="A105" s="73">
        <v>106</v>
      </c>
      <c r="B105" s="63" t="s">
        <v>419</v>
      </c>
      <c r="C105" s="441"/>
      <c r="D105" s="87"/>
      <c r="E105" s="87"/>
      <c r="F105" s="84" t="s">
        <v>420</v>
      </c>
      <c r="G105" s="65"/>
      <c r="H105" s="65"/>
      <c r="I105" s="65"/>
      <c r="J105" s="65"/>
      <c r="K105" s="65"/>
      <c r="L105" s="65"/>
      <c r="M105" s="92"/>
      <c r="N105" s="448" t="s">
        <v>421</v>
      </c>
      <c r="O105" s="64" t="s">
        <v>248</v>
      </c>
      <c r="P105" s="80" t="s">
        <v>420</v>
      </c>
      <c r="Q105" s="78"/>
    </row>
    <row r="106" spans="1:17" ht="15.75">
      <c r="A106" s="73">
        <v>107</v>
      </c>
      <c r="B106" s="63" t="s">
        <v>422</v>
      </c>
      <c r="C106" s="441"/>
      <c r="D106" s="87"/>
      <c r="E106" s="87"/>
      <c r="F106" s="84" t="s">
        <v>20</v>
      </c>
      <c r="G106" s="65"/>
      <c r="H106" s="65"/>
      <c r="I106" s="65"/>
      <c r="J106" s="65"/>
      <c r="K106" s="65"/>
      <c r="L106" s="65"/>
      <c r="M106" s="92"/>
      <c r="N106" s="448" t="s">
        <v>423</v>
      </c>
      <c r="O106" s="64" t="s">
        <v>248</v>
      </c>
      <c r="P106" s="80" t="s">
        <v>20</v>
      </c>
      <c r="Q106" s="78"/>
    </row>
    <row r="107" spans="1:17" ht="15.75">
      <c r="A107" s="73">
        <v>108</v>
      </c>
      <c r="B107" s="63" t="s">
        <v>424</v>
      </c>
      <c r="C107" s="441"/>
      <c r="D107" s="87"/>
      <c r="E107" s="87"/>
      <c r="F107" s="84" t="s">
        <v>145</v>
      </c>
      <c r="G107" s="65"/>
      <c r="H107" s="65"/>
      <c r="I107" s="65"/>
      <c r="J107" s="65"/>
      <c r="K107" s="65"/>
      <c r="L107" s="65"/>
      <c r="M107" s="92"/>
      <c r="N107" s="448" t="s">
        <v>425</v>
      </c>
      <c r="O107" s="64" t="s">
        <v>248</v>
      </c>
      <c r="P107" s="80" t="s">
        <v>145</v>
      </c>
      <c r="Q107" s="78"/>
    </row>
    <row r="108" spans="1:17" ht="15.75">
      <c r="A108" s="73">
        <v>109</v>
      </c>
      <c r="B108" s="63" t="s">
        <v>63</v>
      </c>
      <c r="C108" s="441" t="s">
        <v>763</v>
      </c>
      <c r="D108" s="87" t="s">
        <v>163</v>
      </c>
      <c r="E108" s="87" t="s">
        <v>141</v>
      </c>
      <c r="F108" s="84" t="s">
        <v>115</v>
      </c>
      <c r="G108" s="65"/>
      <c r="H108" s="65"/>
      <c r="I108" s="65"/>
      <c r="J108" s="65"/>
      <c r="K108" s="65"/>
      <c r="L108" s="65"/>
      <c r="M108" s="92">
        <v>200715</v>
      </c>
      <c r="N108" s="448" t="s">
        <v>426</v>
      </c>
      <c r="O108" s="64" t="s">
        <v>248</v>
      </c>
      <c r="P108" s="80" t="s">
        <v>115</v>
      </c>
      <c r="Q108" s="78"/>
    </row>
    <row r="109" spans="1:17" ht="15.75">
      <c r="A109" s="73">
        <v>110</v>
      </c>
      <c r="B109" s="63" t="s">
        <v>427</v>
      </c>
      <c r="C109" s="441" t="s">
        <v>764</v>
      </c>
      <c r="D109" s="87" t="s">
        <v>516</v>
      </c>
      <c r="E109" s="87" t="s">
        <v>141</v>
      </c>
      <c r="F109" s="84" t="s">
        <v>114</v>
      </c>
      <c r="G109" s="65"/>
      <c r="H109" s="65"/>
      <c r="I109" s="65"/>
      <c r="J109" s="65"/>
      <c r="K109" s="65"/>
      <c r="L109" s="65"/>
      <c r="M109" s="92">
        <v>200715</v>
      </c>
      <c r="N109" s="448" t="s">
        <v>428</v>
      </c>
      <c r="O109" s="64" t="s">
        <v>248</v>
      </c>
      <c r="P109" s="80" t="s">
        <v>114</v>
      </c>
      <c r="Q109" s="78"/>
    </row>
    <row r="110" spans="1:17">
      <c r="A110" s="73">
        <v>111</v>
      </c>
      <c r="B110" s="63" t="s">
        <v>43</v>
      </c>
      <c r="C110" s="442" t="s">
        <v>438</v>
      </c>
      <c r="D110" s="86" t="s">
        <v>505</v>
      </c>
      <c r="E110" s="86" t="s">
        <v>517</v>
      </c>
      <c r="F110" s="86" t="s">
        <v>89</v>
      </c>
      <c r="G110" s="70"/>
      <c r="H110" s="70"/>
      <c r="I110" s="70"/>
      <c r="J110" s="70"/>
      <c r="K110" s="70"/>
      <c r="L110" s="70"/>
      <c r="M110" s="92">
        <v>200601</v>
      </c>
      <c r="N110" s="59" t="s">
        <v>398</v>
      </c>
      <c r="O110" s="59" t="s">
        <v>248</v>
      </c>
      <c r="P110" s="59" t="s">
        <v>89</v>
      </c>
      <c r="Q110" s="68"/>
    </row>
    <row r="111" spans="1:17">
      <c r="A111" s="73">
        <v>112</v>
      </c>
      <c r="B111" s="63" t="s">
        <v>45</v>
      </c>
      <c r="C111" s="442" t="s">
        <v>765</v>
      </c>
      <c r="D111" s="86" t="s">
        <v>149</v>
      </c>
      <c r="E111" s="86" t="s">
        <v>132</v>
      </c>
      <c r="F111" s="86" t="s">
        <v>93</v>
      </c>
      <c r="G111" s="68"/>
      <c r="H111" s="68"/>
      <c r="I111" s="68"/>
      <c r="J111" s="68"/>
      <c r="K111" s="68"/>
      <c r="L111" s="68"/>
      <c r="M111" s="92">
        <v>200615</v>
      </c>
      <c r="N111" s="450"/>
      <c r="O111" s="69"/>
      <c r="P111" s="69"/>
      <c r="Q111" s="68"/>
    </row>
    <row r="112" spans="1:17">
      <c r="A112" s="73">
        <v>113</v>
      </c>
      <c r="B112" s="63" t="s">
        <v>46</v>
      </c>
      <c r="C112" s="442" t="s">
        <v>766</v>
      </c>
      <c r="D112" s="86" t="s">
        <v>150</v>
      </c>
      <c r="E112" s="86" t="s">
        <v>135</v>
      </c>
      <c r="F112" s="86" t="s">
        <v>94</v>
      </c>
      <c r="G112" s="70"/>
      <c r="H112" s="70"/>
      <c r="I112" s="70"/>
      <c r="J112" s="70"/>
      <c r="K112" s="70"/>
      <c r="L112" s="70"/>
      <c r="M112" s="92">
        <v>200615</v>
      </c>
      <c r="N112" s="450"/>
      <c r="O112" s="69"/>
      <c r="P112" s="69"/>
      <c r="Q112" s="68"/>
    </row>
    <row r="113" spans="1:17">
      <c r="A113" s="73">
        <v>114</v>
      </c>
      <c r="B113" s="63" t="s">
        <v>48</v>
      </c>
      <c r="C113" s="442" t="s">
        <v>518</v>
      </c>
      <c r="D113" s="86" t="s">
        <v>153</v>
      </c>
      <c r="E113" s="86" t="s">
        <v>137</v>
      </c>
      <c r="F113" s="86" t="s">
        <v>98</v>
      </c>
      <c r="G113" s="70"/>
      <c r="H113" s="70"/>
      <c r="I113" s="70"/>
      <c r="J113" s="70"/>
      <c r="K113" s="70"/>
      <c r="L113" s="70"/>
      <c r="M113" s="92">
        <v>200625</v>
      </c>
      <c r="N113" s="450"/>
      <c r="O113" s="68"/>
      <c r="P113" s="68"/>
      <c r="Q113" s="68"/>
    </row>
    <row r="114" spans="1:17">
      <c r="A114" s="73">
        <v>115</v>
      </c>
      <c r="B114" s="63" t="s">
        <v>49</v>
      </c>
      <c r="C114" s="442" t="s">
        <v>767</v>
      </c>
      <c r="D114" s="86" t="s">
        <v>154</v>
      </c>
      <c r="E114" s="86" t="s">
        <v>138</v>
      </c>
      <c r="F114" s="86" t="s">
        <v>99</v>
      </c>
      <c r="G114" s="71"/>
      <c r="H114" s="71"/>
      <c r="I114" s="71"/>
      <c r="J114" s="71"/>
      <c r="K114" s="71"/>
      <c r="L114" s="71"/>
      <c r="M114" s="92">
        <v>200626</v>
      </c>
    </row>
    <row r="115" spans="1:17">
      <c r="A115" s="73">
        <v>116</v>
      </c>
      <c r="B115" s="63" t="s">
        <v>430</v>
      </c>
      <c r="C115" s="442" t="s">
        <v>462</v>
      </c>
      <c r="D115" s="86" t="s">
        <v>520</v>
      </c>
      <c r="E115" s="86" t="s">
        <v>521</v>
      </c>
      <c r="F115" s="86" t="s">
        <v>470</v>
      </c>
      <c r="G115" s="71"/>
      <c r="H115" s="71"/>
      <c r="I115" s="71"/>
      <c r="J115" s="71"/>
      <c r="K115" s="71"/>
      <c r="L115" s="71"/>
      <c r="M115" s="92">
        <v>200706</v>
      </c>
    </row>
    <row r="116" spans="1:17">
      <c r="A116" s="73">
        <v>117</v>
      </c>
      <c r="B116" s="63" t="s">
        <v>431</v>
      </c>
      <c r="C116" s="442" t="s">
        <v>463</v>
      </c>
      <c r="D116" s="86" t="s">
        <v>522</v>
      </c>
      <c r="E116" s="86" t="s">
        <v>136</v>
      </c>
      <c r="F116" s="86" t="s">
        <v>471</v>
      </c>
      <c r="G116" s="71"/>
      <c r="H116" s="71"/>
      <c r="I116" s="71"/>
      <c r="J116" s="71"/>
      <c r="K116" s="71"/>
      <c r="L116" s="71"/>
      <c r="M116" s="92">
        <v>200709</v>
      </c>
    </row>
    <row r="117" spans="1:17">
      <c r="A117" s="73">
        <v>118</v>
      </c>
      <c r="B117" s="63" t="s">
        <v>59</v>
      </c>
      <c r="C117" s="442" t="s">
        <v>768</v>
      </c>
      <c r="D117" s="86" t="s">
        <v>161</v>
      </c>
      <c r="E117" s="86" t="s">
        <v>136</v>
      </c>
      <c r="F117" s="86" t="s">
        <v>110</v>
      </c>
      <c r="G117" s="72"/>
      <c r="H117" s="72"/>
      <c r="I117" s="72"/>
      <c r="J117" s="72"/>
      <c r="K117" s="72"/>
      <c r="L117" s="72"/>
      <c r="M117" s="92">
        <v>200709</v>
      </c>
    </row>
    <row r="118" spans="1:17">
      <c r="A118" s="73">
        <v>119</v>
      </c>
      <c r="B118" s="63" t="s">
        <v>433</v>
      </c>
      <c r="C118" s="442" t="s">
        <v>769</v>
      </c>
      <c r="D118" s="86" t="s">
        <v>523</v>
      </c>
      <c r="E118" s="86" t="s">
        <v>524</v>
      </c>
      <c r="F118" s="86" t="s">
        <v>472</v>
      </c>
      <c r="M118" s="92">
        <v>200711</v>
      </c>
    </row>
    <row r="119" spans="1:17">
      <c r="A119" s="73">
        <v>120</v>
      </c>
      <c r="B119" s="63" t="s">
        <v>434</v>
      </c>
      <c r="C119" s="442" t="s">
        <v>770</v>
      </c>
      <c r="D119" s="86" t="s">
        <v>525</v>
      </c>
      <c r="E119" s="86" t="s">
        <v>504</v>
      </c>
      <c r="F119" s="86" t="s">
        <v>473</v>
      </c>
      <c r="M119" s="92">
        <v>200712</v>
      </c>
    </row>
    <row r="120" spans="1:17">
      <c r="A120" s="73">
        <v>121</v>
      </c>
      <c r="B120" s="63" t="s">
        <v>61</v>
      </c>
      <c r="C120" s="442" t="s">
        <v>465</v>
      </c>
      <c r="D120" s="86" t="s">
        <v>526</v>
      </c>
      <c r="E120" s="86" t="s">
        <v>136</v>
      </c>
      <c r="F120" s="86" t="s">
        <v>112</v>
      </c>
      <c r="M120" s="92">
        <v>200713</v>
      </c>
    </row>
    <row r="121" spans="1:17">
      <c r="A121" s="73">
        <v>122</v>
      </c>
      <c r="B121" s="63" t="s">
        <v>62</v>
      </c>
      <c r="C121" s="443" t="s">
        <v>750</v>
      </c>
      <c r="D121" s="86" t="s">
        <v>162</v>
      </c>
      <c r="E121" s="86" t="s">
        <v>136</v>
      </c>
      <c r="F121" s="86" t="s">
        <v>113</v>
      </c>
      <c r="J121" s="434" t="s">
        <v>750</v>
      </c>
      <c r="M121" s="92">
        <v>200714</v>
      </c>
      <c r="N121" s="59" t="s">
        <v>815</v>
      </c>
      <c r="O121" s="59" t="s">
        <v>248</v>
      </c>
      <c r="P121" s="59" t="s">
        <v>113</v>
      </c>
    </row>
    <row r="122" spans="1:17">
      <c r="A122" s="73">
        <v>123</v>
      </c>
      <c r="B122" s="63" t="s">
        <v>435</v>
      </c>
      <c r="C122" s="442" t="s">
        <v>467</v>
      </c>
      <c r="D122" s="86" t="s">
        <v>527</v>
      </c>
      <c r="E122" s="86" t="s">
        <v>136</v>
      </c>
      <c r="F122" s="86" t="s">
        <v>474</v>
      </c>
      <c r="M122" s="92">
        <v>200714</v>
      </c>
    </row>
    <row r="123" spans="1:17">
      <c r="A123" s="73">
        <v>124</v>
      </c>
      <c r="B123" s="63" t="s">
        <v>65</v>
      </c>
      <c r="C123" s="442" t="s">
        <v>165</v>
      </c>
      <c r="D123" s="86" t="s">
        <v>166</v>
      </c>
      <c r="E123" s="86" t="s">
        <v>142</v>
      </c>
      <c r="F123" s="86" t="s">
        <v>475</v>
      </c>
      <c r="J123" s="59" t="s">
        <v>165</v>
      </c>
      <c r="M123" s="92">
        <v>200720</v>
      </c>
      <c r="N123" s="59">
        <v>1016612736</v>
      </c>
      <c r="O123" s="59" t="s">
        <v>248</v>
      </c>
      <c r="P123" s="59" t="s">
        <v>475</v>
      </c>
    </row>
    <row r="124" spans="1:17">
      <c r="A124" s="73">
        <v>125</v>
      </c>
      <c r="B124" s="63" t="s">
        <v>436</v>
      </c>
      <c r="C124" s="442" t="s">
        <v>468</v>
      </c>
      <c r="D124" s="86" t="s">
        <v>528</v>
      </c>
      <c r="E124" s="86" t="s">
        <v>529</v>
      </c>
      <c r="F124" s="86" t="s">
        <v>476</v>
      </c>
      <c r="M124" s="92">
        <v>200720</v>
      </c>
    </row>
    <row r="125" spans="1:17">
      <c r="A125" s="73">
        <v>126</v>
      </c>
      <c r="B125" s="63" t="s">
        <v>437</v>
      </c>
      <c r="C125" s="442" t="s">
        <v>469</v>
      </c>
      <c r="D125" s="86" t="s">
        <v>530</v>
      </c>
      <c r="E125" s="86" t="s">
        <v>529</v>
      </c>
      <c r="F125" s="86" t="s">
        <v>477</v>
      </c>
      <c r="M125" s="92">
        <v>200720</v>
      </c>
    </row>
    <row r="126" spans="1:17">
      <c r="A126" s="73">
        <v>127</v>
      </c>
      <c r="B126" s="63" t="s">
        <v>66</v>
      </c>
      <c r="C126" s="442" t="s">
        <v>771</v>
      </c>
      <c r="D126" s="86" t="s">
        <v>531</v>
      </c>
      <c r="E126" s="86" t="s">
        <v>135</v>
      </c>
      <c r="F126" s="86" t="s">
        <v>117</v>
      </c>
      <c r="J126" s="59" t="s">
        <v>771</v>
      </c>
      <c r="M126" s="92">
        <v>200722</v>
      </c>
      <c r="N126" s="59" t="s">
        <v>811</v>
      </c>
      <c r="O126" s="59" t="s">
        <v>248</v>
      </c>
      <c r="P126" s="59" t="s">
        <v>117</v>
      </c>
    </row>
    <row r="127" spans="1:17">
      <c r="A127" s="73">
        <v>128</v>
      </c>
      <c r="B127" s="63" t="s">
        <v>67</v>
      </c>
      <c r="C127" s="442" t="s">
        <v>772</v>
      </c>
      <c r="D127" s="86" t="s">
        <v>532</v>
      </c>
      <c r="E127" s="86" t="s">
        <v>135</v>
      </c>
      <c r="F127" s="86" t="s">
        <v>118</v>
      </c>
      <c r="J127" s="59" t="s">
        <v>772</v>
      </c>
      <c r="M127" s="92">
        <v>200722</v>
      </c>
      <c r="N127" s="59" t="s">
        <v>813</v>
      </c>
      <c r="O127" s="59" t="s">
        <v>248</v>
      </c>
      <c r="P127" s="59" t="s">
        <v>118</v>
      </c>
    </row>
    <row r="128" spans="1:17">
      <c r="A128" s="73">
        <v>129</v>
      </c>
      <c r="B128" s="63" t="s">
        <v>68</v>
      </c>
      <c r="C128" s="442" t="s">
        <v>762</v>
      </c>
      <c r="D128" s="86" t="s">
        <v>167</v>
      </c>
      <c r="E128" s="86" t="s">
        <v>521</v>
      </c>
      <c r="F128" s="86" t="s">
        <v>119</v>
      </c>
      <c r="M128" s="92">
        <v>200722</v>
      </c>
      <c r="N128" s="59" t="s">
        <v>816</v>
      </c>
      <c r="O128" s="59" t="s">
        <v>248</v>
      </c>
      <c r="P128" s="59" t="s">
        <v>119</v>
      </c>
    </row>
    <row r="129" spans="1:16">
      <c r="A129" s="73">
        <v>130</v>
      </c>
      <c r="B129" s="63" t="s">
        <v>69</v>
      </c>
      <c r="C129" s="442" t="s">
        <v>168</v>
      </c>
      <c r="D129" s="86" t="s">
        <v>169</v>
      </c>
      <c r="E129" s="86" t="s">
        <v>140</v>
      </c>
      <c r="F129" s="86" t="s">
        <v>120</v>
      </c>
      <c r="J129" s="59" t="s">
        <v>168</v>
      </c>
      <c r="M129" s="92">
        <v>200725</v>
      </c>
      <c r="N129" s="59" t="s">
        <v>814</v>
      </c>
      <c r="O129" s="59" t="s">
        <v>248</v>
      </c>
      <c r="P129" s="59" t="s">
        <v>120</v>
      </c>
    </row>
    <row r="130" spans="1:16">
      <c r="A130" s="73">
        <v>131</v>
      </c>
      <c r="B130" s="63" t="s">
        <v>70</v>
      </c>
      <c r="C130" s="442" t="s">
        <v>170</v>
      </c>
      <c r="D130" s="86" t="s">
        <v>171</v>
      </c>
      <c r="E130" s="86" t="s">
        <v>131</v>
      </c>
      <c r="F130" s="86" t="s">
        <v>121</v>
      </c>
      <c r="M130" s="92">
        <v>200727</v>
      </c>
      <c r="N130" s="59" t="s">
        <v>810</v>
      </c>
      <c r="O130" s="59" t="s">
        <v>248</v>
      </c>
      <c r="P130" s="59" t="s">
        <v>121</v>
      </c>
    </row>
    <row r="131" spans="1:16">
      <c r="A131" s="73">
        <v>132</v>
      </c>
      <c r="B131" s="59" t="s">
        <v>537</v>
      </c>
      <c r="C131" s="444" t="s">
        <v>541</v>
      </c>
      <c r="D131" s="93">
        <v>43810</v>
      </c>
      <c r="E131" s="59" t="s">
        <v>136</v>
      </c>
      <c r="F131" s="59" t="s">
        <v>538</v>
      </c>
      <c r="M131" s="59">
        <v>200804</v>
      </c>
    </row>
    <row r="132" spans="1:16">
      <c r="A132" s="73">
        <v>133</v>
      </c>
      <c r="B132" s="59" t="s">
        <v>534</v>
      </c>
      <c r="C132" s="444" t="s">
        <v>559</v>
      </c>
      <c r="D132" s="93">
        <v>43287</v>
      </c>
      <c r="E132" s="59" t="s">
        <v>136</v>
      </c>
      <c r="F132" s="59" t="s">
        <v>539</v>
      </c>
      <c r="M132" s="59">
        <v>200804</v>
      </c>
    </row>
    <row r="133" spans="1:16">
      <c r="A133" s="73">
        <v>134</v>
      </c>
      <c r="B133" s="59" t="s">
        <v>535</v>
      </c>
      <c r="C133" s="444" t="s">
        <v>542</v>
      </c>
      <c r="D133" s="93">
        <v>42202</v>
      </c>
      <c r="E133" s="59" t="s">
        <v>502</v>
      </c>
      <c r="F133" s="59" t="s">
        <v>540</v>
      </c>
      <c r="M133" s="59">
        <v>200806</v>
      </c>
    </row>
    <row r="134" spans="1:16">
      <c r="A134" s="73">
        <v>135</v>
      </c>
      <c r="B134" s="59" t="s">
        <v>802</v>
      </c>
      <c r="C134" s="445" t="s">
        <v>804</v>
      </c>
      <c r="E134" s="59" t="s">
        <v>529</v>
      </c>
      <c r="F134" s="59" t="s">
        <v>805</v>
      </c>
      <c r="M134" s="59">
        <v>200507</v>
      </c>
    </row>
    <row r="135" spans="1:16">
      <c r="A135" s="73">
        <v>136</v>
      </c>
      <c r="B135" s="59" t="s">
        <v>803</v>
      </c>
      <c r="C135" s="445" t="s">
        <v>806</v>
      </c>
      <c r="E135" s="59" t="s">
        <v>808</v>
      </c>
      <c r="F135" s="59" t="s">
        <v>807</v>
      </c>
      <c r="M135" s="59">
        <v>200507</v>
      </c>
    </row>
    <row r="136" spans="1:16">
      <c r="A136" s="73">
        <v>137</v>
      </c>
      <c r="B136" s="59" t="s">
        <v>837</v>
      </c>
      <c r="C136" s="445" t="s">
        <v>838</v>
      </c>
      <c r="D136" s="59" t="s">
        <v>839</v>
      </c>
      <c r="E136" s="59" t="s">
        <v>131</v>
      </c>
      <c r="F136" s="59" t="s">
        <v>840</v>
      </c>
      <c r="M136" s="872">
        <v>200904</v>
      </c>
      <c r="N136" s="447" t="s">
        <v>1042</v>
      </c>
      <c r="O136" s="59" t="s">
        <v>248</v>
      </c>
      <c r="P136" s="59" t="s">
        <v>840</v>
      </c>
    </row>
    <row r="137" spans="1:16">
      <c r="A137" s="73">
        <v>138</v>
      </c>
      <c r="B137" s="59" t="s">
        <v>858</v>
      </c>
      <c r="C137" s="445" t="s">
        <v>1041</v>
      </c>
      <c r="F137" s="59" t="s">
        <v>860</v>
      </c>
      <c r="M137" s="59">
        <v>200912</v>
      </c>
      <c r="N137" s="447" t="s">
        <v>1043</v>
      </c>
      <c r="O137" s="59" t="s">
        <v>248</v>
      </c>
      <c r="P137" s="59" t="s">
        <v>860</v>
      </c>
    </row>
    <row r="138" spans="1:16">
      <c r="A138" s="73">
        <v>139</v>
      </c>
      <c r="B138" s="59" t="s">
        <v>884</v>
      </c>
      <c r="C138" s="445" t="s">
        <v>885</v>
      </c>
      <c r="F138" s="59" t="s">
        <v>1044</v>
      </c>
      <c r="M138" s="59">
        <v>200920</v>
      </c>
      <c r="N138" s="447" t="s">
        <v>1045</v>
      </c>
      <c r="O138" s="59" t="s">
        <v>248</v>
      </c>
      <c r="P138" s="59" t="s">
        <v>1044</v>
      </c>
    </row>
    <row r="139" spans="1:16">
      <c r="A139" s="73">
        <v>140</v>
      </c>
      <c r="B139" s="59" t="s">
        <v>879</v>
      </c>
      <c r="C139" s="445" t="s">
        <v>880</v>
      </c>
      <c r="F139" s="59" t="s">
        <v>91</v>
      </c>
      <c r="M139" s="59">
        <v>200919</v>
      </c>
      <c r="N139" s="447" t="s">
        <v>1046</v>
      </c>
      <c r="O139" s="59" t="s">
        <v>248</v>
      </c>
      <c r="P139" s="59" t="s">
        <v>91</v>
      </c>
    </row>
    <row r="140" spans="1:16">
      <c r="A140" s="73">
        <v>141</v>
      </c>
      <c r="B140" s="59" t="s">
        <v>562</v>
      </c>
      <c r="C140" s="445" t="s">
        <v>563</v>
      </c>
      <c r="F140" s="59" t="s">
        <v>565</v>
      </c>
      <c r="M140" s="59">
        <v>200820</v>
      </c>
      <c r="N140" s="447" t="s">
        <v>1047</v>
      </c>
      <c r="O140" s="59" t="s">
        <v>248</v>
      </c>
      <c r="P140" s="59" t="s">
        <v>565</v>
      </c>
    </row>
    <row r="141" spans="1:16">
      <c r="A141" s="73">
        <v>142</v>
      </c>
      <c r="B141" s="59" t="s">
        <v>899</v>
      </c>
      <c r="C141" s="445" t="s">
        <v>900</v>
      </c>
      <c r="F141" s="59" t="s">
        <v>901</v>
      </c>
      <c r="M141" s="59">
        <v>200924</v>
      </c>
      <c r="N141" s="447" t="s">
        <v>1048</v>
      </c>
      <c r="O141" s="59" t="s">
        <v>248</v>
      </c>
      <c r="P141" s="59" t="s">
        <v>901</v>
      </c>
    </row>
    <row r="142" spans="1:16">
      <c r="A142" s="73">
        <v>143</v>
      </c>
      <c r="B142" s="59" t="s">
        <v>861</v>
      </c>
      <c r="C142" s="445" t="s">
        <v>862</v>
      </c>
      <c r="F142" s="59" t="s">
        <v>864</v>
      </c>
      <c r="M142" s="59">
        <v>200912</v>
      </c>
      <c r="N142" s="447" t="s">
        <v>1049</v>
      </c>
      <c r="O142" s="59" t="s">
        <v>248</v>
      </c>
      <c r="P142" s="59" t="s">
        <v>864</v>
      </c>
    </row>
    <row r="143" spans="1:16">
      <c r="A143" s="73">
        <v>144</v>
      </c>
      <c r="B143" s="59" t="s">
        <v>865</v>
      </c>
      <c r="C143" s="445" t="s">
        <v>866</v>
      </c>
      <c r="F143" s="59" t="s">
        <v>867</v>
      </c>
      <c r="M143" s="59">
        <v>200912</v>
      </c>
      <c r="N143" s="447" t="s">
        <v>1050</v>
      </c>
      <c r="O143" s="59" t="s">
        <v>248</v>
      </c>
      <c r="P143" s="59" t="s">
        <v>867</v>
      </c>
    </row>
    <row r="144" spans="1:16">
      <c r="A144" s="73">
        <v>145</v>
      </c>
    </row>
    <row r="145" spans="1:1">
      <c r="A145" s="73">
        <v>146</v>
      </c>
    </row>
    <row r="146" spans="1:1">
      <c r="A146" s="73">
        <v>147</v>
      </c>
    </row>
    <row r="147" spans="1:1">
      <c r="A147" s="73">
        <v>148</v>
      </c>
    </row>
    <row r="148" spans="1:1">
      <c r="A148" s="73">
        <v>149</v>
      </c>
    </row>
    <row r="149" spans="1:1">
      <c r="A149" s="73">
        <v>150</v>
      </c>
    </row>
    <row r="150" spans="1:1">
      <c r="A150" s="73">
        <v>151</v>
      </c>
    </row>
    <row r="151" spans="1:1">
      <c r="A151" s="73">
        <v>152</v>
      </c>
    </row>
    <row r="152" spans="1:1">
      <c r="A152" s="73">
        <v>153</v>
      </c>
    </row>
    <row r="153" spans="1:1">
      <c r="A153" s="73">
        <v>154</v>
      </c>
    </row>
    <row r="154" spans="1:1">
      <c r="A154" s="73">
        <v>155</v>
      </c>
    </row>
    <row r="155" spans="1:1">
      <c r="A155" s="73">
        <v>156</v>
      </c>
    </row>
    <row r="156" spans="1:1">
      <c r="A156" s="73">
        <v>157</v>
      </c>
    </row>
    <row r="157" spans="1:1">
      <c r="A157" s="73">
        <v>158</v>
      </c>
    </row>
    <row r="158" spans="1:1">
      <c r="A158" s="73">
        <v>159</v>
      </c>
    </row>
    <row r="159" spans="1:1">
      <c r="A159" s="73">
        <v>160</v>
      </c>
    </row>
    <row r="160" spans="1:1">
      <c r="A160" s="73">
        <v>161</v>
      </c>
    </row>
  </sheetData>
  <autoFilter ref="A8:Q160"/>
  <mergeCells count="11">
    <mergeCell ref="P7:P8"/>
    <mergeCell ref="Q7:Q8"/>
    <mergeCell ref="A7:A8"/>
    <mergeCell ref="B7:B8"/>
    <mergeCell ref="F7:F8"/>
    <mergeCell ref="G7:G8"/>
    <mergeCell ref="H7:H8"/>
    <mergeCell ref="I7:I8"/>
    <mergeCell ref="N7:N8"/>
    <mergeCell ref="O7:O8"/>
    <mergeCell ref="M7:M8"/>
  </mergeCells>
  <conditionalFormatting sqref="F88">
    <cfRule type="duplicateValues" dxfId="8" priority="3"/>
  </conditionalFormatting>
  <conditionalFormatting sqref="F87">
    <cfRule type="duplicateValues" dxfId="7" priority="6"/>
  </conditionalFormatting>
  <conditionalFormatting sqref="B1:B1048576">
    <cfRule type="duplicateValues" dxfId="6" priority="1"/>
    <cfRule type="duplicateValues" dxfId="5" priority="2"/>
  </conditionalFormatting>
  <pageMargins left="0.25" right="0.25" top="0.25" bottom="0.5" header="0.3" footer="0.3"/>
  <pageSetup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zoomScaleNormal="100" workbookViewId="0">
      <pane xSplit="11" ySplit="7" topLeftCell="L110" activePane="bottomRight" state="frozen"/>
      <selection pane="topRight" activeCell="L1" sqref="L1"/>
      <selection pane="bottomLeft" activeCell="A8" sqref="A8"/>
      <selection pane="bottomRight" activeCell="K115" sqref="I113:K115"/>
    </sheetView>
  </sheetViews>
  <sheetFormatPr defaultColWidth="9.140625" defaultRowHeight="15"/>
  <cols>
    <col min="1" max="1" width="5.5703125" style="59" customWidth="1"/>
    <col min="2" max="2" width="11.7109375" style="59" customWidth="1"/>
    <col min="3" max="3" width="28" style="59" customWidth="1"/>
    <col min="4" max="4" width="11.140625" style="59" hidden="1" customWidth="1"/>
    <col min="5" max="6" width="11.42578125" style="59" hidden="1" customWidth="1"/>
    <col min="7" max="7" width="12.140625" style="59" customWidth="1"/>
    <col min="8" max="8" width="14.5703125" style="59" customWidth="1"/>
    <col min="9" max="9" width="20.28515625" style="59" customWidth="1"/>
    <col min="10" max="10" width="15.28515625" style="447" customWidth="1"/>
    <col min="11" max="11" width="35.5703125" style="59" customWidth="1"/>
    <col min="12" max="12" width="26.28515625" style="59" customWidth="1"/>
    <col min="13" max="13" width="26.85546875" style="59" customWidth="1"/>
    <col min="14" max="14" width="18.140625" style="59" customWidth="1"/>
    <col min="15" max="15" width="19.28515625" style="59" customWidth="1"/>
    <col min="16" max="16384" width="9.140625" style="59"/>
  </cols>
  <sheetData>
    <row r="1" spans="1:13" ht="18.75" customHeight="1">
      <c r="A1" s="58" t="s">
        <v>233</v>
      </c>
      <c r="B1" s="58"/>
      <c r="C1" s="58"/>
    </row>
    <row r="2" spans="1:13" ht="20.25" customHeight="1">
      <c r="A2" s="58" t="s">
        <v>234</v>
      </c>
      <c r="B2" s="58"/>
      <c r="C2" s="58"/>
    </row>
    <row r="3" spans="1:13">
      <c r="A3" s="990" t="s">
        <v>235</v>
      </c>
      <c r="B3" s="990"/>
      <c r="C3" s="990"/>
      <c r="D3" s="990"/>
      <c r="E3" s="990"/>
      <c r="F3" s="990"/>
      <c r="G3" s="990"/>
      <c r="H3" s="990"/>
      <c r="I3" s="990"/>
      <c r="J3" s="990"/>
      <c r="K3" s="990"/>
      <c r="L3" s="990"/>
      <c r="M3" s="990"/>
    </row>
    <row r="4" spans="1:13">
      <c r="A4" s="990"/>
      <c r="B4" s="990"/>
      <c r="C4" s="990"/>
      <c r="D4" s="990"/>
      <c r="E4" s="990"/>
      <c r="F4" s="990"/>
      <c r="G4" s="990"/>
      <c r="H4" s="990"/>
      <c r="I4" s="990"/>
      <c r="J4" s="990"/>
      <c r="K4" s="990"/>
      <c r="L4" s="990"/>
      <c r="M4" s="990"/>
    </row>
    <row r="5" spans="1:13" ht="13.5" customHeight="1">
      <c r="B5" s="59">
        <v>1</v>
      </c>
      <c r="C5" s="59">
        <v>2</v>
      </c>
      <c r="D5" s="59">
        <v>3</v>
      </c>
      <c r="E5" s="59">
        <v>4</v>
      </c>
      <c r="F5" s="59">
        <v>5</v>
      </c>
      <c r="G5" s="59">
        <v>6</v>
      </c>
      <c r="H5" s="59">
        <v>7</v>
      </c>
      <c r="I5" s="59">
        <v>8</v>
      </c>
      <c r="J5" s="447">
        <v>9</v>
      </c>
      <c r="K5" s="59">
        <v>10</v>
      </c>
      <c r="L5" s="59">
        <v>11</v>
      </c>
      <c r="M5" s="59">
        <v>12</v>
      </c>
    </row>
    <row r="6" spans="1:13" s="62" customFormat="1" ht="15.75" customHeight="1">
      <c r="A6" s="991" t="s">
        <v>18</v>
      </c>
      <c r="B6" s="985" t="s">
        <v>236</v>
      </c>
      <c r="C6" s="985" t="s">
        <v>237</v>
      </c>
      <c r="D6" s="985" t="s">
        <v>238</v>
      </c>
      <c r="E6" s="985" t="s">
        <v>239</v>
      </c>
      <c r="F6" s="985" t="s">
        <v>240</v>
      </c>
      <c r="G6" s="453" t="s">
        <v>241</v>
      </c>
      <c r="H6" s="453"/>
      <c r="I6" s="453"/>
      <c r="J6" s="993" t="s">
        <v>242</v>
      </c>
      <c r="K6" s="985" t="s">
        <v>243</v>
      </c>
      <c r="L6" s="985" t="s">
        <v>244</v>
      </c>
      <c r="M6" s="987" t="s">
        <v>201</v>
      </c>
    </row>
    <row r="7" spans="1:13" s="62" customFormat="1" ht="15.75" customHeight="1">
      <c r="A7" s="992"/>
      <c r="B7" s="986"/>
      <c r="C7" s="986"/>
      <c r="D7" s="986"/>
      <c r="E7" s="986"/>
      <c r="F7" s="986"/>
      <c r="G7" s="454" t="s">
        <v>3</v>
      </c>
      <c r="H7" s="454" t="s">
        <v>4</v>
      </c>
      <c r="I7" s="454" t="s">
        <v>245</v>
      </c>
      <c r="J7" s="994"/>
      <c r="K7" s="986"/>
      <c r="L7" s="986"/>
      <c r="M7" s="988"/>
    </row>
    <row r="8" spans="1:13">
      <c r="A8" s="455">
        <v>1</v>
      </c>
      <c r="B8" s="63" t="s">
        <v>246</v>
      </c>
      <c r="C8" s="456" t="s">
        <v>247</v>
      </c>
      <c r="D8" s="457"/>
      <c r="E8" s="457"/>
      <c r="F8" s="457"/>
      <c r="G8" s="457"/>
      <c r="H8" s="457"/>
      <c r="I8" s="457"/>
      <c r="J8" s="448">
        <v>1013014502</v>
      </c>
      <c r="K8" s="456" t="s">
        <v>248</v>
      </c>
      <c r="L8" s="458" t="s">
        <v>247</v>
      </c>
      <c r="M8" s="459"/>
    </row>
    <row r="9" spans="1:13">
      <c r="A9" s="455">
        <v>2</v>
      </c>
      <c r="B9" s="63" t="s">
        <v>249</v>
      </c>
      <c r="C9" s="456" t="s">
        <v>144</v>
      </c>
      <c r="D9" s="457"/>
      <c r="E9" s="457"/>
      <c r="F9" s="457"/>
      <c r="G9" s="457"/>
      <c r="H9" s="457"/>
      <c r="I9" s="457"/>
      <c r="J9" s="560"/>
      <c r="K9" s="456"/>
      <c r="L9" s="458" t="s">
        <v>144</v>
      </c>
      <c r="M9" s="459"/>
    </row>
    <row r="10" spans="1:13">
      <c r="A10" s="455">
        <v>3</v>
      </c>
      <c r="B10" s="63" t="s">
        <v>250</v>
      </c>
      <c r="C10" s="456" t="s">
        <v>251</v>
      </c>
      <c r="D10" s="457"/>
      <c r="E10" s="457"/>
      <c r="F10" s="457"/>
      <c r="G10" s="457"/>
      <c r="H10" s="457"/>
      <c r="I10" s="457"/>
      <c r="J10" s="560" t="s">
        <v>252</v>
      </c>
      <c r="K10" s="456" t="s">
        <v>248</v>
      </c>
      <c r="L10" s="458" t="s">
        <v>251</v>
      </c>
      <c r="M10" s="459"/>
    </row>
    <row r="11" spans="1:13">
      <c r="A11" s="455">
        <v>4</v>
      </c>
      <c r="B11" s="63" t="s">
        <v>253</v>
      </c>
      <c r="C11" s="456" t="s">
        <v>21</v>
      </c>
      <c r="D11" s="457"/>
      <c r="E11" s="457"/>
      <c r="F11" s="457"/>
      <c r="G11" s="457"/>
      <c r="H11" s="457"/>
      <c r="I11" s="457"/>
      <c r="J11" s="560"/>
      <c r="K11" s="456"/>
      <c r="L11" s="458" t="s">
        <v>21</v>
      </c>
      <c r="M11" s="459"/>
    </row>
    <row r="12" spans="1:13">
      <c r="A12" s="455">
        <v>5</v>
      </c>
      <c r="B12" s="63" t="s">
        <v>254</v>
      </c>
      <c r="C12" s="456" t="s">
        <v>255</v>
      </c>
      <c r="D12" s="457"/>
      <c r="E12" s="457"/>
      <c r="F12" s="457"/>
      <c r="G12" s="457"/>
      <c r="H12" s="457"/>
      <c r="I12" s="457"/>
      <c r="J12" s="560">
        <v>1013014481</v>
      </c>
      <c r="K12" s="456" t="s">
        <v>248</v>
      </c>
      <c r="L12" s="458" t="s">
        <v>255</v>
      </c>
      <c r="M12" s="459"/>
    </row>
    <row r="13" spans="1:13">
      <c r="A13" s="455">
        <v>7</v>
      </c>
      <c r="B13" s="63" t="s">
        <v>256</v>
      </c>
      <c r="C13" s="456" t="s">
        <v>257</v>
      </c>
      <c r="D13" s="457"/>
      <c r="E13" s="457"/>
      <c r="F13" s="457"/>
      <c r="G13" s="457"/>
      <c r="H13" s="457"/>
      <c r="I13" s="457"/>
      <c r="J13" s="560" t="s">
        <v>258</v>
      </c>
      <c r="K13" s="456" t="s">
        <v>248</v>
      </c>
      <c r="L13" s="458" t="s">
        <v>257</v>
      </c>
      <c r="M13" s="459"/>
    </row>
    <row r="14" spans="1:13">
      <c r="A14" s="455">
        <v>8</v>
      </c>
      <c r="B14" s="63" t="s">
        <v>259</v>
      </c>
      <c r="C14" s="456" t="s">
        <v>260</v>
      </c>
      <c r="D14" s="457"/>
      <c r="E14" s="457"/>
      <c r="F14" s="457"/>
      <c r="G14" s="457"/>
      <c r="H14" s="457"/>
      <c r="I14" s="457"/>
      <c r="J14" s="560">
        <v>1013013505</v>
      </c>
      <c r="K14" s="456" t="s">
        <v>248</v>
      </c>
      <c r="L14" s="458" t="s">
        <v>260</v>
      </c>
      <c r="M14" s="459"/>
    </row>
    <row r="15" spans="1:13">
      <c r="A15" s="455">
        <v>9</v>
      </c>
      <c r="B15" s="63" t="s">
        <v>27</v>
      </c>
      <c r="C15" s="456" t="s">
        <v>71</v>
      </c>
      <c r="D15" s="457"/>
      <c r="E15" s="457"/>
      <c r="F15" s="457"/>
      <c r="G15" s="457"/>
      <c r="H15" s="457"/>
      <c r="I15" s="457"/>
      <c r="J15" s="561" t="s">
        <v>261</v>
      </c>
      <c r="K15" s="456" t="s">
        <v>248</v>
      </c>
      <c r="L15" s="458" t="s">
        <v>71</v>
      </c>
      <c r="M15" s="459"/>
    </row>
    <row r="16" spans="1:13">
      <c r="A16" s="455">
        <v>10</v>
      </c>
      <c r="B16" s="63" t="s">
        <v>262</v>
      </c>
      <c r="C16" s="456" t="s">
        <v>263</v>
      </c>
      <c r="D16" s="457"/>
      <c r="E16" s="457"/>
      <c r="F16" s="457"/>
      <c r="G16" s="457"/>
      <c r="H16" s="457"/>
      <c r="I16" s="457"/>
      <c r="J16" s="560" t="s">
        <v>264</v>
      </c>
      <c r="K16" s="456" t="s">
        <v>248</v>
      </c>
      <c r="L16" s="458" t="s">
        <v>263</v>
      </c>
      <c r="M16" s="459"/>
    </row>
    <row r="17" spans="1:13">
      <c r="A17" s="455">
        <v>11</v>
      </c>
      <c r="B17" s="63" t="s">
        <v>265</v>
      </c>
      <c r="C17" s="456" t="s">
        <v>266</v>
      </c>
      <c r="D17" s="457"/>
      <c r="E17" s="457"/>
      <c r="F17" s="457"/>
      <c r="G17" s="457"/>
      <c r="H17" s="457"/>
      <c r="I17" s="457"/>
      <c r="J17" s="560">
        <v>1013013758</v>
      </c>
      <c r="K17" s="456" t="s">
        <v>248</v>
      </c>
      <c r="L17" s="458" t="s">
        <v>266</v>
      </c>
      <c r="M17" s="459"/>
    </row>
    <row r="18" spans="1:13">
      <c r="A18" s="455">
        <v>12</v>
      </c>
      <c r="B18" s="63" t="s">
        <v>28</v>
      </c>
      <c r="C18" s="456" t="s">
        <v>72</v>
      </c>
      <c r="D18" s="457"/>
      <c r="E18" s="457"/>
      <c r="F18" s="457"/>
      <c r="G18" s="457"/>
      <c r="H18" s="457"/>
      <c r="I18" s="457"/>
      <c r="J18" s="560" t="s">
        <v>267</v>
      </c>
      <c r="K18" s="456" t="s">
        <v>248</v>
      </c>
      <c r="L18" s="458" t="s">
        <v>72</v>
      </c>
      <c r="M18" s="459"/>
    </row>
    <row r="19" spans="1:13">
      <c r="A19" s="455">
        <v>13</v>
      </c>
      <c r="B19" s="63" t="s">
        <v>29</v>
      </c>
      <c r="C19" s="456" t="s">
        <v>73</v>
      </c>
      <c r="D19" s="457"/>
      <c r="E19" s="457"/>
      <c r="F19" s="457"/>
      <c r="G19" s="457"/>
      <c r="H19" s="457"/>
      <c r="I19" s="457"/>
      <c r="J19" s="560" t="s">
        <v>268</v>
      </c>
      <c r="K19" s="456" t="s">
        <v>248</v>
      </c>
      <c r="L19" s="458" t="s">
        <v>73</v>
      </c>
      <c r="M19" s="459"/>
    </row>
    <row r="20" spans="1:13">
      <c r="A20" s="455">
        <v>17</v>
      </c>
      <c r="B20" s="63" t="s">
        <v>269</v>
      </c>
      <c r="C20" s="456" t="s">
        <v>270</v>
      </c>
      <c r="D20" s="457"/>
      <c r="E20" s="457"/>
      <c r="F20" s="457"/>
      <c r="G20" s="457"/>
      <c r="H20" s="457"/>
      <c r="I20" s="457"/>
      <c r="J20" s="560" t="s">
        <v>271</v>
      </c>
      <c r="K20" s="456" t="s">
        <v>248</v>
      </c>
      <c r="L20" s="458" t="s">
        <v>270</v>
      </c>
      <c r="M20" s="459"/>
    </row>
    <row r="21" spans="1:13">
      <c r="A21" s="455">
        <v>18</v>
      </c>
      <c r="B21" s="145" t="s">
        <v>38</v>
      </c>
      <c r="C21" s="64" t="s">
        <v>82</v>
      </c>
      <c r="D21" s="180"/>
      <c r="E21" s="180"/>
      <c r="F21" s="180"/>
      <c r="G21" s="180"/>
      <c r="H21" s="180"/>
      <c r="I21" s="457"/>
      <c r="J21" s="448" t="s">
        <v>272</v>
      </c>
      <c r="K21" s="456" t="s">
        <v>248</v>
      </c>
      <c r="L21" s="458" t="s">
        <v>273</v>
      </c>
      <c r="M21" s="459" t="s">
        <v>274</v>
      </c>
    </row>
    <row r="22" spans="1:13">
      <c r="A22" s="455">
        <v>19</v>
      </c>
      <c r="B22" s="63" t="s">
        <v>31</v>
      </c>
      <c r="C22" s="456" t="s">
        <v>75</v>
      </c>
      <c r="D22" s="457"/>
      <c r="E22" s="457"/>
      <c r="F22" s="457"/>
      <c r="G22" s="457"/>
      <c r="H22" s="457"/>
      <c r="I22" s="457"/>
      <c r="J22" s="560">
        <v>1013014589</v>
      </c>
      <c r="K22" s="456" t="s">
        <v>248</v>
      </c>
      <c r="L22" s="458" t="s">
        <v>75</v>
      </c>
      <c r="M22" s="459"/>
    </row>
    <row r="23" spans="1:13">
      <c r="A23" s="455">
        <v>20</v>
      </c>
      <c r="B23" s="63" t="s">
        <v>275</v>
      </c>
      <c r="C23" s="456" t="s">
        <v>276</v>
      </c>
      <c r="D23" s="457"/>
      <c r="E23" s="457"/>
      <c r="F23" s="457"/>
      <c r="G23" s="457"/>
      <c r="H23" s="457"/>
      <c r="I23" s="457"/>
      <c r="J23" s="560">
        <v>1013013931</v>
      </c>
      <c r="K23" s="456" t="s">
        <v>248</v>
      </c>
      <c r="L23" s="458" t="s">
        <v>276</v>
      </c>
      <c r="M23" s="459"/>
    </row>
    <row r="24" spans="1:13">
      <c r="A24" s="455">
        <v>21</v>
      </c>
      <c r="B24" s="63" t="s">
        <v>277</v>
      </c>
      <c r="C24" s="456" t="s">
        <v>278</v>
      </c>
      <c r="D24" s="457"/>
      <c r="E24" s="457"/>
      <c r="F24" s="457"/>
      <c r="G24" s="457"/>
      <c r="H24" s="457"/>
      <c r="I24" s="457"/>
      <c r="J24" s="560">
        <v>1013014011</v>
      </c>
      <c r="K24" s="456" t="s">
        <v>248</v>
      </c>
      <c r="L24" s="458" t="s">
        <v>278</v>
      </c>
      <c r="M24" s="459"/>
    </row>
    <row r="25" spans="1:13">
      <c r="A25" s="455">
        <v>22</v>
      </c>
      <c r="B25" s="63" t="s">
        <v>279</v>
      </c>
      <c r="C25" s="456" t="s">
        <v>280</v>
      </c>
      <c r="D25" s="457"/>
      <c r="E25" s="457"/>
      <c r="F25" s="457"/>
      <c r="G25" s="457"/>
      <c r="H25" s="457"/>
      <c r="I25" s="457"/>
      <c r="J25" s="560">
        <v>1013014218</v>
      </c>
      <c r="K25" s="456" t="s">
        <v>248</v>
      </c>
      <c r="L25" s="458" t="s">
        <v>280</v>
      </c>
      <c r="M25" s="459"/>
    </row>
    <row r="26" spans="1:13">
      <c r="A26" s="455">
        <v>24</v>
      </c>
      <c r="B26" s="63" t="s">
        <v>281</v>
      </c>
      <c r="C26" s="456" t="s">
        <v>282</v>
      </c>
      <c r="D26" s="457"/>
      <c r="E26" s="457"/>
      <c r="F26" s="457"/>
      <c r="G26" s="457"/>
      <c r="H26" s="457"/>
      <c r="I26" s="457"/>
      <c r="J26" s="560"/>
      <c r="K26" s="456"/>
      <c r="L26" s="458" t="s">
        <v>282</v>
      </c>
      <c r="M26" s="459"/>
    </row>
    <row r="27" spans="1:13">
      <c r="A27" s="455">
        <v>25</v>
      </c>
      <c r="B27" s="63" t="s">
        <v>283</v>
      </c>
      <c r="C27" s="456" t="s">
        <v>284</v>
      </c>
      <c r="D27" s="457"/>
      <c r="E27" s="457"/>
      <c r="F27" s="457"/>
      <c r="G27" s="457"/>
      <c r="H27" s="457"/>
      <c r="I27" s="457"/>
      <c r="J27" s="560" t="s">
        <v>285</v>
      </c>
      <c r="K27" s="456" t="s">
        <v>248</v>
      </c>
      <c r="L27" s="458" t="s">
        <v>284</v>
      </c>
      <c r="M27" s="459"/>
    </row>
    <row r="28" spans="1:13">
      <c r="A28" s="455">
        <v>27</v>
      </c>
      <c r="B28" s="63" t="s">
        <v>32</v>
      </c>
      <c r="C28" s="456" t="s">
        <v>76</v>
      </c>
      <c r="D28" s="457"/>
      <c r="E28" s="457"/>
      <c r="F28" s="457"/>
      <c r="G28" s="457"/>
      <c r="H28" s="457"/>
      <c r="I28" s="457"/>
      <c r="J28" s="561">
        <v>1013014782</v>
      </c>
      <c r="K28" s="456" t="s">
        <v>248</v>
      </c>
      <c r="L28" s="458" t="s">
        <v>76</v>
      </c>
      <c r="M28" s="459"/>
    </row>
    <row r="29" spans="1:13">
      <c r="A29" s="455">
        <v>29</v>
      </c>
      <c r="B29" s="63" t="s">
        <v>286</v>
      </c>
      <c r="C29" s="456" t="s">
        <v>287</v>
      </c>
      <c r="D29" s="457"/>
      <c r="E29" s="457"/>
      <c r="F29" s="457"/>
      <c r="G29" s="457"/>
      <c r="H29" s="457"/>
      <c r="I29" s="457"/>
      <c r="J29" s="560"/>
      <c r="K29" s="456"/>
      <c r="L29" s="458" t="s">
        <v>287</v>
      </c>
      <c r="M29" s="459"/>
    </row>
    <row r="30" spans="1:13">
      <c r="A30" s="455">
        <v>30</v>
      </c>
      <c r="B30" s="63" t="s">
        <v>288</v>
      </c>
      <c r="C30" s="456" t="s">
        <v>289</v>
      </c>
      <c r="D30" s="457"/>
      <c r="E30" s="457"/>
      <c r="F30" s="457"/>
      <c r="G30" s="457"/>
      <c r="H30" s="457"/>
      <c r="I30" s="457"/>
      <c r="J30" s="560"/>
      <c r="K30" s="456"/>
      <c r="L30" s="458" t="s">
        <v>289</v>
      </c>
      <c r="M30" s="459"/>
    </row>
    <row r="31" spans="1:13">
      <c r="A31" s="455">
        <v>31</v>
      </c>
      <c r="B31" s="63" t="s">
        <v>290</v>
      </c>
      <c r="C31" s="456" t="s">
        <v>291</v>
      </c>
      <c r="D31" s="457"/>
      <c r="E31" s="457"/>
      <c r="F31" s="457"/>
      <c r="G31" s="457"/>
      <c r="H31" s="457"/>
      <c r="I31" s="457"/>
      <c r="J31" s="560"/>
      <c r="K31" s="456"/>
      <c r="L31" s="458" t="s">
        <v>291</v>
      </c>
      <c r="M31" s="459"/>
    </row>
    <row r="32" spans="1:13">
      <c r="A32" s="455">
        <v>32</v>
      </c>
      <c r="B32" s="63" t="s">
        <v>292</v>
      </c>
      <c r="C32" s="456" t="s">
        <v>293</v>
      </c>
      <c r="D32" s="457"/>
      <c r="E32" s="457"/>
      <c r="F32" s="457"/>
      <c r="G32" s="457"/>
      <c r="H32" s="457"/>
      <c r="I32" s="457"/>
      <c r="J32" s="560" t="s">
        <v>294</v>
      </c>
      <c r="K32" s="456" t="s">
        <v>248</v>
      </c>
      <c r="L32" s="458" t="s">
        <v>293</v>
      </c>
      <c r="M32" s="459"/>
    </row>
    <row r="33" spans="1:13">
      <c r="A33" s="455">
        <v>33</v>
      </c>
      <c r="B33" s="63" t="s">
        <v>295</v>
      </c>
      <c r="C33" s="456" t="s">
        <v>296</v>
      </c>
      <c r="D33" s="457"/>
      <c r="E33" s="457"/>
      <c r="F33" s="457"/>
      <c r="G33" s="457"/>
      <c r="H33" s="457"/>
      <c r="I33" s="457"/>
      <c r="J33" s="560" t="s">
        <v>297</v>
      </c>
      <c r="K33" s="456" t="s">
        <v>248</v>
      </c>
      <c r="L33" s="458" t="s">
        <v>296</v>
      </c>
      <c r="M33" s="459"/>
    </row>
    <row r="34" spans="1:13">
      <c r="A34" s="455">
        <v>34</v>
      </c>
      <c r="B34" s="63" t="s">
        <v>298</v>
      </c>
      <c r="C34" s="456" t="s">
        <v>299</v>
      </c>
      <c r="D34" s="457"/>
      <c r="E34" s="457"/>
      <c r="F34" s="457"/>
      <c r="G34" s="457"/>
      <c r="H34" s="457"/>
      <c r="I34" s="457"/>
      <c r="J34" s="561" t="s">
        <v>300</v>
      </c>
      <c r="K34" s="456" t="s">
        <v>248</v>
      </c>
      <c r="L34" s="458" t="s">
        <v>299</v>
      </c>
      <c r="M34" s="459"/>
    </row>
    <row r="35" spans="1:13">
      <c r="A35" s="455">
        <v>35</v>
      </c>
      <c r="B35" s="63" t="s">
        <v>301</v>
      </c>
      <c r="C35" s="456" t="s">
        <v>302</v>
      </c>
      <c r="D35" s="457"/>
      <c r="E35" s="457"/>
      <c r="F35" s="457"/>
      <c r="G35" s="457"/>
      <c r="H35" s="457"/>
      <c r="I35" s="457"/>
      <c r="J35" s="560"/>
      <c r="K35" s="456"/>
      <c r="L35" s="458" t="s">
        <v>302</v>
      </c>
      <c r="M35" s="459"/>
    </row>
    <row r="36" spans="1:13">
      <c r="A36" s="455">
        <v>37</v>
      </c>
      <c r="B36" s="63" t="s">
        <v>303</v>
      </c>
      <c r="C36" s="456" t="s">
        <v>304</v>
      </c>
      <c r="D36" s="457"/>
      <c r="E36" s="457"/>
      <c r="F36" s="457"/>
      <c r="G36" s="457"/>
      <c r="H36" s="457"/>
      <c r="I36" s="457"/>
      <c r="J36" s="560"/>
      <c r="K36" s="456"/>
      <c r="L36" s="458" t="s">
        <v>304</v>
      </c>
      <c r="M36" s="459"/>
    </row>
    <row r="37" spans="1:13">
      <c r="A37" s="455">
        <v>38</v>
      </c>
      <c r="B37" s="63" t="s">
        <v>305</v>
      </c>
      <c r="C37" s="456" t="s">
        <v>306</v>
      </c>
      <c r="D37" s="457"/>
      <c r="E37" s="457"/>
      <c r="F37" s="457"/>
      <c r="G37" s="457"/>
      <c r="H37" s="457"/>
      <c r="I37" s="457"/>
      <c r="J37" s="560" t="s">
        <v>307</v>
      </c>
      <c r="K37" s="456" t="s">
        <v>248</v>
      </c>
      <c r="L37" s="458" t="s">
        <v>306</v>
      </c>
      <c r="M37" s="459"/>
    </row>
    <row r="38" spans="1:13">
      <c r="A38" s="455">
        <v>39</v>
      </c>
      <c r="B38" s="63" t="s">
        <v>308</v>
      </c>
      <c r="C38" s="456" t="s">
        <v>309</v>
      </c>
      <c r="D38" s="457"/>
      <c r="E38" s="457"/>
      <c r="F38" s="457"/>
      <c r="G38" s="457"/>
      <c r="H38" s="457"/>
      <c r="I38" s="457"/>
      <c r="J38" s="560">
        <v>31000284659</v>
      </c>
      <c r="K38" s="456" t="s">
        <v>248</v>
      </c>
      <c r="L38" s="458" t="s">
        <v>309</v>
      </c>
      <c r="M38" s="459"/>
    </row>
    <row r="39" spans="1:13">
      <c r="A39" s="455">
        <v>41</v>
      </c>
      <c r="B39" s="63" t="s">
        <v>42</v>
      </c>
      <c r="C39" s="456" t="s">
        <v>87</v>
      </c>
      <c r="D39" s="457"/>
      <c r="E39" s="457"/>
      <c r="F39" s="457"/>
      <c r="G39" s="457"/>
      <c r="H39" s="457"/>
      <c r="I39" s="457"/>
      <c r="J39" s="560" t="s">
        <v>310</v>
      </c>
      <c r="K39" s="456" t="s">
        <v>248</v>
      </c>
      <c r="L39" s="458" t="s">
        <v>87</v>
      </c>
      <c r="M39" s="459"/>
    </row>
    <row r="40" spans="1:13">
      <c r="A40" s="455">
        <v>42</v>
      </c>
      <c r="B40" s="63" t="s">
        <v>311</v>
      </c>
      <c r="C40" s="456" t="s">
        <v>88</v>
      </c>
      <c r="D40" s="457"/>
      <c r="E40" s="457"/>
      <c r="F40" s="457"/>
      <c r="G40" s="457"/>
      <c r="H40" s="457"/>
      <c r="I40" s="457"/>
      <c r="J40" s="560" t="s">
        <v>312</v>
      </c>
      <c r="K40" s="456" t="s">
        <v>248</v>
      </c>
      <c r="L40" s="458" t="s">
        <v>88</v>
      </c>
      <c r="M40" s="459"/>
    </row>
    <row r="41" spans="1:13">
      <c r="A41" s="455">
        <v>43</v>
      </c>
      <c r="B41" s="63" t="s">
        <v>313</v>
      </c>
      <c r="C41" s="456" t="s">
        <v>314</v>
      </c>
      <c r="D41" s="457"/>
      <c r="E41" s="457"/>
      <c r="F41" s="457"/>
      <c r="G41" s="457"/>
      <c r="H41" s="457"/>
      <c r="I41" s="457"/>
      <c r="J41" s="560"/>
      <c r="K41" s="456"/>
      <c r="L41" s="458" t="s">
        <v>314</v>
      </c>
      <c r="M41" s="459"/>
    </row>
    <row r="42" spans="1:13">
      <c r="A42" s="455">
        <v>44</v>
      </c>
      <c r="B42" s="63" t="s">
        <v>33</v>
      </c>
      <c r="C42" s="456" t="s">
        <v>77</v>
      </c>
      <c r="D42" s="457"/>
      <c r="E42" s="457"/>
      <c r="F42" s="457"/>
      <c r="G42" s="457"/>
      <c r="H42" s="457"/>
      <c r="I42" s="457"/>
      <c r="J42" s="560" t="s">
        <v>315</v>
      </c>
      <c r="K42" s="456" t="s">
        <v>248</v>
      </c>
      <c r="L42" s="458" t="s">
        <v>77</v>
      </c>
      <c r="M42" s="459"/>
    </row>
    <row r="43" spans="1:13">
      <c r="A43" s="455">
        <v>45</v>
      </c>
      <c r="B43" s="63" t="s">
        <v>316</v>
      </c>
      <c r="C43" s="456" t="s">
        <v>317</v>
      </c>
      <c r="D43" s="457"/>
      <c r="E43" s="457"/>
      <c r="F43" s="457"/>
      <c r="G43" s="457"/>
      <c r="H43" s="457"/>
      <c r="I43" s="457"/>
      <c r="J43" s="560" t="s">
        <v>318</v>
      </c>
      <c r="K43" s="456" t="s">
        <v>248</v>
      </c>
      <c r="L43" s="458" t="s">
        <v>317</v>
      </c>
      <c r="M43" s="459"/>
    </row>
    <row r="44" spans="1:13">
      <c r="A44" s="455">
        <v>47</v>
      </c>
      <c r="B44" s="63" t="s">
        <v>319</v>
      </c>
      <c r="C44" s="456" t="s">
        <v>320</v>
      </c>
      <c r="D44" s="457"/>
      <c r="E44" s="457"/>
      <c r="F44" s="457"/>
      <c r="G44" s="457"/>
      <c r="H44" s="457"/>
      <c r="I44" s="457"/>
      <c r="J44" s="560"/>
      <c r="K44" s="461"/>
      <c r="L44" s="458"/>
      <c r="M44" s="459"/>
    </row>
    <row r="45" spans="1:13">
      <c r="A45" s="455">
        <v>48</v>
      </c>
      <c r="B45" s="145" t="s">
        <v>321</v>
      </c>
      <c r="C45" s="462" t="s">
        <v>322</v>
      </c>
      <c r="D45" s="457"/>
      <c r="E45" s="457"/>
      <c r="F45" s="457"/>
      <c r="G45" s="457"/>
      <c r="H45" s="457"/>
      <c r="I45" s="457"/>
      <c r="J45" s="562"/>
      <c r="K45" s="451"/>
      <c r="L45" s="458"/>
      <c r="M45" s="463"/>
    </row>
    <row r="46" spans="1:13">
      <c r="A46" s="455">
        <v>49</v>
      </c>
      <c r="B46" s="145" t="s">
        <v>323</v>
      </c>
      <c r="C46" s="462" t="s">
        <v>324</v>
      </c>
      <c r="D46" s="457"/>
      <c r="E46" s="457"/>
      <c r="F46" s="457"/>
      <c r="G46" s="457"/>
      <c r="H46" s="457"/>
      <c r="I46" s="457"/>
      <c r="J46" s="562"/>
      <c r="K46" s="451"/>
      <c r="L46" s="458"/>
      <c r="M46" s="463"/>
    </row>
    <row r="47" spans="1:13">
      <c r="A47" s="455">
        <v>50</v>
      </c>
      <c r="B47" s="464" t="s">
        <v>325</v>
      </c>
      <c r="C47" s="462" t="s">
        <v>326</v>
      </c>
      <c r="D47" s="457"/>
      <c r="E47" s="457"/>
      <c r="F47" s="457"/>
      <c r="G47" s="457"/>
      <c r="H47" s="457"/>
      <c r="I47" s="457"/>
      <c r="J47" s="562"/>
      <c r="K47" s="451"/>
      <c r="L47" s="458"/>
      <c r="M47" s="465"/>
    </row>
    <row r="48" spans="1:13">
      <c r="A48" s="455">
        <v>51</v>
      </c>
      <c r="B48" s="464" t="s">
        <v>327</v>
      </c>
      <c r="C48" s="462" t="s">
        <v>328</v>
      </c>
      <c r="D48" s="457"/>
      <c r="E48" s="457"/>
      <c r="F48" s="457"/>
      <c r="G48" s="457"/>
      <c r="H48" s="457"/>
      <c r="I48" s="457"/>
      <c r="J48" s="562"/>
      <c r="K48" s="451"/>
      <c r="L48" s="458"/>
      <c r="M48" s="465"/>
    </row>
    <row r="49" spans="1:13">
      <c r="A49" s="455">
        <v>52</v>
      </c>
      <c r="B49" s="63" t="s">
        <v>329</v>
      </c>
      <c r="C49" s="456" t="s">
        <v>330</v>
      </c>
      <c r="D49" s="457"/>
      <c r="E49" s="457"/>
      <c r="F49" s="457"/>
      <c r="G49" s="457"/>
      <c r="H49" s="457"/>
      <c r="I49" s="457"/>
      <c r="J49" s="560"/>
      <c r="K49" s="461"/>
      <c r="L49" s="458"/>
      <c r="M49" s="459"/>
    </row>
    <row r="50" spans="1:13">
      <c r="A50" s="455">
        <v>53</v>
      </c>
      <c r="B50" s="466" t="s">
        <v>331</v>
      </c>
      <c r="C50" s="456" t="s">
        <v>332</v>
      </c>
      <c r="D50" s="457"/>
      <c r="E50" s="457"/>
      <c r="F50" s="457"/>
      <c r="G50" s="457"/>
      <c r="H50" s="457"/>
      <c r="I50" s="457"/>
      <c r="J50" s="560"/>
      <c r="K50" s="461"/>
      <c r="L50" s="458"/>
      <c r="M50" s="467"/>
    </row>
    <row r="51" spans="1:13">
      <c r="A51" s="455">
        <v>54</v>
      </c>
      <c r="B51" s="464" t="s">
        <v>333</v>
      </c>
      <c r="C51" s="462" t="s">
        <v>334</v>
      </c>
      <c r="D51" s="457"/>
      <c r="E51" s="457"/>
      <c r="F51" s="457"/>
      <c r="G51" s="457"/>
      <c r="H51" s="457"/>
      <c r="I51" s="457"/>
      <c r="J51" s="562"/>
      <c r="K51" s="451"/>
      <c r="L51" s="458"/>
      <c r="M51" s="465"/>
    </row>
    <row r="52" spans="1:13">
      <c r="A52" s="455">
        <v>55</v>
      </c>
      <c r="B52" s="63" t="s">
        <v>335</v>
      </c>
      <c r="C52" s="456" t="s">
        <v>336</v>
      </c>
      <c r="D52" s="457"/>
      <c r="E52" s="457"/>
      <c r="F52" s="457"/>
      <c r="G52" s="457"/>
      <c r="H52" s="457"/>
      <c r="I52" s="457"/>
      <c r="J52" s="560" t="s">
        <v>337</v>
      </c>
      <c r="K52" s="456" t="s">
        <v>248</v>
      </c>
      <c r="L52" s="458" t="s">
        <v>336</v>
      </c>
      <c r="M52" s="459"/>
    </row>
    <row r="53" spans="1:13">
      <c r="A53" s="455">
        <v>56</v>
      </c>
      <c r="B53" s="63" t="s">
        <v>338</v>
      </c>
      <c r="C53" s="456" t="s">
        <v>339</v>
      </c>
      <c r="D53" s="457"/>
      <c r="E53" s="457"/>
      <c r="F53" s="457"/>
      <c r="G53" s="457"/>
      <c r="H53" s="457"/>
      <c r="I53" s="457"/>
      <c r="J53" s="560"/>
      <c r="K53" s="461"/>
      <c r="L53" s="458"/>
      <c r="M53" s="459"/>
    </row>
    <row r="54" spans="1:13">
      <c r="A54" s="455">
        <v>57</v>
      </c>
      <c r="B54" s="63" t="s">
        <v>34</v>
      </c>
      <c r="C54" s="456" t="s">
        <v>78</v>
      </c>
      <c r="D54" s="457"/>
      <c r="E54" s="457"/>
      <c r="F54" s="457"/>
      <c r="G54" s="457"/>
      <c r="H54" s="457"/>
      <c r="I54" s="457"/>
      <c r="J54" s="560" t="s">
        <v>340</v>
      </c>
      <c r="K54" s="456" t="s">
        <v>248</v>
      </c>
      <c r="L54" s="458" t="s">
        <v>78</v>
      </c>
      <c r="M54" s="459"/>
    </row>
    <row r="55" spans="1:13">
      <c r="A55" s="455">
        <v>58</v>
      </c>
      <c r="B55" s="63" t="s">
        <v>341</v>
      </c>
      <c r="C55" s="456" t="s">
        <v>342</v>
      </c>
      <c r="D55" s="457"/>
      <c r="E55" s="457"/>
      <c r="F55" s="457"/>
      <c r="G55" s="457"/>
      <c r="H55" s="457"/>
      <c r="I55" s="457"/>
      <c r="J55" s="560" t="s">
        <v>343</v>
      </c>
      <c r="K55" s="456" t="s">
        <v>248</v>
      </c>
      <c r="L55" s="458" t="s">
        <v>342</v>
      </c>
      <c r="M55" s="459"/>
    </row>
    <row r="56" spans="1:13">
      <c r="A56" s="455">
        <v>59</v>
      </c>
      <c r="B56" s="63" t="s">
        <v>35</v>
      </c>
      <c r="C56" s="456" t="s">
        <v>79</v>
      </c>
      <c r="D56" s="457"/>
      <c r="E56" s="457"/>
      <c r="F56" s="457"/>
      <c r="G56" s="457"/>
      <c r="H56" s="457"/>
      <c r="I56" s="457"/>
      <c r="J56" s="561" t="s">
        <v>344</v>
      </c>
      <c r="K56" s="456" t="s">
        <v>248</v>
      </c>
      <c r="L56" s="458" t="s">
        <v>79</v>
      </c>
      <c r="M56" s="459"/>
    </row>
    <row r="57" spans="1:13">
      <c r="A57" s="455">
        <v>60</v>
      </c>
      <c r="B57" s="63" t="s">
        <v>345</v>
      </c>
      <c r="C57" s="456" t="s">
        <v>346</v>
      </c>
      <c r="D57" s="457"/>
      <c r="E57" s="457"/>
      <c r="F57" s="457"/>
      <c r="G57" s="457"/>
      <c r="H57" s="457"/>
      <c r="I57" s="457"/>
      <c r="J57" s="560"/>
      <c r="K57" s="461"/>
      <c r="L57" s="458"/>
      <c r="M57" s="459"/>
    </row>
    <row r="58" spans="1:13">
      <c r="A58" s="455">
        <v>61</v>
      </c>
      <c r="B58" s="63" t="s">
        <v>347</v>
      </c>
      <c r="C58" s="456" t="s">
        <v>348</v>
      </c>
      <c r="D58" s="457"/>
      <c r="E58" s="457"/>
      <c r="F58" s="457"/>
      <c r="G58" s="457"/>
      <c r="H58" s="457"/>
      <c r="I58" s="457"/>
      <c r="J58" s="560" t="s">
        <v>349</v>
      </c>
      <c r="K58" s="456" t="s">
        <v>248</v>
      </c>
      <c r="L58" s="458" t="s">
        <v>348</v>
      </c>
      <c r="M58" s="459"/>
    </row>
    <row r="59" spans="1:13">
      <c r="A59" s="455">
        <v>62</v>
      </c>
      <c r="B59" s="63" t="s">
        <v>350</v>
      </c>
      <c r="C59" s="456" t="s">
        <v>351</v>
      </c>
      <c r="D59" s="457"/>
      <c r="E59" s="457"/>
      <c r="F59" s="457"/>
      <c r="G59" s="457"/>
      <c r="H59" s="457"/>
      <c r="I59" s="457"/>
      <c r="J59" s="561" t="s">
        <v>352</v>
      </c>
      <c r="K59" s="456" t="s">
        <v>248</v>
      </c>
      <c r="L59" s="458" t="s">
        <v>351</v>
      </c>
      <c r="M59" s="459"/>
    </row>
    <row r="60" spans="1:13">
      <c r="A60" s="455">
        <v>63</v>
      </c>
      <c r="B60" s="63" t="s">
        <v>353</v>
      </c>
      <c r="C60" s="456" t="s">
        <v>354</v>
      </c>
      <c r="D60" s="457"/>
      <c r="E60" s="457"/>
      <c r="F60" s="457"/>
      <c r="G60" s="457"/>
      <c r="H60" s="457"/>
      <c r="I60" s="457"/>
      <c r="J60" s="560"/>
      <c r="K60" s="461"/>
      <c r="L60" s="458"/>
      <c r="M60" s="459"/>
    </row>
    <row r="61" spans="1:13">
      <c r="A61" s="455">
        <v>64</v>
      </c>
      <c r="B61" s="63" t="s">
        <v>355</v>
      </c>
      <c r="C61" s="456" t="s">
        <v>356</v>
      </c>
      <c r="D61" s="457"/>
      <c r="E61" s="457"/>
      <c r="F61" s="457"/>
      <c r="G61" s="457"/>
      <c r="H61" s="457"/>
      <c r="I61" s="457"/>
      <c r="J61" s="560"/>
      <c r="K61" s="461"/>
      <c r="L61" s="458"/>
      <c r="M61" s="459"/>
    </row>
    <row r="62" spans="1:13">
      <c r="A62" s="455">
        <v>65</v>
      </c>
      <c r="B62" s="63" t="s">
        <v>60</v>
      </c>
      <c r="C62" s="456" t="s">
        <v>111</v>
      </c>
      <c r="D62" s="457"/>
      <c r="E62" s="457"/>
      <c r="F62" s="457"/>
      <c r="G62" s="457"/>
      <c r="H62" s="457"/>
      <c r="I62" s="457"/>
      <c r="J62" s="560"/>
      <c r="K62" s="461"/>
      <c r="L62" s="458"/>
      <c r="M62" s="459"/>
    </row>
    <row r="63" spans="1:13">
      <c r="A63" s="455">
        <v>66</v>
      </c>
      <c r="B63" s="63" t="s">
        <v>357</v>
      </c>
      <c r="C63" s="456" t="s">
        <v>358</v>
      </c>
      <c r="D63" s="457"/>
      <c r="E63" s="457"/>
      <c r="F63" s="457"/>
      <c r="G63" s="457"/>
      <c r="H63" s="457"/>
      <c r="I63" s="457"/>
      <c r="J63" s="560"/>
      <c r="K63" s="461"/>
      <c r="L63" s="458"/>
      <c r="M63" s="459"/>
    </row>
    <row r="64" spans="1:13">
      <c r="A64" s="455">
        <v>67</v>
      </c>
      <c r="B64" s="63" t="s">
        <v>359</v>
      </c>
      <c r="C64" s="456" t="s">
        <v>360</v>
      </c>
      <c r="D64" s="457"/>
      <c r="E64" s="457"/>
      <c r="F64" s="457"/>
      <c r="G64" s="457"/>
      <c r="H64" s="457"/>
      <c r="I64" s="457"/>
      <c r="J64" s="560"/>
      <c r="K64" s="461"/>
      <c r="L64" s="458"/>
      <c r="M64" s="459"/>
    </row>
    <row r="65" spans="1:13">
      <c r="A65" s="455">
        <v>68</v>
      </c>
      <c r="B65" s="63" t="s">
        <v>361</v>
      </c>
      <c r="C65" s="456" t="s">
        <v>362</v>
      </c>
      <c r="D65" s="457"/>
      <c r="E65" s="457"/>
      <c r="F65" s="457"/>
      <c r="G65" s="457"/>
      <c r="H65" s="457"/>
      <c r="I65" s="457"/>
      <c r="J65" s="560"/>
      <c r="K65" s="461"/>
      <c r="L65" s="458"/>
      <c r="M65" s="459"/>
    </row>
    <row r="66" spans="1:13">
      <c r="A66" s="455">
        <v>69</v>
      </c>
      <c r="B66" s="63" t="s">
        <v>363</v>
      </c>
      <c r="C66" s="456" t="s">
        <v>364</v>
      </c>
      <c r="D66" s="457"/>
      <c r="E66" s="457"/>
      <c r="F66" s="457"/>
      <c r="G66" s="457"/>
      <c r="H66" s="457"/>
      <c r="I66" s="457"/>
      <c r="J66" s="560"/>
      <c r="K66" s="461"/>
      <c r="L66" s="458"/>
      <c r="M66" s="459"/>
    </row>
    <row r="67" spans="1:13">
      <c r="A67" s="455">
        <v>70</v>
      </c>
      <c r="B67" s="63" t="s">
        <v>365</v>
      </c>
      <c r="C67" s="456" t="s">
        <v>366</v>
      </c>
      <c r="D67" s="457"/>
      <c r="E67" s="457"/>
      <c r="F67" s="457"/>
      <c r="G67" s="457"/>
      <c r="H67" s="457"/>
      <c r="I67" s="457"/>
      <c r="J67" s="560"/>
      <c r="K67" s="461"/>
      <c r="L67" s="458"/>
      <c r="M67" s="459"/>
    </row>
    <row r="68" spans="1:13">
      <c r="A68" s="455">
        <v>71</v>
      </c>
      <c r="B68" s="63" t="s">
        <v>367</v>
      </c>
      <c r="C68" s="456" t="s">
        <v>368</v>
      </c>
      <c r="D68" s="457"/>
      <c r="E68" s="457"/>
      <c r="F68" s="457"/>
      <c r="G68" s="457"/>
      <c r="H68" s="457"/>
      <c r="I68" s="457"/>
      <c r="J68" s="560"/>
      <c r="K68" s="461"/>
      <c r="L68" s="458"/>
      <c r="M68" s="459"/>
    </row>
    <row r="69" spans="1:13">
      <c r="A69" s="455">
        <v>72</v>
      </c>
      <c r="B69" s="63" t="s">
        <v>369</v>
      </c>
      <c r="C69" s="456" t="s">
        <v>370</v>
      </c>
      <c r="D69" s="457"/>
      <c r="E69" s="457"/>
      <c r="F69" s="457"/>
      <c r="G69" s="457"/>
      <c r="H69" s="457"/>
      <c r="I69" s="457"/>
      <c r="J69" s="560"/>
      <c r="K69" s="461"/>
      <c r="L69" s="458"/>
      <c r="M69" s="459"/>
    </row>
    <row r="70" spans="1:13">
      <c r="A70" s="455">
        <v>73</v>
      </c>
      <c r="B70" s="63" t="s">
        <v>371</v>
      </c>
      <c r="C70" s="456" t="s">
        <v>372</v>
      </c>
      <c r="D70" s="457"/>
      <c r="E70" s="457"/>
      <c r="F70" s="457"/>
      <c r="G70" s="457"/>
      <c r="H70" s="457"/>
      <c r="I70" s="457"/>
      <c r="J70" s="560"/>
      <c r="K70" s="461"/>
      <c r="L70" s="458"/>
      <c r="M70" s="459"/>
    </row>
    <row r="71" spans="1:13">
      <c r="A71" s="455">
        <v>74</v>
      </c>
      <c r="B71" s="63" t="s">
        <v>373</v>
      </c>
      <c r="C71" s="456" t="s">
        <v>374</v>
      </c>
      <c r="D71" s="457"/>
      <c r="E71" s="457"/>
      <c r="F71" s="457"/>
      <c r="G71" s="457"/>
      <c r="H71" s="457"/>
      <c r="I71" s="457"/>
      <c r="J71" s="560"/>
      <c r="K71" s="461"/>
      <c r="L71" s="458"/>
      <c r="M71" s="459"/>
    </row>
    <row r="72" spans="1:13">
      <c r="A72" s="455">
        <v>75</v>
      </c>
      <c r="B72" s="63" t="s">
        <v>375</v>
      </c>
      <c r="C72" s="456" t="s">
        <v>376</v>
      </c>
      <c r="D72" s="457"/>
      <c r="E72" s="457"/>
      <c r="F72" s="457"/>
      <c r="G72" s="457"/>
      <c r="H72" s="457"/>
      <c r="I72" s="457"/>
      <c r="J72" s="560"/>
      <c r="K72" s="461"/>
      <c r="L72" s="458"/>
      <c r="M72" s="459"/>
    </row>
    <row r="73" spans="1:13">
      <c r="A73" s="455">
        <v>76</v>
      </c>
      <c r="B73" s="63" t="s">
        <v>377</v>
      </c>
      <c r="C73" s="456" t="s">
        <v>378</v>
      </c>
      <c r="D73" s="457"/>
      <c r="E73" s="457"/>
      <c r="F73" s="457"/>
      <c r="G73" s="457"/>
      <c r="H73" s="457"/>
      <c r="I73" s="457"/>
      <c r="J73" s="560"/>
      <c r="K73" s="461"/>
      <c r="L73" s="458"/>
      <c r="M73" s="459"/>
    </row>
    <row r="74" spans="1:13">
      <c r="A74" s="455">
        <v>77</v>
      </c>
      <c r="B74" s="63" t="s">
        <v>379</v>
      </c>
      <c r="C74" s="456" t="s">
        <v>380</v>
      </c>
      <c r="D74" s="457"/>
      <c r="E74" s="457"/>
      <c r="F74" s="457"/>
      <c r="G74" s="457"/>
      <c r="H74" s="457"/>
      <c r="I74" s="457"/>
      <c r="J74" s="560"/>
      <c r="K74" s="461"/>
      <c r="L74" s="458"/>
      <c r="M74" s="459"/>
    </row>
    <row r="75" spans="1:13">
      <c r="A75" s="455">
        <v>78</v>
      </c>
      <c r="B75" s="63" t="s">
        <v>381</v>
      </c>
      <c r="C75" s="456" t="s">
        <v>382</v>
      </c>
      <c r="D75" s="457"/>
      <c r="E75" s="457"/>
      <c r="F75" s="457"/>
      <c r="G75" s="457"/>
      <c r="H75" s="457"/>
      <c r="I75" s="457"/>
      <c r="J75" s="560"/>
      <c r="K75" s="461"/>
      <c r="L75" s="458"/>
      <c r="M75" s="459"/>
    </row>
    <row r="76" spans="1:13">
      <c r="A76" s="455">
        <v>79</v>
      </c>
      <c r="B76" s="468" t="s">
        <v>383</v>
      </c>
      <c r="C76" s="456" t="s">
        <v>384</v>
      </c>
      <c r="D76" s="457"/>
      <c r="E76" s="457"/>
      <c r="F76" s="457"/>
      <c r="G76" s="457"/>
      <c r="H76" s="457"/>
      <c r="I76" s="457"/>
      <c r="J76" s="560"/>
      <c r="K76" s="461"/>
      <c r="L76" s="458"/>
      <c r="M76" s="469"/>
    </row>
    <row r="77" spans="1:13">
      <c r="A77" s="455">
        <v>80</v>
      </c>
      <c r="B77" s="63" t="s">
        <v>385</v>
      </c>
      <c r="C77" s="456" t="s">
        <v>386</v>
      </c>
      <c r="D77" s="457"/>
      <c r="E77" s="457"/>
      <c r="F77" s="457"/>
      <c r="G77" s="457"/>
      <c r="H77" s="457"/>
      <c r="I77" s="457"/>
      <c r="J77" s="560"/>
      <c r="K77" s="461"/>
      <c r="L77" s="458"/>
      <c r="M77" s="459"/>
    </row>
    <row r="78" spans="1:13">
      <c r="A78" s="455">
        <v>81</v>
      </c>
      <c r="B78" s="63" t="s">
        <v>387</v>
      </c>
      <c r="C78" s="456" t="s">
        <v>388</v>
      </c>
      <c r="D78" s="457"/>
      <c r="E78" s="457"/>
      <c r="F78" s="457"/>
      <c r="G78" s="457"/>
      <c r="H78" s="457"/>
      <c r="I78" s="457"/>
      <c r="J78" s="560"/>
      <c r="K78" s="461"/>
      <c r="L78" s="458"/>
      <c r="M78" s="459"/>
    </row>
    <row r="79" spans="1:13" ht="15.75">
      <c r="A79" s="455">
        <v>82</v>
      </c>
      <c r="B79" s="470" t="s">
        <v>37</v>
      </c>
      <c r="C79" s="471" t="s">
        <v>81</v>
      </c>
      <c r="D79" s="472"/>
      <c r="E79" s="472"/>
      <c r="F79" s="472"/>
      <c r="G79" s="472"/>
      <c r="H79" s="472"/>
      <c r="I79" s="472"/>
      <c r="J79" s="563" t="s">
        <v>389</v>
      </c>
      <c r="K79" s="456" t="s">
        <v>248</v>
      </c>
      <c r="L79" s="473" t="s">
        <v>81</v>
      </c>
      <c r="M79" s="474"/>
    </row>
    <row r="80" spans="1:13" ht="15.75">
      <c r="A80" s="455">
        <v>83</v>
      </c>
      <c r="B80" s="475" t="s">
        <v>390</v>
      </c>
      <c r="C80" s="471" t="s">
        <v>95</v>
      </c>
      <c r="D80" s="472"/>
      <c r="E80" s="472"/>
      <c r="F80" s="472"/>
      <c r="G80" s="472"/>
      <c r="H80" s="472"/>
      <c r="I80" s="472"/>
      <c r="J80" s="563" t="s">
        <v>391</v>
      </c>
      <c r="K80" s="456" t="s">
        <v>248</v>
      </c>
      <c r="L80" s="473" t="s">
        <v>95</v>
      </c>
      <c r="M80" s="474"/>
    </row>
    <row r="81" spans="1:13" ht="15.75">
      <c r="A81" s="455">
        <v>84</v>
      </c>
      <c r="B81" s="470" t="s">
        <v>392</v>
      </c>
      <c r="C81" s="471" t="s">
        <v>86</v>
      </c>
      <c r="D81" s="472"/>
      <c r="E81" s="472"/>
      <c r="F81" s="472"/>
      <c r="G81" s="472"/>
      <c r="H81" s="472"/>
      <c r="I81" s="472"/>
      <c r="J81" s="476"/>
      <c r="K81" s="477"/>
      <c r="L81" s="473"/>
      <c r="M81" s="460" t="s">
        <v>393</v>
      </c>
    </row>
    <row r="82" spans="1:13" ht="15.75">
      <c r="A82" s="455">
        <v>85</v>
      </c>
      <c r="B82" s="470" t="s">
        <v>52</v>
      </c>
      <c r="C82" s="471" t="s">
        <v>102</v>
      </c>
      <c r="D82" s="472"/>
      <c r="E82" s="472"/>
      <c r="F82" s="472"/>
      <c r="G82" s="472"/>
      <c r="H82" s="472"/>
      <c r="I82" s="472"/>
      <c r="J82" s="563" t="s">
        <v>394</v>
      </c>
      <c r="K82" s="456" t="s">
        <v>248</v>
      </c>
      <c r="L82" s="473" t="s">
        <v>102</v>
      </c>
      <c r="M82" s="474"/>
    </row>
    <row r="83" spans="1:13" ht="15.75">
      <c r="A83" s="455">
        <v>86</v>
      </c>
      <c r="B83" s="475" t="s">
        <v>432</v>
      </c>
      <c r="C83" s="471" t="s">
        <v>109</v>
      </c>
      <c r="D83" s="472"/>
      <c r="E83" s="472"/>
      <c r="F83" s="472"/>
      <c r="G83" s="472"/>
      <c r="H83" s="472"/>
      <c r="I83" s="472"/>
      <c r="J83" s="563" t="s">
        <v>395</v>
      </c>
      <c r="K83" s="456" t="s">
        <v>248</v>
      </c>
      <c r="L83" s="473" t="s">
        <v>109</v>
      </c>
      <c r="M83" s="474"/>
    </row>
    <row r="84" spans="1:13" ht="15.75">
      <c r="A84" s="455">
        <v>87</v>
      </c>
      <c r="B84" s="475" t="s">
        <v>64</v>
      </c>
      <c r="C84" s="471" t="s">
        <v>116</v>
      </c>
      <c r="D84" s="472"/>
      <c r="E84" s="472"/>
      <c r="F84" s="472"/>
      <c r="G84" s="472"/>
      <c r="H84" s="472"/>
      <c r="I84" s="472"/>
      <c r="J84" s="563" t="s">
        <v>396</v>
      </c>
      <c r="K84" s="456" t="s">
        <v>248</v>
      </c>
      <c r="L84" s="473" t="s">
        <v>116</v>
      </c>
      <c r="M84" s="474"/>
    </row>
    <row r="85" spans="1:13" ht="15.75">
      <c r="A85" s="455">
        <v>88</v>
      </c>
      <c r="B85" s="475" t="s">
        <v>43</v>
      </c>
      <c r="C85" s="478" t="s">
        <v>89</v>
      </c>
      <c r="D85" s="472"/>
      <c r="E85" s="472"/>
      <c r="F85" s="472"/>
      <c r="G85" s="472"/>
      <c r="H85" s="472"/>
      <c r="I85" s="472"/>
      <c r="J85" s="563" t="s">
        <v>398</v>
      </c>
      <c r="K85" s="456" t="s">
        <v>248</v>
      </c>
      <c r="L85" s="473" t="s">
        <v>89</v>
      </c>
      <c r="M85" s="474"/>
    </row>
    <row r="86" spans="1:13" ht="15.75">
      <c r="A86" s="455">
        <v>89</v>
      </c>
      <c r="B86" s="475" t="s">
        <v>41</v>
      </c>
      <c r="C86" s="478" t="s">
        <v>85</v>
      </c>
      <c r="D86" s="472"/>
      <c r="E86" s="472"/>
      <c r="F86" s="472"/>
      <c r="G86" s="472"/>
      <c r="H86" s="472"/>
      <c r="I86" s="472"/>
      <c r="J86" s="563" t="s">
        <v>399</v>
      </c>
      <c r="K86" s="456" t="s">
        <v>248</v>
      </c>
      <c r="L86" s="473" t="s">
        <v>85</v>
      </c>
      <c r="M86" s="474"/>
    </row>
    <row r="87" spans="1:13" ht="15.75">
      <c r="A87" s="455">
        <v>90</v>
      </c>
      <c r="B87" s="475" t="s">
        <v>50</v>
      </c>
      <c r="C87" s="471" t="s">
        <v>100</v>
      </c>
      <c r="D87" s="472"/>
      <c r="E87" s="472"/>
      <c r="F87" s="472"/>
      <c r="G87" s="472"/>
      <c r="H87" s="472"/>
      <c r="I87" s="472"/>
      <c r="J87" s="563" t="s">
        <v>400</v>
      </c>
      <c r="K87" s="456" t="s">
        <v>248</v>
      </c>
      <c r="L87" s="473" t="s">
        <v>100</v>
      </c>
      <c r="M87" s="474"/>
    </row>
    <row r="88" spans="1:13" ht="15.75">
      <c r="A88" s="455">
        <v>91</v>
      </c>
      <c r="B88" s="475" t="s">
        <v>58</v>
      </c>
      <c r="C88" s="471" t="s">
        <v>108</v>
      </c>
      <c r="D88" s="472"/>
      <c r="E88" s="472"/>
      <c r="F88" s="472"/>
      <c r="G88" s="472"/>
      <c r="H88" s="472"/>
      <c r="I88" s="472"/>
      <c r="J88" s="563" t="s">
        <v>401</v>
      </c>
      <c r="K88" s="456" t="s">
        <v>248</v>
      </c>
      <c r="L88" s="473" t="s">
        <v>108</v>
      </c>
      <c r="M88" s="474"/>
    </row>
    <row r="89" spans="1:13" ht="15.75">
      <c r="A89" s="455">
        <v>92</v>
      </c>
      <c r="B89" s="470" t="s">
        <v>402</v>
      </c>
      <c r="C89" s="571" t="s">
        <v>91</v>
      </c>
      <c r="D89" s="572"/>
      <c r="E89" s="572"/>
      <c r="F89" s="572"/>
      <c r="G89" s="572"/>
      <c r="H89" s="572"/>
      <c r="I89" s="572"/>
      <c r="J89" s="573" t="s">
        <v>403</v>
      </c>
      <c r="K89" s="456" t="s">
        <v>248</v>
      </c>
      <c r="L89" s="473" t="s">
        <v>91</v>
      </c>
      <c r="M89" s="474"/>
    </row>
    <row r="90" spans="1:13" ht="15.75">
      <c r="A90" s="455">
        <v>93</v>
      </c>
      <c r="B90" s="475" t="s">
        <v>784</v>
      </c>
      <c r="C90" s="571" t="s">
        <v>104</v>
      </c>
      <c r="D90" s="572"/>
      <c r="E90" s="572"/>
      <c r="F90" s="572"/>
      <c r="G90" s="572"/>
      <c r="H90" s="572"/>
      <c r="I90" s="572"/>
      <c r="J90" s="573" t="s">
        <v>404</v>
      </c>
      <c r="K90" s="456" t="s">
        <v>248</v>
      </c>
      <c r="L90" s="473" t="s">
        <v>104</v>
      </c>
      <c r="M90" s="474"/>
    </row>
    <row r="91" spans="1:13" ht="15.75">
      <c r="A91" s="455">
        <v>94</v>
      </c>
      <c r="B91" s="475" t="s">
        <v>785</v>
      </c>
      <c r="C91" s="571" t="s">
        <v>105</v>
      </c>
      <c r="D91" s="572"/>
      <c r="E91" s="572"/>
      <c r="F91" s="572"/>
      <c r="G91" s="572"/>
      <c r="H91" s="572"/>
      <c r="I91" s="572"/>
      <c r="J91" s="573" t="s">
        <v>405</v>
      </c>
      <c r="K91" s="456" t="s">
        <v>248</v>
      </c>
      <c r="L91" s="473" t="s">
        <v>105</v>
      </c>
      <c r="M91" s="474"/>
    </row>
    <row r="92" spans="1:13" ht="15.75">
      <c r="A92" s="455">
        <v>95</v>
      </c>
      <c r="B92" s="475" t="s">
        <v>57</v>
      </c>
      <c r="C92" s="480" t="s">
        <v>107</v>
      </c>
      <c r="D92" s="572"/>
      <c r="E92" s="572"/>
      <c r="F92" s="572"/>
      <c r="G92" s="572"/>
      <c r="H92" s="572"/>
      <c r="I92" s="572"/>
      <c r="J92" s="573" t="s">
        <v>406</v>
      </c>
      <c r="K92" s="456" t="s">
        <v>248</v>
      </c>
      <c r="L92" s="473" t="s">
        <v>107</v>
      </c>
      <c r="M92" s="474"/>
    </row>
    <row r="93" spans="1:13" ht="15.75">
      <c r="A93" s="455">
        <v>96</v>
      </c>
      <c r="B93" s="475" t="s">
        <v>53</v>
      </c>
      <c r="C93" s="480" t="s">
        <v>103</v>
      </c>
      <c r="D93" s="572"/>
      <c r="E93" s="572"/>
      <c r="F93" s="572"/>
      <c r="G93" s="572"/>
      <c r="H93" s="572"/>
      <c r="I93" s="572"/>
      <c r="J93" s="573" t="s">
        <v>407</v>
      </c>
      <c r="K93" s="456" t="s">
        <v>248</v>
      </c>
      <c r="L93" s="473" t="s">
        <v>103</v>
      </c>
      <c r="M93" s="474" t="s">
        <v>789</v>
      </c>
    </row>
    <row r="94" spans="1:13" ht="15.75">
      <c r="A94" s="455">
        <v>97</v>
      </c>
      <c r="B94" s="470" t="s">
        <v>39</v>
      </c>
      <c r="C94" s="480" t="s">
        <v>83</v>
      </c>
      <c r="D94" s="572"/>
      <c r="E94" s="572"/>
      <c r="F94" s="572"/>
      <c r="G94" s="572"/>
      <c r="H94" s="572"/>
      <c r="I94" s="572"/>
      <c r="J94" s="573" t="s">
        <v>408</v>
      </c>
      <c r="K94" s="456" t="s">
        <v>248</v>
      </c>
      <c r="L94" s="473" t="s">
        <v>83</v>
      </c>
      <c r="M94" s="474"/>
    </row>
    <row r="95" spans="1:13" ht="15.75">
      <c r="A95" s="455">
        <v>98</v>
      </c>
      <c r="B95" s="475" t="s">
        <v>56</v>
      </c>
      <c r="C95" s="480" t="s">
        <v>106</v>
      </c>
      <c r="D95" s="572"/>
      <c r="E95" s="572"/>
      <c r="F95" s="572"/>
      <c r="G95" s="572"/>
      <c r="H95" s="572"/>
      <c r="I95" s="572"/>
      <c r="J95" s="574"/>
      <c r="K95" s="477"/>
      <c r="L95" s="473"/>
      <c r="M95" s="460" t="s">
        <v>409</v>
      </c>
    </row>
    <row r="96" spans="1:13" ht="15.75">
      <c r="A96" s="455">
        <v>99</v>
      </c>
      <c r="B96" s="471" t="s">
        <v>47</v>
      </c>
      <c r="C96" s="480" t="s">
        <v>97</v>
      </c>
      <c r="D96" s="572"/>
      <c r="E96" s="572"/>
      <c r="F96" s="572"/>
      <c r="G96" s="572"/>
      <c r="H96" s="572"/>
      <c r="I96" s="572"/>
      <c r="J96" s="573" t="s">
        <v>410</v>
      </c>
      <c r="K96" s="456" t="s">
        <v>248</v>
      </c>
      <c r="L96" s="473" t="s">
        <v>97</v>
      </c>
      <c r="M96" s="474"/>
    </row>
    <row r="97" spans="1:13" ht="15.75">
      <c r="A97" s="455">
        <v>100</v>
      </c>
      <c r="B97" s="479" t="s">
        <v>36</v>
      </c>
      <c r="C97" s="480" t="s">
        <v>80</v>
      </c>
      <c r="D97" s="572"/>
      <c r="E97" s="572"/>
      <c r="F97" s="572"/>
      <c r="G97" s="572"/>
      <c r="H97" s="572"/>
      <c r="I97" s="572"/>
      <c r="J97" s="573" t="s">
        <v>411</v>
      </c>
      <c r="K97" s="456" t="s">
        <v>248</v>
      </c>
      <c r="L97" s="473" t="s">
        <v>80</v>
      </c>
      <c r="M97" s="474"/>
    </row>
    <row r="98" spans="1:13" ht="15.75">
      <c r="A98" s="455">
        <v>101</v>
      </c>
      <c r="B98" s="475" t="s">
        <v>40</v>
      </c>
      <c r="C98" s="480" t="s">
        <v>84</v>
      </c>
      <c r="D98" s="572"/>
      <c r="E98" s="572"/>
      <c r="F98" s="572"/>
      <c r="G98" s="572"/>
      <c r="H98" s="572"/>
      <c r="I98" s="572"/>
      <c r="J98" s="573" t="s">
        <v>412</v>
      </c>
      <c r="K98" s="456" t="s">
        <v>248</v>
      </c>
      <c r="L98" s="473" t="s">
        <v>84</v>
      </c>
      <c r="M98" s="474"/>
    </row>
    <row r="99" spans="1:13" ht="15.75">
      <c r="A99" s="455">
        <v>102</v>
      </c>
      <c r="B99" s="471" t="s">
        <v>413</v>
      </c>
      <c r="C99" s="480" t="s">
        <v>96</v>
      </c>
      <c r="D99" s="572"/>
      <c r="E99" s="572"/>
      <c r="F99" s="572"/>
      <c r="G99" s="572"/>
      <c r="H99" s="572"/>
      <c r="I99" s="572"/>
      <c r="J99" s="573" t="s">
        <v>414</v>
      </c>
      <c r="K99" s="456" t="s">
        <v>248</v>
      </c>
      <c r="L99" s="473" t="s">
        <v>96</v>
      </c>
      <c r="M99" s="474"/>
    </row>
    <row r="100" spans="1:13" ht="15.75">
      <c r="A100" s="455">
        <v>103</v>
      </c>
      <c r="B100" s="471" t="s">
        <v>51</v>
      </c>
      <c r="C100" s="480" t="s">
        <v>101</v>
      </c>
      <c r="D100" s="572"/>
      <c r="E100" s="572"/>
      <c r="F100" s="572"/>
      <c r="G100" s="572"/>
      <c r="H100" s="572"/>
      <c r="I100" s="572"/>
      <c r="J100" s="573" t="s">
        <v>415</v>
      </c>
      <c r="K100" s="456" t="s">
        <v>248</v>
      </c>
      <c r="L100" s="473" t="s">
        <v>101</v>
      </c>
      <c r="M100" s="474"/>
    </row>
    <row r="101" spans="1:13" ht="15.75">
      <c r="A101" s="455">
        <v>104</v>
      </c>
      <c r="B101" s="475" t="s">
        <v>44</v>
      </c>
      <c r="C101" s="480" t="s">
        <v>92</v>
      </c>
      <c r="D101" s="572"/>
      <c r="E101" s="572"/>
      <c r="F101" s="572"/>
      <c r="G101" s="572"/>
      <c r="H101" s="572"/>
      <c r="I101" s="572"/>
      <c r="J101" s="573" t="s">
        <v>416</v>
      </c>
      <c r="K101" s="456" t="s">
        <v>248</v>
      </c>
      <c r="L101" s="473" t="s">
        <v>92</v>
      </c>
      <c r="M101" s="474"/>
    </row>
    <row r="102" spans="1:13" ht="15.75">
      <c r="A102" s="455">
        <v>105</v>
      </c>
      <c r="B102" s="471" t="s">
        <v>417</v>
      </c>
      <c r="C102" s="480" t="s">
        <v>90</v>
      </c>
      <c r="D102" s="572"/>
      <c r="E102" s="572"/>
      <c r="F102" s="572"/>
      <c r="G102" s="572"/>
      <c r="H102" s="572"/>
      <c r="I102" s="572"/>
      <c r="J102" s="573" t="s">
        <v>418</v>
      </c>
      <c r="K102" s="456" t="s">
        <v>248</v>
      </c>
      <c r="L102" s="473" t="s">
        <v>90</v>
      </c>
      <c r="M102" s="474"/>
    </row>
    <row r="103" spans="1:13" ht="15.75">
      <c r="A103" s="455">
        <v>106</v>
      </c>
      <c r="B103" s="481" t="s">
        <v>419</v>
      </c>
      <c r="C103" s="480" t="s">
        <v>420</v>
      </c>
      <c r="D103" s="572"/>
      <c r="E103" s="572"/>
      <c r="F103" s="572"/>
      <c r="G103" s="572"/>
      <c r="H103" s="572"/>
      <c r="I103" s="572"/>
      <c r="J103" s="573" t="s">
        <v>421</v>
      </c>
      <c r="K103" s="456" t="s">
        <v>248</v>
      </c>
      <c r="L103" s="473" t="s">
        <v>420</v>
      </c>
      <c r="M103" s="474"/>
    </row>
    <row r="104" spans="1:13" ht="15.75">
      <c r="A104" s="455">
        <v>107</v>
      </c>
      <c r="B104" s="481" t="s">
        <v>422</v>
      </c>
      <c r="C104" s="480" t="s">
        <v>20</v>
      </c>
      <c r="D104" s="572"/>
      <c r="E104" s="572"/>
      <c r="F104" s="572"/>
      <c r="G104" s="572"/>
      <c r="H104" s="572"/>
      <c r="I104" s="572"/>
      <c r="J104" s="573" t="s">
        <v>423</v>
      </c>
      <c r="K104" s="456" t="s">
        <v>248</v>
      </c>
      <c r="L104" s="473" t="s">
        <v>20</v>
      </c>
      <c r="M104" s="474"/>
    </row>
    <row r="105" spans="1:13" ht="15.75">
      <c r="A105" s="455">
        <v>108</v>
      </c>
      <c r="B105" s="481" t="s">
        <v>424</v>
      </c>
      <c r="C105" s="480" t="s">
        <v>145</v>
      </c>
      <c r="D105" s="572"/>
      <c r="E105" s="572"/>
      <c r="F105" s="572"/>
      <c r="G105" s="572"/>
      <c r="H105" s="572"/>
      <c r="I105" s="572"/>
      <c r="J105" s="573" t="s">
        <v>425</v>
      </c>
      <c r="K105" s="456" t="s">
        <v>248</v>
      </c>
      <c r="L105" s="473" t="s">
        <v>145</v>
      </c>
      <c r="M105" s="474"/>
    </row>
    <row r="106" spans="1:13" ht="15.75">
      <c r="A106" s="455">
        <v>109</v>
      </c>
      <c r="B106" s="475" t="s">
        <v>63</v>
      </c>
      <c r="C106" s="480" t="s">
        <v>115</v>
      </c>
      <c r="D106" s="572"/>
      <c r="E106" s="572"/>
      <c r="F106" s="572"/>
      <c r="G106" s="572"/>
      <c r="H106" s="572"/>
      <c r="I106" s="572"/>
      <c r="J106" s="573" t="s">
        <v>426</v>
      </c>
      <c r="K106" s="456" t="s">
        <v>248</v>
      </c>
      <c r="L106" s="473" t="s">
        <v>115</v>
      </c>
      <c r="M106" s="474"/>
    </row>
    <row r="107" spans="1:13" ht="15.75">
      <c r="A107" s="455">
        <v>110</v>
      </c>
      <c r="B107" s="475" t="s">
        <v>427</v>
      </c>
      <c r="C107" s="480" t="s">
        <v>114</v>
      </c>
      <c r="D107" s="572"/>
      <c r="E107" s="572"/>
      <c r="F107" s="572"/>
      <c r="G107" s="572"/>
      <c r="H107" s="572"/>
      <c r="I107" s="572"/>
      <c r="J107" s="573" t="s">
        <v>428</v>
      </c>
      <c r="K107" s="456" t="s">
        <v>248</v>
      </c>
      <c r="L107" s="473" t="s">
        <v>114</v>
      </c>
      <c r="M107" s="474"/>
    </row>
    <row r="108" spans="1:13" ht="15.75">
      <c r="A108" s="455">
        <v>111</v>
      </c>
      <c r="B108" s="475" t="s">
        <v>70</v>
      </c>
      <c r="C108" s="559" t="s">
        <v>121</v>
      </c>
      <c r="D108" s="472"/>
      <c r="E108" s="472"/>
      <c r="F108" s="472"/>
      <c r="G108" s="472"/>
      <c r="H108" s="472"/>
      <c r="I108" s="472"/>
      <c r="J108" s="564" t="s">
        <v>810</v>
      </c>
      <c r="K108" s="456" t="s">
        <v>248</v>
      </c>
      <c r="L108" s="473" t="s">
        <v>121</v>
      </c>
      <c r="M108" s="474"/>
    </row>
    <row r="109" spans="1:13" ht="15.75">
      <c r="A109" s="455">
        <v>112</v>
      </c>
      <c r="B109" s="475" t="s">
        <v>66</v>
      </c>
      <c r="C109" s="59" t="s">
        <v>117</v>
      </c>
      <c r="D109" s="472"/>
      <c r="E109" s="472"/>
      <c r="F109" s="472"/>
      <c r="G109" s="59" t="s">
        <v>771</v>
      </c>
      <c r="H109" s="472"/>
      <c r="I109" s="472"/>
      <c r="J109" s="447" t="s">
        <v>811</v>
      </c>
      <c r="K109" s="456" t="s">
        <v>248</v>
      </c>
      <c r="L109" s="59" t="s">
        <v>117</v>
      </c>
      <c r="M109" s="474"/>
    </row>
    <row r="110" spans="1:13">
      <c r="A110" s="455">
        <v>113</v>
      </c>
      <c r="B110" s="570" t="s">
        <v>30</v>
      </c>
      <c r="C110" s="59" t="s">
        <v>74</v>
      </c>
      <c r="D110" s="472"/>
      <c r="E110" s="472"/>
      <c r="F110" s="472"/>
      <c r="G110" s="59" t="s">
        <v>442</v>
      </c>
      <c r="H110" s="472"/>
      <c r="I110" s="472"/>
      <c r="J110" s="564" t="s">
        <v>812</v>
      </c>
      <c r="K110" s="456" t="s">
        <v>248</v>
      </c>
      <c r="L110" s="59" t="s">
        <v>74</v>
      </c>
    </row>
    <row r="111" spans="1:13" ht="15.75">
      <c r="A111" s="455">
        <v>114</v>
      </c>
      <c r="B111" s="475" t="s">
        <v>67</v>
      </c>
      <c r="C111" s="59" t="s">
        <v>118</v>
      </c>
      <c r="D111" s="472"/>
      <c r="E111" s="472"/>
      <c r="F111" s="472"/>
      <c r="G111" s="59" t="s">
        <v>772</v>
      </c>
      <c r="H111" s="472"/>
      <c r="I111" s="472"/>
      <c r="J111" s="445" t="s">
        <v>813</v>
      </c>
      <c r="K111" s="456" t="s">
        <v>248</v>
      </c>
      <c r="L111" s="59" t="s">
        <v>118</v>
      </c>
    </row>
    <row r="112" spans="1:13" ht="15.75">
      <c r="A112" s="455">
        <v>115</v>
      </c>
      <c r="B112" s="475" t="s">
        <v>69</v>
      </c>
      <c r="C112" s="59" t="s">
        <v>120</v>
      </c>
      <c r="D112" s="472"/>
      <c r="E112" s="472"/>
      <c r="F112" s="472"/>
      <c r="G112" s="59" t="s">
        <v>168</v>
      </c>
      <c r="H112" s="472"/>
      <c r="I112" s="472"/>
      <c r="J112" s="564" t="s">
        <v>814</v>
      </c>
      <c r="K112" s="456" t="s">
        <v>248</v>
      </c>
      <c r="L112" s="59" t="s">
        <v>120</v>
      </c>
    </row>
    <row r="113" spans="1:13" ht="15.75">
      <c r="A113" s="455">
        <v>116</v>
      </c>
      <c r="B113" s="475" t="s">
        <v>62</v>
      </c>
      <c r="C113" s="59" t="s">
        <v>113</v>
      </c>
      <c r="D113" s="472"/>
      <c r="E113" s="472"/>
      <c r="F113" s="472"/>
      <c r="G113" s="59" t="s">
        <v>750</v>
      </c>
      <c r="H113" s="472"/>
      <c r="I113" s="472"/>
      <c r="J113" s="564" t="s">
        <v>815</v>
      </c>
      <c r="K113" s="456" t="s">
        <v>248</v>
      </c>
      <c r="L113" s="59" t="s">
        <v>113</v>
      </c>
    </row>
    <row r="114" spans="1:13" ht="15.75">
      <c r="A114" s="455">
        <v>117</v>
      </c>
      <c r="B114" s="475" t="s">
        <v>68</v>
      </c>
      <c r="C114" s="59" t="s">
        <v>119</v>
      </c>
      <c r="D114" s="472"/>
      <c r="E114" s="472"/>
      <c r="F114" s="472"/>
      <c r="G114" s="59" t="s">
        <v>762</v>
      </c>
      <c r="H114" s="472"/>
      <c r="I114" s="472"/>
      <c r="J114" s="564" t="s">
        <v>816</v>
      </c>
      <c r="K114" s="456" t="s">
        <v>248</v>
      </c>
      <c r="L114" s="59" t="s">
        <v>119</v>
      </c>
    </row>
    <row r="115" spans="1:13">
      <c r="A115" s="455">
        <v>118</v>
      </c>
      <c r="B115" s="474" t="s">
        <v>65</v>
      </c>
      <c r="C115" s="59" t="s">
        <v>475</v>
      </c>
      <c r="D115" s="472"/>
      <c r="E115" s="472"/>
      <c r="F115" s="472"/>
      <c r="G115" s="59" t="s">
        <v>165</v>
      </c>
      <c r="H115" s="472"/>
      <c r="I115" s="472"/>
      <c r="J115" s="564" t="s">
        <v>817</v>
      </c>
      <c r="K115" s="456" t="s">
        <v>248</v>
      </c>
      <c r="L115" s="473" t="s">
        <v>818</v>
      </c>
    </row>
    <row r="116" spans="1:13" ht="15.75">
      <c r="A116" s="455">
        <v>119</v>
      </c>
      <c r="B116" s="558"/>
      <c r="C116" s="559"/>
      <c r="D116" s="472"/>
      <c r="E116" s="472"/>
      <c r="F116" s="472"/>
      <c r="G116" s="472"/>
      <c r="H116" s="472"/>
      <c r="I116" s="472"/>
      <c r="J116" s="564"/>
      <c r="K116" s="483"/>
      <c r="L116" s="473"/>
      <c r="M116" s="474"/>
    </row>
    <row r="117" spans="1:13">
      <c r="A117" s="455">
        <v>120</v>
      </c>
      <c r="B117" s="482"/>
      <c r="C117" s="483"/>
      <c r="D117" s="472"/>
      <c r="E117" s="472"/>
      <c r="F117" s="472"/>
      <c r="G117" s="472"/>
      <c r="H117" s="472"/>
      <c r="I117" s="472"/>
      <c r="J117" s="565"/>
      <c r="K117" s="477"/>
      <c r="L117" s="473"/>
      <c r="M117" s="474"/>
    </row>
    <row r="118" spans="1:13">
      <c r="A118" s="455">
        <v>121</v>
      </c>
      <c r="B118" s="482"/>
      <c r="C118" s="483"/>
      <c r="D118" s="472"/>
      <c r="E118" s="472"/>
      <c r="F118" s="472"/>
      <c r="G118" s="472"/>
      <c r="H118" s="472"/>
      <c r="I118" s="472"/>
      <c r="J118" s="565"/>
      <c r="K118" s="477"/>
      <c r="L118" s="473"/>
      <c r="M118" s="474"/>
    </row>
    <row r="119" spans="1:13">
      <c r="A119" s="484"/>
      <c r="B119" s="484"/>
      <c r="C119" s="484" t="s">
        <v>600</v>
      </c>
      <c r="D119" s="485"/>
      <c r="E119" s="485"/>
      <c r="F119" s="485"/>
      <c r="G119" s="485"/>
      <c r="H119" s="485"/>
      <c r="I119" s="485"/>
      <c r="J119" s="566"/>
      <c r="K119" s="484"/>
      <c r="L119" s="568"/>
      <c r="M119" s="486"/>
    </row>
    <row r="120" spans="1:13">
      <c r="A120" s="487"/>
      <c r="B120" s="487"/>
      <c r="C120" s="487"/>
      <c r="D120" s="488"/>
      <c r="E120" s="488"/>
      <c r="F120" s="488"/>
      <c r="G120" s="488"/>
      <c r="H120" s="488"/>
      <c r="I120" s="488"/>
      <c r="J120" s="567"/>
      <c r="K120" s="489"/>
      <c r="L120" s="569"/>
      <c r="M120" s="487"/>
    </row>
    <row r="121" spans="1:13">
      <c r="D121" s="490"/>
      <c r="E121" s="490"/>
      <c r="F121" s="490"/>
      <c r="G121" s="490"/>
      <c r="H121" s="490"/>
      <c r="I121" s="490"/>
      <c r="K121" s="491" t="s">
        <v>786</v>
      </c>
      <c r="L121" s="66"/>
    </row>
    <row r="122" spans="1:13">
      <c r="C122" s="67"/>
      <c r="D122" s="492"/>
      <c r="E122" s="492"/>
      <c r="F122" s="492"/>
      <c r="G122" s="492"/>
      <c r="H122" s="492"/>
      <c r="I122" s="492"/>
      <c r="K122" s="491" t="s">
        <v>233</v>
      </c>
      <c r="L122" s="66"/>
    </row>
    <row r="123" spans="1:13">
      <c r="A123" s="68"/>
      <c r="B123" s="68"/>
      <c r="C123" s="67" t="s">
        <v>787</v>
      </c>
      <c r="D123" s="68"/>
      <c r="E123" s="68"/>
      <c r="F123" s="68"/>
      <c r="G123" s="68"/>
      <c r="H123" s="68"/>
      <c r="I123" s="68"/>
      <c r="J123" s="450"/>
      <c r="K123" s="493" t="s">
        <v>788</v>
      </c>
      <c r="L123" s="66"/>
      <c r="M123" s="68"/>
    </row>
    <row r="124" spans="1:13">
      <c r="A124" s="68"/>
      <c r="D124" s="68"/>
      <c r="E124" s="68"/>
      <c r="F124" s="68"/>
      <c r="G124" s="68"/>
      <c r="H124" s="68"/>
      <c r="I124" s="68"/>
      <c r="J124" s="450"/>
      <c r="K124" s="69"/>
      <c r="L124" s="69"/>
      <c r="M124" s="68"/>
    </row>
    <row r="125" spans="1:13">
      <c r="A125" s="68"/>
      <c r="B125" s="989"/>
      <c r="C125" s="989"/>
      <c r="D125" s="68"/>
      <c r="E125" s="68"/>
      <c r="F125" s="68"/>
      <c r="G125" s="68"/>
      <c r="H125" s="68"/>
      <c r="I125" s="68"/>
      <c r="J125" s="450"/>
      <c r="M125" s="68"/>
    </row>
    <row r="126" spans="1:13">
      <c r="A126" s="68"/>
      <c r="B126" s="68"/>
      <c r="C126" s="68"/>
      <c r="D126" s="70"/>
      <c r="E126" s="70"/>
      <c r="F126" s="70"/>
      <c r="G126" s="70"/>
      <c r="H126" s="70"/>
      <c r="I126" s="70"/>
      <c r="J126" s="450"/>
      <c r="K126" s="69"/>
      <c r="L126" s="69"/>
      <c r="M126" s="68"/>
    </row>
    <row r="127" spans="1:13">
      <c r="A127" s="68"/>
      <c r="B127" s="68"/>
      <c r="C127" s="68"/>
      <c r="D127" s="68"/>
      <c r="E127" s="68"/>
      <c r="F127" s="68"/>
      <c r="G127" s="68"/>
      <c r="H127" s="68"/>
      <c r="I127" s="68"/>
      <c r="J127" s="450"/>
      <c r="K127" s="69"/>
      <c r="L127" s="69"/>
      <c r="M127" s="68"/>
    </row>
    <row r="128" spans="1:13">
      <c r="A128" s="68"/>
      <c r="B128" s="68"/>
      <c r="C128" s="493"/>
      <c r="D128" s="70"/>
      <c r="E128" s="70"/>
      <c r="F128" s="70"/>
      <c r="G128" s="70"/>
      <c r="H128" s="70"/>
      <c r="I128" s="70"/>
      <c r="J128" s="450"/>
      <c r="K128" s="69"/>
      <c r="L128" s="69"/>
      <c r="M128" s="68"/>
    </row>
    <row r="129" spans="1:13">
      <c r="A129" s="68"/>
      <c r="B129" s="494"/>
      <c r="C129" s="494"/>
      <c r="D129" s="70"/>
      <c r="E129" s="70"/>
      <c r="F129" s="70"/>
      <c r="G129" s="70"/>
      <c r="H129" s="70"/>
      <c r="I129" s="70"/>
      <c r="J129" s="450"/>
      <c r="K129" s="68"/>
      <c r="L129" s="68"/>
      <c r="M129" s="68"/>
    </row>
    <row r="130" spans="1:13">
      <c r="D130" s="71"/>
      <c r="E130" s="71"/>
      <c r="F130" s="71"/>
      <c r="G130" s="71"/>
      <c r="H130" s="71"/>
      <c r="I130" s="71"/>
    </row>
    <row r="131" spans="1:13">
      <c r="D131" s="71"/>
      <c r="E131" s="71"/>
      <c r="F131" s="71"/>
      <c r="G131" s="71"/>
      <c r="H131" s="71"/>
      <c r="I131" s="71"/>
    </row>
    <row r="132" spans="1:13">
      <c r="D132" s="71"/>
      <c r="E132" s="71"/>
      <c r="F132" s="71"/>
      <c r="G132" s="71"/>
      <c r="H132" s="71"/>
      <c r="I132" s="71"/>
    </row>
    <row r="133" spans="1:13">
      <c r="D133" s="169"/>
      <c r="E133" s="169"/>
      <c r="F133" s="169"/>
      <c r="G133" s="169"/>
      <c r="H133" s="169"/>
      <c r="I133" s="169"/>
    </row>
  </sheetData>
  <autoFilter ref="B6:M119"/>
  <mergeCells count="13">
    <mergeCell ref="L6:L7"/>
    <mergeCell ref="M6:M7"/>
    <mergeCell ref="B125:C125"/>
    <mergeCell ref="A3:M3"/>
    <mergeCell ref="A4:M4"/>
    <mergeCell ref="A6:A7"/>
    <mergeCell ref="B6:B7"/>
    <mergeCell ref="C6:C7"/>
    <mergeCell ref="D6:D7"/>
    <mergeCell ref="E6:E7"/>
    <mergeCell ref="F6:F7"/>
    <mergeCell ref="J6:J7"/>
    <mergeCell ref="K6:K7"/>
  </mergeCells>
  <conditionalFormatting sqref="C86">
    <cfRule type="duplicateValues" dxfId="4" priority="2"/>
  </conditionalFormatting>
  <conditionalFormatting sqref="B85">
    <cfRule type="duplicateValues" dxfId="3" priority="4"/>
  </conditionalFormatting>
  <conditionalFormatting sqref="C85">
    <cfRule type="duplicateValues" dxfId="2" priority="5"/>
  </conditionalFormatting>
  <conditionalFormatting sqref="B86">
    <cfRule type="duplicateValues" dxfId="1" priority="3"/>
  </conditionalFormatting>
  <conditionalFormatting sqref="B1:B114 B116:B1048576">
    <cfRule type="duplicateValues" dxfId="0" priority="1"/>
  </conditionalFormatting>
  <pageMargins left="0.25" right="0.25" top="0.25" bottom="0.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zoomScale="85" zoomScaleNormal="85" workbookViewId="0">
      <pane xSplit="4" ySplit="4" topLeftCell="E5" activePane="bottomRight" state="frozen"/>
      <selection activeCell="H25" sqref="H25"/>
      <selection pane="topRight" activeCell="H25" sqref="H25"/>
      <selection pane="bottomLeft" activeCell="H25" sqref="H25"/>
      <selection pane="bottomRight" activeCell="E23" sqref="E23:E24"/>
    </sheetView>
  </sheetViews>
  <sheetFormatPr defaultColWidth="9.140625" defaultRowHeight="15"/>
  <cols>
    <col min="1" max="1" width="4.7109375" style="59" customWidth="1"/>
    <col min="2" max="2" width="11.7109375" style="59" customWidth="1"/>
    <col min="3" max="3" width="21.42578125" style="59" customWidth="1"/>
    <col min="4" max="4" width="14.7109375" style="59" customWidth="1"/>
    <col min="5" max="5" width="16.28515625" style="60" customWidth="1"/>
    <col min="6" max="6" width="23.42578125" style="59" customWidth="1"/>
    <col min="7" max="7" width="17.140625" style="59" customWidth="1"/>
    <col min="8" max="8" width="24.140625" style="59" customWidth="1"/>
    <col min="9" max="9" width="24.7109375" style="59" customWidth="1"/>
    <col min="10" max="16384" width="9.140625" style="59"/>
  </cols>
  <sheetData>
    <row r="1" spans="1:8">
      <c r="A1" s="595" t="s">
        <v>796</v>
      </c>
      <c r="B1" s="68"/>
      <c r="C1" s="68"/>
      <c r="D1" s="68"/>
      <c r="E1" s="68" t="s">
        <v>797</v>
      </c>
      <c r="F1" s="68" t="s">
        <v>824</v>
      </c>
      <c r="G1" s="68"/>
      <c r="H1" s="68"/>
    </row>
    <row r="2" spans="1:8">
      <c r="A2" s="68" t="s">
        <v>1022</v>
      </c>
      <c r="B2" s="68"/>
      <c r="C2" s="68"/>
      <c r="D2" s="68"/>
      <c r="E2" s="66"/>
      <c r="F2" s="68" t="s">
        <v>825</v>
      </c>
      <c r="G2" s="68"/>
      <c r="H2" s="68"/>
    </row>
    <row r="3" spans="1:8">
      <c r="A3" s="68"/>
      <c r="B3" s="584"/>
      <c r="C3" s="584"/>
      <c r="D3" s="584"/>
      <c r="E3" s="66"/>
      <c r="F3" s="594"/>
      <c r="G3" s="584"/>
      <c r="H3" s="584"/>
    </row>
    <row r="4" spans="1:8" s="578" customFormat="1" ht="20.25" customHeight="1">
      <c r="A4" s="575" t="s">
        <v>18</v>
      </c>
      <c r="B4" s="576" t="s">
        <v>236</v>
      </c>
      <c r="C4" s="576" t="s">
        <v>237</v>
      </c>
      <c r="D4" s="576" t="s">
        <v>791</v>
      </c>
      <c r="E4" s="576" t="s">
        <v>242</v>
      </c>
      <c r="F4" s="576" t="s">
        <v>594</v>
      </c>
      <c r="G4" s="576" t="s">
        <v>243</v>
      </c>
      <c r="H4" s="577" t="s">
        <v>201</v>
      </c>
    </row>
    <row r="5" spans="1:8" s="116" customFormat="1" ht="18.75" customHeight="1">
      <c r="A5" s="73">
        <v>1</v>
      </c>
      <c r="B5" s="63" t="s">
        <v>43</v>
      </c>
      <c r="C5" s="74" t="str">
        <f>VLOOKUP(B5,'Bảng lương'!B:D,3,0)</f>
        <v>Lò Văn Thảnh</v>
      </c>
      <c r="D5" s="180">
        <f>VLOOKUP(B5,'Bảng lương'!B:U,19,0)</f>
        <v>0</v>
      </c>
      <c r="E5" s="543" t="e">
        <f>VLOOKUP(B5,'Bảng lương'!B:X,22,0)</f>
        <v>#REF!</v>
      </c>
      <c r="F5" s="180" t="e">
        <f>VLOOKUP(B5,'Bảng lương'!B:W,21,0)</f>
        <v>#REF!</v>
      </c>
      <c r="G5" s="180" t="e">
        <f>VLOOKUP(B5,'Bảng lương'!B:Y,23,0)</f>
        <v>#REF!</v>
      </c>
      <c r="H5" s="544"/>
    </row>
    <row r="6" spans="1:8" s="116" customFormat="1" ht="18.75" customHeight="1">
      <c r="A6" s="73">
        <v>2</v>
      </c>
      <c r="B6" s="63" t="s">
        <v>28</v>
      </c>
      <c r="C6" s="74" t="str">
        <f>VLOOKUP(B6,'Bảng lương'!B:D,3,0)</f>
        <v>Phạm Văn Sơn</v>
      </c>
      <c r="D6" s="180">
        <f>VLOOKUP(B6,'Bảng lương'!B:U,19,0)</f>
        <v>0</v>
      </c>
      <c r="E6" s="543" t="e">
        <f>VLOOKUP(B6,'Bảng lương'!B:X,22,0)</f>
        <v>#REF!</v>
      </c>
      <c r="F6" s="180" t="e">
        <f>VLOOKUP(B6,'Bảng lương'!B:W,21,0)</f>
        <v>#REF!</v>
      </c>
      <c r="G6" s="180" t="e">
        <f>VLOOKUP(B6,'Bảng lương'!B:Y,23,0)</f>
        <v>#REF!</v>
      </c>
      <c r="H6" s="185"/>
    </row>
    <row r="7" spans="1:8" s="116" customFormat="1" ht="18.75" customHeight="1">
      <c r="A7" s="73">
        <v>3</v>
      </c>
      <c r="B7" s="63" t="s">
        <v>29</v>
      </c>
      <c r="C7" s="74" t="str">
        <f>VLOOKUP(B7,'Bảng lương'!B:D,3,0)</f>
        <v>Hoàng Thị Như</v>
      </c>
      <c r="D7" s="180">
        <f>VLOOKUP(B7,'Bảng lương'!B:U,19,0)</f>
        <v>0</v>
      </c>
      <c r="E7" s="543" t="e">
        <f>VLOOKUP(B7,'Bảng lương'!B:X,22,0)</f>
        <v>#REF!</v>
      </c>
      <c r="F7" s="180" t="e">
        <f>VLOOKUP(B7,'Bảng lương'!B:W,21,0)</f>
        <v>#REF!</v>
      </c>
      <c r="G7" s="180" t="e">
        <f>VLOOKUP(B7,'Bảng lương'!B:Y,23,0)</f>
        <v>#REF!</v>
      </c>
      <c r="H7" s="185"/>
    </row>
    <row r="8" spans="1:8" s="116" customFormat="1" ht="18.75" customHeight="1">
      <c r="A8" s="73">
        <v>4</v>
      </c>
      <c r="B8" s="63" t="s">
        <v>30</v>
      </c>
      <c r="C8" s="74" t="str">
        <f>VLOOKUP(B8,'Bảng lương'!B:D,3,0)</f>
        <v>Nguyễn Duy Hải</v>
      </c>
      <c r="D8" s="180">
        <f>VLOOKUP(B8,'Bảng lương'!B:U,19,0)</f>
        <v>0</v>
      </c>
      <c r="E8" s="543" t="e">
        <f>VLOOKUP(B8,'Bảng lương'!B:X,22,0)</f>
        <v>#REF!</v>
      </c>
      <c r="F8" s="180" t="e">
        <f>VLOOKUP(B8,'Bảng lương'!B:W,21,0)</f>
        <v>#REF!</v>
      </c>
      <c r="G8" s="180" t="e">
        <f>VLOOKUP(B8,'Bảng lương'!B:Y,23,0)</f>
        <v>#REF!</v>
      </c>
      <c r="H8" s="185"/>
    </row>
    <row r="9" spans="1:8" s="116" customFormat="1" ht="18.75" customHeight="1">
      <c r="A9" s="73">
        <v>5</v>
      </c>
      <c r="B9" s="63" t="s">
        <v>38</v>
      </c>
      <c r="C9" s="74" t="str">
        <f>VLOOKUP(B9,'Bảng lương'!B:D,3,0)</f>
        <v>Nguyễn Xuân Trường</v>
      </c>
      <c r="D9" s="180">
        <f>VLOOKUP(B9,'Bảng lương'!B:U,19,0)</f>
        <v>0</v>
      </c>
      <c r="E9" s="543" t="e">
        <f>VLOOKUP(B9,'Bảng lương'!B:X,22,0)</f>
        <v>#REF!</v>
      </c>
      <c r="F9" s="180" t="e">
        <f>VLOOKUP(B9,'Bảng lương'!B:W,21,0)</f>
        <v>#REF!</v>
      </c>
      <c r="G9" s="180" t="e">
        <f>VLOOKUP(B9,'Bảng lương'!B:Y,23,0)</f>
        <v>#REF!</v>
      </c>
      <c r="H9" s="185"/>
    </row>
    <row r="10" spans="1:8" s="116" customFormat="1" ht="18.75" customHeight="1">
      <c r="A10" s="73">
        <v>6</v>
      </c>
      <c r="B10" s="63" t="s">
        <v>31</v>
      </c>
      <c r="C10" s="74" t="str">
        <f>VLOOKUP(B10,'Bảng lương'!B:D,3,0)</f>
        <v>Nguyễn Đức Toàn</v>
      </c>
      <c r="D10" s="180">
        <f>VLOOKUP(B10,'Bảng lương'!B:U,19,0)</f>
        <v>0</v>
      </c>
      <c r="E10" s="543" t="e">
        <f>VLOOKUP(B10,'Bảng lương'!B:X,22,0)</f>
        <v>#REF!</v>
      </c>
      <c r="F10" s="180" t="e">
        <f>VLOOKUP(B10,'Bảng lương'!B:W,21,0)</f>
        <v>#REF!</v>
      </c>
      <c r="G10" s="180" t="e">
        <f>VLOOKUP(B10,'Bảng lương'!B:Y,23,0)</f>
        <v>#REF!</v>
      </c>
      <c r="H10" s="185"/>
    </row>
    <row r="11" spans="1:8" s="116" customFormat="1" ht="18.75" customHeight="1">
      <c r="A11" s="73">
        <v>7</v>
      </c>
      <c r="B11" s="63" t="s">
        <v>42</v>
      </c>
      <c r="C11" s="74" t="str">
        <f>VLOOKUP(B11,'Bảng lương'!B:D,3,0)</f>
        <v>Lò Văn Thuận</v>
      </c>
      <c r="D11" s="180">
        <f>VLOOKUP(B11,'Bảng lương'!B:U,19,0)</f>
        <v>0</v>
      </c>
      <c r="E11" s="543" t="e">
        <f>VLOOKUP(B11,'Bảng lương'!B:X,22,0)</f>
        <v>#REF!</v>
      </c>
      <c r="F11" s="180" t="e">
        <f>VLOOKUP(B11,'Bảng lương'!B:W,21,0)</f>
        <v>#REF!</v>
      </c>
      <c r="G11" s="180" t="e">
        <f>VLOOKUP(B11,'Bảng lương'!B:Y,23,0)</f>
        <v>#REF!</v>
      </c>
      <c r="H11" s="185"/>
    </row>
    <row r="12" spans="1:8" s="116" customFormat="1" ht="18.75" customHeight="1">
      <c r="A12" s="73">
        <v>8</v>
      </c>
      <c r="B12" s="63" t="s">
        <v>311</v>
      </c>
      <c r="C12" s="74" t="str">
        <f>VLOOKUP(B12,'Bảng lương'!B:D,3,0)</f>
        <v>Quàng Văn Mạnh</v>
      </c>
      <c r="D12" s="180">
        <f>VLOOKUP(B12,'Bảng lương'!B:U,19,0)</f>
        <v>0</v>
      </c>
      <c r="E12" s="543" t="e">
        <f>VLOOKUP(B12,'Bảng lương'!B:X,22,0)</f>
        <v>#REF!</v>
      </c>
      <c r="F12" s="180" t="e">
        <f>VLOOKUP(B12,'Bảng lương'!B:W,21,0)</f>
        <v>#REF!</v>
      </c>
      <c r="G12" s="180" t="e">
        <f>VLOOKUP(B12,'Bảng lương'!B:Y,23,0)</f>
        <v>#REF!</v>
      </c>
      <c r="H12" s="185"/>
    </row>
    <row r="13" spans="1:8" s="116" customFormat="1" ht="18.75" customHeight="1">
      <c r="A13" s="73">
        <v>9</v>
      </c>
      <c r="B13" s="63" t="s">
        <v>34</v>
      </c>
      <c r="C13" s="74" t="str">
        <f>VLOOKUP(B13,'Bảng lương'!B:D,3,0)</f>
        <v>Hoàng Văn Hiên</v>
      </c>
      <c r="D13" s="180">
        <f>VLOOKUP(B13,'Bảng lương'!B:U,19,0)</f>
        <v>0</v>
      </c>
      <c r="E13" s="543" t="e">
        <f>VLOOKUP(B13,'Bảng lương'!B:X,22,0)</f>
        <v>#REF!</v>
      </c>
      <c r="F13" s="180" t="e">
        <f>VLOOKUP(B13,'Bảng lương'!B:W,21,0)</f>
        <v>#REF!</v>
      </c>
      <c r="G13" s="180" t="e">
        <f>VLOOKUP(B13,'Bảng lương'!B:Y,23,0)</f>
        <v>#REF!</v>
      </c>
      <c r="H13" s="185"/>
    </row>
    <row r="14" spans="1:8" s="116" customFormat="1" ht="18.75" customHeight="1">
      <c r="A14" s="73">
        <v>10</v>
      </c>
      <c r="B14" s="63" t="s">
        <v>35</v>
      </c>
      <c r="C14" s="74" t="str">
        <f>VLOOKUP(B14,'Bảng lương'!B:D,3,0)</f>
        <v>Nguyễn Thị Thương</v>
      </c>
      <c r="D14" s="180">
        <f>VLOOKUP(B14,'Bảng lương'!B:U,19,0)</f>
        <v>0</v>
      </c>
      <c r="E14" s="543" t="e">
        <f>VLOOKUP(B14,'Bảng lương'!B:X,22,0)</f>
        <v>#REF!</v>
      </c>
      <c r="F14" s="180" t="e">
        <f>VLOOKUP(B14,'Bảng lương'!B:W,21,0)</f>
        <v>#REF!</v>
      </c>
      <c r="G14" s="180" t="e">
        <f>VLOOKUP(B14,'Bảng lương'!B:Y,23,0)</f>
        <v>#REF!</v>
      </c>
      <c r="H14" s="185"/>
    </row>
    <row r="15" spans="1:8" s="116" customFormat="1" ht="18.75" customHeight="1">
      <c r="A15" s="73">
        <v>11</v>
      </c>
      <c r="B15" s="63" t="s">
        <v>36</v>
      </c>
      <c r="C15" s="74" t="e">
        <f>VLOOKUP(B15,'Bảng lương'!B:D,3,0)</f>
        <v>#N/A</v>
      </c>
      <c r="D15" s="180" t="e">
        <f>VLOOKUP(B15,'Bảng lương'!B:U,19,0)</f>
        <v>#N/A</v>
      </c>
      <c r="E15" s="543" t="e">
        <f>VLOOKUP(B15,'Bảng lương'!B:X,22,0)</f>
        <v>#N/A</v>
      </c>
      <c r="F15" s="180" t="e">
        <f>VLOOKUP(B15,'Bảng lương'!B:W,21,0)</f>
        <v>#N/A</v>
      </c>
      <c r="G15" s="180" t="e">
        <f>VLOOKUP(B15,'Bảng lương'!B:Y,23,0)</f>
        <v>#N/A</v>
      </c>
      <c r="H15" s="185"/>
    </row>
    <row r="16" spans="1:8" s="116" customFormat="1" ht="18.75" customHeight="1">
      <c r="A16" s="73">
        <v>12</v>
      </c>
      <c r="B16" s="63" t="s">
        <v>37</v>
      </c>
      <c r="C16" s="74" t="str">
        <f>VLOOKUP(B16,'Bảng lương'!B:D,3,0)</f>
        <v>Phạm Hồng Phong</v>
      </c>
      <c r="D16" s="180">
        <f>VLOOKUP(B16,'Bảng lương'!B:U,19,0)</f>
        <v>0</v>
      </c>
      <c r="E16" s="543" t="e">
        <f>VLOOKUP(B16,'Bảng lương'!B:X,22,0)</f>
        <v>#REF!</v>
      </c>
      <c r="F16" s="180" t="e">
        <f>VLOOKUP(B16,'Bảng lương'!B:W,21,0)</f>
        <v>#REF!</v>
      </c>
      <c r="G16" s="180" t="e">
        <f>VLOOKUP(B16,'Bảng lương'!B:Y,23,0)</f>
        <v>#REF!</v>
      </c>
      <c r="H16" s="185"/>
    </row>
    <row r="17" spans="1:8" s="116" customFormat="1" ht="18.75" customHeight="1">
      <c r="A17" s="73">
        <v>13</v>
      </c>
      <c r="B17" s="63" t="s">
        <v>39</v>
      </c>
      <c r="C17" s="74" t="str">
        <f>VLOOKUP(B17,'Bảng lương'!B:D,3,0)</f>
        <v>Ngô Văn Chung</v>
      </c>
      <c r="D17" s="180">
        <f>VLOOKUP(B17,'Bảng lương'!B:U,19,0)</f>
        <v>0</v>
      </c>
      <c r="E17" s="543" t="e">
        <f>VLOOKUP(B17,'Bảng lương'!B:X,22,0)</f>
        <v>#REF!</v>
      </c>
      <c r="F17" s="180" t="e">
        <f>VLOOKUP(B17,'Bảng lương'!B:W,21,0)</f>
        <v>#REF!</v>
      </c>
      <c r="G17" s="180" t="e">
        <f>VLOOKUP(B17,'Bảng lương'!B:Y,23,0)</f>
        <v>#REF!</v>
      </c>
      <c r="H17" s="185"/>
    </row>
    <row r="18" spans="1:8" s="116" customFormat="1" ht="18.75" customHeight="1">
      <c r="A18" s="73">
        <v>14</v>
      </c>
      <c r="B18" s="63" t="s">
        <v>40</v>
      </c>
      <c r="C18" s="74" t="str">
        <f>VLOOKUP(B18,'Bảng lương'!B:D,3,0)</f>
        <v>Lương Xuân Điệp</v>
      </c>
      <c r="D18" s="180">
        <f>VLOOKUP(B18,'Bảng lương'!B:U,19,0)</f>
        <v>0</v>
      </c>
      <c r="E18" s="543" t="e">
        <f>VLOOKUP(B18,'Bảng lương'!B:X,22,0)</f>
        <v>#REF!</v>
      </c>
      <c r="F18" s="180" t="e">
        <f>VLOOKUP(B18,'Bảng lương'!B:W,21,0)</f>
        <v>#REF!</v>
      </c>
      <c r="G18" s="180" t="e">
        <f>VLOOKUP(B18,'Bảng lương'!B:Y,23,0)</f>
        <v>#REF!</v>
      </c>
      <c r="H18" s="185"/>
    </row>
    <row r="19" spans="1:8" s="116" customFormat="1" ht="18.75" customHeight="1">
      <c r="A19" s="73">
        <v>15</v>
      </c>
      <c r="B19" s="63" t="s">
        <v>41</v>
      </c>
      <c r="C19" s="74" t="str">
        <f>VLOOKUP(B19,'Bảng lương'!B:D,3,0)</f>
        <v>Hoàng Trọng Nghĩa</v>
      </c>
      <c r="D19" s="180">
        <f>VLOOKUP(B19,'Bảng lương'!B:U,19,0)</f>
        <v>0</v>
      </c>
      <c r="E19" s="543" t="e">
        <f>VLOOKUP(B19,'Bảng lương'!B:X,22,0)</f>
        <v>#REF!</v>
      </c>
      <c r="F19" s="180" t="e">
        <f>VLOOKUP(B19,'Bảng lương'!B:W,21,0)</f>
        <v>#REF!</v>
      </c>
      <c r="G19" s="180" t="e">
        <f>VLOOKUP(B19,'Bảng lương'!B:Y,23,0)</f>
        <v>#REF!</v>
      </c>
      <c r="H19" s="185"/>
    </row>
    <row r="20" spans="1:8" s="116" customFormat="1" ht="18.75" customHeight="1">
      <c r="A20" s="73">
        <v>16</v>
      </c>
      <c r="B20" s="63" t="s">
        <v>402</v>
      </c>
      <c r="C20" s="74" t="str">
        <f>VLOOKUP(B20,'Bảng lương'!B:D,3,0)</f>
        <v>Hoàng Thị Thu Hiền 16/6/2001 Quảng Trị</v>
      </c>
      <c r="D20" s="180">
        <f>VLOOKUP(B20,'Bảng lương'!B:U,19,0)</f>
        <v>0</v>
      </c>
      <c r="E20" s="543" t="e">
        <f>VLOOKUP(B20,'Bảng lương'!B:X,22,0)</f>
        <v>#REF!</v>
      </c>
      <c r="F20" s="180" t="e">
        <f>VLOOKUP(B20,'Bảng lương'!B:W,21,0)</f>
        <v>#REF!</v>
      </c>
      <c r="G20" s="180" t="e">
        <f>VLOOKUP(B20,'Bảng lương'!B:Y,23,0)</f>
        <v>#REF!</v>
      </c>
      <c r="H20" s="185"/>
    </row>
    <row r="21" spans="1:8" s="116" customFormat="1" ht="18.75" customHeight="1">
      <c r="A21" s="73">
        <v>17</v>
      </c>
      <c r="B21" s="63" t="s">
        <v>44</v>
      </c>
      <c r="C21" s="74" t="str">
        <f>VLOOKUP(B21,'Bảng lương'!B:D,3,0)</f>
        <v>Trình Văn Sơn</v>
      </c>
      <c r="D21" s="180">
        <f>VLOOKUP(B21,'Bảng lương'!B:U,19,0)</f>
        <v>0</v>
      </c>
      <c r="E21" s="543" t="e">
        <f>VLOOKUP(B21,'Bảng lương'!B:X,22,0)</f>
        <v>#REF!</v>
      </c>
      <c r="F21" s="180" t="e">
        <f>VLOOKUP(B21,'Bảng lương'!B:W,21,0)</f>
        <v>#REF!</v>
      </c>
      <c r="G21" s="180" t="e">
        <f>VLOOKUP(B21,'Bảng lương'!B:Y,23,0)</f>
        <v>#REF!</v>
      </c>
      <c r="H21" s="185"/>
    </row>
    <row r="22" spans="1:8" s="116" customFormat="1" ht="18.75" customHeight="1">
      <c r="A22" s="73">
        <v>18</v>
      </c>
      <c r="B22" s="63" t="s">
        <v>390</v>
      </c>
      <c r="C22" s="74" t="str">
        <f>VLOOKUP(B22,'Bảng lương'!B:D,3,0)</f>
        <v>Trương Văn Thơm</v>
      </c>
      <c r="D22" s="180">
        <f>VLOOKUP(B22,'Bảng lương'!B:U,19,0)</f>
        <v>0</v>
      </c>
      <c r="E22" s="543" t="e">
        <f>VLOOKUP(B22,'Bảng lương'!B:X,22,0)</f>
        <v>#REF!</v>
      </c>
      <c r="F22" s="180" t="e">
        <f>VLOOKUP(B22,'Bảng lương'!B:W,21,0)</f>
        <v>#REF!</v>
      </c>
      <c r="G22" s="180" t="e">
        <f>VLOOKUP(B22,'Bảng lương'!B:Y,23,0)</f>
        <v>#REF!</v>
      </c>
      <c r="H22" s="185"/>
    </row>
    <row r="23" spans="1:8" s="116" customFormat="1" ht="18.75" customHeight="1">
      <c r="A23" s="73">
        <v>19</v>
      </c>
      <c r="B23" s="63" t="s">
        <v>413</v>
      </c>
      <c r="C23" s="74" t="str">
        <f>VLOOKUP(B23,'Bảng lương'!B:D,3,0)</f>
        <v>Vũ Thị Trang</v>
      </c>
      <c r="D23" s="180">
        <f>VLOOKUP(B23,'Bảng lương'!B:U,19,0)</f>
        <v>0</v>
      </c>
      <c r="E23" s="543" t="e">
        <f>VLOOKUP(B23,'Bảng lương'!B:X,22,0)</f>
        <v>#REF!</v>
      </c>
      <c r="F23" s="180" t="e">
        <f>VLOOKUP(B23,'Bảng lương'!B:W,21,0)</f>
        <v>#REF!</v>
      </c>
      <c r="G23" s="180" t="e">
        <f>VLOOKUP(B23,'Bảng lương'!B:Y,23,0)</f>
        <v>#REF!</v>
      </c>
      <c r="H23" s="185"/>
    </row>
    <row r="24" spans="1:8" s="116" customFormat="1" ht="18.75" customHeight="1">
      <c r="A24" s="73">
        <v>20</v>
      </c>
      <c r="B24" s="63" t="s">
        <v>50</v>
      </c>
      <c r="C24" s="74" t="str">
        <f>VLOOKUP(B24,'Bảng lương'!B:D,3,0)</f>
        <v>Vương Tiến Sắc</v>
      </c>
      <c r="D24" s="180">
        <f>VLOOKUP(B24,'Bảng lương'!B:U,19,0)</f>
        <v>0</v>
      </c>
      <c r="E24" s="543" t="e">
        <f>VLOOKUP(B24,'Bảng lương'!B:X,22,0)</f>
        <v>#REF!</v>
      </c>
      <c r="F24" s="180" t="e">
        <f>VLOOKUP(B24,'Bảng lương'!B:W,21,0)</f>
        <v>#REF!</v>
      </c>
      <c r="G24" s="180" t="e">
        <f>VLOOKUP(B24,'Bảng lương'!B:Y,23,0)</f>
        <v>#REF!</v>
      </c>
      <c r="H24" s="185"/>
    </row>
    <row r="25" spans="1:8" s="116" customFormat="1" ht="18.75" customHeight="1">
      <c r="A25" s="73">
        <v>21</v>
      </c>
      <c r="B25" s="63" t="s">
        <v>53</v>
      </c>
      <c r="C25" s="74" t="str">
        <f>VLOOKUP(B25,'Bảng lương'!B:D,3,0)</f>
        <v>Nguyễn Thị Bướm</v>
      </c>
      <c r="D25" s="180">
        <f>VLOOKUP(B25,'Bảng lương'!B:U,19,0)</f>
        <v>0</v>
      </c>
      <c r="E25" s="543" t="e">
        <f>VLOOKUP(B25,'Bảng lương'!B:X,22,0)</f>
        <v>#REF!</v>
      </c>
      <c r="F25" s="180" t="e">
        <f>VLOOKUP(B25,'Bảng lương'!B:W,21,0)</f>
        <v>#REF!</v>
      </c>
      <c r="G25" s="180" t="e">
        <f>VLOOKUP(B25,'Bảng lương'!B:Y,23,0)</f>
        <v>#REF!</v>
      </c>
      <c r="H25" s="185"/>
    </row>
    <row r="26" spans="1:8" s="116" customFormat="1" ht="18.75" customHeight="1">
      <c r="A26" s="73">
        <v>22</v>
      </c>
      <c r="B26" s="63" t="s">
        <v>52</v>
      </c>
      <c r="C26" s="74" t="e">
        <f>VLOOKUP(B26,'Bảng lương'!B:D,3,0)</f>
        <v>#N/A</v>
      </c>
      <c r="D26" s="180" t="e">
        <f>VLOOKUP(B26,'Bảng lương'!B:U,19,0)</f>
        <v>#N/A</v>
      </c>
      <c r="E26" s="543" t="e">
        <f>VLOOKUP(B26,'Bảng lương'!B:X,22,0)</f>
        <v>#N/A</v>
      </c>
      <c r="F26" s="180" t="e">
        <f>VLOOKUP(B26,'Bảng lương'!B:W,21,0)</f>
        <v>#N/A</v>
      </c>
      <c r="G26" s="180" t="e">
        <f>VLOOKUP(B26,'Bảng lương'!B:Y,23,0)</f>
        <v>#N/A</v>
      </c>
      <c r="H26" s="185"/>
    </row>
    <row r="27" spans="1:8" s="116" customFormat="1" ht="18.75" customHeight="1">
      <c r="A27" s="73">
        <v>23</v>
      </c>
      <c r="B27" s="63" t="s">
        <v>57</v>
      </c>
      <c r="C27" s="74" t="e">
        <f>VLOOKUP(B27,'Bảng lương'!B:D,3,0)</f>
        <v>#N/A</v>
      </c>
      <c r="D27" s="180" t="e">
        <f>VLOOKUP(B27,'Bảng lương'!B:U,19,0)</f>
        <v>#N/A</v>
      </c>
      <c r="E27" s="543" t="e">
        <f>VLOOKUP(B27,'Bảng lương'!B:X,22,0)</f>
        <v>#N/A</v>
      </c>
      <c r="F27" s="180" t="e">
        <f>VLOOKUP(B27,'Bảng lương'!B:W,21,0)</f>
        <v>#N/A</v>
      </c>
      <c r="G27" s="180" t="e">
        <f>VLOOKUP(B27,'Bảng lương'!B:Y,23,0)</f>
        <v>#N/A</v>
      </c>
      <c r="H27" s="185"/>
    </row>
    <row r="28" spans="1:8" s="116" customFormat="1" ht="18.75" customHeight="1">
      <c r="A28" s="73">
        <v>24</v>
      </c>
      <c r="B28" s="63" t="s">
        <v>58</v>
      </c>
      <c r="C28" s="74" t="str">
        <f>VLOOKUP(B28,'Bảng lương'!B:D,3,0)</f>
        <v>Nguyễn Văn Hồng Hải</v>
      </c>
      <c r="D28" s="180">
        <f>VLOOKUP(B28,'Bảng lương'!B:U,19,0)</f>
        <v>0</v>
      </c>
      <c r="E28" s="543" t="e">
        <f>VLOOKUP(B28,'Bảng lương'!B:X,22,0)</f>
        <v>#REF!</v>
      </c>
      <c r="F28" s="180" t="e">
        <f>VLOOKUP(B28,'Bảng lương'!B:W,21,0)</f>
        <v>#REF!</v>
      </c>
      <c r="G28" s="180" t="e">
        <f>VLOOKUP(B28,'Bảng lương'!B:Y,23,0)</f>
        <v>#REF!</v>
      </c>
      <c r="H28" s="185"/>
    </row>
    <row r="29" spans="1:8" s="116" customFormat="1" ht="18.75" customHeight="1">
      <c r="A29" s="73">
        <v>25</v>
      </c>
      <c r="B29" s="63" t="s">
        <v>432</v>
      </c>
      <c r="C29" s="74" t="str">
        <f>VLOOKUP(B29,'Bảng lương'!B:D,3,0)</f>
        <v>Trần Thanh Hường</v>
      </c>
      <c r="D29" s="180">
        <f>VLOOKUP(B29,'Bảng lương'!B:U,19,0)</f>
        <v>0</v>
      </c>
      <c r="E29" s="543" t="e">
        <f>VLOOKUP(B29,'Bảng lương'!B:X,22,0)</f>
        <v>#REF!</v>
      </c>
      <c r="F29" s="180" t="e">
        <f>VLOOKUP(B29,'Bảng lương'!B:W,21,0)</f>
        <v>#REF!</v>
      </c>
      <c r="G29" s="180" t="e">
        <f>VLOOKUP(B29,'Bảng lương'!B:Y,23,0)</f>
        <v>#REF!</v>
      </c>
      <c r="H29" s="185"/>
    </row>
    <row r="30" spans="1:8" s="116" customFormat="1" ht="18.75" customHeight="1">
      <c r="A30" s="73">
        <v>26</v>
      </c>
      <c r="B30" s="63" t="s">
        <v>64</v>
      </c>
      <c r="C30" s="74" t="str">
        <f>VLOOKUP(B30,'Bảng lương'!B:D,3,0)</f>
        <v>Lương Văn Hài</v>
      </c>
      <c r="D30" s="180">
        <f>VLOOKUP(B30,'Bảng lương'!B:U,19,0)</f>
        <v>0</v>
      </c>
      <c r="E30" s="543" t="e">
        <f>VLOOKUP(B30,'Bảng lương'!B:X,22,0)</f>
        <v>#REF!</v>
      </c>
      <c r="F30" s="180" t="e">
        <f>VLOOKUP(B30,'Bảng lương'!B:W,21,0)</f>
        <v>#REF!</v>
      </c>
      <c r="G30" s="180" t="e">
        <f>VLOOKUP(B30,'Bảng lương'!B:Y,23,0)</f>
        <v>#REF!</v>
      </c>
      <c r="H30" s="185"/>
    </row>
    <row r="31" spans="1:8" s="116" customFormat="1" ht="18.75" customHeight="1">
      <c r="A31" s="73">
        <v>27</v>
      </c>
      <c r="B31" s="63" t="s">
        <v>62</v>
      </c>
      <c r="C31" s="74" t="str">
        <f>VLOOKUP(B31,'Bảng lương'!B:D,3,0)</f>
        <v>Đỗ Văn Thái</v>
      </c>
      <c r="D31" s="180">
        <f>VLOOKUP(B31,'Bảng lương'!B:U,19,0)</f>
        <v>0</v>
      </c>
      <c r="E31" s="543" t="e">
        <f>VLOOKUP(B31,'Bảng lương'!B:X,22,0)</f>
        <v>#REF!</v>
      </c>
      <c r="F31" s="180" t="e">
        <f>VLOOKUP(B31,'Bảng lương'!B:W,21,0)</f>
        <v>#REF!</v>
      </c>
      <c r="G31" s="180" t="e">
        <f>VLOOKUP(B31,'Bảng lương'!B:Y,23,0)</f>
        <v>#REF!</v>
      </c>
      <c r="H31" s="185"/>
    </row>
    <row r="32" spans="1:8" s="116" customFormat="1" ht="18.75" customHeight="1">
      <c r="A32" s="73">
        <v>28</v>
      </c>
      <c r="B32" s="63" t="s">
        <v>63</v>
      </c>
      <c r="C32" s="74" t="str">
        <f>VLOOKUP(B32,'Bảng lương'!B:D,3,0)</f>
        <v>Dương Văn Nhật</v>
      </c>
      <c r="D32" s="180">
        <f>VLOOKUP(B32,'Bảng lương'!B:U,19,0)</f>
        <v>0</v>
      </c>
      <c r="E32" s="543" t="e">
        <f>VLOOKUP(B32,'Bảng lương'!B:X,22,0)</f>
        <v>#REF!</v>
      </c>
      <c r="F32" s="180" t="e">
        <f>VLOOKUP(B32,'Bảng lương'!B:W,21,0)</f>
        <v>#REF!</v>
      </c>
      <c r="G32" s="180" t="e">
        <f>VLOOKUP(B32,'Bảng lương'!B:Y,23,0)</f>
        <v>#REF!</v>
      </c>
      <c r="H32" s="185"/>
    </row>
    <row r="33" spans="1:8" s="116" customFormat="1" ht="18.75" customHeight="1">
      <c r="A33" s="73">
        <v>29</v>
      </c>
      <c r="B33" s="63" t="s">
        <v>427</v>
      </c>
      <c r="C33" s="74" t="str">
        <f>VLOOKUP(B33,'Bảng lương'!B:D,3,0)</f>
        <v>Nguyễn Ngọc Ánh</v>
      </c>
      <c r="D33" s="180">
        <f>VLOOKUP(B33,'Bảng lương'!B:U,19,0)</f>
        <v>0</v>
      </c>
      <c r="E33" s="543" t="e">
        <f>VLOOKUP(B33,'Bảng lương'!B:X,22,0)</f>
        <v>#REF!</v>
      </c>
      <c r="F33" s="180" t="e">
        <f>VLOOKUP(B33,'Bảng lương'!B:W,21,0)</f>
        <v>#REF!</v>
      </c>
      <c r="G33" s="180" t="e">
        <f>VLOOKUP(B33,'Bảng lương'!B:Y,23,0)</f>
        <v>#REF!</v>
      </c>
      <c r="H33" s="185"/>
    </row>
    <row r="34" spans="1:8" s="116" customFormat="1" ht="18.75" customHeight="1">
      <c r="A34" s="73">
        <v>30</v>
      </c>
      <c r="B34" s="63" t="s">
        <v>65</v>
      </c>
      <c r="C34" s="74" t="str">
        <f>VLOOKUP(B34,'Bảng lương'!B:D,3,0)</f>
        <v>Lò Văn Trường</v>
      </c>
      <c r="D34" s="180">
        <f>VLOOKUP(B34,'Bảng lương'!B:U,19,0)</f>
        <v>0</v>
      </c>
      <c r="E34" s="543" t="e">
        <f>VLOOKUP(B34,'Bảng lương'!B:X,22,0)</f>
        <v>#REF!</v>
      </c>
      <c r="F34" s="180" t="e">
        <f>VLOOKUP(B34,'Bảng lương'!B:W,21,0)</f>
        <v>#REF!</v>
      </c>
      <c r="G34" s="180" t="e">
        <f>VLOOKUP(B34,'Bảng lương'!B:Y,23,0)</f>
        <v>#REF!</v>
      </c>
      <c r="H34" s="185"/>
    </row>
    <row r="35" spans="1:8" s="116" customFormat="1" ht="18.75" customHeight="1">
      <c r="A35" s="73">
        <v>31</v>
      </c>
      <c r="B35" s="63" t="s">
        <v>66</v>
      </c>
      <c r="C35" s="74" t="str">
        <f>VLOOKUP(B35,'Bảng lương'!B:D,3,0)</f>
        <v>Phan Thị Ngân</v>
      </c>
      <c r="D35" s="180">
        <f>VLOOKUP(B35,'Bảng lương'!B:U,19,0)</f>
        <v>0</v>
      </c>
      <c r="E35" s="543" t="e">
        <f>VLOOKUP(B35,'Bảng lương'!B:X,22,0)</f>
        <v>#REF!</v>
      </c>
      <c r="F35" s="180" t="e">
        <f>VLOOKUP(B35,'Bảng lương'!B:W,21,0)</f>
        <v>#REF!</v>
      </c>
      <c r="G35" s="180" t="e">
        <f>VLOOKUP(B35,'Bảng lương'!B:Y,23,0)</f>
        <v>#REF!</v>
      </c>
      <c r="H35" s="185"/>
    </row>
    <row r="36" spans="1:8" s="116" customFormat="1" ht="18.75" customHeight="1">
      <c r="A36" s="73">
        <v>32</v>
      </c>
      <c r="B36" s="63" t="s">
        <v>67</v>
      </c>
      <c r="C36" s="74" t="str">
        <f>VLOOKUP(B36,'Bảng lương'!B:D,3,0)</f>
        <v>Phan Thị Mai</v>
      </c>
      <c r="D36" s="180">
        <f>VLOOKUP(B36,'Bảng lương'!B:U,19,0)</f>
        <v>0</v>
      </c>
      <c r="E36" s="543" t="e">
        <f>VLOOKUP(B36,'Bảng lương'!B:X,22,0)</f>
        <v>#REF!</v>
      </c>
      <c r="F36" s="180" t="e">
        <f>VLOOKUP(B36,'Bảng lương'!B:W,21,0)</f>
        <v>#REF!</v>
      </c>
      <c r="G36" s="180" t="e">
        <f>VLOOKUP(B36,'Bảng lương'!B:Y,23,0)</f>
        <v>#REF!</v>
      </c>
      <c r="H36" s="185"/>
    </row>
    <row r="37" spans="1:8" s="116" customFormat="1" ht="18.75" customHeight="1">
      <c r="A37" s="73">
        <v>33</v>
      </c>
      <c r="B37" s="63" t="s">
        <v>68</v>
      </c>
      <c r="C37" s="74" t="str">
        <f>VLOOKUP(B37,'Bảng lương'!B:D,3,0)</f>
        <v>Đồng Thị Kim Anh</v>
      </c>
      <c r="D37" s="180">
        <f>VLOOKUP(B37,'Bảng lương'!B:U,19,0)</f>
        <v>0</v>
      </c>
      <c r="E37" s="543" t="e">
        <f>VLOOKUP(B37,'Bảng lương'!B:X,22,0)</f>
        <v>#REF!</v>
      </c>
      <c r="F37" s="180" t="e">
        <f>VLOOKUP(B37,'Bảng lương'!B:W,21,0)</f>
        <v>#REF!</v>
      </c>
      <c r="G37" s="180" t="e">
        <f>VLOOKUP(B37,'Bảng lương'!B:Y,23,0)</f>
        <v>#REF!</v>
      </c>
      <c r="H37" s="185"/>
    </row>
    <row r="38" spans="1:8" s="116" customFormat="1" ht="18.75" customHeight="1">
      <c r="A38" s="73">
        <v>34</v>
      </c>
      <c r="B38" s="63" t="s">
        <v>69</v>
      </c>
      <c r="C38" s="74" t="e">
        <f>VLOOKUP(B38,'Bảng lương'!B:D,3,0)</f>
        <v>#N/A</v>
      </c>
      <c r="D38" s="180" t="e">
        <f>VLOOKUP(B38,'Bảng lương'!B:U,19,0)</f>
        <v>#N/A</v>
      </c>
      <c r="E38" s="543" t="e">
        <f>VLOOKUP(B38,'Bảng lương'!B:X,22,0)</f>
        <v>#N/A</v>
      </c>
      <c r="F38" s="180" t="e">
        <f>VLOOKUP(B38,'Bảng lương'!B:W,21,0)</f>
        <v>#N/A</v>
      </c>
      <c r="G38" s="180" t="e">
        <f>VLOOKUP(B38,'Bảng lương'!B:Y,23,0)</f>
        <v>#N/A</v>
      </c>
      <c r="H38" s="185"/>
    </row>
    <row r="39" spans="1:8" s="116" customFormat="1" ht="18.75" customHeight="1">
      <c r="A39" s="73">
        <v>35</v>
      </c>
      <c r="B39" s="63" t="s">
        <v>70</v>
      </c>
      <c r="C39" s="74" t="str">
        <f>VLOOKUP(B39,'Bảng lương'!B:D,3,0)</f>
        <v>Phạm Thị Hương</v>
      </c>
      <c r="D39" s="180">
        <f>VLOOKUP(B39,'Bảng lương'!B:U,19,0)</f>
        <v>0</v>
      </c>
      <c r="E39" s="543" t="e">
        <f>VLOOKUP(B39,'Bảng lương'!B:X,22,0)</f>
        <v>#REF!</v>
      </c>
      <c r="F39" s="180" t="e">
        <f>VLOOKUP(B39,'Bảng lương'!B:W,21,0)</f>
        <v>#REF!</v>
      </c>
      <c r="G39" s="180" t="e">
        <f>VLOOKUP(B39,'Bảng lương'!B:Y,23,0)</f>
        <v>#REF!</v>
      </c>
      <c r="H39" s="185"/>
    </row>
    <row r="40" spans="1:8" s="62" customFormat="1" ht="23.25" customHeight="1">
      <c r="A40" s="582" t="s">
        <v>819</v>
      </c>
      <c r="B40" s="579"/>
      <c r="C40" s="579"/>
      <c r="D40" s="580" t="e">
        <f>SUM(D5:D39)</f>
        <v>#N/A</v>
      </c>
      <c r="E40" s="579"/>
      <c r="F40" s="579"/>
      <c r="G40" s="579"/>
      <c r="H40" s="581"/>
    </row>
    <row r="41" spans="1:8">
      <c r="D41" s="169"/>
      <c r="F41" s="877" t="s">
        <v>1023</v>
      </c>
      <c r="G41" s="877"/>
    </row>
    <row r="42" spans="1:8">
      <c r="B42" s="503" t="s">
        <v>799</v>
      </c>
      <c r="D42" s="503"/>
      <c r="F42" s="593" t="s">
        <v>826</v>
      </c>
      <c r="G42" s="504"/>
    </row>
    <row r="46" spans="1:8">
      <c r="E46" s="592"/>
    </row>
    <row r="47" spans="1:8">
      <c r="D47" s="71"/>
    </row>
  </sheetData>
  <autoFilter ref="A4:H42"/>
  <mergeCells count="1">
    <mergeCell ref="F41:G41"/>
  </mergeCells>
  <printOptions horizontalCentered="1"/>
  <pageMargins left="0.2" right="0.2" top="0.54" bottom="0.4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pane xSplit="4" ySplit="8" topLeftCell="E9" activePane="bottomRight" state="frozen"/>
      <selection activeCell="F37" sqref="F37"/>
      <selection pane="topRight" activeCell="F37" sqref="F37"/>
      <selection pane="bottomLeft" activeCell="F37" sqref="F37"/>
      <selection pane="bottomRight" activeCell="J15" sqref="J15"/>
    </sheetView>
  </sheetViews>
  <sheetFormatPr defaultRowHeight="15"/>
  <cols>
    <col min="1" max="1" width="4.140625" customWidth="1"/>
    <col min="2" max="2" width="12.140625" customWidth="1"/>
    <col min="3" max="3" width="14.28515625" style="495" customWidth="1"/>
    <col min="4" max="4" width="17.5703125" customWidth="1"/>
    <col min="5" max="5" width="14" customWidth="1"/>
    <col min="6" max="6" width="10.5703125" customWidth="1"/>
    <col min="7" max="7" width="11.7109375" customWidth="1"/>
    <col min="8" max="8" width="12.7109375" customWidth="1"/>
    <col min="9" max="9" width="11.42578125" customWidth="1"/>
    <col min="10" max="10" width="19.5703125" customWidth="1"/>
    <col min="11" max="11" width="9.140625" customWidth="1"/>
    <col min="12" max="12" width="15.28515625" customWidth="1"/>
    <col min="13" max="19" width="9.140625" customWidth="1"/>
    <col min="20" max="20" width="19.140625" customWidth="1"/>
    <col min="21" max="21" width="13.85546875" customWidth="1"/>
  </cols>
  <sheetData>
    <row r="1" spans="1:21">
      <c r="A1" s="501" t="s">
        <v>1021</v>
      </c>
    </row>
    <row r="2" spans="1:21">
      <c r="A2" t="s">
        <v>1020</v>
      </c>
    </row>
    <row r="3" spans="1:21">
      <c r="A3" t="s">
        <v>581</v>
      </c>
    </row>
    <row r="4" spans="1:21">
      <c r="A4" t="s">
        <v>582</v>
      </c>
      <c r="F4" s="496">
        <v>4730000</v>
      </c>
      <c r="G4" s="231" t="s">
        <v>583</v>
      </c>
    </row>
    <row r="5" spans="1:21" s="497" customFormat="1">
      <c r="C5" s="495"/>
    </row>
    <row r="6" spans="1:21" s="520" customFormat="1">
      <c r="A6" s="880" t="s">
        <v>18</v>
      </c>
      <c r="B6" s="878" t="s">
        <v>236</v>
      </c>
      <c r="C6" s="878" t="s">
        <v>790</v>
      </c>
      <c r="D6" s="878" t="s">
        <v>1</v>
      </c>
      <c r="E6" s="878" t="s">
        <v>122</v>
      </c>
      <c r="F6" s="878" t="s">
        <v>584</v>
      </c>
      <c r="G6" s="878" t="s">
        <v>536</v>
      </c>
      <c r="H6" s="878" t="s">
        <v>791</v>
      </c>
      <c r="I6" s="878" t="s">
        <v>792</v>
      </c>
      <c r="J6" s="884" t="s">
        <v>201</v>
      </c>
      <c r="K6" s="548" t="s">
        <v>793</v>
      </c>
      <c r="L6" s="505"/>
      <c r="M6" s="505"/>
      <c r="N6" s="505"/>
      <c r="O6" s="505"/>
      <c r="P6" s="505"/>
      <c r="Q6" s="505"/>
      <c r="R6" s="505"/>
      <c r="S6" s="505"/>
      <c r="T6" s="506"/>
      <c r="U6" s="519"/>
    </row>
    <row r="7" spans="1:21" s="520" customFormat="1">
      <c r="A7" s="881"/>
      <c r="B7" s="879"/>
      <c r="C7" s="879"/>
      <c r="D7" s="879"/>
      <c r="E7" s="879"/>
      <c r="F7" s="879"/>
      <c r="G7" s="879"/>
      <c r="H7" s="879"/>
      <c r="I7" s="879"/>
      <c r="J7" s="885"/>
      <c r="K7" s="549">
        <v>500000</v>
      </c>
      <c r="L7" s="507">
        <v>200000</v>
      </c>
      <c r="M7" s="507">
        <v>100000</v>
      </c>
      <c r="N7" s="507">
        <v>50000</v>
      </c>
      <c r="O7" s="507">
        <v>20000</v>
      </c>
      <c r="P7" s="507">
        <v>10000</v>
      </c>
      <c r="Q7" s="507">
        <v>5000</v>
      </c>
      <c r="R7" s="507">
        <v>2000</v>
      </c>
      <c r="S7" s="507">
        <v>1000</v>
      </c>
      <c r="T7" s="508"/>
      <c r="U7" s="519"/>
    </row>
    <row r="8" spans="1:21" s="499" customFormat="1">
      <c r="A8" s="509">
        <v>1</v>
      </c>
      <c r="B8" s="510">
        <v>2</v>
      </c>
      <c r="C8" s="510">
        <v>3</v>
      </c>
      <c r="D8" s="510">
        <v>4</v>
      </c>
      <c r="E8" s="510">
        <v>5</v>
      </c>
      <c r="F8" s="510">
        <v>6</v>
      </c>
      <c r="G8" s="510">
        <v>7</v>
      </c>
      <c r="H8" s="510">
        <v>8</v>
      </c>
      <c r="I8" s="510">
        <v>9</v>
      </c>
      <c r="J8" s="500"/>
      <c r="K8" s="550" t="e">
        <f t="shared" ref="K8:S8" si="0">SUM(K9:K15)</f>
        <v>#N/A</v>
      </c>
      <c r="L8" s="511" t="e">
        <f t="shared" si="0"/>
        <v>#N/A</v>
      </c>
      <c r="M8" s="511" t="e">
        <f t="shared" si="0"/>
        <v>#N/A</v>
      </c>
      <c r="N8" s="511" t="e">
        <f t="shared" si="0"/>
        <v>#N/A</v>
      </c>
      <c r="O8" s="511" t="e">
        <f t="shared" si="0"/>
        <v>#N/A</v>
      </c>
      <c r="P8" s="511" t="e">
        <f t="shared" si="0"/>
        <v>#N/A</v>
      </c>
      <c r="Q8" s="511" t="e">
        <f t="shared" si="0"/>
        <v>#N/A</v>
      </c>
      <c r="R8" s="511" t="e">
        <f t="shared" si="0"/>
        <v>#N/A</v>
      </c>
      <c r="S8" s="511" t="e">
        <f t="shared" si="0"/>
        <v>#N/A</v>
      </c>
      <c r="T8" s="512" t="e">
        <f>K7*K8+L7*L8+M7*M8+N7*N8+O7*O8+P7*P8+Q7*Q8+R7*R8+S7*S8</f>
        <v>#N/A</v>
      </c>
    </row>
    <row r="9" spans="1:21" s="499" customFormat="1" ht="20.25" customHeight="1">
      <c r="A9" s="509">
        <v>1</v>
      </c>
      <c r="B9" s="63" t="s">
        <v>392</v>
      </c>
      <c r="C9" s="228" t="str">
        <f>VLOOKUP(B9,'Bảng lương'!B:C,2,0)</f>
        <v>080778112</v>
      </c>
      <c r="D9" s="498" t="str">
        <f>VLOOKUP(B9,'Bảng lương'!B:D,3,0)</f>
        <v>Phạm Thế Anh</v>
      </c>
      <c r="E9" s="498" t="str">
        <f>VLOOKUP(B9,'Bảng lương'!B:E,4,0)</f>
        <v>Line 3</v>
      </c>
      <c r="F9" s="498" t="str">
        <f>VLOOKUP(B9,'Bảng lương'!B:F,5,0)</f>
        <v>HNS</v>
      </c>
      <c r="G9" s="498">
        <f>VLOOKUP(B9,'Bảng lương'!B:G,6,0)</f>
        <v>200520</v>
      </c>
      <c r="H9" s="513">
        <f>VLOOKUP(B9,'Bảng lương'!B:U,19,0)</f>
        <v>0</v>
      </c>
      <c r="I9" s="498"/>
      <c r="J9" s="500"/>
      <c r="K9" s="551">
        <f t="shared" ref="K9:K15" si="1">INT(H9/$K$7)</f>
        <v>0</v>
      </c>
      <c r="L9" s="541">
        <f t="shared" ref="L9:L15" si="2">INT((H9-K9*$K$7)/$L$7)</f>
        <v>0</v>
      </c>
      <c r="M9" s="541">
        <f t="shared" ref="M9:M15" si="3">INT((H9-(K9*$K$7+L9*$L$7))/$M$7)</f>
        <v>0</v>
      </c>
      <c r="N9" s="541">
        <f t="shared" ref="N9:N15" si="4">INT((H9-(K9*$K$7+L9*$L$7+M9*$M$7))/$N$7)</f>
        <v>0</v>
      </c>
      <c r="O9" s="541">
        <f t="shared" ref="O9:O15" si="5">INT((H9-(K9*$K$7+L9*$L$7+M9*$M$7+N9*$N$7))/$O$7)</f>
        <v>0</v>
      </c>
      <c r="P9" s="541">
        <f t="shared" ref="P9:P15" si="6">INT((H9-(K9*$K$7+L9*$L$7+M9*$M$7+N9*$N$7+O9*$O$7))/$P$7)</f>
        <v>0</v>
      </c>
      <c r="Q9" s="541">
        <f t="shared" ref="Q9:Q15" si="7">INT((H9-(K9*$K$7+L9*$L$7+M9*$M$7+N9*$N$7+O9*$O$7+P9*$P$7))/$Q$7)</f>
        <v>0</v>
      </c>
      <c r="R9" s="541">
        <f t="shared" ref="R9:R15" si="8">INT((H9-(K9*$K$7+L9*$L$7+M9*$M$7+N9*$N$7+O9*$O$7+P9*$P$7+Q9*$Q$7))/$R$7)</f>
        <v>0</v>
      </c>
      <c r="S9" s="541">
        <f t="shared" ref="S9:S15" si="9">INT((H9-(K9*$K$7+L9*$L$7+M9*$M$7+N9*$N$7+O9*$O$7+P9*$P$7+Q9*$Q$7+R9*$R$7))/$S$7)</f>
        <v>0</v>
      </c>
      <c r="T9" s="512">
        <f t="shared" ref="T9:T15" si="10">K9*$K$7+L9*$L$7+M9*$M$7+N9*$N$7+O9*$O$7+P9*$P$7+Q9*$Q$7+R9*$R$7+S9*$S$7</f>
        <v>0</v>
      </c>
      <c r="U9" s="521">
        <f t="shared" ref="U9:U15" si="11">T9-H9</f>
        <v>0</v>
      </c>
    </row>
    <row r="10" spans="1:21" s="499" customFormat="1" ht="20.25" customHeight="1">
      <c r="A10" s="509">
        <v>2</v>
      </c>
      <c r="B10" s="63" t="s">
        <v>56</v>
      </c>
      <c r="C10" s="228" t="str">
        <f>VLOOKUP(B10,'Bảng lương'!B:C,2,0)</f>
        <v>187558974</v>
      </c>
      <c r="D10" s="498" t="str">
        <f>VLOOKUP(B10,'Bảng lương'!B:D,3,0)</f>
        <v>Sầm Thị Hồng</v>
      </c>
      <c r="E10" s="498" t="str">
        <f>VLOOKUP(B10,'Bảng lương'!B:E,4,0)</f>
        <v>Máy</v>
      </c>
      <c r="F10" s="498" t="str">
        <f>VLOOKUP(B10,'Bảng lương'!B:F,5,0)</f>
        <v>HNS</v>
      </c>
      <c r="G10" s="498">
        <f>VLOOKUP(B10,'Bảng lương'!B:G,6,0)</f>
        <v>200703</v>
      </c>
      <c r="H10" s="513">
        <f>VLOOKUP(B10,'Bảng lương'!B:U,19,0)</f>
        <v>0</v>
      </c>
      <c r="I10" s="498"/>
      <c r="J10" s="500"/>
      <c r="K10" s="551">
        <f t="shared" si="1"/>
        <v>0</v>
      </c>
      <c r="L10" s="541">
        <f t="shared" si="2"/>
        <v>0</v>
      </c>
      <c r="M10" s="541">
        <f t="shared" si="3"/>
        <v>0</v>
      </c>
      <c r="N10" s="541">
        <f t="shared" si="4"/>
        <v>0</v>
      </c>
      <c r="O10" s="541">
        <f t="shared" si="5"/>
        <v>0</v>
      </c>
      <c r="P10" s="541">
        <f t="shared" si="6"/>
        <v>0</v>
      </c>
      <c r="Q10" s="541">
        <f t="shared" si="7"/>
        <v>0</v>
      </c>
      <c r="R10" s="541">
        <f t="shared" si="8"/>
        <v>0</v>
      </c>
      <c r="S10" s="541">
        <f t="shared" si="9"/>
        <v>0</v>
      </c>
      <c r="T10" s="512">
        <f t="shared" si="10"/>
        <v>0</v>
      </c>
      <c r="U10" s="521">
        <f t="shared" si="11"/>
        <v>0</v>
      </c>
    </row>
    <row r="11" spans="1:21" s="499" customFormat="1" ht="20.25" customHeight="1">
      <c r="A11" s="509">
        <v>3</v>
      </c>
      <c r="B11" s="63" t="s">
        <v>534</v>
      </c>
      <c r="C11" s="228" t="e">
        <f>VLOOKUP(B11,'Bảng lương'!B:C,2,0)</f>
        <v>#N/A</v>
      </c>
      <c r="D11" s="498" t="e">
        <f>VLOOKUP(B11,'Bảng lương'!B:D,3,0)</f>
        <v>#N/A</v>
      </c>
      <c r="E11" s="498" t="e">
        <f>VLOOKUP(B11,'Bảng lương'!B:E,4,0)</f>
        <v>#N/A</v>
      </c>
      <c r="F11" s="498" t="e">
        <f>VLOOKUP(B11,'Bảng lương'!B:F,5,0)</f>
        <v>#N/A</v>
      </c>
      <c r="G11" s="498" t="e">
        <f>VLOOKUP(B11,'Bảng lương'!B:G,6,0)</f>
        <v>#N/A</v>
      </c>
      <c r="H11" s="513" t="e">
        <f>VLOOKUP(B11,'Bảng lương'!B:U,19,0)</f>
        <v>#N/A</v>
      </c>
      <c r="I11" s="498"/>
      <c r="J11" s="500" t="s">
        <v>794</v>
      </c>
      <c r="K11" s="551" t="e">
        <f t="shared" si="1"/>
        <v>#N/A</v>
      </c>
      <c r="L11" s="541" t="e">
        <f t="shared" si="2"/>
        <v>#N/A</v>
      </c>
      <c r="M11" s="541" t="e">
        <f t="shared" si="3"/>
        <v>#N/A</v>
      </c>
      <c r="N11" s="541" t="e">
        <f t="shared" si="4"/>
        <v>#N/A</v>
      </c>
      <c r="O11" s="541" t="e">
        <f t="shared" si="5"/>
        <v>#N/A</v>
      </c>
      <c r="P11" s="541" t="e">
        <f t="shared" si="6"/>
        <v>#N/A</v>
      </c>
      <c r="Q11" s="541" t="e">
        <f t="shared" si="7"/>
        <v>#N/A</v>
      </c>
      <c r="R11" s="541" t="e">
        <f t="shared" si="8"/>
        <v>#N/A</v>
      </c>
      <c r="S11" s="541" t="e">
        <f t="shared" si="9"/>
        <v>#N/A</v>
      </c>
      <c r="T11" s="512" t="e">
        <f t="shared" si="10"/>
        <v>#N/A</v>
      </c>
      <c r="U11" s="521" t="e">
        <f t="shared" si="11"/>
        <v>#N/A</v>
      </c>
    </row>
    <row r="12" spans="1:21" s="499" customFormat="1" ht="20.25" customHeight="1">
      <c r="A12" s="509">
        <v>4</v>
      </c>
      <c r="B12" s="74" t="s">
        <v>535</v>
      </c>
      <c r="C12" s="228" t="str">
        <f>VLOOKUP(B12,'Bảng lương'!B:C,2,0)</f>
        <v>061094273</v>
      </c>
      <c r="D12" s="498" t="str">
        <f>VLOOKUP(B12,'Bảng lương'!B:D,3,0)</f>
        <v>Nguyễn Thị Ngọc Ánh 4/1/2001 Yên Bái</v>
      </c>
      <c r="E12" s="498" t="str">
        <f>VLOOKUP(B12,'Bảng lương'!B:E,4,0)</f>
        <v>Line 4</v>
      </c>
      <c r="F12" s="498" t="str">
        <f>VLOOKUP(B12,'Bảng lương'!B:F,5,0)</f>
        <v>HNS</v>
      </c>
      <c r="G12" s="498">
        <f>VLOOKUP(B12,'Bảng lương'!B:G,6,0)</f>
        <v>200806</v>
      </c>
      <c r="H12" s="513">
        <f>VLOOKUP(B12,'Bảng lương'!B:U,19,0)</f>
        <v>0</v>
      </c>
      <c r="I12" s="498"/>
      <c r="J12" s="500"/>
      <c r="K12" s="551">
        <f t="shared" si="1"/>
        <v>0</v>
      </c>
      <c r="L12" s="541">
        <f t="shared" si="2"/>
        <v>0</v>
      </c>
      <c r="M12" s="541">
        <f t="shared" si="3"/>
        <v>0</v>
      </c>
      <c r="N12" s="541">
        <f t="shared" si="4"/>
        <v>0</v>
      </c>
      <c r="O12" s="541">
        <f t="shared" si="5"/>
        <v>0</v>
      </c>
      <c r="P12" s="541">
        <f t="shared" si="6"/>
        <v>0</v>
      </c>
      <c r="Q12" s="541">
        <f t="shared" si="7"/>
        <v>0</v>
      </c>
      <c r="R12" s="541">
        <f t="shared" si="8"/>
        <v>0</v>
      </c>
      <c r="S12" s="541">
        <f t="shared" si="9"/>
        <v>0</v>
      </c>
      <c r="T12" s="512">
        <f t="shared" si="10"/>
        <v>0</v>
      </c>
      <c r="U12" s="521">
        <f t="shared" si="11"/>
        <v>0</v>
      </c>
    </row>
    <row r="13" spans="1:21" s="499" customFormat="1" ht="20.25" customHeight="1">
      <c r="A13" s="509">
        <v>5</v>
      </c>
      <c r="B13" s="74" t="s">
        <v>562</v>
      </c>
      <c r="C13" s="228" t="e">
        <f>VLOOKUP(B13,'Bảng lương'!B:C,2,0)</f>
        <v>#N/A</v>
      </c>
      <c r="D13" s="498" t="e">
        <f>VLOOKUP(B13,'Bảng lương'!B:D,3,0)</f>
        <v>#N/A</v>
      </c>
      <c r="E13" s="498" t="e">
        <f>VLOOKUP(B13,'Bảng lương'!B:E,4,0)</f>
        <v>#N/A</v>
      </c>
      <c r="F13" s="498" t="e">
        <f>VLOOKUP(B13,'Bảng lương'!B:F,5,0)</f>
        <v>#N/A</v>
      </c>
      <c r="G13" s="498" t="e">
        <f>VLOOKUP(B13,'Bảng lương'!B:G,6,0)</f>
        <v>#N/A</v>
      </c>
      <c r="H13" s="513" t="e">
        <f>VLOOKUP(B13,'Bảng lương'!B:U,19,0)</f>
        <v>#N/A</v>
      </c>
      <c r="I13" s="498"/>
      <c r="J13" s="500" t="s">
        <v>794</v>
      </c>
      <c r="K13" s="551" t="e">
        <f t="shared" si="1"/>
        <v>#N/A</v>
      </c>
      <c r="L13" s="541" t="e">
        <f t="shared" si="2"/>
        <v>#N/A</v>
      </c>
      <c r="M13" s="541" t="e">
        <f t="shared" si="3"/>
        <v>#N/A</v>
      </c>
      <c r="N13" s="541" t="e">
        <f t="shared" si="4"/>
        <v>#N/A</v>
      </c>
      <c r="O13" s="541" t="e">
        <f t="shared" si="5"/>
        <v>#N/A</v>
      </c>
      <c r="P13" s="541" t="e">
        <f t="shared" si="6"/>
        <v>#N/A</v>
      </c>
      <c r="Q13" s="541" t="e">
        <f t="shared" si="7"/>
        <v>#N/A</v>
      </c>
      <c r="R13" s="541" t="e">
        <f t="shared" si="8"/>
        <v>#N/A</v>
      </c>
      <c r="S13" s="541" t="e">
        <f t="shared" si="9"/>
        <v>#N/A</v>
      </c>
      <c r="T13" s="512" t="e">
        <f t="shared" si="10"/>
        <v>#N/A</v>
      </c>
      <c r="U13" s="521" t="e">
        <f t="shared" si="11"/>
        <v>#N/A</v>
      </c>
    </row>
    <row r="14" spans="1:21" s="499" customFormat="1" ht="20.25" customHeight="1">
      <c r="A14" s="509">
        <v>6</v>
      </c>
      <c r="B14" s="74" t="s">
        <v>561</v>
      </c>
      <c r="C14" s="228" t="e">
        <f>VLOOKUP(B14,'Bảng lương'!B:C,2,0)</f>
        <v>#N/A</v>
      </c>
      <c r="D14" s="498" t="e">
        <f>VLOOKUP(B14,'Bảng lương'!B:D,3,0)</f>
        <v>#N/A</v>
      </c>
      <c r="E14" s="498" t="e">
        <f>VLOOKUP(B14,'Bảng lương'!B:E,4,0)</f>
        <v>#N/A</v>
      </c>
      <c r="F14" s="498" t="e">
        <f>VLOOKUP(B14,'Bảng lương'!B:F,5,0)</f>
        <v>#N/A</v>
      </c>
      <c r="G14" s="498" t="e">
        <f>VLOOKUP(B14,'Bảng lương'!B:G,6,0)</f>
        <v>#N/A</v>
      </c>
      <c r="H14" s="513">
        <f>VLOOKUP(B14,'Bảng lương'!B:U,19,0)</f>
        <v>0</v>
      </c>
      <c r="I14" s="498"/>
      <c r="J14" s="500" t="s">
        <v>794</v>
      </c>
      <c r="K14" s="551">
        <f t="shared" si="1"/>
        <v>0</v>
      </c>
      <c r="L14" s="541">
        <f t="shared" si="2"/>
        <v>0</v>
      </c>
      <c r="M14" s="541">
        <f t="shared" si="3"/>
        <v>0</v>
      </c>
      <c r="N14" s="541">
        <f t="shared" si="4"/>
        <v>0</v>
      </c>
      <c r="O14" s="541">
        <f t="shared" si="5"/>
        <v>0</v>
      </c>
      <c r="P14" s="541">
        <f t="shared" si="6"/>
        <v>0</v>
      </c>
      <c r="Q14" s="541">
        <f t="shared" si="7"/>
        <v>0</v>
      </c>
      <c r="R14" s="541">
        <f t="shared" si="8"/>
        <v>0</v>
      </c>
      <c r="S14" s="541">
        <f t="shared" si="9"/>
        <v>0</v>
      </c>
      <c r="T14" s="512">
        <f t="shared" si="10"/>
        <v>0</v>
      </c>
      <c r="U14" s="521">
        <f t="shared" si="11"/>
        <v>0</v>
      </c>
    </row>
    <row r="15" spans="1:21" s="499" customFormat="1" ht="20.25" customHeight="1">
      <c r="A15" s="509">
        <v>7</v>
      </c>
      <c r="B15" s="74" t="s">
        <v>259</v>
      </c>
      <c r="C15" s="228" t="e">
        <f>VLOOKUP(B15,'Bảng lương'!B:C,2,0)</f>
        <v>#N/A</v>
      </c>
      <c r="D15" s="498" t="e">
        <f>VLOOKUP(B15,'Bảng lương'!B:D,3,0)</f>
        <v>#N/A</v>
      </c>
      <c r="E15" s="498" t="e">
        <f>VLOOKUP(B15,'Bảng lương'!B:E,4,0)</f>
        <v>#N/A</v>
      </c>
      <c r="F15" s="498" t="e">
        <f>VLOOKUP(B15,'Bảng lương'!B:F,5,0)</f>
        <v>#N/A</v>
      </c>
      <c r="G15" s="498" t="e">
        <f>VLOOKUP(B15,'Bảng lương'!B:G,6,0)</f>
        <v>#N/A</v>
      </c>
      <c r="H15" s="513" t="e">
        <f>VLOOKUP(B15,'Bảng lương'!B:U,19,0)</f>
        <v>#N/A</v>
      </c>
      <c r="I15" s="498"/>
      <c r="J15" s="500" t="s">
        <v>794</v>
      </c>
      <c r="K15" s="551" t="e">
        <f t="shared" si="1"/>
        <v>#N/A</v>
      </c>
      <c r="L15" s="541" t="e">
        <f t="shared" si="2"/>
        <v>#N/A</v>
      </c>
      <c r="M15" s="541" t="e">
        <f t="shared" si="3"/>
        <v>#N/A</v>
      </c>
      <c r="N15" s="541" t="e">
        <f t="shared" si="4"/>
        <v>#N/A</v>
      </c>
      <c r="O15" s="541" t="e">
        <f t="shared" si="5"/>
        <v>#N/A</v>
      </c>
      <c r="P15" s="541" t="e">
        <f t="shared" si="6"/>
        <v>#N/A</v>
      </c>
      <c r="Q15" s="541" t="e">
        <f t="shared" si="7"/>
        <v>#N/A</v>
      </c>
      <c r="R15" s="541" t="e">
        <f t="shared" si="8"/>
        <v>#N/A</v>
      </c>
      <c r="S15" s="541" t="e">
        <f t="shared" si="9"/>
        <v>#N/A</v>
      </c>
      <c r="T15" s="512" t="e">
        <f t="shared" si="10"/>
        <v>#N/A</v>
      </c>
      <c r="U15" s="521" t="e">
        <f t="shared" si="11"/>
        <v>#N/A</v>
      </c>
    </row>
    <row r="16" spans="1:21" s="522" customFormat="1">
      <c r="A16" s="514"/>
      <c r="B16" s="515"/>
      <c r="C16" s="516"/>
      <c r="D16" s="515" t="s">
        <v>600</v>
      </c>
      <c r="E16" s="515"/>
      <c r="F16" s="515"/>
      <c r="G16" s="515"/>
      <c r="H16" s="517" t="e">
        <f>SUBTOTAL(9,H9:H15)</f>
        <v>#N/A</v>
      </c>
      <c r="I16" s="515"/>
      <c r="J16" s="518"/>
      <c r="K16" s="552" t="e">
        <f t="shared" ref="K16:T16" si="12">SUM(K9:K15)</f>
        <v>#N/A</v>
      </c>
      <c r="L16" s="515" t="e">
        <f t="shared" si="12"/>
        <v>#N/A</v>
      </c>
      <c r="M16" s="515" t="e">
        <f t="shared" si="12"/>
        <v>#N/A</v>
      </c>
      <c r="N16" s="515" t="e">
        <f t="shared" si="12"/>
        <v>#N/A</v>
      </c>
      <c r="O16" s="515" t="e">
        <f t="shared" si="12"/>
        <v>#N/A</v>
      </c>
      <c r="P16" s="515" t="e">
        <f t="shared" si="12"/>
        <v>#N/A</v>
      </c>
      <c r="Q16" s="515" t="e">
        <f t="shared" si="12"/>
        <v>#N/A</v>
      </c>
      <c r="R16" s="515" t="e">
        <f t="shared" si="12"/>
        <v>#N/A</v>
      </c>
      <c r="S16" s="515" t="e">
        <f t="shared" si="12"/>
        <v>#N/A</v>
      </c>
      <c r="T16" s="542" t="e">
        <f t="shared" si="12"/>
        <v>#N/A</v>
      </c>
    </row>
    <row r="17" spans="2:12">
      <c r="L17" s="502"/>
    </row>
    <row r="18" spans="2:12">
      <c r="G18" s="882" t="s">
        <v>1024</v>
      </c>
      <c r="H18" s="882"/>
      <c r="I18" s="882"/>
      <c r="J18" s="882"/>
    </row>
    <row r="19" spans="2:12">
      <c r="B19" s="501" t="s">
        <v>799</v>
      </c>
      <c r="C19" s="553"/>
      <c r="E19" s="554"/>
      <c r="G19" s="883" t="s">
        <v>795</v>
      </c>
      <c r="H19" s="883"/>
      <c r="I19" s="883"/>
      <c r="J19" s="883"/>
      <c r="L19" s="502"/>
    </row>
    <row r="20" spans="2:12">
      <c r="H20" s="502"/>
    </row>
    <row r="21" spans="2:12">
      <c r="H21" s="231"/>
    </row>
    <row r="22" spans="2:12">
      <c r="H22" s="502">
        <f>H21-H19</f>
        <v>0</v>
      </c>
      <c r="L22" s="502"/>
    </row>
    <row r="23" spans="2:12">
      <c r="L23" s="231"/>
    </row>
    <row r="24" spans="2:12">
      <c r="L24" s="502"/>
    </row>
    <row r="25" spans="2:12">
      <c r="L25" s="502"/>
    </row>
  </sheetData>
  <autoFilter ref="A6:U15"/>
  <mergeCells count="12">
    <mergeCell ref="G18:J18"/>
    <mergeCell ref="G19:J19"/>
    <mergeCell ref="G6:G7"/>
    <mergeCell ref="H6:H7"/>
    <mergeCell ref="I6:I7"/>
    <mergeCell ref="J6:J7"/>
    <mergeCell ref="F6:F7"/>
    <mergeCell ref="A6:A7"/>
    <mergeCell ref="B6:B7"/>
    <mergeCell ref="C6:C7"/>
    <mergeCell ref="D6:D7"/>
    <mergeCell ref="E6:E7"/>
  </mergeCells>
  <pageMargins left="0.45" right="0.2" top="0.5" bottom="0.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8"/>
  <sheetViews>
    <sheetView zoomScale="85" zoomScaleNormal="85" workbookViewId="0">
      <selection activeCell="H34" sqref="H34"/>
    </sheetView>
  </sheetViews>
  <sheetFormatPr defaultColWidth="9.140625" defaultRowHeight="15"/>
  <cols>
    <col min="1" max="1" width="6.140625" style="2" customWidth="1"/>
    <col min="2" max="2" width="15.42578125" style="2" customWidth="1"/>
    <col min="3" max="4" width="17.140625" style="2" customWidth="1"/>
    <col min="5" max="5" width="16.85546875" style="2" customWidth="1"/>
    <col min="6" max="6" width="16.42578125" style="2" customWidth="1"/>
    <col min="7" max="7" width="15.85546875" style="2" customWidth="1"/>
    <col min="8" max="8" width="17.140625" style="2" customWidth="1"/>
    <col min="9" max="9" width="16" style="169" customWidth="1"/>
    <col min="10" max="10" width="17.42578125" style="169" customWidth="1"/>
    <col min="11" max="11" width="12.5703125" style="169" customWidth="1"/>
    <col min="12" max="12" width="9.140625" style="169"/>
    <col min="13" max="16384" width="9.140625" style="2"/>
  </cols>
  <sheetData>
    <row r="1" spans="1:8">
      <c r="A1" s="1" t="s">
        <v>637</v>
      </c>
    </row>
    <row r="2" spans="1:8">
      <c r="A2" s="1" t="s">
        <v>1026</v>
      </c>
    </row>
    <row r="3" spans="1:8">
      <c r="A3" s="7" t="s">
        <v>636</v>
      </c>
      <c r="B3" s="4"/>
      <c r="C3" s="848" t="s">
        <v>445</v>
      </c>
      <c r="D3" s="7" t="s">
        <v>185</v>
      </c>
      <c r="E3" s="226" t="str">
        <f>VLOOKUP($C$3,'Bảng công T9'!$C$11:$D$10013,2,0)</f>
        <v>25/04/2017</v>
      </c>
      <c r="G3" s="7" t="s">
        <v>186</v>
      </c>
      <c r="H3" s="226" t="str">
        <f>VLOOKUP($C$3,'Bảng công T9'!$C$11:$E$10013,3,0)</f>
        <v>Công an Sơn La</v>
      </c>
    </row>
    <row r="4" spans="1:8">
      <c r="A4" s="6"/>
      <c r="B4" s="7"/>
      <c r="C4" s="8"/>
      <c r="D4" s="7"/>
      <c r="E4" s="9"/>
    </row>
    <row r="5" spans="1:8">
      <c r="A5" s="4" t="s">
        <v>184</v>
      </c>
      <c r="C5" s="224" t="str">
        <f>VLOOKUP($C$3,'Bảng công T9'!$C$11:$F$10013,4,0)</f>
        <v>Lò Văn Thuận</v>
      </c>
      <c r="D5" s="2" t="s">
        <v>635</v>
      </c>
      <c r="E5" s="224">
        <f>VLOOKUP($C$3,'Bảng công T9'!$C$11:$H$10013,6,0)</f>
        <v>200525</v>
      </c>
      <c r="G5" s="2" t="s">
        <v>183</v>
      </c>
      <c r="H5" s="224" t="str">
        <f>INDEX('Bảng công T9'!$B:$B,MATCH('Phiếu lương'!$C$3,'Bảng công T9'!$C:$C,0))</f>
        <v>HAE31743</v>
      </c>
    </row>
    <row r="6" spans="1:8">
      <c r="A6" s="6"/>
      <c r="B6" s="7"/>
      <c r="C6" s="225"/>
      <c r="G6" s="6"/>
      <c r="H6" s="225"/>
    </row>
    <row r="7" spans="1:8" ht="15.75" customHeight="1">
      <c r="A7" s="6" t="s">
        <v>634</v>
      </c>
      <c r="B7" s="7"/>
      <c r="C7" s="10"/>
      <c r="D7" s="6"/>
      <c r="E7" s="9"/>
      <c r="F7" s="6"/>
    </row>
    <row r="8" spans="1:8">
      <c r="A8" s="7" t="s">
        <v>187</v>
      </c>
      <c r="B8" s="7"/>
      <c r="C8" s="224" t="e">
        <f>VLOOKUP($C$3,'Bảng lương'!$C:$Y,20,0)</f>
        <v>#REF!</v>
      </c>
      <c r="D8" s="7"/>
      <c r="E8" s="9"/>
      <c r="F8" s="7"/>
      <c r="H8" s="6"/>
    </row>
    <row r="9" spans="1:8" ht="21" customHeight="1">
      <c r="A9" s="11" t="s">
        <v>188</v>
      </c>
      <c r="B9" s="11"/>
      <c r="C9" s="224" t="e">
        <f>VLOOKUP($C$3,'Bảng lương'!$C:$Y,21,0)</f>
        <v>#REF!</v>
      </c>
      <c r="D9" s="11"/>
      <c r="E9" s="11"/>
      <c r="F9" s="11"/>
      <c r="H9" s="7"/>
    </row>
    <row r="10" spans="1:8" ht="20.25" customHeight="1">
      <c r="A10" s="11" t="s">
        <v>189</v>
      </c>
      <c r="B10" s="11"/>
      <c r="C10" s="224" t="e">
        <f>VLOOKUP($C$3,'Bảng lương'!$C:$Y,22,0)</f>
        <v>#REF!</v>
      </c>
      <c r="D10" s="11"/>
      <c r="E10" s="11"/>
      <c r="F10" s="11"/>
      <c r="H10" s="11"/>
    </row>
    <row r="11" spans="1:8" ht="15" customHeight="1">
      <c r="A11" s="12" t="s">
        <v>190</v>
      </c>
      <c r="B11" s="12"/>
      <c r="C11" s="12"/>
      <c r="D11" s="12"/>
      <c r="E11" s="12" t="s">
        <v>191</v>
      </c>
      <c r="F11" s="12"/>
      <c r="H11" s="11"/>
    </row>
    <row r="12" spans="1:8">
      <c r="A12" s="13" t="s">
        <v>192</v>
      </c>
      <c r="B12" s="13"/>
      <c r="C12" s="13"/>
      <c r="D12" s="223" t="e">
        <f>G67</f>
        <v>#REF!</v>
      </c>
      <c r="E12" s="14"/>
      <c r="F12" s="14"/>
      <c r="H12" s="12"/>
    </row>
    <row r="13" spans="1:8">
      <c r="H13" s="14"/>
    </row>
    <row r="14" spans="1:8">
      <c r="F14" s="1" t="s">
        <v>193</v>
      </c>
    </row>
    <row r="15" spans="1:8">
      <c r="A15" s="3"/>
      <c r="B15" s="4"/>
      <c r="C15" s="15"/>
      <c r="D15" s="3"/>
      <c r="E15" s="9"/>
      <c r="F15" s="3"/>
      <c r="G15" s="3"/>
      <c r="H15" s="3"/>
    </row>
    <row r="16" spans="1:8">
      <c r="A16" s="3" t="s">
        <v>633</v>
      </c>
      <c r="B16" s="4"/>
      <c r="C16" s="10"/>
      <c r="D16" s="3"/>
      <c r="E16" s="9"/>
      <c r="F16" s="3"/>
      <c r="G16" s="3"/>
      <c r="H16" s="3"/>
    </row>
    <row r="17" spans="1:13">
      <c r="A17" s="889" t="s">
        <v>194</v>
      </c>
      <c r="B17" s="890"/>
      <c r="C17" s="895" t="s">
        <v>181</v>
      </c>
      <c r="D17" s="896"/>
      <c r="E17" s="897" t="s">
        <v>182</v>
      </c>
      <c r="F17" s="898"/>
      <c r="G17" s="895" t="s">
        <v>195</v>
      </c>
      <c r="H17" s="896"/>
    </row>
    <row r="18" spans="1:13">
      <c r="A18" s="891"/>
      <c r="B18" s="892"/>
      <c r="C18" s="222" t="s">
        <v>196</v>
      </c>
      <c r="D18" s="16" t="s">
        <v>197</v>
      </c>
      <c r="E18" s="221" t="s">
        <v>196</v>
      </c>
      <c r="F18" s="17" t="s">
        <v>197</v>
      </c>
      <c r="G18" s="18" t="s">
        <v>181</v>
      </c>
      <c r="H18" s="19" t="s">
        <v>182</v>
      </c>
    </row>
    <row r="19" spans="1:13">
      <c r="A19" s="893"/>
      <c r="B19" s="894"/>
      <c r="C19" s="20">
        <v>23500</v>
      </c>
      <c r="D19" s="21">
        <v>32000</v>
      </c>
      <c r="E19" s="22">
        <v>28375</v>
      </c>
      <c r="F19" s="23">
        <v>34000</v>
      </c>
      <c r="G19" s="20">
        <v>45750</v>
      </c>
      <c r="H19" s="21">
        <v>45750</v>
      </c>
    </row>
    <row r="20" spans="1:13" s="26" customFormat="1" ht="15.75" thickBot="1">
      <c r="A20" s="24"/>
      <c r="B20" s="24"/>
      <c r="C20" s="25"/>
      <c r="D20" s="25"/>
      <c r="E20" s="25"/>
      <c r="F20" s="25"/>
      <c r="G20" s="25"/>
      <c r="H20" s="25"/>
      <c r="I20" s="212"/>
      <c r="J20" s="212"/>
      <c r="K20" s="212"/>
      <c r="L20" s="212"/>
    </row>
    <row r="21" spans="1:13" ht="29.25" thickTop="1">
      <c r="A21" s="220" t="s">
        <v>18</v>
      </c>
      <c r="B21" s="148" t="s">
        <v>198</v>
      </c>
      <c r="C21" s="148" t="s">
        <v>632</v>
      </c>
      <c r="D21" s="148" t="s">
        <v>631</v>
      </c>
      <c r="E21" s="148" t="s">
        <v>199</v>
      </c>
      <c r="F21" s="148" t="s">
        <v>630</v>
      </c>
      <c r="G21" s="148" t="s">
        <v>200</v>
      </c>
      <c r="H21" s="149" t="s">
        <v>201</v>
      </c>
    </row>
    <row r="22" spans="1:13" s="26" customFormat="1">
      <c r="A22" s="217" t="s">
        <v>202</v>
      </c>
      <c r="B22" s="808">
        <v>44075</v>
      </c>
      <c r="C22" s="809">
        <f>VLOOKUP($C$3,'Bảng công T9'!$C:$GE,12,0)</f>
        <v>0</v>
      </c>
      <c r="D22" s="809">
        <f>VLOOKUP($C$3,'Bảng công T9'!$C:$GE,13,0)</f>
        <v>0</v>
      </c>
      <c r="E22" s="809">
        <f>VLOOKUP($C$3,'Bảng công T9'!$C:$GE,14,0)</f>
        <v>8</v>
      </c>
      <c r="F22" s="809">
        <f>VLOOKUP($C$3,'Bảng công T9'!$C:$GE,15,0)</f>
        <v>3</v>
      </c>
      <c r="G22" s="5">
        <f t="shared" ref="G22:G23" si="0">(C22*$C$19)+(D22*$D$19)+(E22*$E$19)+(F22*$F$19)</f>
        <v>329000</v>
      </c>
      <c r="H22" s="810"/>
      <c r="I22" s="212"/>
      <c r="J22" s="212"/>
      <c r="K22" s="212"/>
      <c r="L22" s="212"/>
    </row>
    <row r="23" spans="1:13" s="26" customFormat="1">
      <c r="A23" s="217" t="s">
        <v>203</v>
      </c>
      <c r="B23" s="288">
        <f>B22+1</f>
        <v>44076</v>
      </c>
      <c r="C23" s="5">
        <f>VLOOKUP($C$3,'Bảng công T9'!$C:$GE,18,0)</f>
        <v>0</v>
      </c>
      <c r="D23" s="5">
        <f>VLOOKUP($C$3,'Bảng công T9'!$C:$GE,19,0)</f>
        <v>0</v>
      </c>
      <c r="E23" s="5">
        <f>VLOOKUP($C$3,'Bảng công T9'!$C:$GE,20,0)</f>
        <v>0</v>
      </c>
      <c r="F23" s="5">
        <f>VLOOKUP($C$3,'Bảng công T9'!$C:$GE,21,0)</f>
        <v>0</v>
      </c>
      <c r="G23" s="5">
        <f t="shared" si="0"/>
        <v>0</v>
      </c>
      <c r="H23" s="27"/>
      <c r="I23" s="212"/>
      <c r="J23" s="212"/>
      <c r="K23" s="212"/>
      <c r="L23" s="212"/>
    </row>
    <row r="24" spans="1:13" s="26" customFormat="1">
      <c r="A24" s="217" t="s">
        <v>204</v>
      </c>
      <c r="B24" s="288">
        <f t="shared" ref="B24:B51" si="1">B23+1</f>
        <v>44077</v>
      </c>
      <c r="C24" s="5">
        <f>VLOOKUP($C$3,'Bảng công T9'!$C:$GE,24,0)</f>
        <v>0</v>
      </c>
      <c r="D24" s="5">
        <f>VLOOKUP($C$3,'Bảng công T9'!$C:$GE,25,0)</f>
        <v>0</v>
      </c>
      <c r="E24" s="5">
        <f>VLOOKUP($C$3,'Bảng công T9'!$C:$GE,26,0)</f>
        <v>8</v>
      </c>
      <c r="F24" s="5">
        <f>VLOOKUP($C$3,'Bảng công T9'!$C:$GE,27,0)</f>
        <v>3</v>
      </c>
      <c r="G24" s="5">
        <f>(C24*$C$19)+(D24*$D$19)+(E24*$E$19)+(F24*$F$19)</f>
        <v>329000</v>
      </c>
      <c r="H24" s="27"/>
      <c r="I24" s="212"/>
      <c r="J24" s="212"/>
      <c r="K24" s="212"/>
      <c r="L24" s="212"/>
    </row>
    <row r="25" spans="1:13" s="26" customFormat="1">
      <c r="A25" s="287" t="s">
        <v>205</v>
      </c>
      <c r="B25" s="288">
        <f t="shared" si="1"/>
        <v>44078</v>
      </c>
      <c r="C25" s="5">
        <f>VLOOKUP($C$3,'Bảng công T9'!$C:$GE,30,0)</f>
        <v>8</v>
      </c>
      <c r="D25" s="5">
        <f>VLOOKUP($C$3,'Bảng công T9'!$C:$GE,31,0)</f>
        <v>3</v>
      </c>
      <c r="E25" s="5">
        <f>VLOOKUP($C$3,'Bảng công T9'!$C:$GE,32,0)</f>
        <v>0</v>
      </c>
      <c r="F25" s="5">
        <f>VLOOKUP($C$3,'Bảng công T9'!$C:$GE,33,0)</f>
        <v>0</v>
      </c>
      <c r="G25" s="5">
        <f t="shared" ref="G25" si="2">(C25*$C$19)+(D25*$D$19)+(E25*$E$19)+(F25*$F$19)</f>
        <v>284000</v>
      </c>
      <c r="H25" s="27"/>
      <c r="I25" s="212"/>
      <c r="J25" s="212"/>
      <c r="K25" s="212"/>
      <c r="L25" s="212"/>
      <c r="M25" s="28"/>
    </row>
    <row r="26" spans="1:13" s="26" customFormat="1">
      <c r="A26" s="287" t="s">
        <v>206</v>
      </c>
      <c r="B26" s="289">
        <f t="shared" si="1"/>
        <v>44079</v>
      </c>
      <c r="C26" s="290">
        <f>VLOOKUP($C$3,'Bảng công T9'!$C:$GE,36,0)</f>
        <v>8</v>
      </c>
      <c r="D26" s="290">
        <f>VLOOKUP($C$3,'Bảng công T9'!$C:$GE,37,0)</f>
        <v>3</v>
      </c>
      <c r="E26" s="290">
        <f>VLOOKUP($C$3,'Bảng công T9'!$C:$GE,38,0)</f>
        <v>0</v>
      </c>
      <c r="F26" s="290">
        <f>VLOOKUP($C$3,'Bảng công T9'!$C:$GE,39,0)</f>
        <v>0</v>
      </c>
      <c r="G26" s="290">
        <f>C26*$G$19+D26*$G$19+E26*$H$19+F26*$H$19</f>
        <v>503250</v>
      </c>
      <c r="H26" s="291"/>
      <c r="I26" s="212"/>
      <c r="J26" s="212"/>
      <c r="K26" s="212"/>
      <c r="L26" s="212"/>
    </row>
    <row r="27" spans="1:13" s="218" customFormat="1">
      <c r="A27" s="287" t="s">
        <v>207</v>
      </c>
      <c r="B27" s="289">
        <f t="shared" si="1"/>
        <v>44080</v>
      </c>
      <c r="C27" s="290" t="str">
        <f>VLOOKUP($C$3,'Bảng công T9'!$C:$GE,42,0)</f>
        <v>CP</v>
      </c>
      <c r="D27" s="290">
        <f>VLOOKUP($C$3,'Bảng công T9'!$C:$GE,43,0)</f>
        <v>0</v>
      </c>
      <c r="E27" s="290">
        <f>VLOOKUP($C$3,'Bảng công T9'!$C:$GE,44,0)</f>
        <v>0</v>
      </c>
      <c r="F27" s="290">
        <f>VLOOKUP($C$3,'Bảng công T9'!$C:$GE,45,0)</f>
        <v>0</v>
      </c>
      <c r="G27" s="290" t="e">
        <f>C27*$G$19+D27*$G$19+E27*$H$19+F27*$H$19</f>
        <v>#VALUE!</v>
      </c>
      <c r="H27" s="291"/>
      <c r="I27" s="212"/>
      <c r="J27" s="219"/>
      <c r="K27" s="219"/>
      <c r="L27" s="219"/>
    </row>
    <row r="28" spans="1:13" s="218" customFormat="1">
      <c r="A28" s="287" t="s">
        <v>629</v>
      </c>
      <c r="B28" s="288">
        <f t="shared" si="1"/>
        <v>44081</v>
      </c>
      <c r="C28" s="5">
        <f>VLOOKUP($C$3,'Bảng công T9'!$C:$GE,48,0)</f>
        <v>8</v>
      </c>
      <c r="D28" s="5">
        <f>VLOOKUP($C$3,'Bảng công T9'!$C:$GE,49,0)</f>
        <v>3</v>
      </c>
      <c r="E28" s="5">
        <f>VLOOKUP($C$3,'Bảng công T9'!$C:$GE,50,0)</f>
        <v>0</v>
      </c>
      <c r="F28" s="5">
        <f>VLOOKUP($C$3,'Bảng công T9'!$C:$GE,51,0)</f>
        <v>0</v>
      </c>
      <c r="G28" s="5">
        <f t="shared" ref="G28:G33" si="3">(C28*$C$19)+(D28*$D$19)+(E28*$E$19)+(F28*$F$19)</f>
        <v>284000</v>
      </c>
      <c r="H28" s="27"/>
      <c r="I28" s="212"/>
      <c r="J28" s="219"/>
      <c r="K28" s="219"/>
      <c r="L28" s="219"/>
    </row>
    <row r="29" spans="1:13" s="26" customFormat="1">
      <c r="A29" s="287" t="s">
        <v>628</v>
      </c>
      <c r="B29" s="288">
        <f t="shared" si="1"/>
        <v>44082</v>
      </c>
      <c r="C29" s="5">
        <f>VLOOKUP($C$3,'Bảng công T9'!$C:$GE,54,0)</f>
        <v>8</v>
      </c>
      <c r="D29" s="5">
        <f>VLOOKUP($C$3,'Bảng công T9'!$C:$GE,55,0)</f>
        <v>3</v>
      </c>
      <c r="E29" s="5">
        <f>VLOOKUP($C$3,'Bảng công T9'!$C:$GE,56,0)</f>
        <v>0</v>
      </c>
      <c r="F29" s="5">
        <f>VLOOKUP($C$3,'Bảng công T9'!$C:$GE,57,0)</f>
        <v>0</v>
      </c>
      <c r="G29" s="5">
        <f t="shared" si="3"/>
        <v>284000</v>
      </c>
      <c r="H29" s="27"/>
      <c r="I29" s="212"/>
      <c r="J29" s="212"/>
      <c r="K29" s="212"/>
      <c r="L29" s="212"/>
    </row>
    <row r="30" spans="1:13" s="26" customFormat="1">
      <c r="A30" s="287" t="s">
        <v>627</v>
      </c>
      <c r="B30" s="288">
        <f t="shared" si="1"/>
        <v>44083</v>
      </c>
      <c r="C30" s="5">
        <f>VLOOKUP($C$3,'Bảng công T9'!$C:$GE,60,0)</f>
        <v>0</v>
      </c>
      <c r="D30" s="5">
        <f>VLOOKUP($C$3,'Bảng công T9'!$C:$GE,61,0)</f>
        <v>0</v>
      </c>
      <c r="E30" s="5">
        <f>VLOOKUP($C$3,'Bảng công T9'!$C:$GE,62,0)</f>
        <v>0</v>
      </c>
      <c r="F30" s="5">
        <f>VLOOKUP($C$3,'Bảng công T9'!$C:$GE,63,0)</f>
        <v>0</v>
      </c>
      <c r="G30" s="5">
        <f t="shared" si="3"/>
        <v>0</v>
      </c>
      <c r="H30" s="27"/>
      <c r="I30" s="212"/>
      <c r="J30" s="212"/>
      <c r="K30" s="212"/>
      <c r="L30" s="212"/>
    </row>
    <row r="31" spans="1:13" s="26" customFormat="1">
      <c r="A31" s="287" t="s">
        <v>626</v>
      </c>
      <c r="B31" s="288">
        <f t="shared" si="1"/>
        <v>44084</v>
      </c>
      <c r="C31" s="5">
        <f>VLOOKUP($C$3,'Bảng công T9'!$C:$GE,66,0)</f>
        <v>0</v>
      </c>
      <c r="D31" s="5">
        <f>VLOOKUP($C$3,'Bảng công T9'!$C:$GE,67,0)</f>
        <v>0</v>
      </c>
      <c r="E31" s="5">
        <f>VLOOKUP($C$3,'Bảng công T9'!$C:$GE,68,0)</f>
        <v>0</v>
      </c>
      <c r="F31" s="5">
        <f>VLOOKUP($C$3,'Bảng công T9'!$C:$GE,69,0)</f>
        <v>0</v>
      </c>
      <c r="G31" s="5">
        <f t="shared" si="3"/>
        <v>0</v>
      </c>
      <c r="H31" s="27"/>
      <c r="I31" s="212"/>
      <c r="J31" s="212"/>
      <c r="K31" s="212"/>
      <c r="L31" s="212"/>
    </row>
    <row r="32" spans="1:13" s="26" customFormat="1">
      <c r="A32" s="287" t="s">
        <v>625</v>
      </c>
      <c r="B32" s="288">
        <f t="shared" si="1"/>
        <v>44085</v>
      </c>
      <c r="C32" s="5">
        <f>VLOOKUP($C$3,'Bảng công T9'!$C:$GE,72,0)</f>
        <v>0</v>
      </c>
      <c r="D32" s="5">
        <f>VLOOKUP($C$3,'Bảng công T9'!$C:$GE,73,0)</f>
        <v>0</v>
      </c>
      <c r="E32" s="5">
        <f>VLOOKUP($C$3,'Bảng công T9'!$C:$GE,74,0)</f>
        <v>0</v>
      </c>
      <c r="F32" s="5">
        <f>VLOOKUP($C$3,'Bảng công T9'!$C:$GE,75,0)</f>
        <v>0</v>
      </c>
      <c r="G32" s="5">
        <f t="shared" si="3"/>
        <v>0</v>
      </c>
      <c r="H32" s="27"/>
      <c r="I32" s="212"/>
      <c r="J32" s="212"/>
      <c r="K32" s="212"/>
      <c r="L32" s="212"/>
    </row>
    <row r="33" spans="1:12" s="26" customFormat="1">
      <c r="A33" s="287" t="s">
        <v>624</v>
      </c>
      <c r="B33" s="288">
        <f t="shared" si="1"/>
        <v>44086</v>
      </c>
      <c r="C33" s="5">
        <f>VLOOKUP($C$3,'Bảng công T9'!$C:$GE,78,0)</f>
        <v>0</v>
      </c>
      <c r="D33" s="5">
        <f>VLOOKUP($C$3,'Bảng công T9'!$C:$GE,79,0)</f>
        <v>0</v>
      </c>
      <c r="E33" s="5">
        <f>VLOOKUP($C$3,'Bảng công T9'!$C:$GE,80,0)</f>
        <v>0</v>
      </c>
      <c r="F33" s="5">
        <f>VLOOKUP($C$3,'Bảng công T9'!$C:$GE,81,0)</f>
        <v>0</v>
      </c>
      <c r="G33" s="5">
        <f t="shared" si="3"/>
        <v>0</v>
      </c>
      <c r="H33" s="27"/>
      <c r="I33" s="212"/>
      <c r="J33" s="212"/>
      <c r="K33" s="212"/>
      <c r="L33" s="212"/>
    </row>
    <row r="34" spans="1:12" s="26" customFormat="1">
      <c r="A34" s="287" t="s">
        <v>623</v>
      </c>
      <c r="B34" s="288">
        <f t="shared" si="1"/>
        <v>44087</v>
      </c>
      <c r="C34" s="5">
        <f>VLOOKUP($C$3,'Bảng công T9'!$C:$GE,84,0)</f>
        <v>0</v>
      </c>
      <c r="D34" s="5">
        <f>VLOOKUP($C$3,'Bảng công T9'!$C:$GE,85,0)</f>
        <v>0</v>
      </c>
      <c r="E34" s="5">
        <f>VLOOKUP($C$3,'Bảng công T9'!$C:$GE,86,0)</f>
        <v>0</v>
      </c>
      <c r="F34" s="5">
        <f>VLOOKUP($C$3,'Bảng công T9'!$C:$GE,87,0)</f>
        <v>0</v>
      </c>
      <c r="G34" s="5">
        <f>C34*$G$19+D34*$G$19+E34*$H$19+F34*$H$19</f>
        <v>0</v>
      </c>
      <c r="H34" s="27"/>
      <c r="I34" s="212"/>
      <c r="J34" s="212"/>
      <c r="K34" s="212"/>
      <c r="L34" s="212"/>
    </row>
    <row r="35" spans="1:12" s="218" customFormat="1">
      <c r="A35" s="287" t="s">
        <v>622</v>
      </c>
      <c r="B35" s="288">
        <f t="shared" si="1"/>
        <v>44088</v>
      </c>
      <c r="C35" s="5">
        <f>VLOOKUP($C$3,'Bảng công T9'!$C:$GE,90,0)</f>
        <v>0</v>
      </c>
      <c r="D35" s="5">
        <f>VLOOKUP($C$3,'Bảng công T9'!$C:$GE,91,0)</f>
        <v>0</v>
      </c>
      <c r="E35" s="5">
        <f>VLOOKUP($C$3,'Bảng công T9'!$C:$GE,92,0)</f>
        <v>0</v>
      </c>
      <c r="F35" s="5">
        <f>VLOOKUP($C$3,'Bảng công T9'!$C:$GE,93,0)</f>
        <v>0</v>
      </c>
      <c r="G35" s="5">
        <f t="shared" ref="G35:G39" si="4">(C35*$C$19)+(D35*$D$19)+(E35*$E$19)+(F35*$F$19)</f>
        <v>0</v>
      </c>
      <c r="H35" s="27"/>
      <c r="I35" s="212"/>
      <c r="J35" s="219"/>
      <c r="K35" s="219"/>
      <c r="L35" s="219"/>
    </row>
    <row r="36" spans="1:12" s="26" customFormat="1">
      <c r="A36" s="287" t="s">
        <v>621</v>
      </c>
      <c r="B36" s="288">
        <f t="shared" si="1"/>
        <v>44089</v>
      </c>
      <c r="C36" s="5">
        <f>VLOOKUP($C$3,'Bảng công T9'!$C:$GE,96,0)</f>
        <v>0</v>
      </c>
      <c r="D36" s="5">
        <f>VLOOKUP($C$3,'Bảng công T9'!$C:$GE,97,0)</f>
        <v>0</v>
      </c>
      <c r="E36" s="5">
        <f>VLOOKUP($C$3,'Bảng công T9'!$C:$GE,98,0)</f>
        <v>8</v>
      </c>
      <c r="F36" s="5">
        <f>VLOOKUP($C$3,'Bảng công T9'!$C:$GE,99,0)</f>
        <v>3</v>
      </c>
      <c r="G36" s="5">
        <f t="shared" si="4"/>
        <v>329000</v>
      </c>
      <c r="H36" s="27"/>
      <c r="I36" s="212"/>
      <c r="J36" s="212"/>
      <c r="K36" s="212"/>
      <c r="L36" s="212"/>
    </row>
    <row r="37" spans="1:12" s="26" customFormat="1">
      <c r="A37" s="287" t="s">
        <v>620</v>
      </c>
      <c r="B37" s="288">
        <f t="shared" si="1"/>
        <v>44090</v>
      </c>
      <c r="C37" s="5">
        <f>VLOOKUP($C$3,'Bảng công T9'!$C:$GE,102,0)</f>
        <v>0</v>
      </c>
      <c r="D37" s="5">
        <f>VLOOKUP($C$3,'Bảng công T9'!$C:$GE,103,0)</f>
        <v>0</v>
      </c>
      <c r="E37" s="5">
        <f>VLOOKUP($C$3,'Bảng công T9'!$C:$GE,104,0)</f>
        <v>8</v>
      </c>
      <c r="F37" s="5">
        <f>VLOOKUP($C$3,'Bảng công T9'!$C:$GE,105,0)</f>
        <v>3</v>
      </c>
      <c r="G37" s="5">
        <f t="shared" si="4"/>
        <v>329000</v>
      </c>
      <c r="H37" s="27"/>
      <c r="I37" s="212"/>
      <c r="J37" s="212"/>
      <c r="K37" s="212"/>
      <c r="L37" s="212"/>
    </row>
    <row r="38" spans="1:12" s="26" customFormat="1">
      <c r="A38" s="287" t="s">
        <v>619</v>
      </c>
      <c r="B38" s="288">
        <f t="shared" si="1"/>
        <v>44091</v>
      </c>
      <c r="C38" s="5">
        <f>VLOOKUP($C$3,'Bảng công T9'!$C:$GE,108,0)</f>
        <v>0</v>
      </c>
      <c r="D38" s="5">
        <f>VLOOKUP($C$3,'Bảng công T9'!$C:$GE,109,0)</f>
        <v>0</v>
      </c>
      <c r="E38" s="5">
        <f>VLOOKUP($C$3,'Bảng công T9'!$C:$GE,110,0)</f>
        <v>8</v>
      </c>
      <c r="F38" s="5">
        <f>VLOOKUP($C$3,'Bảng công T9'!$C:$GE,111,0)</f>
        <v>3</v>
      </c>
      <c r="G38" s="5">
        <f t="shared" si="4"/>
        <v>329000</v>
      </c>
      <c r="H38" s="27"/>
      <c r="I38" s="212"/>
      <c r="J38" s="212"/>
      <c r="K38" s="212"/>
      <c r="L38" s="212"/>
    </row>
    <row r="39" spans="1:12" s="26" customFormat="1">
      <c r="A39" s="287" t="s">
        <v>618</v>
      </c>
      <c r="B39" s="288">
        <f t="shared" si="1"/>
        <v>44092</v>
      </c>
      <c r="C39" s="5">
        <f>VLOOKUP($C$3,'Bảng công T9'!$C:$GE,114,0)</f>
        <v>0</v>
      </c>
      <c r="D39" s="5">
        <f>VLOOKUP($C$3,'Bảng công T9'!$C:$GE,115,0)</f>
        <v>0</v>
      </c>
      <c r="E39" s="5">
        <f>VLOOKUP($C$3,'Bảng công T9'!$C:$GE,116,0)</f>
        <v>8</v>
      </c>
      <c r="F39" s="5">
        <f>VLOOKUP($C$3,'Bảng công T9'!$C:$GE,117,0)</f>
        <v>3</v>
      </c>
      <c r="G39" s="5">
        <f t="shared" si="4"/>
        <v>329000</v>
      </c>
      <c r="H39" s="27"/>
      <c r="I39" s="212"/>
      <c r="J39" s="212"/>
      <c r="K39" s="212"/>
      <c r="L39" s="212"/>
    </row>
    <row r="40" spans="1:12" s="26" customFormat="1">
      <c r="A40" s="287" t="s">
        <v>617</v>
      </c>
      <c r="B40" s="289">
        <f t="shared" si="1"/>
        <v>44093</v>
      </c>
      <c r="C40" s="290">
        <f>VLOOKUP($C$3,'Bảng công T9'!$C:$GE,120,0)</f>
        <v>0</v>
      </c>
      <c r="D40" s="290">
        <f>VLOOKUP($C$3,'Bảng công T9'!$C:$GE,121,0)</f>
        <v>0</v>
      </c>
      <c r="E40" s="290">
        <f>VLOOKUP($C$3,'Bảng công T9'!$C:$GE,122,0)</f>
        <v>8</v>
      </c>
      <c r="F40" s="290">
        <f>VLOOKUP($C$3,'Bảng công T9'!$C:$GE,123,0)</f>
        <v>3</v>
      </c>
      <c r="G40" s="290">
        <f>C40*$G$19+D40*$G$19+E40*$H$19+F40*$H$19</f>
        <v>503250</v>
      </c>
      <c r="H40" s="291"/>
      <c r="I40" s="212"/>
      <c r="J40" s="212"/>
      <c r="K40" s="212"/>
      <c r="L40" s="212"/>
    </row>
    <row r="41" spans="1:12" s="218" customFormat="1">
      <c r="A41" s="287" t="s">
        <v>616</v>
      </c>
      <c r="B41" s="289">
        <f t="shared" si="1"/>
        <v>44094</v>
      </c>
      <c r="C41" s="290">
        <f>VLOOKUP($C$3,'Bảng công T9'!$C:$GE,126,0)</f>
        <v>0</v>
      </c>
      <c r="D41" s="290">
        <f>VLOOKUP($C$3,'Bảng công T9'!$C:$GE,127,0)</f>
        <v>0</v>
      </c>
      <c r="E41" s="290">
        <f>VLOOKUP($C$3,'Bảng công T9'!$C:$GE,128,0)</f>
        <v>8</v>
      </c>
      <c r="F41" s="290">
        <f>VLOOKUP($C$3,'Bảng công T9'!$C:$GE,129,0)</f>
        <v>3</v>
      </c>
      <c r="G41" s="290">
        <f>C41*$G$19+D41*$G$19+E41*$H$19+F41*$H$19</f>
        <v>503250</v>
      </c>
      <c r="H41" s="291"/>
      <c r="I41" s="212"/>
      <c r="J41" s="219"/>
      <c r="K41" s="219"/>
      <c r="L41" s="219"/>
    </row>
    <row r="42" spans="1:12" s="218" customFormat="1">
      <c r="A42" s="287" t="s">
        <v>615</v>
      </c>
      <c r="B42" s="288">
        <f t="shared" si="1"/>
        <v>44095</v>
      </c>
      <c r="C42" s="5">
        <f>VLOOKUP($C$3,'Bảng công T9'!$C:$GE,132,0)</f>
        <v>0</v>
      </c>
      <c r="D42" s="5">
        <f>VLOOKUP($C$3,'Bảng công T9'!$C:$GE,133,0)</f>
        <v>0</v>
      </c>
      <c r="E42" s="5">
        <f>VLOOKUP($C$3,'Bảng công T9'!$C:$GE,134,0)</f>
        <v>8</v>
      </c>
      <c r="F42" s="5">
        <f>VLOOKUP($C$3,'Bảng công T9'!$C:$GE,135,0)</f>
        <v>3</v>
      </c>
      <c r="G42" s="5">
        <f t="shared" ref="G42:G47" si="5">(C42*$C$19)+(D42*$D$19)+(E42*$E$19)+(F42*$F$19)</f>
        <v>329000</v>
      </c>
      <c r="H42" s="27"/>
      <c r="I42" s="212"/>
      <c r="J42" s="219"/>
      <c r="K42" s="219"/>
      <c r="L42" s="219"/>
    </row>
    <row r="43" spans="1:12" s="26" customFormat="1">
      <c r="A43" s="287" t="s">
        <v>614</v>
      </c>
      <c r="B43" s="288">
        <f t="shared" si="1"/>
        <v>44096</v>
      </c>
      <c r="C43" s="5">
        <f>VLOOKUP($C$3,'Bảng công T9'!$C:$GE,138,0)</f>
        <v>0</v>
      </c>
      <c r="D43" s="5">
        <f>VLOOKUP($C$3,'Bảng công T9'!$C:$GE,139,0)</f>
        <v>0</v>
      </c>
      <c r="E43" s="5">
        <f>VLOOKUP($C$3,'Bảng công T9'!$C:$GE,140,0)</f>
        <v>8</v>
      </c>
      <c r="F43" s="5">
        <f>VLOOKUP($C$3,'Bảng công T9'!$C:$GE,141,0)</f>
        <v>3</v>
      </c>
      <c r="G43" s="5">
        <f t="shared" si="5"/>
        <v>329000</v>
      </c>
      <c r="H43" s="27"/>
      <c r="I43" s="212"/>
      <c r="J43" s="212"/>
      <c r="K43" s="212"/>
      <c r="L43" s="212"/>
    </row>
    <row r="44" spans="1:12" s="26" customFormat="1">
      <c r="A44" s="287" t="s">
        <v>613</v>
      </c>
      <c r="B44" s="288">
        <f t="shared" si="1"/>
        <v>44097</v>
      </c>
      <c r="C44" s="5">
        <f>VLOOKUP($C$3,'Bảng công T9'!$C:$GE,144,0)</f>
        <v>0</v>
      </c>
      <c r="D44" s="5">
        <f>VLOOKUP($C$3,'Bảng công T9'!$C:$GE,145,0)</f>
        <v>0</v>
      </c>
      <c r="E44" s="5">
        <f>VLOOKUP($C$3,'Bảng công T9'!$C:$GE,146,0)</f>
        <v>8</v>
      </c>
      <c r="F44" s="5">
        <f>VLOOKUP($C$3,'Bảng công T9'!$C:$GE,147,0)</f>
        <v>3</v>
      </c>
      <c r="G44" s="5">
        <f t="shared" si="5"/>
        <v>329000</v>
      </c>
      <c r="H44" s="27"/>
      <c r="I44" s="212"/>
      <c r="J44" s="212"/>
      <c r="K44" s="212"/>
      <c r="L44" s="212"/>
    </row>
    <row r="45" spans="1:12" s="26" customFormat="1">
      <c r="A45" s="287" t="s">
        <v>612</v>
      </c>
      <c r="B45" s="288">
        <f t="shared" si="1"/>
        <v>44098</v>
      </c>
      <c r="C45" s="5">
        <f>VLOOKUP($C$3,'Bảng công T9'!$C:$GE,150,0)</f>
        <v>0</v>
      </c>
      <c r="D45" s="5">
        <f>VLOOKUP($C$3,'Bảng công T9'!$C:$GE,151,0)</f>
        <v>0</v>
      </c>
      <c r="E45" s="5">
        <f>VLOOKUP($C$3,'Bảng công T9'!$C:$GE,152,0)</f>
        <v>8</v>
      </c>
      <c r="F45" s="5">
        <f>VLOOKUP($C$3,'Bảng công T9'!$C:$GE,153,0)</f>
        <v>3</v>
      </c>
      <c r="G45" s="5">
        <f t="shared" si="5"/>
        <v>329000</v>
      </c>
      <c r="H45" s="27"/>
      <c r="I45" s="212"/>
      <c r="J45" s="212"/>
      <c r="K45" s="212"/>
      <c r="L45" s="212"/>
    </row>
    <row r="46" spans="1:12" s="26" customFormat="1">
      <c r="A46" s="287" t="s">
        <v>611</v>
      </c>
      <c r="B46" s="288">
        <f t="shared" si="1"/>
        <v>44099</v>
      </c>
      <c r="C46" s="5">
        <f>VLOOKUP($C$3,'Bảng công T9'!$C:$GE,156,0)</f>
        <v>0</v>
      </c>
      <c r="D46" s="5">
        <f>VLOOKUP($C$3,'Bảng công T9'!$C:$GE,157,0)</f>
        <v>0</v>
      </c>
      <c r="E46" s="5">
        <f>VLOOKUP($C$3,'Bảng công T9'!$C:$GE,158,0)</f>
        <v>8</v>
      </c>
      <c r="F46" s="5">
        <f>VLOOKUP($C$3,'Bảng công T9'!$C:$GE,159,0)</f>
        <v>3</v>
      </c>
      <c r="G46" s="5">
        <f t="shared" si="5"/>
        <v>329000</v>
      </c>
      <c r="H46" s="27"/>
      <c r="I46" s="212"/>
      <c r="J46" s="212"/>
      <c r="K46" s="212"/>
      <c r="L46" s="212"/>
    </row>
    <row r="47" spans="1:12" s="26" customFormat="1">
      <c r="A47" s="287" t="s">
        <v>610</v>
      </c>
      <c r="B47" s="288">
        <f t="shared" si="1"/>
        <v>44100</v>
      </c>
      <c r="C47" s="5">
        <f>VLOOKUP($C$3,'Bảng công T9'!$C:$GE,162,0)</f>
        <v>0</v>
      </c>
      <c r="D47" s="5">
        <f>VLOOKUP($C$3,'Bảng công T9'!$C:$GE,163,0)</f>
        <v>0</v>
      </c>
      <c r="E47" s="5">
        <f>VLOOKUP($C$3,'Bảng công T9'!$C:$GE,164,0)</f>
        <v>8</v>
      </c>
      <c r="F47" s="5">
        <f>VLOOKUP($C$3,'Bảng công T9'!$C:$GE,165,0)</f>
        <v>3</v>
      </c>
      <c r="G47" s="5">
        <f t="shared" si="5"/>
        <v>329000</v>
      </c>
      <c r="H47" s="27"/>
      <c r="I47" s="212"/>
      <c r="J47" s="212"/>
      <c r="K47" s="212"/>
      <c r="L47" s="212"/>
    </row>
    <row r="48" spans="1:12" s="26" customFormat="1">
      <c r="A48" s="287" t="s">
        <v>609</v>
      </c>
      <c r="B48" s="288">
        <f t="shared" si="1"/>
        <v>44101</v>
      </c>
      <c r="C48" s="5">
        <f>VLOOKUP($C$3,'Bảng công T9'!$C:$GE,168,0)</f>
        <v>0</v>
      </c>
      <c r="D48" s="5">
        <f>VLOOKUP($C$3,'Bảng công T9'!$C:$GE,169,0)</f>
        <v>0</v>
      </c>
      <c r="E48" s="5">
        <f>VLOOKUP($C$3,'Bảng công T9'!$C:$GE,170,0)</f>
        <v>8</v>
      </c>
      <c r="F48" s="5">
        <f>VLOOKUP($C$3,'Bảng công T9'!$C:$GE,171,0)</f>
        <v>3</v>
      </c>
      <c r="G48" s="5">
        <f>C48*$G$19+D48*$G$19+E48*$H$19+F48*$H$19</f>
        <v>503250</v>
      </c>
      <c r="H48" s="27"/>
      <c r="I48" s="212"/>
      <c r="J48" s="212"/>
      <c r="K48" s="212"/>
      <c r="L48" s="212"/>
    </row>
    <row r="49" spans="1:12" s="218" customFormat="1" ht="15.75" customHeight="1">
      <c r="A49" s="287" t="s">
        <v>608</v>
      </c>
      <c r="B49" s="288">
        <f t="shared" si="1"/>
        <v>44102</v>
      </c>
      <c r="C49" s="5">
        <f>VLOOKUP($C$3,'Bảng công T9'!$C:$GE,174,0)</f>
        <v>0</v>
      </c>
      <c r="D49" s="5">
        <f>VLOOKUP($C$3,'Bảng công T9'!$C:$GE,175,0)</f>
        <v>0</v>
      </c>
      <c r="E49" s="5">
        <f>VLOOKUP($C$3,'Bảng công T9'!$C:$GE,176,0)</f>
        <v>8</v>
      </c>
      <c r="F49" s="5">
        <f>VLOOKUP($C$3,'Bảng công T9'!$C:$GE,177,0)</f>
        <v>3</v>
      </c>
      <c r="G49" s="5">
        <f t="shared" ref="G49:G51" si="6">(C49*$C$19)+(D49*$D$19)+(E49*$E$19)+(F49*$F$19)</f>
        <v>329000</v>
      </c>
      <c r="H49" s="27"/>
      <c r="I49" s="212"/>
      <c r="J49" s="219"/>
      <c r="K49" s="219"/>
      <c r="L49" s="219"/>
    </row>
    <row r="50" spans="1:12" s="26" customFormat="1">
      <c r="A50" s="287" t="s">
        <v>607</v>
      </c>
      <c r="B50" s="288">
        <f t="shared" si="1"/>
        <v>44103</v>
      </c>
      <c r="C50" s="5">
        <f>VLOOKUP($C$3,'Bảng công T9'!$C:$GE,180,0)</f>
        <v>0</v>
      </c>
      <c r="D50" s="5">
        <f>VLOOKUP($C$3,'Bảng công T9'!$C:$GE,181,0)</f>
        <v>0</v>
      </c>
      <c r="E50" s="5">
        <f>VLOOKUP($C$3,'Bảng công T9'!$C:$GE,182,0)</f>
        <v>0</v>
      </c>
      <c r="F50" s="5">
        <f>VLOOKUP($C$3,'Bảng công T9'!$C:$GE,183,0)</f>
        <v>0</v>
      </c>
      <c r="G50" s="5">
        <f t="shared" si="6"/>
        <v>0</v>
      </c>
      <c r="H50" s="27"/>
      <c r="I50" s="212"/>
      <c r="J50" s="212"/>
      <c r="K50" s="212"/>
      <c r="L50" s="212"/>
    </row>
    <row r="51" spans="1:12" s="26" customFormat="1">
      <c r="A51" s="287" t="s">
        <v>606</v>
      </c>
      <c r="B51" s="288">
        <f t="shared" si="1"/>
        <v>44104</v>
      </c>
      <c r="C51" s="5" t="e">
        <f>VLOOKUP($C$3,'Bảng công T9'!$C:$GE,186,0)</f>
        <v>#REF!</v>
      </c>
      <c r="D51" s="5" t="e">
        <f>VLOOKUP($C$3,'Bảng công T9'!$C:$GE,187,0)</f>
        <v>#REF!</v>
      </c>
      <c r="E51" s="5" t="e">
        <f>VLOOKUP($C$3,'Bảng công T9'!$C:$GE,188,0)</f>
        <v>#REF!</v>
      </c>
      <c r="F51" s="5" t="e">
        <f>VLOOKUP($C$3,'Bảng công T9'!$C:$GE,189,0)</f>
        <v>#REF!</v>
      </c>
      <c r="G51" s="5" t="e">
        <f t="shared" si="6"/>
        <v>#REF!</v>
      </c>
      <c r="H51" s="27"/>
      <c r="I51" s="212"/>
      <c r="J51" s="212"/>
      <c r="K51" s="212"/>
      <c r="L51" s="212"/>
    </row>
    <row r="52" spans="1:12" s="26" customFormat="1" ht="15.75" thickBot="1">
      <c r="A52" s="287"/>
      <c r="B52" s="288"/>
      <c r="C52" s="5" t="e">
        <f>VLOOKUP($C$3,'Bảng công T9'!$C:$GE,192,0)</f>
        <v>#REF!</v>
      </c>
      <c r="D52" s="5" t="e">
        <f>VLOOKUP($C$3,'Bảng công T9'!$C:$GE,193,0)</f>
        <v>#REF!</v>
      </c>
      <c r="E52" s="5" t="e">
        <f>VLOOKUP($C$3,'Bảng công T9'!$C:$GE,194,0)</f>
        <v>#REF!</v>
      </c>
      <c r="F52" s="5" t="e">
        <f>VLOOKUP($C$3,'Bảng công T9'!$C:$GE,195,0)</f>
        <v>#REF!</v>
      </c>
      <c r="G52" s="5" t="e">
        <f t="shared" ref="G52" si="7">(C52*$C$19)+(D52*$D$19)+(E52*$E$19)+(F52*$F$19)</f>
        <v>#REF!</v>
      </c>
      <c r="H52" s="27"/>
      <c r="I52" s="212"/>
      <c r="J52" s="212"/>
      <c r="K52" s="212"/>
      <c r="L52" s="212"/>
    </row>
    <row r="53" spans="1:12" s="26" customFormat="1" ht="16.5" thickTop="1" thickBot="1">
      <c r="A53" s="216" t="s">
        <v>669</v>
      </c>
      <c r="B53" s="215"/>
      <c r="C53" s="214"/>
      <c r="D53" s="214"/>
      <c r="E53" s="214"/>
      <c r="F53" s="214"/>
      <c r="G53" s="214" t="e">
        <f>VLOOKUP($C$3,'Bảng lương'!$C$9:$K$10014,9,0)</f>
        <v>#REF!</v>
      </c>
      <c r="H53" s="213"/>
      <c r="I53" s="212"/>
      <c r="J53" s="212"/>
      <c r="K53" s="212"/>
      <c r="L53" s="212"/>
    </row>
    <row r="54" spans="1:12" ht="15.75" thickTop="1">
      <c r="A54" s="150"/>
      <c r="B54" s="29"/>
      <c r="C54" s="30" t="s">
        <v>208</v>
      </c>
      <c r="D54" s="31"/>
      <c r="E54" s="31"/>
      <c r="F54" s="32"/>
      <c r="G54" s="211" t="e">
        <f>VLOOKUP($C$3,'Bảng lương'!$C$9:$L$10014,10,0)</f>
        <v>#REF!</v>
      </c>
      <c r="H54" s="33"/>
    </row>
    <row r="55" spans="1:12">
      <c r="A55" s="523"/>
      <c r="B55" s="524"/>
      <c r="C55" s="525" t="s">
        <v>1036</v>
      </c>
      <c r="D55" s="210"/>
      <c r="E55" s="210"/>
      <c r="F55" s="526"/>
      <c r="G55" s="204" t="e">
        <f>VLOOKUP($C$3,'Bảng lương'!$C9:$N10014,11,0)</f>
        <v>#REF!</v>
      </c>
      <c r="H55" s="527"/>
    </row>
    <row r="56" spans="1:12">
      <c r="A56" s="150"/>
      <c r="B56" s="29"/>
      <c r="C56" s="30" t="s">
        <v>1037</v>
      </c>
      <c r="D56" s="31"/>
      <c r="E56" s="31"/>
      <c r="F56" s="32"/>
      <c r="G56" s="207" t="e">
        <f>VLOOKUP($C$3,'Bảng lương'!C:N,12,0)</f>
        <v>#REF!</v>
      </c>
      <c r="H56" s="33"/>
    </row>
    <row r="57" spans="1:12">
      <c r="A57" s="523"/>
      <c r="B57" s="524"/>
      <c r="C57" s="525" t="s">
        <v>1034</v>
      </c>
      <c r="D57" s="210"/>
      <c r="E57" s="210"/>
      <c r="F57" s="526"/>
      <c r="G57" s="204">
        <f>VLOOKUP($C$3,'Bảng lương'!C:O,13,0)</f>
        <v>286900</v>
      </c>
      <c r="H57" s="527"/>
    </row>
    <row r="58" spans="1:12">
      <c r="A58" s="533" t="s">
        <v>1035</v>
      </c>
      <c r="B58" s="534"/>
      <c r="C58" s="535"/>
      <c r="D58" s="536"/>
      <c r="E58" s="536"/>
      <c r="F58" s="537"/>
      <c r="G58" s="538" t="e">
        <f>VLOOKUP($C$3,'Bảng lương'!C:P,14,0)</f>
        <v>#REF!</v>
      </c>
      <c r="H58" s="539"/>
    </row>
    <row r="59" spans="1:12">
      <c r="A59" s="533" t="s">
        <v>209</v>
      </c>
      <c r="B59" s="534"/>
      <c r="C59" s="534"/>
      <c r="D59" s="536"/>
      <c r="E59" s="536"/>
      <c r="F59" s="537"/>
      <c r="G59" s="540" t="e">
        <f>VLOOKUP($C$3,'Bảng lương'!C:Q,15,0)</f>
        <v>#REF!</v>
      </c>
      <c r="H59" s="539"/>
    </row>
    <row r="60" spans="1:12" ht="15.75" customHeight="1">
      <c r="A60" s="528"/>
      <c r="B60" s="529"/>
      <c r="C60" s="529" t="s">
        <v>210</v>
      </c>
      <c r="D60" s="206"/>
      <c r="E60" s="530"/>
      <c r="F60" s="531"/>
      <c r="G60" s="530" t="e">
        <f>VLOOKUP($C$3,'Bảng công T9'!C:HE,219,0)</f>
        <v>#REF!</v>
      </c>
      <c r="H60" s="532"/>
    </row>
    <row r="61" spans="1:12" ht="15.75" customHeight="1">
      <c r="A61" s="150"/>
      <c r="B61" s="151"/>
      <c r="C61" s="151" t="s">
        <v>211</v>
      </c>
      <c r="D61" s="31"/>
      <c r="E61" s="208"/>
      <c r="F61" s="32"/>
      <c r="G61" s="208" t="e">
        <f>VLOOKUP($C$3,'Bảng công T9'!C:HE,220,0)</f>
        <v>#REF!</v>
      </c>
      <c r="H61" s="33"/>
    </row>
    <row r="62" spans="1:12" ht="15.75" customHeight="1">
      <c r="A62" s="150"/>
      <c r="B62" s="151"/>
      <c r="C62" s="151" t="s">
        <v>212</v>
      </c>
      <c r="D62" s="31"/>
      <c r="E62" s="208"/>
      <c r="F62" s="32"/>
      <c r="G62" s="208" t="e">
        <f>VLOOKUP($C$3,'Bảng công T9'!C:HE,221,0)</f>
        <v>#REF!</v>
      </c>
      <c r="H62" s="33"/>
    </row>
    <row r="63" spans="1:12" ht="15.75" customHeight="1">
      <c r="A63" s="150"/>
      <c r="B63" s="151"/>
      <c r="C63" s="151" t="s">
        <v>213</v>
      </c>
      <c r="D63" s="209"/>
      <c r="E63" s="208"/>
      <c r="F63" s="32"/>
      <c r="G63" s="208" t="e">
        <f>VLOOKUP($C$3,'Bảng công T9'!C:HE,222,0)</f>
        <v>#REF!</v>
      </c>
      <c r="H63" s="33"/>
    </row>
    <row r="64" spans="1:12">
      <c r="A64" s="150" t="s">
        <v>214</v>
      </c>
      <c r="B64" s="151"/>
      <c r="C64" s="151"/>
      <c r="D64" s="31"/>
      <c r="E64" s="206"/>
      <c r="F64" s="32"/>
      <c r="G64" s="207">
        <f>VLOOKUP($C$3,'Bảng lương'!C:R,16,0)</f>
        <v>496650</v>
      </c>
      <c r="H64" s="33"/>
    </row>
    <row r="65" spans="1:20">
      <c r="A65" s="150" t="s">
        <v>604</v>
      </c>
      <c r="B65" s="151"/>
      <c r="C65" s="151"/>
      <c r="D65" s="31"/>
      <c r="E65" s="206"/>
      <c r="F65" s="32"/>
      <c r="G65" s="205" t="e">
        <f>VLOOKUP($C$3,'Bảng lương'!$C$9:$T$1014,17,0)</f>
        <v>#REF!</v>
      </c>
      <c r="H65" s="33"/>
    </row>
    <row r="66" spans="1:20">
      <c r="A66" s="899" t="s">
        <v>603</v>
      </c>
      <c r="B66" s="900"/>
      <c r="C66" s="900"/>
      <c r="D66" s="31"/>
      <c r="E66" s="31"/>
      <c r="F66" s="32"/>
      <c r="G66" s="204">
        <f>VLOOKUP($C$3,'Bảng lương'!C:T,18,0)</f>
        <v>0</v>
      </c>
      <c r="H66" s="33"/>
    </row>
    <row r="67" spans="1:20">
      <c r="A67" s="901" t="s">
        <v>602</v>
      </c>
      <c r="B67" s="902"/>
      <c r="C67" s="34"/>
      <c r="D67" s="35"/>
      <c r="E67" s="35"/>
      <c r="F67" s="36"/>
      <c r="G67" s="203" t="e">
        <f>VLOOKUP($C$3,'Bảng lương'!C:U,19,0)</f>
        <v>#REF!</v>
      </c>
      <c r="H67" s="37"/>
    </row>
    <row r="68" spans="1:20">
      <c r="A68" s="38" t="s">
        <v>1038</v>
      </c>
      <c r="B68" s="38"/>
      <c r="C68" s="39"/>
      <c r="D68" s="40"/>
      <c r="E68" s="40"/>
      <c r="F68" s="4"/>
      <c r="G68" s="41"/>
      <c r="H68" s="41"/>
    </row>
    <row r="69" spans="1:20" ht="18" customHeight="1">
      <c r="A69" s="202" t="s">
        <v>215</v>
      </c>
      <c r="E69" s="42"/>
      <c r="F69" s="42"/>
      <c r="G69" s="42"/>
      <c r="H69" s="42"/>
    </row>
    <row r="70" spans="1:20">
      <c r="G70" s="43" t="s">
        <v>601</v>
      </c>
      <c r="H70" s="1"/>
    </row>
    <row r="72" spans="1:20">
      <c r="K72" s="886"/>
      <c r="L72" s="886"/>
      <c r="M72" s="886"/>
      <c r="N72" s="886"/>
      <c r="O72" s="886"/>
      <c r="P72" s="886"/>
      <c r="Q72" s="886"/>
      <c r="R72" s="886"/>
      <c r="S72" s="886"/>
      <c r="T72" s="886"/>
    </row>
    <row r="73" spans="1:20">
      <c r="K73" s="886"/>
      <c r="L73" s="886"/>
      <c r="M73" s="886"/>
      <c r="N73" s="886"/>
      <c r="O73" s="886"/>
      <c r="P73" s="886"/>
      <c r="Q73" s="886"/>
      <c r="R73" s="886"/>
      <c r="S73" s="886"/>
      <c r="T73" s="886"/>
    </row>
    <row r="74" spans="1:20">
      <c r="K74" s="886"/>
      <c r="L74" s="886"/>
      <c r="M74" s="886"/>
      <c r="N74" s="886"/>
      <c r="O74" s="886"/>
      <c r="P74" s="886"/>
      <c r="Q74" s="886"/>
      <c r="R74" s="886"/>
      <c r="S74" s="886"/>
      <c r="T74" s="886"/>
    </row>
    <row r="78" spans="1:20" ht="21" customHeight="1"/>
    <row r="79" spans="1:20" ht="21" customHeight="1"/>
    <row r="80" spans="1:20" ht="19.5" customHeight="1"/>
    <row r="81" spans="9:12" ht="24.75" customHeight="1"/>
    <row r="82" spans="9:12" ht="24.75" customHeight="1"/>
    <row r="83" spans="9:12" ht="24.75" customHeight="1"/>
    <row r="84" spans="9:12" s="1" customFormat="1" ht="24.75" customHeight="1">
      <c r="I84" s="201"/>
      <c r="J84" s="201"/>
      <c r="K84" s="201"/>
      <c r="L84" s="201"/>
    </row>
    <row r="105" spans="9:12">
      <c r="I105" s="2"/>
      <c r="J105" s="2"/>
      <c r="K105" s="2"/>
      <c r="L105" s="2"/>
    </row>
    <row r="106" spans="9:12">
      <c r="I106" s="2"/>
      <c r="J106" s="2"/>
      <c r="K106" s="2"/>
      <c r="L106" s="2"/>
    </row>
    <row r="108" spans="9:12">
      <c r="I108" s="2"/>
      <c r="J108" s="2"/>
      <c r="K108" s="2"/>
      <c r="L108" s="2"/>
    </row>
    <row r="110" spans="9:12">
      <c r="I110" s="2"/>
      <c r="J110" s="2"/>
      <c r="K110" s="2"/>
      <c r="L110" s="2"/>
    </row>
    <row r="112" spans="9:12">
      <c r="I112" s="2"/>
      <c r="J112" s="2"/>
      <c r="K112" s="2"/>
      <c r="L112" s="2"/>
    </row>
    <row r="113" spans="1:12">
      <c r="I113" s="2"/>
      <c r="J113" s="2"/>
      <c r="K113" s="2"/>
      <c r="L113" s="2"/>
    </row>
    <row r="114" spans="1:12">
      <c r="A114" s="2" t="s">
        <v>216</v>
      </c>
      <c r="I114" s="2"/>
      <c r="J114" s="2"/>
      <c r="K114" s="2"/>
      <c r="L114" s="2"/>
    </row>
    <row r="115" spans="1:12">
      <c r="A115" s="2" t="s">
        <v>217</v>
      </c>
      <c r="I115" s="2"/>
      <c r="J115" s="2"/>
      <c r="K115" s="2"/>
      <c r="L115" s="2"/>
    </row>
    <row r="116" spans="1:12">
      <c r="I116" s="2"/>
      <c r="J116" s="2"/>
      <c r="K116" s="2"/>
      <c r="L116" s="2"/>
    </row>
    <row r="117" spans="1:12">
      <c r="A117" s="44" t="s">
        <v>183</v>
      </c>
      <c r="B117" s="45"/>
      <c r="C117" s="46" t="s">
        <v>218</v>
      </c>
      <c r="D117" s="44" t="s">
        <v>184</v>
      </c>
      <c r="E117" s="47" t="e">
        <f>VLOOKUP($C$3,'[12]Nội bộ (T1)'!$B$6:$AD$35,2,FALSE)</f>
        <v>#N/A</v>
      </c>
      <c r="F117" s="45" t="s">
        <v>219</v>
      </c>
      <c r="G117" s="45"/>
      <c r="H117" s="45"/>
      <c r="I117" s="2"/>
      <c r="J117" s="2"/>
      <c r="K117" s="2"/>
      <c r="L117" s="2"/>
    </row>
    <row r="118" spans="1:12">
      <c r="I118" s="2"/>
      <c r="J118" s="2"/>
      <c r="K118" s="2"/>
      <c r="L118" s="2"/>
    </row>
    <row r="119" spans="1:12">
      <c r="A119" s="2" t="s">
        <v>220</v>
      </c>
      <c r="E119" s="2" t="s">
        <v>191</v>
      </c>
      <c r="I119" s="2"/>
      <c r="J119" s="2"/>
      <c r="K119" s="2"/>
      <c r="L119" s="2"/>
    </row>
    <row r="121" spans="1:12">
      <c r="A121" s="200" t="s">
        <v>18</v>
      </c>
      <c r="B121" s="48" t="s">
        <v>198</v>
      </c>
      <c r="C121" s="48" t="s">
        <v>221</v>
      </c>
      <c r="D121" s="48" t="s">
        <v>222</v>
      </c>
      <c r="E121" s="48" t="s">
        <v>223</v>
      </c>
      <c r="F121" s="48" t="s">
        <v>224</v>
      </c>
      <c r="G121" s="49"/>
      <c r="H121" s="49"/>
      <c r="I121" s="2"/>
      <c r="J121" s="2"/>
      <c r="K121" s="2"/>
      <c r="L121" s="2"/>
    </row>
    <row r="122" spans="1:12">
      <c r="A122" s="199" t="s">
        <v>202</v>
      </c>
      <c r="B122" s="50" t="s">
        <v>225</v>
      </c>
      <c r="C122" s="51" t="e">
        <f>VLOOKUP($C$3,'[12]Nội bộ (T1)'!$B$6:$AD$35,16,FALSE)</f>
        <v>#N/A</v>
      </c>
      <c r="D122" s="51" t="e">
        <f>VLOOKUP($C$3,'[12]Nội bộ (T1)'!$B$6:$AD$35,17,FALSE)</f>
        <v>#N/A</v>
      </c>
      <c r="E122" s="51" t="e">
        <f t="shared" ref="E122:E127" si="8">D122-C122-1</f>
        <v>#N/A</v>
      </c>
      <c r="F122" s="52" t="e">
        <f>VLOOKUP($C$3,'[12]Nội bộ (T1)'!$B$6:$AD$35,18,FALSE)</f>
        <v>#N/A</v>
      </c>
      <c r="G122" s="53"/>
      <c r="H122" s="53"/>
      <c r="I122" s="2"/>
      <c r="J122" s="2"/>
      <c r="K122" s="2"/>
      <c r="L122" s="2"/>
    </row>
    <row r="123" spans="1:12">
      <c r="A123" s="199" t="s">
        <v>203</v>
      </c>
      <c r="B123" s="50" t="s">
        <v>226</v>
      </c>
      <c r="C123" s="51" t="e">
        <f>VLOOKUP($C$3,'[12]Nội bộ (T1)'!$B$6:$AD$35,19,FALSE)</f>
        <v>#N/A</v>
      </c>
      <c r="D123" s="51" t="e">
        <f>VLOOKUP($C$3,'[12]Nội bộ (T1)'!$B$6:$AD$35,20,FALSE)</f>
        <v>#N/A</v>
      </c>
      <c r="E123" s="51" t="e">
        <f t="shared" si="8"/>
        <v>#N/A</v>
      </c>
      <c r="F123" s="52" t="e">
        <f>VLOOKUP($C$3,'[12]Nội bộ (T1)'!$B$6:$AD$35,21,FALSE)</f>
        <v>#N/A</v>
      </c>
      <c r="G123" s="53"/>
      <c r="H123" s="53"/>
      <c r="I123" s="2"/>
      <c r="J123" s="2"/>
      <c r="K123" s="2"/>
      <c r="L123" s="2"/>
    </row>
    <row r="124" spans="1:12">
      <c r="A124" s="199" t="s">
        <v>204</v>
      </c>
      <c r="B124" s="50" t="s">
        <v>227</v>
      </c>
      <c r="C124" s="51" t="e">
        <f>VLOOKUP($C$3,'[12]Nội bộ (T1)'!$B$6:$AD$35,22,FALSE)</f>
        <v>#N/A</v>
      </c>
      <c r="D124" s="51" t="e">
        <f>VLOOKUP($C$3,'[12]Nội bộ (T1)'!$B$6:$AD$35,23,FALSE)</f>
        <v>#N/A</v>
      </c>
      <c r="E124" s="51" t="e">
        <f t="shared" si="8"/>
        <v>#N/A</v>
      </c>
      <c r="F124" s="52" t="e">
        <f>VLOOKUP($C$3,'[12]Nội bộ (T1)'!$B$6:$AD$35,24,FALSE)</f>
        <v>#N/A</v>
      </c>
      <c r="G124" s="53"/>
      <c r="H124" s="53"/>
      <c r="I124" s="2"/>
      <c r="J124" s="2"/>
      <c r="K124" s="2"/>
      <c r="L124" s="2"/>
    </row>
    <row r="125" spans="1:12">
      <c r="A125" s="199" t="s">
        <v>205</v>
      </c>
      <c r="B125" s="50" t="s">
        <v>228</v>
      </c>
      <c r="C125" s="51" t="e">
        <f>VLOOKUP($C$3,'[12]Nội bộ (T1)'!$B$6:$AD$35,25,FALSE)</f>
        <v>#N/A</v>
      </c>
      <c r="D125" s="51" t="e">
        <f>VLOOKUP($C$3,'[12]Nội bộ (T1)'!$B$6:$AD$35,26,FALSE)</f>
        <v>#N/A</v>
      </c>
      <c r="E125" s="51" t="e">
        <f t="shared" si="8"/>
        <v>#N/A</v>
      </c>
      <c r="F125" s="52" t="e">
        <f>VLOOKUP($C$3,'[12]Nội bộ (T1)'!$B$6:$AD$35,27,FALSE)</f>
        <v>#N/A</v>
      </c>
      <c r="G125" s="53"/>
      <c r="H125" s="53"/>
      <c r="I125" s="2"/>
      <c r="J125" s="2"/>
      <c r="K125" s="2"/>
      <c r="L125" s="2"/>
    </row>
    <row r="126" spans="1:12">
      <c r="A126" s="199" t="s">
        <v>206</v>
      </c>
      <c r="B126" s="50" t="s">
        <v>229</v>
      </c>
      <c r="C126" s="51" t="e">
        <f>VLOOKUP($C$3,'[12]Nội bộ (T1)'!$B$6:$AD$35,28,FALSE)</f>
        <v>#N/A</v>
      </c>
      <c r="D126" s="51" t="e">
        <f>VLOOKUP($C$3,'[12]Nội bộ (T1)'!$B$6:$AD$35,29,FALSE)</f>
        <v>#N/A</v>
      </c>
      <c r="E126" s="51" t="e">
        <f t="shared" si="8"/>
        <v>#N/A</v>
      </c>
      <c r="F126" s="52" t="e">
        <f>VLOOKUP($C$3,'[12]Nội bộ (T1)'!$B$6:$AD$35,30,FALSE)</f>
        <v>#N/A</v>
      </c>
      <c r="G126" s="53"/>
      <c r="H126" s="53"/>
      <c r="I126" s="2"/>
      <c r="J126" s="2"/>
      <c r="K126" s="2"/>
      <c r="L126" s="2"/>
    </row>
    <row r="127" spans="1:12">
      <c r="A127" s="199" t="s">
        <v>207</v>
      </c>
      <c r="B127" s="50" t="s">
        <v>230</v>
      </c>
      <c r="C127" s="51" t="e">
        <f>VLOOKUP($C$3,'[12]Nội bộ (T1)'!$B$6:$AD$35,31,FALSE)</f>
        <v>#N/A</v>
      </c>
      <c r="D127" s="51" t="e">
        <f>VLOOKUP($C$3,'[12]Nội bộ (T1)'!$B$6:$AD$35,32,FALSE)</f>
        <v>#N/A</v>
      </c>
      <c r="E127" s="51" t="e">
        <f t="shared" si="8"/>
        <v>#N/A</v>
      </c>
      <c r="F127" s="52" t="e">
        <f>VLOOKUP($C$3,'[12]Nội bộ (T1)'!$B$6:$AD$35,33,FALSE)</f>
        <v>#N/A</v>
      </c>
      <c r="G127" s="53"/>
      <c r="H127" s="53"/>
      <c r="I127" s="2"/>
      <c r="J127" s="2"/>
      <c r="K127" s="2"/>
      <c r="L127" s="2"/>
    </row>
    <row r="128" spans="1:12">
      <c r="A128" s="887" t="s">
        <v>231</v>
      </c>
      <c r="B128" s="888"/>
      <c r="C128" s="54"/>
      <c r="D128" s="54"/>
      <c r="E128" s="55"/>
      <c r="F128" s="56" t="e">
        <f>SUM(F122:F127)</f>
        <v>#N/A</v>
      </c>
      <c r="G128" s="57"/>
      <c r="H128" s="57"/>
      <c r="I128" s="2"/>
      <c r="J128" s="2"/>
      <c r="K128" s="2"/>
      <c r="L128" s="2"/>
    </row>
  </sheetData>
  <mergeCells count="8">
    <mergeCell ref="K72:T74"/>
    <mergeCell ref="A128:B128"/>
    <mergeCell ref="A17:B19"/>
    <mergeCell ref="C17:D17"/>
    <mergeCell ref="E17:F17"/>
    <mergeCell ref="G17:H17"/>
    <mergeCell ref="A66:C66"/>
    <mergeCell ref="A67:B67"/>
  </mergeCells>
  <conditionalFormatting sqref="B22:H52">
    <cfRule type="expression" dxfId="124" priority="1">
      <formula>IF((WEEKDAY($B22)=1),"Sunday",0)="Sunday"</formula>
    </cfRule>
  </conditionalFormatting>
  <printOptions horizontalCentered="1"/>
  <pageMargins left="0" right="0" top="0.5" bottom="0.75" header="0.3" footer="0.3"/>
  <pageSetup paperSize="9" scale="6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70"/>
  <sheetViews>
    <sheetView workbookViewId="0">
      <pane xSplit="7" ySplit="8" topLeftCell="V60" activePane="bottomRight" state="frozen"/>
      <selection pane="topRight" activeCell="G1" sqref="G1"/>
      <selection pane="bottomLeft" activeCell="A9" sqref="A9"/>
      <selection pane="bottomRight" activeCell="X42" sqref="X42"/>
    </sheetView>
  </sheetViews>
  <sheetFormatPr defaultColWidth="9.140625" defaultRowHeight="15"/>
  <cols>
    <col min="1" max="1" width="4.85546875" style="59" customWidth="1"/>
    <col min="2" max="2" width="12.5703125" style="59" customWidth="1"/>
    <col min="3" max="3" width="15.28515625" style="434" customWidth="1"/>
    <col min="4" max="4" width="32.140625" style="59" customWidth="1"/>
    <col min="5" max="5" width="11.140625" style="59" customWidth="1"/>
    <col min="6" max="6" width="10.85546875" style="59" customWidth="1"/>
    <col min="7" max="7" width="8.85546875" style="59" customWidth="1"/>
    <col min="8" max="8" width="9.7109375" style="59" customWidth="1"/>
    <col min="9" max="9" width="8.85546875" style="59" customWidth="1"/>
    <col min="10" max="10" width="9.7109375" style="59" customWidth="1"/>
    <col min="11" max="14" width="14.140625" style="169" customWidth="1"/>
    <col min="15" max="15" width="11.28515625" style="169" customWidth="1"/>
    <col min="16" max="16" width="14.7109375" style="169" customWidth="1"/>
    <col min="17" max="17" width="11.42578125" style="169" customWidth="1"/>
    <col min="18" max="18" width="12.85546875" style="59" customWidth="1"/>
    <col min="19" max="19" width="12.28515625" style="169" customWidth="1"/>
    <col min="20" max="20" width="11.85546875" style="59" customWidth="1"/>
    <col min="21" max="21" width="14.7109375" style="59" customWidth="1"/>
    <col min="22" max="22" width="18" style="59" customWidth="1"/>
    <col min="23" max="23" width="26" style="59" customWidth="1"/>
    <col min="24" max="24" width="18.5703125" style="284" customWidth="1"/>
    <col min="25" max="25" width="16.5703125" style="60" customWidth="1"/>
    <col min="26" max="26" width="25" style="59" customWidth="1"/>
    <col min="27" max="27" width="12.85546875" style="59" hidden="1" customWidth="1"/>
    <col min="28" max="16384" width="9.140625" style="59"/>
  </cols>
  <sheetData>
    <row r="1" spans="1:28">
      <c r="A1" s="59" t="s">
        <v>1027</v>
      </c>
    </row>
    <row r="2" spans="1:28">
      <c r="A2" s="59" t="s">
        <v>1020</v>
      </c>
    </row>
    <row r="3" spans="1:28">
      <c r="A3" s="59" t="s">
        <v>581</v>
      </c>
    </row>
    <row r="4" spans="1:28">
      <c r="A4" s="59" t="s">
        <v>582</v>
      </c>
      <c r="E4" s="170">
        <v>4730000</v>
      </c>
      <c r="F4" s="169" t="s">
        <v>583</v>
      </c>
      <c r="H4" s="169"/>
      <c r="I4" s="169"/>
      <c r="J4" s="169"/>
    </row>
    <row r="5" spans="1:28" s="67" customFormat="1">
      <c r="B5" s="67">
        <v>1</v>
      </c>
      <c r="C5" s="284">
        <v>2</v>
      </c>
      <c r="D5" s="67">
        <v>3</v>
      </c>
      <c r="E5" s="67">
        <v>4</v>
      </c>
      <c r="F5" s="67">
        <v>5</v>
      </c>
      <c r="G5" s="67">
        <v>6</v>
      </c>
      <c r="H5" s="67">
        <v>7</v>
      </c>
      <c r="I5" s="67">
        <v>8</v>
      </c>
      <c r="J5" s="67">
        <v>9</v>
      </c>
      <c r="K5" s="67">
        <v>10</v>
      </c>
      <c r="L5" s="67">
        <v>11</v>
      </c>
      <c r="N5" s="67">
        <v>12</v>
      </c>
      <c r="O5" s="67">
        <v>13</v>
      </c>
      <c r="P5" s="67">
        <v>14</v>
      </c>
      <c r="Q5" s="67">
        <v>15</v>
      </c>
      <c r="R5" s="67">
        <v>16</v>
      </c>
      <c r="S5" s="67">
        <v>17</v>
      </c>
      <c r="T5" s="67">
        <v>18</v>
      </c>
      <c r="U5" s="67">
        <v>19</v>
      </c>
      <c r="V5" s="67">
        <v>20</v>
      </c>
      <c r="W5" s="67">
        <v>21</v>
      </c>
      <c r="X5" s="284">
        <v>22</v>
      </c>
      <c r="Y5" s="60">
        <v>23</v>
      </c>
      <c r="Z5" s="67">
        <v>24</v>
      </c>
      <c r="AA5" s="67">
        <v>24</v>
      </c>
    </row>
    <row r="6" spans="1:28" s="58" customFormat="1" ht="32.25" customHeight="1">
      <c r="A6" s="913" t="s">
        <v>18</v>
      </c>
      <c r="B6" s="905" t="s">
        <v>236</v>
      </c>
      <c r="C6" s="909" t="s">
        <v>638</v>
      </c>
      <c r="D6" s="905" t="s">
        <v>1</v>
      </c>
      <c r="E6" s="905" t="s">
        <v>122</v>
      </c>
      <c r="F6" s="905" t="s">
        <v>584</v>
      </c>
      <c r="G6" s="905" t="s">
        <v>536</v>
      </c>
      <c r="H6" s="905" t="s">
        <v>585</v>
      </c>
      <c r="I6" s="905" t="s">
        <v>586</v>
      </c>
      <c r="J6" s="905" t="s">
        <v>587</v>
      </c>
      <c r="K6" s="171" t="s">
        <v>588</v>
      </c>
      <c r="L6" s="171"/>
      <c r="M6" s="171"/>
      <c r="N6" s="171"/>
      <c r="O6" s="171"/>
      <c r="P6" s="171"/>
      <c r="Q6" s="907" t="s">
        <v>589</v>
      </c>
      <c r="R6" s="172" t="s">
        <v>590</v>
      </c>
      <c r="S6" s="907" t="s">
        <v>591</v>
      </c>
      <c r="T6" s="905" t="s">
        <v>783</v>
      </c>
      <c r="U6" s="905" t="s">
        <v>592</v>
      </c>
      <c r="V6" s="905" t="s">
        <v>593</v>
      </c>
      <c r="W6" s="905" t="s">
        <v>594</v>
      </c>
      <c r="X6" s="909" t="s">
        <v>595</v>
      </c>
      <c r="Y6" s="911" t="s">
        <v>243</v>
      </c>
      <c r="Z6" s="903" t="s">
        <v>201</v>
      </c>
      <c r="AA6" s="173"/>
    </row>
    <row r="7" spans="1:28" s="58" customFormat="1" ht="35.25" customHeight="1">
      <c r="A7" s="914"/>
      <c r="B7" s="906"/>
      <c r="C7" s="910"/>
      <c r="D7" s="906"/>
      <c r="E7" s="906"/>
      <c r="F7" s="906"/>
      <c r="G7" s="906"/>
      <c r="H7" s="906"/>
      <c r="I7" s="906"/>
      <c r="J7" s="906"/>
      <c r="K7" s="174" t="s">
        <v>570</v>
      </c>
      <c r="L7" s="174" t="s">
        <v>1039</v>
      </c>
      <c r="M7" s="807" t="s">
        <v>1040</v>
      </c>
      <c r="N7" s="174" t="s">
        <v>1033</v>
      </c>
      <c r="O7" s="867" t="s">
        <v>596</v>
      </c>
      <c r="P7" s="174" t="s">
        <v>231</v>
      </c>
      <c r="Q7" s="908" t="s">
        <v>589</v>
      </c>
      <c r="R7" s="175">
        <v>0.105</v>
      </c>
      <c r="S7" s="908"/>
      <c r="T7" s="906"/>
      <c r="U7" s="906"/>
      <c r="V7" s="906"/>
      <c r="W7" s="906"/>
      <c r="X7" s="910"/>
      <c r="Y7" s="912"/>
      <c r="Z7" s="904"/>
      <c r="AA7" s="176"/>
    </row>
    <row r="8" spans="1:28">
      <c r="A8" s="73">
        <v>1</v>
      </c>
      <c r="B8" s="177"/>
      <c r="C8" s="285">
        <v>1</v>
      </c>
      <c r="D8" s="177">
        <v>2</v>
      </c>
      <c r="E8" s="177">
        <v>3</v>
      </c>
      <c r="F8" s="177">
        <v>4</v>
      </c>
      <c r="G8" s="177">
        <v>5</v>
      </c>
      <c r="H8" s="177">
        <v>6</v>
      </c>
      <c r="I8" s="177">
        <v>7</v>
      </c>
      <c r="J8" s="177">
        <v>8</v>
      </c>
      <c r="K8" s="177">
        <v>9</v>
      </c>
      <c r="L8" s="177">
        <v>10</v>
      </c>
      <c r="M8" s="177">
        <v>11</v>
      </c>
      <c r="N8" s="177">
        <v>12</v>
      </c>
      <c r="O8" s="177">
        <v>13</v>
      </c>
      <c r="P8" s="177">
        <v>14</v>
      </c>
      <c r="Q8" s="177">
        <v>15</v>
      </c>
      <c r="R8" s="177">
        <v>16</v>
      </c>
      <c r="S8" s="177">
        <v>17</v>
      </c>
      <c r="T8" s="177">
        <v>18</v>
      </c>
      <c r="U8" s="177">
        <v>19</v>
      </c>
      <c r="V8" s="177">
        <v>20</v>
      </c>
      <c r="W8" s="177">
        <v>21</v>
      </c>
      <c r="X8" s="177">
        <v>22</v>
      </c>
      <c r="Y8" s="177">
        <v>23</v>
      </c>
      <c r="Z8" s="177">
        <v>24</v>
      </c>
      <c r="AA8" s="177">
        <v>25</v>
      </c>
    </row>
    <row r="9" spans="1:28">
      <c r="A9" s="178">
        <v>1</v>
      </c>
      <c r="B9" s="63" t="s">
        <v>43</v>
      </c>
      <c r="C9" s="227" t="str">
        <f>VLOOKUP(B9,'Bảng công T9'!B:C,2,0)</f>
        <v>051061781</v>
      </c>
      <c r="D9" s="74" t="str">
        <f>VLOOKUP(B9,'Bảng công T9'!B:F,5,0)</f>
        <v>Lò Văn Thảnh</v>
      </c>
      <c r="E9" s="74" t="str">
        <f>VLOOKUP(B9,'Bảng công T9'!B:I,8,0)</f>
        <v>Line 3</v>
      </c>
      <c r="F9" s="74" t="str">
        <f>VLOOKUP(B9,'Bảng công T9'!$B$11:$J$1013,9,0)</f>
        <v>HNS</v>
      </c>
      <c r="G9" s="74">
        <f>VLOOKUP(B9,'Bảng công T9'!B:H,7,0)</f>
        <v>200601</v>
      </c>
      <c r="H9" s="177" t="e">
        <f>VLOOKUP(B9,'Bảng công T9'!$B$11:$GV$1013,215,0)</f>
        <v>#REF!</v>
      </c>
      <c r="I9" s="179" t="e">
        <f>IF(H9&gt;=14,"D",0)</f>
        <v>#REF!</v>
      </c>
      <c r="J9" s="177"/>
      <c r="K9" s="180" t="e">
        <f>VLOOKUP(B9,'Bảng công T9'!$B$11:$GU$1013,214,0)</f>
        <v>#REF!</v>
      </c>
      <c r="L9" s="181" t="e">
        <f>VLOOKUP(B9,'Bảng công T9'!$B$11:$GW$1013,216,0)</f>
        <v>#REF!</v>
      </c>
      <c r="M9" s="181" t="e">
        <f>VLOOKUP(B9,'Bảng công T9'!B:GX,217,0)</f>
        <v>#REF!</v>
      </c>
      <c r="N9" s="180" t="e">
        <f>VLOOKUP(B9,'Bảng công T9'!B:GY,218,0)</f>
        <v>#REF!</v>
      </c>
      <c r="O9" s="180"/>
      <c r="P9" s="180" t="e">
        <f>K9+L9+M9+N9+O9</f>
        <v>#REF!</v>
      </c>
      <c r="Q9" s="180" t="e">
        <f>VLOOKUP(B9,'Bảng công T9'!B:HF,225,0)</f>
        <v>#REF!</v>
      </c>
      <c r="R9" s="180">
        <f>IF(J9="BHXH",$E$4*10.5%,0)</f>
        <v>0</v>
      </c>
      <c r="S9" s="180" t="e">
        <f>IF(P9&gt;11000000,(P9-11000000)*10%,0)</f>
        <v>#REF!</v>
      </c>
      <c r="T9" s="180"/>
      <c r="U9" s="182" t="e">
        <f>P9-Q9-R9-S9-T9</f>
        <v>#REF!</v>
      </c>
      <c r="V9" s="182" t="e">
        <f>P9-Q9-R9-S9</f>
        <v>#REF!</v>
      </c>
      <c r="W9" s="182" t="e">
        <f>VLOOKUP(B9,'Bảng công T9'!B:HH,227,0)</f>
        <v>#REF!</v>
      </c>
      <c r="X9" s="285" t="e">
        <f>VLOOKUP(C9,'Bảng công T9'!C:HG,225,0)</f>
        <v>#REF!</v>
      </c>
      <c r="Y9" s="182" t="e">
        <f>VLOOKUP(C9,'Bảng công T9'!$C:$HI,227,0)</f>
        <v>#REF!</v>
      </c>
      <c r="Z9" s="183"/>
      <c r="AA9" s="184" t="s">
        <v>43</v>
      </c>
    </row>
    <row r="10" spans="1:28">
      <c r="A10" s="178">
        <v>2</v>
      </c>
      <c r="B10" s="63" t="s">
        <v>28</v>
      </c>
      <c r="C10" s="228" t="str">
        <f>VLOOKUP(B10,'Bảng công T9'!B:C,2,0)</f>
        <v>031880448</v>
      </c>
      <c r="D10" s="74" t="str">
        <f>VLOOKUP(B10,'Bảng công T9'!B:F,5,0)</f>
        <v>Phạm Văn Sơn</v>
      </c>
      <c r="E10" s="74" t="str">
        <f>VLOOKUP(B10,'Bảng công T9'!B:I,8,0)</f>
        <v>Line 4</v>
      </c>
      <c r="F10" s="74" t="str">
        <f>VLOOKUP(B10,'Bảng công T9'!$B$11:$J$1013,9,0)</f>
        <v>HNS</v>
      </c>
      <c r="G10" s="74">
        <f>VLOOKUP(B10,'Bảng công T9'!B:H,7,0)</f>
        <v>200207</v>
      </c>
      <c r="H10" s="177" t="e">
        <f>VLOOKUP(B10,'Bảng công T9'!$B$11:$GV$1013,215,0)</f>
        <v>#REF!</v>
      </c>
      <c r="I10" s="179" t="e">
        <f t="shared" ref="I10:I65" si="0">IF(H10&gt;=14,"D",0)</f>
        <v>#REF!</v>
      </c>
      <c r="J10" s="177"/>
      <c r="K10" s="180" t="e">
        <f>VLOOKUP(B10,'Bảng công T9'!$B$11:$GU$1013,214,0)</f>
        <v>#REF!</v>
      </c>
      <c r="L10" s="181" t="e">
        <f>VLOOKUP(B10,'Bảng công T9'!$B$11:$GW$1013,216,0)</f>
        <v>#REF!</v>
      </c>
      <c r="M10" s="181" t="e">
        <f>VLOOKUP(B10,'Bảng công T9'!B:GX,217,0)</f>
        <v>#REF!</v>
      </c>
      <c r="N10" s="180" t="e">
        <f>VLOOKUP(B10,'Bảng công T9'!B:GY,218,0)</f>
        <v>#REF!</v>
      </c>
      <c r="O10" s="180"/>
      <c r="P10" s="180" t="e">
        <f t="shared" ref="P10:P65" si="1">K10+L10+M10+N10+O10</f>
        <v>#REF!</v>
      </c>
      <c r="Q10" s="180" t="e">
        <f>VLOOKUP(B10,'Bảng công T9'!B:HF,225,0)</f>
        <v>#REF!</v>
      </c>
      <c r="R10" s="180">
        <f t="shared" ref="R10:R65" si="2">IF(J10="BHXH",$E$4*10.5%,0)</f>
        <v>0</v>
      </c>
      <c r="S10" s="180" t="e">
        <f t="shared" ref="S10:S65" si="3">IF(P10&gt;11000000,(P10-11000000)*10%,0)</f>
        <v>#REF!</v>
      </c>
      <c r="T10" s="180"/>
      <c r="U10" s="182" t="e">
        <f t="shared" ref="U10:U65" si="4">P10-Q10-R10-S10-T10</f>
        <v>#REF!</v>
      </c>
      <c r="V10" s="182" t="e">
        <f t="shared" ref="V10:V65" si="5">P10-Q10-R10-S10</f>
        <v>#REF!</v>
      </c>
      <c r="W10" s="182" t="e">
        <f>VLOOKUP(B10,'Bảng công T9'!B:HH,227,0)</f>
        <v>#REF!</v>
      </c>
      <c r="X10" s="285" t="e">
        <f>VLOOKUP(C10,'Bảng công T9'!C:HG,225,0)</f>
        <v>#REF!</v>
      </c>
      <c r="Y10" s="182" t="e">
        <f>VLOOKUP(C10,'Bảng công T9'!$C:$HI,227,0)</f>
        <v>#REF!</v>
      </c>
      <c r="Z10" s="185"/>
      <c r="AA10" s="76" t="s">
        <v>28</v>
      </c>
    </row>
    <row r="11" spans="1:28">
      <c r="A11" s="178">
        <v>3</v>
      </c>
      <c r="B11" s="63" t="s">
        <v>29</v>
      </c>
      <c r="C11" s="228" t="str">
        <f>VLOOKUP(B11,'Bảng công T9'!B:C,2,0)</f>
        <v>187763330</v>
      </c>
      <c r="D11" s="74" t="str">
        <f>VLOOKUP(B11,'Bảng công T9'!B:F,5,0)</f>
        <v>Hoàng Thị Như</v>
      </c>
      <c r="E11" s="74" t="str">
        <f>VLOOKUP(B11,'Bảng công T9'!B:I,8,0)</f>
        <v>Line 3</v>
      </c>
      <c r="F11" s="74" t="str">
        <f>VLOOKUP(B11,'Bảng công T9'!$B$11:$J$1013,9,0)</f>
        <v>HNS</v>
      </c>
      <c r="G11" s="74">
        <f>VLOOKUP(B11,'Bảng công T9'!B:H,7,0)</f>
        <v>200207</v>
      </c>
      <c r="H11" s="177" t="e">
        <f>VLOOKUP(B11,'Bảng công T9'!$B$11:$GV$1013,215,0)</f>
        <v>#REF!</v>
      </c>
      <c r="I11" s="179" t="e">
        <f t="shared" si="0"/>
        <v>#REF!</v>
      </c>
      <c r="J11" s="177"/>
      <c r="K11" s="180" t="e">
        <f>VLOOKUP(B11,'Bảng công T9'!$B$11:$GU$1013,214,0)</f>
        <v>#REF!</v>
      </c>
      <c r="L11" s="181" t="e">
        <f>VLOOKUP(B11,'Bảng công T9'!$B$11:$GW$1013,216,0)</f>
        <v>#REF!</v>
      </c>
      <c r="M11" s="181" t="e">
        <f>VLOOKUP(B11,'Bảng công T9'!B:GX,217,0)</f>
        <v>#REF!</v>
      </c>
      <c r="N11" s="180" t="e">
        <f>VLOOKUP(B11,'Bảng công T9'!B:GY,218,0)</f>
        <v>#REF!</v>
      </c>
      <c r="O11" s="180"/>
      <c r="P11" s="180" t="e">
        <f t="shared" si="1"/>
        <v>#REF!</v>
      </c>
      <c r="Q11" s="180" t="e">
        <f>VLOOKUP(B11,'Bảng công T9'!B:HF,225,0)</f>
        <v>#REF!</v>
      </c>
      <c r="R11" s="180">
        <f t="shared" si="2"/>
        <v>0</v>
      </c>
      <c r="S11" s="180" t="e">
        <f t="shared" si="3"/>
        <v>#REF!</v>
      </c>
      <c r="T11" s="180"/>
      <c r="U11" s="182" t="e">
        <f t="shared" si="4"/>
        <v>#REF!</v>
      </c>
      <c r="V11" s="182" t="e">
        <f t="shared" si="5"/>
        <v>#REF!</v>
      </c>
      <c r="W11" s="182" t="e">
        <f>VLOOKUP(B11,'Bảng công T9'!B:HH,227,0)</f>
        <v>#REF!</v>
      </c>
      <c r="X11" s="285" t="e">
        <f>VLOOKUP(C11,'Bảng công T9'!C:HG,225,0)</f>
        <v>#REF!</v>
      </c>
      <c r="Y11" s="182" t="e">
        <f>VLOOKUP(C11,'Bảng công T9'!$C:$HI,227,0)</f>
        <v>#REF!</v>
      </c>
      <c r="Z11" s="185"/>
      <c r="AA11" s="76" t="s">
        <v>29</v>
      </c>
    </row>
    <row r="12" spans="1:28">
      <c r="A12" s="178">
        <v>4</v>
      </c>
      <c r="B12" s="63" t="s">
        <v>30</v>
      </c>
      <c r="C12" s="228" t="str">
        <f>VLOOKUP(B12,'Bảng công T9'!B:C,2,0)</f>
        <v>030944753</v>
      </c>
      <c r="D12" s="74" t="str">
        <f>VLOOKUP(B12,'Bảng công T9'!B:F,5,0)</f>
        <v>Nguyễn Duy Hải</v>
      </c>
      <c r="E12" s="74" t="str">
        <f>VLOOKUP(B12,'Bảng công T9'!B:I,8,0)</f>
        <v>Line 4</v>
      </c>
      <c r="F12" s="74" t="str">
        <f>VLOOKUP(B12,'Bảng công T9'!$B$11:$J$1013,9,0)</f>
        <v>HNS</v>
      </c>
      <c r="G12" s="74">
        <f>VLOOKUP(B12,'Bảng công T9'!B:H,7,0)</f>
        <v>200209</v>
      </c>
      <c r="H12" s="177" t="e">
        <f>VLOOKUP(B12,'Bảng công T9'!$B$11:$GV$1013,215,0)</f>
        <v>#REF!</v>
      </c>
      <c r="I12" s="179" t="e">
        <f t="shared" si="0"/>
        <v>#REF!</v>
      </c>
      <c r="J12" s="177"/>
      <c r="K12" s="180" t="e">
        <f>VLOOKUP(B12,'Bảng công T9'!$B$11:$GU$1013,214,0)</f>
        <v>#REF!</v>
      </c>
      <c r="L12" s="181" t="e">
        <f>VLOOKUP(B12,'Bảng công T9'!$B$11:$GW$1013,216,0)</f>
        <v>#REF!</v>
      </c>
      <c r="M12" s="181" t="e">
        <f>VLOOKUP(B12,'Bảng công T9'!B:GX,217,0)</f>
        <v>#REF!</v>
      </c>
      <c r="N12" s="180" t="e">
        <f>VLOOKUP(B12,'Bảng công T9'!B:GY,218,0)</f>
        <v>#REF!</v>
      </c>
      <c r="O12" s="180"/>
      <c r="P12" s="180" t="e">
        <f t="shared" si="1"/>
        <v>#REF!</v>
      </c>
      <c r="Q12" s="180" t="e">
        <f>VLOOKUP(B12,'Bảng công T9'!B:HF,225,0)</f>
        <v>#REF!</v>
      </c>
      <c r="R12" s="180">
        <f t="shared" si="2"/>
        <v>0</v>
      </c>
      <c r="S12" s="180" t="e">
        <f t="shared" si="3"/>
        <v>#REF!</v>
      </c>
      <c r="T12" s="180"/>
      <c r="U12" s="182" t="e">
        <f t="shared" si="4"/>
        <v>#REF!</v>
      </c>
      <c r="V12" s="182" t="e">
        <f t="shared" si="5"/>
        <v>#REF!</v>
      </c>
      <c r="W12" s="182" t="e">
        <f>VLOOKUP(B12,'Bảng công T9'!B:HH,227,0)</f>
        <v>#REF!</v>
      </c>
      <c r="X12" s="285" t="e">
        <f>VLOOKUP(C12,'Bảng công T9'!C:HG,225,0)</f>
        <v>#REF!</v>
      </c>
      <c r="Y12" s="182" t="e">
        <f>VLOOKUP(C12,'Bảng công T9'!$C:$HI,227,0)</f>
        <v>#REF!</v>
      </c>
      <c r="Z12" s="185"/>
      <c r="AA12" s="76" t="s">
        <v>30</v>
      </c>
    </row>
    <row r="13" spans="1:28" s="116" customFormat="1">
      <c r="A13" s="178">
        <v>5</v>
      </c>
      <c r="B13" s="63" t="s">
        <v>38</v>
      </c>
      <c r="C13" s="228" t="str">
        <f>VLOOKUP(B13,'Bảng công T9'!B:C,2,0)</f>
        <v>032020051</v>
      </c>
      <c r="D13" s="74" t="str">
        <f>VLOOKUP(B13,'Bảng công T9'!B:F,5,0)</f>
        <v>Nguyễn Xuân Trường</v>
      </c>
      <c r="E13" s="74" t="str">
        <f>VLOOKUP(B13,'Bảng công T9'!B:I,8,0)</f>
        <v>Máy</v>
      </c>
      <c r="F13" s="74" t="str">
        <f>VLOOKUP(B13,'Bảng công T9'!$B$11:$J$1013,9,0)</f>
        <v>HNS</v>
      </c>
      <c r="G13" s="74">
        <f>VLOOKUP(B13,'Bảng công T9'!B:H,7,0)</f>
        <v>200212</v>
      </c>
      <c r="H13" s="177" t="e">
        <f>VLOOKUP(B13,'Bảng công T9'!$B$11:$GV$1013,215,0)</f>
        <v>#REF!</v>
      </c>
      <c r="I13" s="179" t="e">
        <f t="shared" si="0"/>
        <v>#REF!</v>
      </c>
      <c r="J13" s="177"/>
      <c r="K13" s="180" t="e">
        <f>VLOOKUP(B13,'Bảng công T9'!$B$11:$GU$1013,214,0)</f>
        <v>#REF!</v>
      </c>
      <c r="L13" s="181" t="e">
        <f>VLOOKUP(B13,'Bảng công T9'!$B$11:$GW$1013,216,0)</f>
        <v>#REF!</v>
      </c>
      <c r="M13" s="181" t="e">
        <f>VLOOKUP(B13,'Bảng công T9'!B:GX,217,0)</f>
        <v>#REF!</v>
      </c>
      <c r="N13" s="180" t="e">
        <f>VLOOKUP(B13,'Bảng công T9'!B:GY,218,0)</f>
        <v>#REF!</v>
      </c>
      <c r="O13" s="180">
        <v>178750</v>
      </c>
      <c r="P13" s="180" t="e">
        <f t="shared" si="1"/>
        <v>#REF!</v>
      </c>
      <c r="Q13" s="180" t="e">
        <f>VLOOKUP(B13,'Bảng công T9'!B:HF,225,0)</f>
        <v>#REF!</v>
      </c>
      <c r="R13" s="180">
        <f t="shared" si="2"/>
        <v>0</v>
      </c>
      <c r="S13" s="180" t="e">
        <f t="shared" si="3"/>
        <v>#REF!</v>
      </c>
      <c r="T13" s="180"/>
      <c r="U13" s="182" t="e">
        <f t="shared" si="4"/>
        <v>#REF!</v>
      </c>
      <c r="V13" s="182" t="e">
        <f t="shared" si="5"/>
        <v>#REF!</v>
      </c>
      <c r="W13" s="182" t="e">
        <f>VLOOKUP(B13,'Bảng công T9'!B:HH,227,0)</f>
        <v>#REF!</v>
      </c>
      <c r="X13" s="285" t="e">
        <f>VLOOKUP(C13,'Bảng công T9'!C:HG,225,0)</f>
        <v>#REF!</v>
      </c>
      <c r="Y13" s="182" t="e">
        <f>VLOOKUP(C13,'Bảng công T9'!$C:$HI,227,0)</f>
        <v>#REF!</v>
      </c>
      <c r="Z13" s="185" t="s">
        <v>274</v>
      </c>
      <c r="AA13" s="76" t="s">
        <v>38</v>
      </c>
      <c r="AB13" s="59"/>
    </row>
    <row r="14" spans="1:28">
      <c r="A14" s="178">
        <v>6</v>
      </c>
      <c r="B14" s="63" t="s">
        <v>31</v>
      </c>
      <c r="C14" s="228" t="str">
        <f>VLOOKUP(B14,'Bảng công T9'!B:C,2,0)</f>
        <v>031200004295</v>
      </c>
      <c r="D14" s="74" t="str">
        <f>VLOOKUP(B14,'Bảng công T9'!B:F,5,0)</f>
        <v>Nguyễn Đức Toàn</v>
      </c>
      <c r="E14" s="74" t="str">
        <f>VLOOKUP(B14,'Bảng công T9'!B:I,8,0)</f>
        <v>Line 4</v>
      </c>
      <c r="F14" s="74" t="str">
        <f>VLOOKUP(B14,'Bảng công T9'!$B$11:$J$1013,9,0)</f>
        <v>HNS</v>
      </c>
      <c r="G14" s="74">
        <f>VLOOKUP(B14,'Bảng công T9'!B:H,7,0)</f>
        <v>200217</v>
      </c>
      <c r="H14" s="177" t="e">
        <f>VLOOKUP(B14,'Bảng công T9'!$B$11:$GV$1013,215,0)</f>
        <v>#REF!</v>
      </c>
      <c r="I14" s="179" t="e">
        <f t="shared" si="0"/>
        <v>#REF!</v>
      </c>
      <c r="J14" s="177"/>
      <c r="K14" s="180" t="e">
        <f>VLOOKUP(B14,'Bảng công T9'!$B$11:$GU$1013,214,0)</f>
        <v>#REF!</v>
      </c>
      <c r="L14" s="181" t="e">
        <f>VLOOKUP(B14,'Bảng công T9'!$B$11:$GW$1013,216,0)</f>
        <v>#REF!</v>
      </c>
      <c r="M14" s="181" t="e">
        <f>VLOOKUP(B14,'Bảng công T9'!B:GX,217,0)</f>
        <v>#REF!</v>
      </c>
      <c r="N14" s="180" t="e">
        <f>VLOOKUP(B14,'Bảng công T9'!B:GY,218,0)</f>
        <v>#REF!</v>
      </c>
      <c r="O14" s="180"/>
      <c r="P14" s="180" t="e">
        <f t="shared" si="1"/>
        <v>#REF!</v>
      </c>
      <c r="Q14" s="180" t="e">
        <f>VLOOKUP(B14,'Bảng công T9'!B:HF,225,0)</f>
        <v>#REF!</v>
      </c>
      <c r="R14" s="180">
        <f t="shared" si="2"/>
        <v>0</v>
      </c>
      <c r="S14" s="180" t="e">
        <f t="shared" si="3"/>
        <v>#REF!</v>
      </c>
      <c r="T14" s="180"/>
      <c r="U14" s="182" t="e">
        <f t="shared" si="4"/>
        <v>#REF!</v>
      </c>
      <c r="V14" s="182" t="e">
        <f t="shared" si="5"/>
        <v>#REF!</v>
      </c>
      <c r="W14" s="182" t="e">
        <f>VLOOKUP(B14,'Bảng công T9'!B:HH,227,0)</f>
        <v>#REF!</v>
      </c>
      <c r="X14" s="285" t="e">
        <f>VLOOKUP(C14,'Bảng công T9'!C:HG,225,0)</f>
        <v>#REF!</v>
      </c>
      <c r="Y14" s="182" t="e">
        <f>VLOOKUP(C14,'Bảng công T9'!$C:$HI,227,0)</f>
        <v>#REF!</v>
      </c>
      <c r="Z14" s="185"/>
      <c r="AA14" s="76" t="s">
        <v>31</v>
      </c>
    </row>
    <row r="15" spans="1:28">
      <c r="A15" s="178">
        <v>7</v>
      </c>
      <c r="B15" s="63" t="s">
        <v>42</v>
      </c>
      <c r="C15" s="228" t="str">
        <f>VLOOKUP(B15,'Bảng công T9'!B:C,2,0)</f>
        <v>051041160</v>
      </c>
      <c r="D15" s="74" t="str">
        <f>VLOOKUP(B15,'Bảng công T9'!B:F,5,0)</f>
        <v>Lò Văn Thuận</v>
      </c>
      <c r="E15" s="74" t="str">
        <f>VLOOKUP(B15,'Bảng công T9'!B:I,8,0)</f>
        <v>Máy</v>
      </c>
      <c r="F15" s="74" t="str">
        <f>VLOOKUP(B15,'Bảng công T9'!$B$11:$J$1013,9,0)</f>
        <v>HNS</v>
      </c>
      <c r="G15" s="74">
        <f>VLOOKUP(B15,'Bảng công T9'!B:H,7,0)</f>
        <v>200525</v>
      </c>
      <c r="H15" s="177" t="e">
        <f>VLOOKUP(B15,'Bảng công T9'!$B$11:$GV$1013,215,0)</f>
        <v>#REF!</v>
      </c>
      <c r="I15" s="179" t="e">
        <f t="shared" si="0"/>
        <v>#REF!</v>
      </c>
      <c r="J15" s="177" t="str">
        <f>VLOOKUP(B15,'Tham gia BH T9'!$B$10:$AY$26,50,0)</f>
        <v>BHXH</v>
      </c>
      <c r="K15" s="180" t="e">
        <f>VLOOKUP(B15,'Bảng công T9'!$B$11:$GU$1013,214,0)</f>
        <v>#REF!</v>
      </c>
      <c r="L15" s="181" t="e">
        <f>VLOOKUP(B15,'Bảng công T9'!$B$11:$GW$1013,216,0)</f>
        <v>#REF!</v>
      </c>
      <c r="M15" s="181" t="e">
        <f>VLOOKUP(B15,'Bảng công T9'!B:GX,217,0)</f>
        <v>#REF!</v>
      </c>
      <c r="N15" s="180" t="e">
        <f>VLOOKUP(B15,'Bảng công T9'!B:GY,218,0)</f>
        <v>#REF!</v>
      </c>
      <c r="O15" s="180">
        <v>286900</v>
      </c>
      <c r="P15" s="180" t="e">
        <f t="shared" si="1"/>
        <v>#REF!</v>
      </c>
      <c r="Q15" s="180" t="e">
        <f>VLOOKUP(B15,'Bảng công T9'!B:HF,225,0)</f>
        <v>#REF!</v>
      </c>
      <c r="R15" s="180">
        <f t="shared" si="2"/>
        <v>496650</v>
      </c>
      <c r="S15" s="180" t="e">
        <f t="shared" si="3"/>
        <v>#REF!</v>
      </c>
      <c r="T15" s="180"/>
      <c r="U15" s="182" t="e">
        <f t="shared" si="4"/>
        <v>#REF!</v>
      </c>
      <c r="V15" s="182" t="e">
        <f t="shared" si="5"/>
        <v>#REF!</v>
      </c>
      <c r="W15" s="182" t="e">
        <f>VLOOKUP(B15,'Bảng công T9'!B:HH,227,0)</f>
        <v>#REF!</v>
      </c>
      <c r="X15" s="285" t="e">
        <f>VLOOKUP(C15,'Bảng công T9'!C:HG,225,0)</f>
        <v>#REF!</v>
      </c>
      <c r="Y15" s="182" t="e">
        <f>VLOOKUP(C15,'Bảng công T9'!$C:$HI,227,0)</f>
        <v>#REF!</v>
      </c>
      <c r="Z15" s="187"/>
      <c r="AA15" s="186" t="s">
        <v>32</v>
      </c>
    </row>
    <row r="16" spans="1:28">
      <c r="A16" s="178">
        <v>8</v>
      </c>
      <c r="B16" s="63" t="s">
        <v>311</v>
      </c>
      <c r="C16" s="228" t="str">
        <f>VLOOKUP(B16,'Bảng công T9'!B:C,2,0)</f>
        <v>051122809</v>
      </c>
      <c r="D16" s="74" t="str">
        <f>VLOOKUP(B16,'Bảng công T9'!B:F,5,0)</f>
        <v>Quàng Văn Mạnh</v>
      </c>
      <c r="E16" s="74" t="str">
        <f>VLOOKUP(B16,'Bảng công T9'!B:I,8,0)</f>
        <v>Máy</v>
      </c>
      <c r="F16" s="74" t="str">
        <f>VLOOKUP(B16,'Bảng công T9'!$B$11:$J$1013,9,0)</f>
        <v>HNS</v>
      </c>
      <c r="G16" s="74">
        <f>VLOOKUP(B16,'Bảng công T9'!B:H,7,0)</f>
        <v>200525</v>
      </c>
      <c r="H16" s="177" t="e">
        <f>VLOOKUP(B16,'Bảng công T9'!$B$11:$GV$1013,215,0)</f>
        <v>#REF!</v>
      </c>
      <c r="I16" s="179" t="e">
        <f t="shared" si="0"/>
        <v>#REF!</v>
      </c>
      <c r="J16" s="177" t="str">
        <f>VLOOKUP(B16,'Tham gia BH T9'!$B$10:$AY$26,50,0)</f>
        <v>BHXH</v>
      </c>
      <c r="K16" s="180" t="e">
        <f>VLOOKUP(B16,'Bảng công T9'!$B$11:$GU$1013,214,0)</f>
        <v>#REF!</v>
      </c>
      <c r="L16" s="181" t="e">
        <f>VLOOKUP(B16,'Bảng công T9'!$B$11:$GW$1013,216,0)</f>
        <v>#REF!</v>
      </c>
      <c r="M16" s="181" t="e">
        <f>VLOOKUP(B16,'Bảng công T9'!B:GX,217,0)</f>
        <v>#REF!</v>
      </c>
      <c r="N16" s="180" t="e">
        <f>VLOOKUP(B16,'Bảng công T9'!B:GY,218,0)</f>
        <v>#REF!</v>
      </c>
      <c r="O16" s="180">
        <v>151250</v>
      </c>
      <c r="P16" s="180" t="e">
        <f t="shared" si="1"/>
        <v>#REF!</v>
      </c>
      <c r="Q16" s="180" t="e">
        <f>VLOOKUP(B16,'Bảng công T9'!B:HF,225,0)</f>
        <v>#REF!</v>
      </c>
      <c r="R16" s="180">
        <f t="shared" si="2"/>
        <v>496650</v>
      </c>
      <c r="S16" s="180" t="e">
        <f t="shared" si="3"/>
        <v>#REF!</v>
      </c>
      <c r="T16" s="180"/>
      <c r="U16" s="182" t="e">
        <f t="shared" si="4"/>
        <v>#REF!</v>
      </c>
      <c r="V16" s="182" t="e">
        <f t="shared" si="5"/>
        <v>#REF!</v>
      </c>
      <c r="W16" s="182" t="e">
        <f>VLOOKUP(B16,'Bảng công T9'!B:HH,227,0)</f>
        <v>#REF!</v>
      </c>
      <c r="X16" s="285" t="e">
        <f>VLOOKUP(C16,'Bảng công T9'!C:HG,225,0)</f>
        <v>#REF!</v>
      </c>
      <c r="Y16" s="182" t="e">
        <f>VLOOKUP(C16,'Bảng công T9'!$C:$HI,227,0)</f>
        <v>#REF!</v>
      </c>
      <c r="Z16" s="185"/>
      <c r="AA16" s="184" t="s">
        <v>42</v>
      </c>
    </row>
    <row r="17" spans="1:28">
      <c r="A17" s="178">
        <v>9</v>
      </c>
      <c r="B17" s="63" t="s">
        <v>34</v>
      </c>
      <c r="C17" s="228" t="str">
        <f>VLOOKUP(B17,'Bảng công T9'!B:C,2,0)</f>
        <v>031200001512</v>
      </c>
      <c r="D17" s="74" t="str">
        <f>VLOOKUP(B17,'Bảng công T9'!B:F,5,0)</f>
        <v>Hoàng Văn Hiên</v>
      </c>
      <c r="E17" s="74" t="str">
        <f>VLOOKUP(B17,'Bảng công T9'!B:I,8,0)</f>
        <v>Máy</v>
      </c>
      <c r="F17" s="74" t="str">
        <f>VLOOKUP(B17,'Bảng công T9'!$B$11:$J$1013,9,0)</f>
        <v>HNS</v>
      </c>
      <c r="G17" s="74">
        <f>VLOOKUP(B17,'Bảng công T9'!B:H,7,0)</f>
        <v>200319</v>
      </c>
      <c r="H17" s="177" t="e">
        <f>VLOOKUP(B17,'Bảng công T9'!$B$11:$GV$1013,215,0)</f>
        <v>#REF!</v>
      </c>
      <c r="I17" s="179" t="e">
        <f t="shared" si="0"/>
        <v>#REF!</v>
      </c>
      <c r="J17" s="177" t="str">
        <f>VLOOKUP(B17,'Tham gia BH T9'!$B$10:$AY$26,50,0)</f>
        <v>BHXH</v>
      </c>
      <c r="K17" s="180" t="e">
        <f>VLOOKUP(B17,'Bảng công T9'!$B$11:$GU$1013,214,0)</f>
        <v>#REF!</v>
      </c>
      <c r="L17" s="181" t="e">
        <f>VLOOKUP(B17,'Bảng công T9'!$B$11:$GW$1013,216,0)</f>
        <v>#REF!</v>
      </c>
      <c r="M17" s="181" t="e">
        <f>VLOOKUP(B17,'Bảng công T9'!B:GX,217,0)</f>
        <v>#REF!</v>
      </c>
      <c r="N17" s="180" t="e">
        <f>VLOOKUP(B17,'Bảng công T9'!B:GY,218,0)</f>
        <v>#REF!</v>
      </c>
      <c r="O17" s="180">
        <v>174750</v>
      </c>
      <c r="P17" s="180" t="e">
        <f t="shared" si="1"/>
        <v>#REF!</v>
      </c>
      <c r="Q17" s="180" t="e">
        <f>VLOOKUP(B17,'Bảng công T9'!B:HF,225,0)</f>
        <v>#REF!</v>
      </c>
      <c r="R17" s="180">
        <f t="shared" si="2"/>
        <v>496650</v>
      </c>
      <c r="S17" s="180" t="e">
        <f t="shared" si="3"/>
        <v>#REF!</v>
      </c>
      <c r="T17" s="180"/>
      <c r="U17" s="182" t="e">
        <f t="shared" si="4"/>
        <v>#REF!</v>
      </c>
      <c r="V17" s="182" t="e">
        <f t="shared" si="5"/>
        <v>#REF!</v>
      </c>
      <c r="W17" s="182" t="e">
        <f>VLOOKUP(B17,'Bảng công T9'!B:HH,227,0)</f>
        <v>#REF!</v>
      </c>
      <c r="X17" s="285" t="e">
        <f>VLOOKUP(C17,'Bảng công T9'!C:HG,225,0)</f>
        <v>#REF!</v>
      </c>
      <c r="Y17" s="182" t="e">
        <f>VLOOKUP(C17,'Bảng công T9'!$C:$HI,227,0)</f>
        <v>#REF!</v>
      </c>
      <c r="Z17" s="185"/>
      <c r="AA17" s="184" t="s">
        <v>311</v>
      </c>
    </row>
    <row r="18" spans="1:28">
      <c r="A18" s="178">
        <v>10</v>
      </c>
      <c r="B18" s="63" t="s">
        <v>35</v>
      </c>
      <c r="C18" s="228" t="str">
        <f>VLOOKUP(B18,'Bảng công T9'!B:C,2,0)</f>
        <v>031895514</v>
      </c>
      <c r="D18" s="74" t="str">
        <f>VLOOKUP(B18,'Bảng công T9'!B:F,5,0)</f>
        <v>Nguyễn Thị Thương</v>
      </c>
      <c r="E18" s="74" t="str">
        <f>VLOOKUP(B18,'Bảng công T9'!B:I,8,0)</f>
        <v>Line 4</v>
      </c>
      <c r="F18" s="74" t="str">
        <f>VLOOKUP(B18,'Bảng công T9'!$B$11:$J$1013,9,0)</f>
        <v>HNS</v>
      </c>
      <c r="G18" s="74">
        <f>VLOOKUP(B18,'Bảng công T9'!B:H,7,0)</f>
        <v>200319</v>
      </c>
      <c r="H18" s="177" t="e">
        <f>VLOOKUP(B18,'Bảng công T9'!$B$11:$GV$1013,215,0)</f>
        <v>#REF!</v>
      </c>
      <c r="I18" s="179" t="e">
        <f t="shared" si="0"/>
        <v>#REF!</v>
      </c>
      <c r="J18" s="177" t="str">
        <f>VLOOKUP(B18,'Tham gia BH T9'!$B$10:$AY$26,50,0)</f>
        <v>BHXH</v>
      </c>
      <c r="K18" s="180" t="e">
        <f>VLOOKUP(B18,'Bảng công T9'!$B$11:$GU$1013,214,0)</f>
        <v>#REF!</v>
      </c>
      <c r="L18" s="181" t="e">
        <f>VLOOKUP(B18,'Bảng công T9'!$B$11:$GW$1013,216,0)</f>
        <v>#REF!</v>
      </c>
      <c r="M18" s="181" t="e">
        <f>VLOOKUP(B18,'Bảng công T9'!B:GX,217,0)</f>
        <v>#REF!</v>
      </c>
      <c r="N18" s="180" t="e">
        <f>VLOOKUP(B18,'Bảng công T9'!B:GY,218,0)</f>
        <v>#REF!</v>
      </c>
      <c r="O18" s="180"/>
      <c r="P18" s="180" t="e">
        <f t="shared" si="1"/>
        <v>#REF!</v>
      </c>
      <c r="Q18" s="180" t="e">
        <f>VLOOKUP(B18,'Bảng công T9'!B:HF,225,0)</f>
        <v>#REF!</v>
      </c>
      <c r="R18" s="180">
        <f t="shared" si="2"/>
        <v>496650</v>
      </c>
      <c r="S18" s="180" t="e">
        <f t="shared" si="3"/>
        <v>#REF!</v>
      </c>
      <c r="T18" s="180"/>
      <c r="U18" s="182" t="e">
        <f t="shared" si="4"/>
        <v>#REF!</v>
      </c>
      <c r="V18" s="182" t="e">
        <f t="shared" si="5"/>
        <v>#REF!</v>
      </c>
      <c r="W18" s="182" t="e">
        <f>VLOOKUP(B18,'Bảng công T9'!B:HH,227,0)</f>
        <v>#REF!</v>
      </c>
      <c r="X18" s="285" t="e">
        <f>VLOOKUP(C18,'Bảng công T9'!C:HG,225,0)</f>
        <v>#REF!</v>
      </c>
      <c r="Y18" s="182" t="e">
        <f>VLOOKUP(C18,'Bảng công T9'!$C:$HI,227,0)</f>
        <v>#REF!</v>
      </c>
      <c r="Z18" s="185"/>
      <c r="AA18" s="186" t="s">
        <v>33</v>
      </c>
    </row>
    <row r="19" spans="1:28">
      <c r="A19" s="178">
        <v>11</v>
      </c>
      <c r="B19" s="63" t="s">
        <v>37</v>
      </c>
      <c r="C19" s="228" t="str">
        <f>VLOOKUP(B19,'Bảng công T9'!B:C,2,0)</f>
        <v>031052713</v>
      </c>
      <c r="D19" s="74" t="str">
        <f>VLOOKUP(B19,'Bảng công T9'!B:F,5,0)</f>
        <v>Phạm Hồng Phong</v>
      </c>
      <c r="E19" s="74" t="str">
        <f>VLOOKUP(B19,'Bảng công T9'!B:I,8,0)</f>
        <v>Line 2</v>
      </c>
      <c r="F19" s="74" t="str">
        <f>VLOOKUP(B19,'Bảng công T9'!$B$11:$J$1013,9,0)</f>
        <v>HNS</v>
      </c>
      <c r="G19" s="74">
        <f>VLOOKUP(B19,'Bảng công T9'!B:H,7,0)</f>
        <v>200415</v>
      </c>
      <c r="H19" s="177" t="e">
        <f>VLOOKUP(B19,'Bảng công T9'!$B$11:$GV$1013,215,0)</f>
        <v>#REF!</v>
      </c>
      <c r="I19" s="179" t="e">
        <f t="shared" si="0"/>
        <v>#REF!</v>
      </c>
      <c r="J19" s="177" t="str">
        <f>VLOOKUP(B19,'Tham gia BH T9'!$B$10:$AY$26,50,0)</f>
        <v>BHXH</v>
      </c>
      <c r="K19" s="180" t="e">
        <f>VLOOKUP(B19,'Bảng công T9'!$B$11:$GU$1013,214,0)</f>
        <v>#REF!</v>
      </c>
      <c r="L19" s="181" t="e">
        <f>VLOOKUP(B19,'Bảng công T9'!$B$11:$GW$1013,216,0)</f>
        <v>#REF!</v>
      </c>
      <c r="M19" s="181" t="e">
        <f>VLOOKUP(B19,'Bảng công T9'!B:GX,217,0)</f>
        <v>#REF!</v>
      </c>
      <c r="N19" s="180" t="e">
        <f>VLOOKUP(B19,'Bảng công T9'!B:GY,218,0)</f>
        <v>#REF!</v>
      </c>
      <c r="O19" s="180"/>
      <c r="P19" s="180" t="e">
        <f t="shared" si="1"/>
        <v>#REF!</v>
      </c>
      <c r="Q19" s="180" t="e">
        <f>VLOOKUP(B19,'Bảng công T9'!B:HF,225,0)</f>
        <v>#REF!</v>
      </c>
      <c r="R19" s="180">
        <f t="shared" si="2"/>
        <v>496650</v>
      </c>
      <c r="S19" s="180" t="e">
        <f t="shared" si="3"/>
        <v>#REF!</v>
      </c>
      <c r="T19" s="180"/>
      <c r="U19" s="182" t="e">
        <f t="shared" si="4"/>
        <v>#REF!</v>
      </c>
      <c r="V19" s="182" t="e">
        <f t="shared" si="5"/>
        <v>#REF!</v>
      </c>
      <c r="W19" s="182" t="e">
        <f>VLOOKUP(B19,'Bảng công T9'!B:HH,227,0)</f>
        <v>#REF!</v>
      </c>
      <c r="X19" s="285" t="e">
        <f>VLOOKUP(C19,'Bảng công T9'!C:HG,225,0)</f>
        <v>#REF!</v>
      </c>
      <c r="Y19" s="182" t="e">
        <f>VLOOKUP(C19,'Bảng công T9'!$C:$HI,227,0)</f>
        <v>#REF!</v>
      </c>
      <c r="Z19" s="185"/>
      <c r="AA19" s="188" t="s">
        <v>34</v>
      </c>
    </row>
    <row r="20" spans="1:28">
      <c r="A20" s="178">
        <v>12</v>
      </c>
      <c r="B20" s="63" t="s">
        <v>39</v>
      </c>
      <c r="C20" s="228" t="str">
        <f>VLOOKUP(B20,'Bảng công T9'!B:C,2,0)</f>
        <v>031839232</v>
      </c>
      <c r="D20" s="74" t="str">
        <f>VLOOKUP(B20,'Bảng công T9'!B:F,5,0)</f>
        <v>Ngô Văn Chung</v>
      </c>
      <c r="E20" s="74" t="str">
        <f>VLOOKUP(B20,'Bảng công T9'!B:I,8,0)</f>
        <v>Line 4</v>
      </c>
      <c r="F20" s="74" t="str">
        <f>VLOOKUP(B20,'Bảng công T9'!$B$11:$J$1013,9,0)</f>
        <v>HNS</v>
      </c>
      <c r="G20" s="74">
        <f>VLOOKUP(B20,'Bảng công T9'!B:H,7,0)</f>
        <v>200507</v>
      </c>
      <c r="H20" s="177" t="e">
        <f>VLOOKUP(B20,'Bảng công T9'!$B$11:$GV$1013,215,0)</f>
        <v>#REF!</v>
      </c>
      <c r="I20" s="179" t="e">
        <f t="shared" si="0"/>
        <v>#REF!</v>
      </c>
      <c r="J20" s="177" t="str">
        <f>VLOOKUP(B20,'Tham gia BH T9'!$B$10:$AY$26,50,0)</f>
        <v>BHXH</v>
      </c>
      <c r="K20" s="180" t="e">
        <f>VLOOKUP(B20,'Bảng công T9'!$B$11:$GU$1013,214,0)</f>
        <v>#REF!</v>
      </c>
      <c r="L20" s="181" t="e">
        <f>VLOOKUP(B20,'Bảng công T9'!$B$11:$GW$1013,216,0)</f>
        <v>#REF!</v>
      </c>
      <c r="M20" s="181" t="e">
        <f>VLOOKUP(B20,'Bảng công T9'!B:GX,217,0)</f>
        <v>#REF!</v>
      </c>
      <c r="N20" s="180" t="e">
        <f>VLOOKUP(B20,'Bảng công T9'!B:GY,218,0)</f>
        <v>#REF!</v>
      </c>
      <c r="O20" s="180"/>
      <c r="P20" s="180" t="e">
        <f t="shared" si="1"/>
        <v>#REF!</v>
      </c>
      <c r="Q20" s="180" t="e">
        <f>VLOOKUP(B20,'Bảng công T9'!B:HF,225,0)</f>
        <v>#REF!</v>
      </c>
      <c r="R20" s="180">
        <f t="shared" si="2"/>
        <v>496650</v>
      </c>
      <c r="S20" s="180" t="e">
        <f t="shared" si="3"/>
        <v>#REF!</v>
      </c>
      <c r="T20" s="180"/>
      <c r="U20" s="182" t="e">
        <f t="shared" si="4"/>
        <v>#REF!</v>
      </c>
      <c r="V20" s="182" t="e">
        <f t="shared" si="5"/>
        <v>#REF!</v>
      </c>
      <c r="W20" s="182" t="e">
        <f>VLOOKUP(B20,'Bảng công T9'!B:HH,227,0)</f>
        <v>#REF!</v>
      </c>
      <c r="X20" s="285" t="e">
        <f>VLOOKUP(C20,'Bảng công T9'!C:HG,225,0)</f>
        <v>#REF!</v>
      </c>
      <c r="Y20" s="182" t="e">
        <f>VLOOKUP(C20,'Bảng công T9'!$C:$HI,227,0)</f>
        <v>#REF!</v>
      </c>
      <c r="Z20" s="185"/>
      <c r="AA20" s="76" t="s">
        <v>35</v>
      </c>
    </row>
    <row r="21" spans="1:28">
      <c r="A21" s="178">
        <v>13</v>
      </c>
      <c r="B21" s="63" t="s">
        <v>40</v>
      </c>
      <c r="C21" s="228" t="str">
        <f>VLOOKUP(B21,'Bảng công T9'!B:C,2,0)</f>
        <v>175051305</v>
      </c>
      <c r="D21" s="74" t="str">
        <f>VLOOKUP(B21,'Bảng công T9'!B:F,5,0)</f>
        <v>Lương Xuân Điệp</v>
      </c>
      <c r="E21" s="74" t="str">
        <f>VLOOKUP(B21,'Bảng công T9'!B:I,8,0)</f>
        <v>Line 4</v>
      </c>
      <c r="F21" s="74" t="str">
        <f>VLOOKUP(B21,'Bảng công T9'!$B$11:$J$1013,9,0)</f>
        <v>HNS</v>
      </c>
      <c r="G21" s="74">
        <f>VLOOKUP(B21,'Bảng công T9'!B:H,7,0)</f>
        <v>200518</v>
      </c>
      <c r="H21" s="177" t="e">
        <f>VLOOKUP(B21,'Bảng công T9'!$B$11:$GV$1013,215,0)</f>
        <v>#REF!</v>
      </c>
      <c r="I21" s="179" t="e">
        <f t="shared" si="0"/>
        <v>#REF!</v>
      </c>
      <c r="J21" s="177" t="str">
        <f>VLOOKUP(B21,'Tham gia BH T9'!$B$10:$AY$26,50,0)</f>
        <v>BHXH</v>
      </c>
      <c r="K21" s="180" t="e">
        <f>VLOOKUP(B21,'Bảng công T9'!$B$11:$GU$1013,214,0)</f>
        <v>#REF!</v>
      </c>
      <c r="L21" s="181" t="e">
        <f>VLOOKUP(B21,'Bảng công T9'!$B$11:$GW$1013,216,0)</f>
        <v>#REF!</v>
      </c>
      <c r="M21" s="181" t="e">
        <f>VLOOKUP(B21,'Bảng công T9'!B:GX,217,0)</f>
        <v>#REF!</v>
      </c>
      <c r="N21" s="180" t="e">
        <f>VLOOKUP(B21,'Bảng công T9'!B:GY,218,0)</f>
        <v>#REF!</v>
      </c>
      <c r="O21" s="180"/>
      <c r="P21" s="180" t="e">
        <f t="shared" si="1"/>
        <v>#REF!</v>
      </c>
      <c r="Q21" s="180" t="e">
        <f>VLOOKUP(B21,'Bảng công T9'!B:HF,225,0)</f>
        <v>#REF!</v>
      </c>
      <c r="R21" s="180">
        <f t="shared" si="2"/>
        <v>496650</v>
      </c>
      <c r="S21" s="180" t="e">
        <f t="shared" si="3"/>
        <v>#REF!</v>
      </c>
      <c r="T21" s="180"/>
      <c r="U21" s="182" t="e">
        <f t="shared" si="4"/>
        <v>#REF!</v>
      </c>
      <c r="V21" s="182" t="e">
        <f t="shared" si="5"/>
        <v>#REF!</v>
      </c>
      <c r="W21" s="182" t="e">
        <f>VLOOKUP(B21,'Bảng công T9'!B:HH,227,0)</f>
        <v>#REF!</v>
      </c>
      <c r="X21" s="285" t="e">
        <f>VLOOKUP(C21,'Bảng công T9'!C:HG,225,0)</f>
        <v>#REF!</v>
      </c>
      <c r="Y21" s="182" t="e">
        <f>VLOOKUP(C21,'Bảng công T9'!$C:$HI,227,0)</f>
        <v>#REF!</v>
      </c>
      <c r="Z21" s="185"/>
      <c r="AA21" s="76" t="s">
        <v>36</v>
      </c>
    </row>
    <row r="22" spans="1:28">
      <c r="A22" s="178">
        <v>14</v>
      </c>
      <c r="B22" s="63" t="s">
        <v>41</v>
      </c>
      <c r="C22" s="228" t="str">
        <f>VLOOKUP(B22,'Bảng công T9'!B:C,2,0)</f>
        <v>187352043</v>
      </c>
      <c r="D22" s="74" t="str">
        <f>VLOOKUP(B22,'Bảng công T9'!B:F,5,0)</f>
        <v>Hoàng Trọng Nghĩa</v>
      </c>
      <c r="E22" s="74" t="str">
        <f>VLOOKUP(B22,'Bảng công T9'!B:I,8,0)</f>
        <v>Line 2</v>
      </c>
      <c r="F22" s="74" t="str">
        <f>VLOOKUP(B22,'Bảng công T9'!$B$11:$J$1013,9,0)</f>
        <v>HNS</v>
      </c>
      <c r="G22" s="74">
        <f>VLOOKUP(B22,'Bảng công T9'!B:H,7,0)</f>
        <v>200519</v>
      </c>
      <c r="H22" s="177" t="e">
        <f>VLOOKUP(B22,'Bảng công T9'!$B$11:$GV$1013,215,0)</f>
        <v>#REF!</v>
      </c>
      <c r="I22" s="179" t="e">
        <f t="shared" si="0"/>
        <v>#REF!</v>
      </c>
      <c r="J22" s="177"/>
      <c r="K22" s="180" t="e">
        <f>VLOOKUP(B22,'Bảng công T9'!$B$11:$GU$1013,214,0)</f>
        <v>#REF!</v>
      </c>
      <c r="L22" s="181" t="e">
        <f>VLOOKUP(B22,'Bảng công T9'!$B$11:$GW$1013,216,0)</f>
        <v>#REF!</v>
      </c>
      <c r="M22" s="181" t="e">
        <f>VLOOKUP(B22,'Bảng công T9'!B:GX,217,0)</f>
        <v>#REF!</v>
      </c>
      <c r="N22" s="180" t="e">
        <f>VLOOKUP(B22,'Bảng công T9'!B:GY,218,0)</f>
        <v>#REF!</v>
      </c>
      <c r="O22" s="180"/>
      <c r="P22" s="180" t="e">
        <f t="shared" si="1"/>
        <v>#REF!</v>
      </c>
      <c r="Q22" s="180" t="e">
        <f>VLOOKUP(B22,'Bảng công T9'!B:HF,225,0)</f>
        <v>#REF!</v>
      </c>
      <c r="R22" s="180">
        <f t="shared" si="2"/>
        <v>0</v>
      </c>
      <c r="S22" s="180" t="e">
        <f t="shared" si="3"/>
        <v>#REF!</v>
      </c>
      <c r="T22" s="180"/>
      <c r="U22" s="182" t="e">
        <f t="shared" si="4"/>
        <v>#REF!</v>
      </c>
      <c r="V22" s="182" t="e">
        <f t="shared" si="5"/>
        <v>#REF!</v>
      </c>
      <c r="W22" s="182" t="e">
        <f>VLOOKUP(B22,'Bảng công T9'!B:HH,227,0)</f>
        <v>#REF!</v>
      </c>
      <c r="X22" s="285" t="e">
        <f>VLOOKUP(C22,'Bảng công T9'!C:HG,225,0)</f>
        <v>#REF!</v>
      </c>
      <c r="Y22" s="182" t="e">
        <f>VLOOKUP(C22,'Bảng công T9'!$C:$HI,227,0)</f>
        <v>#REF!</v>
      </c>
      <c r="Z22" s="185"/>
      <c r="AA22" s="76" t="s">
        <v>37</v>
      </c>
    </row>
    <row r="23" spans="1:28">
      <c r="A23" s="178">
        <v>15</v>
      </c>
      <c r="B23" s="63" t="s">
        <v>392</v>
      </c>
      <c r="C23" s="228" t="str">
        <f>VLOOKUP(B23,'Bảng công T9'!B:C,2,0)</f>
        <v>080778112</v>
      </c>
      <c r="D23" s="74" t="str">
        <f>VLOOKUP(B23,'Bảng công T9'!B:F,5,0)</f>
        <v>Phạm Thế Anh</v>
      </c>
      <c r="E23" s="74" t="str">
        <f>VLOOKUP(B23,'Bảng công T9'!B:I,8,0)</f>
        <v>Line 3</v>
      </c>
      <c r="F23" s="74" t="str">
        <f>VLOOKUP(B23,'Bảng công T9'!$B$11:$J$1013,9,0)</f>
        <v>HNS</v>
      </c>
      <c r="G23" s="74">
        <f>VLOOKUP(B23,'Bảng công T9'!B:H,7,0)</f>
        <v>200520</v>
      </c>
      <c r="H23" s="177" t="e">
        <f>VLOOKUP(B23,'Bảng công T9'!$B$11:$GV$1013,215,0)</f>
        <v>#REF!</v>
      </c>
      <c r="I23" s="179" t="e">
        <f t="shared" si="0"/>
        <v>#REF!</v>
      </c>
      <c r="J23" s="177" t="str">
        <f>VLOOKUP(B23,'Tham gia BH T9'!$B$10:$AY$26,50,0)</f>
        <v>BHXH</v>
      </c>
      <c r="K23" s="180" t="e">
        <f>VLOOKUP(B23,'Bảng công T9'!$B$11:$GU$1013,214,0)</f>
        <v>#REF!</v>
      </c>
      <c r="L23" s="181" t="e">
        <f>VLOOKUP(B23,'Bảng công T9'!$B$11:$GW$1013,216,0)</f>
        <v>#REF!</v>
      </c>
      <c r="M23" s="181" t="e">
        <f>VLOOKUP(B23,'Bảng công T9'!B:GX,217,0)</f>
        <v>#REF!</v>
      </c>
      <c r="N23" s="180" t="e">
        <f>VLOOKUP(B23,'Bảng công T9'!B:GY,218,0)</f>
        <v>#REF!</v>
      </c>
      <c r="O23" s="180"/>
      <c r="P23" s="180" t="e">
        <f t="shared" si="1"/>
        <v>#REF!</v>
      </c>
      <c r="Q23" s="180" t="e">
        <f>VLOOKUP(B23,'Bảng công T9'!B:HF,225,0)</f>
        <v>#REF!</v>
      </c>
      <c r="R23" s="180">
        <f t="shared" si="2"/>
        <v>496650</v>
      </c>
      <c r="S23" s="180" t="e">
        <f t="shared" si="3"/>
        <v>#REF!</v>
      </c>
      <c r="T23" s="180"/>
      <c r="U23" s="182" t="e">
        <f t="shared" si="4"/>
        <v>#REF!</v>
      </c>
      <c r="V23" s="182" t="e">
        <f t="shared" si="5"/>
        <v>#REF!</v>
      </c>
      <c r="W23" s="182" t="e">
        <f>VLOOKUP(B23,'Bảng công T9'!B:HH,227,0)</f>
        <v>#REF!</v>
      </c>
      <c r="X23" s="285" t="e">
        <f>VLOOKUP(C23,'Bảng công T9'!C:HG,225,0)</f>
        <v>#REF!</v>
      </c>
      <c r="Y23" s="182" t="e">
        <f>VLOOKUP(C23,'Bảng công T9'!$C:$HI,227,0)</f>
        <v>#REF!</v>
      </c>
      <c r="Z23" s="185"/>
      <c r="AA23" s="76" t="s">
        <v>39</v>
      </c>
    </row>
    <row r="24" spans="1:28" ht="14.25" customHeight="1">
      <c r="A24" s="178">
        <v>16</v>
      </c>
      <c r="B24" s="63" t="s">
        <v>402</v>
      </c>
      <c r="C24" s="228" t="str">
        <f>VLOOKUP(B24,'Bảng công T9'!B:C,2,0)</f>
        <v>044301001858</v>
      </c>
      <c r="D24" s="74" t="str">
        <f>VLOOKUP(B24,'Bảng công T9'!B:F,5,0)</f>
        <v>Hoàng Thị Thu Hiền 16/6/2001 Quảng Trị</v>
      </c>
      <c r="E24" s="74" t="str">
        <f>VLOOKUP(B24,'Bảng công T9'!B:I,8,0)</f>
        <v>Máy</v>
      </c>
      <c r="F24" s="74" t="str">
        <f>VLOOKUP(B24,'Bảng công T9'!$B$11:$J$1013,9,0)</f>
        <v>HNS</v>
      </c>
      <c r="G24" s="74">
        <f>VLOOKUP(B24,'Bảng công T9'!B:H,7,0)</f>
        <v>200602</v>
      </c>
      <c r="H24" s="177" t="e">
        <f>VLOOKUP(B24,'Bảng công T9'!$B$11:$GV$1013,215,0)</f>
        <v>#REF!</v>
      </c>
      <c r="I24" s="179" t="e">
        <f t="shared" si="0"/>
        <v>#REF!</v>
      </c>
      <c r="J24" s="177" t="str">
        <f>VLOOKUP(B24,'Tham gia BH T9'!$B$10:$AY$26,50,0)</f>
        <v>BHXH</v>
      </c>
      <c r="K24" s="180" t="e">
        <f>VLOOKUP(B24,'Bảng công T9'!$B$11:$GU$1013,214,0)</f>
        <v>#REF!</v>
      </c>
      <c r="L24" s="181" t="e">
        <f>VLOOKUP(B24,'Bảng công T9'!$B$11:$GW$1013,216,0)</f>
        <v>#REF!</v>
      </c>
      <c r="M24" s="181" t="e">
        <f>VLOOKUP(B24,'Bảng công T9'!B:GX,217,0)</f>
        <v>#REF!</v>
      </c>
      <c r="N24" s="180" t="e">
        <f>VLOOKUP(B24,'Bảng công T9'!B:GY,218,0)</f>
        <v>#REF!</v>
      </c>
      <c r="O24" s="180"/>
      <c r="P24" s="180" t="e">
        <f t="shared" si="1"/>
        <v>#REF!</v>
      </c>
      <c r="Q24" s="180" t="e">
        <f>VLOOKUP(B24,'Bảng công T9'!B:HF,225,0)</f>
        <v>#REF!</v>
      </c>
      <c r="R24" s="180">
        <f t="shared" si="2"/>
        <v>496650</v>
      </c>
      <c r="S24" s="180" t="e">
        <f t="shared" si="3"/>
        <v>#REF!</v>
      </c>
      <c r="T24" s="180"/>
      <c r="U24" s="182" t="e">
        <f t="shared" si="4"/>
        <v>#REF!</v>
      </c>
      <c r="V24" s="182" t="e">
        <f t="shared" si="5"/>
        <v>#REF!</v>
      </c>
      <c r="W24" s="182" t="e">
        <f>VLOOKUP(B24,'Bảng công T9'!B:HH,227,0)</f>
        <v>#REF!</v>
      </c>
      <c r="X24" s="285" t="e">
        <f>VLOOKUP(C24,'Bảng công T9'!C:HG,225,0)</f>
        <v>#REF!</v>
      </c>
      <c r="Y24" s="182" t="e">
        <f>VLOOKUP(C24,'Bảng công T9'!$C:$HI,227,0)</f>
        <v>#REF!</v>
      </c>
      <c r="Z24" s="185"/>
      <c r="AA24" s="76" t="s">
        <v>40</v>
      </c>
    </row>
    <row r="25" spans="1:28" ht="13.5" customHeight="1">
      <c r="A25" s="178">
        <v>17</v>
      </c>
      <c r="B25" s="63" t="s">
        <v>44</v>
      </c>
      <c r="C25" s="228" t="str">
        <f>VLOOKUP(B25,'Bảng công T9'!B:C,2,0)</f>
        <v>174767307</v>
      </c>
      <c r="D25" s="74" t="str">
        <f>VLOOKUP(B25,'Bảng công T9'!B:F,5,0)</f>
        <v>Trình Văn Sơn</v>
      </c>
      <c r="E25" s="74" t="str">
        <f>VLOOKUP(B25,'Bảng công T9'!B:I,8,0)</f>
        <v>Line 4</v>
      </c>
      <c r="F25" s="74" t="str">
        <f>VLOOKUP(B25,'Bảng công T9'!$B$11:$J$1013,9,0)</f>
        <v>HNS</v>
      </c>
      <c r="G25" s="74">
        <f>VLOOKUP(B25,'Bảng công T9'!B:H,7,0)</f>
        <v>200609</v>
      </c>
      <c r="H25" s="177" t="e">
        <f>VLOOKUP(B25,'Bảng công T9'!$B$11:$GV$1013,215,0)</f>
        <v>#REF!</v>
      </c>
      <c r="I25" s="179" t="e">
        <f t="shared" si="0"/>
        <v>#REF!</v>
      </c>
      <c r="J25" s="177"/>
      <c r="K25" s="180" t="e">
        <f>VLOOKUP(B25,'Bảng công T9'!$B$11:$GU$1013,214,0)</f>
        <v>#REF!</v>
      </c>
      <c r="L25" s="181" t="e">
        <f>VLOOKUP(B25,'Bảng công T9'!$B$11:$GW$1013,216,0)</f>
        <v>#REF!</v>
      </c>
      <c r="M25" s="181" t="e">
        <f>VLOOKUP(B25,'Bảng công T9'!B:GX,217,0)</f>
        <v>#REF!</v>
      </c>
      <c r="N25" s="180" t="e">
        <f>VLOOKUP(B25,'Bảng công T9'!B:GY,218,0)</f>
        <v>#REF!</v>
      </c>
      <c r="O25" s="180"/>
      <c r="P25" s="180" t="e">
        <f t="shared" si="1"/>
        <v>#REF!</v>
      </c>
      <c r="Q25" s="180" t="e">
        <f>VLOOKUP(B25,'Bảng công T9'!B:HF,225,0)</f>
        <v>#REF!</v>
      </c>
      <c r="R25" s="180">
        <f t="shared" si="2"/>
        <v>0</v>
      </c>
      <c r="S25" s="180" t="e">
        <f t="shared" si="3"/>
        <v>#REF!</v>
      </c>
      <c r="T25" s="180"/>
      <c r="U25" s="182" t="e">
        <f t="shared" si="4"/>
        <v>#REF!</v>
      </c>
      <c r="V25" s="182" t="e">
        <f t="shared" si="5"/>
        <v>#REF!</v>
      </c>
      <c r="W25" s="182" t="e">
        <f>VLOOKUP(B25,'Bảng công T9'!B:HH,227,0)</f>
        <v>#REF!</v>
      </c>
      <c r="X25" s="285" t="e">
        <f>VLOOKUP(C25,'Bảng công T9'!C:HG,225,0)</f>
        <v>#REF!</v>
      </c>
      <c r="Y25" s="182" t="e">
        <f>VLOOKUP(C25,'Bảng công T9'!$C:$HI,227,0)</f>
        <v>#REF!</v>
      </c>
      <c r="Z25" s="185"/>
      <c r="AA25" s="76" t="s">
        <v>41</v>
      </c>
    </row>
    <row r="26" spans="1:28" s="128" customFormat="1">
      <c r="A26" s="178">
        <v>18</v>
      </c>
      <c r="B26" s="63" t="s">
        <v>390</v>
      </c>
      <c r="C26" s="228" t="str">
        <f>VLOOKUP(B26,'Bảng công T9'!B:C,2,0)</f>
        <v>186035053</v>
      </c>
      <c r="D26" s="74" t="str">
        <f>VLOOKUP(B26,'Bảng công T9'!B:F,5,0)</f>
        <v>Trương Văn Thơm</v>
      </c>
      <c r="E26" s="74" t="str">
        <f>VLOOKUP(B26,'Bảng công T9'!B:I,8,0)</f>
        <v xml:space="preserve">Line2 </v>
      </c>
      <c r="F26" s="74" t="str">
        <f>VLOOKUP(B26,'Bảng công T9'!$B$11:$J$1013,9,0)</f>
        <v>HNS</v>
      </c>
      <c r="G26" s="74">
        <f>VLOOKUP(B26,'Bảng công T9'!B:H,7,0)</f>
        <v>200617</v>
      </c>
      <c r="H26" s="177" t="e">
        <f>VLOOKUP(B26,'Bảng công T9'!$B$11:$GV$1013,215,0)</f>
        <v>#REF!</v>
      </c>
      <c r="I26" s="179" t="e">
        <f t="shared" si="0"/>
        <v>#REF!</v>
      </c>
      <c r="J26" s="177"/>
      <c r="K26" s="180" t="e">
        <f>VLOOKUP(B26,'Bảng công T9'!$B$11:$GU$1013,214,0)</f>
        <v>#REF!</v>
      </c>
      <c r="L26" s="181" t="e">
        <f>VLOOKUP(B26,'Bảng công T9'!$B$11:$GW$1013,216,0)</f>
        <v>#REF!</v>
      </c>
      <c r="M26" s="181" t="e">
        <f>VLOOKUP(B26,'Bảng công T9'!B:GX,217,0)</f>
        <v>#REF!</v>
      </c>
      <c r="N26" s="180" t="e">
        <f>VLOOKUP(B26,'Bảng công T9'!B:GY,218,0)</f>
        <v>#REF!</v>
      </c>
      <c r="O26" s="180"/>
      <c r="P26" s="180" t="e">
        <f t="shared" si="1"/>
        <v>#REF!</v>
      </c>
      <c r="Q26" s="180" t="e">
        <f>VLOOKUP(B26,'Bảng công T9'!B:HF,225,0)</f>
        <v>#REF!</v>
      </c>
      <c r="R26" s="180">
        <f t="shared" si="2"/>
        <v>0</v>
      </c>
      <c r="S26" s="180" t="e">
        <f t="shared" si="3"/>
        <v>#REF!</v>
      </c>
      <c r="T26" s="74"/>
      <c r="U26" s="182" t="e">
        <f t="shared" si="4"/>
        <v>#REF!</v>
      </c>
      <c r="V26" s="182" t="e">
        <f t="shared" si="5"/>
        <v>#REF!</v>
      </c>
      <c r="W26" s="182" t="e">
        <f>VLOOKUP(B26,'Bảng công T9'!B:HH,227,0)</f>
        <v>#REF!</v>
      </c>
      <c r="X26" s="285" t="e">
        <f>VLOOKUP(C26,'Bảng công T9'!C:HG,225,0)</f>
        <v>#REF!</v>
      </c>
      <c r="Y26" s="182" t="e">
        <f>VLOOKUP(C26,'Bảng công T9'!$C:$HI,227,0)</f>
        <v>#REF!</v>
      </c>
      <c r="Z26" s="185"/>
      <c r="AA26" s="184" t="s">
        <v>392</v>
      </c>
      <c r="AB26" s="59"/>
    </row>
    <row r="27" spans="1:28">
      <c r="A27" s="178">
        <v>19</v>
      </c>
      <c r="B27" s="63" t="s">
        <v>413</v>
      </c>
      <c r="C27" s="228" t="str">
        <f>VLOOKUP(B27,'Bảng công T9'!B:C,2,0)</f>
        <v>034301009383</v>
      </c>
      <c r="D27" s="74" t="str">
        <f>VLOOKUP(B27,'Bảng công T9'!B:F,5,0)</f>
        <v>Vũ Thị Trang</v>
      </c>
      <c r="E27" s="74" t="str">
        <f>VLOOKUP(B27,'Bảng công T9'!B:I,8,0)</f>
        <v>Line 2</v>
      </c>
      <c r="F27" s="74" t="str">
        <f>VLOOKUP(B27,'Bảng công T9'!$B$11:$J$1013,9,0)</f>
        <v>HNS</v>
      </c>
      <c r="G27" s="74">
        <f>VLOOKUP(B27,'Bảng công T9'!B:H,7,0)</f>
        <v>200618</v>
      </c>
      <c r="H27" s="177" t="e">
        <f>VLOOKUP(B27,'Bảng công T9'!$B$11:$GV$1013,215,0)</f>
        <v>#REF!</v>
      </c>
      <c r="I27" s="179" t="e">
        <f t="shared" si="0"/>
        <v>#REF!</v>
      </c>
      <c r="J27" s="177" t="str">
        <f>VLOOKUP(B27,'Tham gia BH T9'!$B$10:$AY$26,50,0)</f>
        <v>BHXH</v>
      </c>
      <c r="K27" s="180" t="e">
        <f>VLOOKUP(B27,'Bảng công T9'!$B$11:$GU$1013,214,0)</f>
        <v>#REF!</v>
      </c>
      <c r="L27" s="181" t="e">
        <f>VLOOKUP(B27,'Bảng công T9'!$B$11:$GW$1013,216,0)</f>
        <v>#REF!</v>
      </c>
      <c r="M27" s="181" t="e">
        <f>VLOOKUP(B27,'Bảng công T9'!B:GX,217,0)</f>
        <v>#REF!</v>
      </c>
      <c r="N27" s="180" t="e">
        <f>VLOOKUP(B27,'Bảng công T9'!B:GY,218,0)</f>
        <v>#REF!</v>
      </c>
      <c r="O27" s="180"/>
      <c r="P27" s="180" t="e">
        <f t="shared" si="1"/>
        <v>#REF!</v>
      </c>
      <c r="Q27" s="180" t="e">
        <f>VLOOKUP(B27,'Bảng công T9'!B:HF,225,0)</f>
        <v>#REF!</v>
      </c>
      <c r="R27" s="180">
        <f t="shared" si="2"/>
        <v>496650</v>
      </c>
      <c r="S27" s="180" t="e">
        <f t="shared" si="3"/>
        <v>#REF!</v>
      </c>
      <c r="T27" s="180"/>
      <c r="U27" s="182" t="e">
        <f t="shared" si="4"/>
        <v>#REF!</v>
      </c>
      <c r="V27" s="182" t="e">
        <f t="shared" si="5"/>
        <v>#REF!</v>
      </c>
      <c r="W27" s="182" t="e">
        <f>VLOOKUP(B27,'Bảng công T9'!B:HH,227,0)</f>
        <v>#REF!</v>
      </c>
      <c r="X27" s="285" t="e">
        <f>VLOOKUP(C27,'Bảng công T9'!C:HG,225,0)</f>
        <v>#REF!</v>
      </c>
      <c r="Y27" s="182" t="e">
        <f>VLOOKUP(C27,'Bảng công T9'!$C:$HI,227,0)</f>
        <v>#REF!</v>
      </c>
      <c r="Z27" s="185"/>
      <c r="AA27" s="186" t="s">
        <v>417</v>
      </c>
    </row>
    <row r="28" spans="1:28">
      <c r="A28" s="178">
        <v>20</v>
      </c>
      <c r="B28" s="63" t="s">
        <v>50</v>
      </c>
      <c r="C28" s="228" t="str">
        <f>VLOOKUP(B28,'Bảng công T9'!B:C,2,0)</f>
        <v>184322401</v>
      </c>
      <c r="D28" s="74" t="str">
        <f>VLOOKUP(B28,'Bảng công T9'!B:F,5,0)</f>
        <v>Vương Tiến Sắc</v>
      </c>
      <c r="E28" s="74" t="str">
        <f>VLOOKUP(B28,'Bảng công T9'!B:I,8,0)</f>
        <v>Máy</v>
      </c>
      <c r="F28" s="74" t="str">
        <f>VLOOKUP(B28,'Bảng công T9'!$B$11:$J$1013,9,0)</f>
        <v>HNS</v>
      </c>
      <c r="G28" s="74">
        <f>VLOOKUP(B28,'Bảng công T9'!B:H,7,0)</f>
        <v>200627</v>
      </c>
      <c r="H28" s="177" t="e">
        <f>VLOOKUP(B28,'Bảng công T9'!$B$11:$GV$1013,215,0)</f>
        <v>#REF!</v>
      </c>
      <c r="I28" s="179" t="e">
        <f t="shared" si="0"/>
        <v>#REF!</v>
      </c>
      <c r="J28" s="177" t="str">
        <f>VLOOKUP(B28,'Tham gia BH T9'!$B$10:$AY$26,50,0)</f>
        <v>BHXH</v>
      </c>
      <c r="K28" s="180" t="e">
        <f>VLOOKUP(B28,'Bảng công T9'!$B$11:$GU$1013,214,0)</f>
        <v>#REF!</v>
      </c>
      <c r="L28" s="181" t="e">
        <f>VLOOKUP(B28,'Bảng công T9'!$B$11:$GW$1013,216,0)</f>
        <v>#REF!</v>
      </c>
      <c r="M28" s="181" t="e">
        <f>VLOOKUP(B28,'Bảng công T9'!B:GX,217,0)</f>
        <v>#REF!</v>
      </c>
      <c r="N28" s="180" t="e">
        <f>VLOOKUP(B28,'Bảng công T9'!B:GY,218,0)</f>
        <v>#REF!</v>
      </c>
      <c r="O28" s="180"/>
      <c r="P28" s="180" t="e">
        <f t="shared" si="1"/>
        <v>#REF!</v>
      </c>
      <c r="Q28" s="180" t="e">
        <f>VLOOKUP(B28,'Bảng công T9'!B:HF,225,0)</f>
        <v>#REF!</v>
      </c>
      <c r="R28" s="180">
        <f t="shared" si="2"/>
        <v>496650</v>
      </c>
      <c r="S28" s="180" t="e">
        <f t="shared" si="3"/>
        <v>#REF!</v>
      </c>
      <c r="T28" s="180"/>
      <c r="U28" s="182" t="e">
        <f t="shared" si="4"/>
        <v>#REF!</v>
      </c>
      <c r="V28" s="182" t="e">
        <f t="shared" si="5"/>
        <v>#REF!</v>
      </c>
      <c r="W28" s="182" t="e">
        <f>VLOOKUP(B28,'Bảng công T9'!B:HH,227,0)</f>
        <v>#REF!</v>
      </c>
      <c r="X28" s="285" t="e">
        <f>VLOOKUP(C28,'Bảng công T9'!C:HG,225,0)</f>
        <v>#REF!</v>
      </c>
      <c r="Y28" s="182" t="e">
        <f>VLOOKUP(C28,'Bảng công T9'!$C:$HI,227,0)</f>
        <v>#REF!</v>
      </c>
      <c r="Z28" s="185"/>
      <c r="AA28" s="76" t="s">
        <v>402</v>
      </c>
    </row>
    <row r="29" spans="1:28">
      <c r="A29" s="178">
        <v>21</v>
      </c>
      <c r="B29" s="74" t="s">
        <v>53</v>
      </c>
      <c r="C29" s="228" t="str">
        <f>VLOOKUP(B29,'Bảng công T9'!B:C,2,0)</f>
        <v>186857471</v>
      </c>
      <c r="D29" s="74" t="str">
        <f>VLOOKUP(B29,'Bảng công T9'!B:F,5,0)</f>
        <v>Nguyễn Thị Bướm</v>
      </c>
      <c r="E29" s="74" t="str">
        <f>VLOOKUP(B29,'Bảng công T9'!B:I,8,0)</f>
        <v>Line 4</v>
      </c>
      <c r="F29" s="74" t="str">
        <f>VLOOKUP(B29,'Bảng công T9'!$B$11:$J$1013,9,0)</f>
        <v>HNS</v>
      </c>
      <c r="G29" s="74">
        <f>VLOOKUP(B29,'Bảng công T9'!B:H,7,0)</f>
        <v>200629</v>
      </c>
      <c r="H29" s="177" t="e">
        <f>VLOOKUP(B29,'Bảng công T9'!$B$11:$GV$1013,215,0)</f>
        <v>#REF!</v>
      </c>
      <c r="I29" s="179" t="e">
        <f t="shared" si="0"/>
        <v>#REF!</v>
      </c>
      <c r="J29" s="177" t="str">
        <f>VLOOKUP(B29,'Tham gia BH T9'!$B$10:$AY$26,50,0)</f>
        <v>BHXH</v>
      </c>
      <c r="K29" s="180" t="e">
        <f>VLOOKUP(B29,'Bảng công T9'!$B$11:$GU$1013,214,0)</f>
        <v>#REF!</v>
      </c>
      <c r="L29" s="181" t="e">
        <f>VLOOKUP(B29,'Bảng công T9'!$B$11:$GW$1013,216,0)</f>
        <v>#REF!</v>
      </c>
      <c r="M29" s="181" t="e">
        <f>VLOOKUP(B29,'Bảng công T9'!B:GX,217,0)</f>
        <v>#REF!</v>
      </c>
      <c r="N29" s="180" t="e">
        <f>VLOOKUP(B29,'Bảng công T9'!B:GY,218,0)</f>
        <v>#REF!</v>
      </c>
      <c r="O29" s="180"/>
      <c r="P29" s="180" t="e">
        <f t="shared" si="1"/>
        <v>#REF!</v>
      </c>
      <c r="Q29" s="180" t="e">
        <f>VLOOKUP(B29,'Bảng công T9'!B:HF,225,0)</f>
        <v>#REF!</v>
      </c>
      <c r="R29" s="180">
        <f t="shared" si="2"/>
        <v>496650</v>
      </c>
      <c r="S29" s="180" t="e">
        <f t="shared" si="3"/>
        <v>#REF!</v>
      </c>
      <c r="T29" s="180"/>
      <c r="U29" s="182" t="e">
        <f t="shared" si="4"/>
        <v>#REF!</v>
      </c>
      <c r="V29" s="182" t="e">
        <f t="shared" si="5"/>
        <v>#REF!</v>
      </c>
      <c r="W29" s="182" t="e">
        <f>VLOOKUP(B29,'Bảng công T9'!B:HH,227,0)</f>
        <v>#REF!</v>
      </c>
      <c r="X29" s="285" t="e">
        <f>VLOOKUP(C29,'Bảng công T9'!C:HG,225,0)</f>
        <v>#REF!</v>
      </c>
      <c r="Y29" s="182" t="e">
        <f>VLOOKUP(C29,'Bảng công T9'!$C:$HI,227,0)</f>
        <v>#REF!</v>
      </c>
      <c r="Z29" s="185"/>
      <c r="AA29" s="189" t="s">
        <v>44</v>
      </c>
    </row>
    <row r="30" spans="1:28">
      <c r="A30" s="178">
        <v>22</v>
      </c>
      <c r="B30" s="74" t="s">
        <v>56</v>
      </c>
      <c r="C30" s="228" t="str">
        <f>VLOOKUP(B30,'Bảng công T9'!B:C,2,0)</f>
        <v>187558974</v>
      </c>
      <c r="D30" s="74" t="str">
        <f>VLOOKUP(B30,'Bảng công T9'!B:F,5,0)</f>
        <v>Sầm Thị Hồng</v>
      </c>
      <c r="E30" s="74" t="str">
        <f>VLOOKUP(B30,'Bảng công T9'!B:I,8,0)</f>
        <v>Máy</v>
      </c>
      <c r="F30" s="74" t="str">
        <f>VLOOKUP(B30,'Bảng công T9'!$B$11:$J$1013,9,0)</f>
        <v>HNS</v>
      </c>
      <c r="G30" s="74">
        <f>VLOOKUP(B30,'Bảng công T9'!B:H,7,0)</f>
        <v>200703</v>
      </c>
      <c r="H30" s="177" t="e">
        <f>VLOOKUP(B30,'Bảng công T9'!$B$11:$GV$1013,215,0)</f>
        <v>#REF!</v>
      </c>
      <c r="I30" s="179" t="e">
        <f t="shared" si="0"/>
        <v>#REF!</v>
      </c>
      <c r="J30" s="177"/>
      <c r="K30" s="180" t="e">
        <f>VLOOKUP(B30,'Bảng công T9'!$B$11:$GU$1013,214,0)</f>
        <v>#REF!</v>
      </c>
      <c r="L30" s="181" t="e">
        <f>VLOOKUP(B30,'Bảng công T9'!$B$11:$GW$1013,216,0)</f>
        <v>#REF!</v>
      </c>
      <c r="M30" s="181" t="e">
        <f>VLOOKUP(B30,'Bảng công T9'!B:GX,217,0)</f>
        <v>#REF!</v>
      </c>
      <c r="N30" s="180" t="e">
        <f>VLOOKUP(B30,'Bảng công T9'!B:GY,218,0)</f>
        <v>#REF!</v>
      </c>
      <c r="O30" s="180"/>
      <c r="P30" s="180" t="e">
        <f t="shared" si="1"/>
        <v>#REF!</v>
      </c>
      <c r="Q30" s="180" t="e">
        <f>VLOOKUP(B30,'Bảng công T9'!B:HF,225,0)</f>
        <v>#REF!</v>
      </c>
      <c r="R30" s="180">
        <f t="shared" si="2"/>
        <v>0</v>
      </c>
      <c r="S30" s="180" t="e">
        <f t="shared" si="3"/>
        <v>#REF!</v>
      </c>
      <c r="T30" s="180"/>
      <c r="U30" s="182" t="e">
        <f t="shared" si="4"/>
        <v>#REF!</v>
      </c>
      <c r="V30" s="182" t="e">
        <f t="shared" si="5"/>
        <v>#REF!</v>
      </c>
      <c r="W30" s="182" t="e">
        <f>VLOOKUP(B30,'Bảng công T9'!B:HH,227,0)</f>
        <v>#REF!</v>
      </c>
      <c r="X30" s="285" t="e">
        <f>VLOOKUP(C30,'Bảng công T9'!C:HG,225,0)</f>
        <v>#REF!</v>
      </c>
      <c r="Y30" s="182" t="e">
        <f>VLOOKUP(C30,'Bảng công T9'!$C:$HI,227,0)</f>
        <v>#REF!</v>
      </c>
      <c r="Z30" s="185"/>
      <c r="AA30" s="190" t="s">
        <v>47</v>
      </c>
    </row>
    <row r="31" spans="1:28">
      <c r="A31" s="178">
        <v>23</v>
      </c>
      <c r="B31" s="74" t="s">
        <v>58</v>
      </c>
      <c r="C31" s="228" t="str">
        <f>VLOOKUP(B31,'Bảng công T9'!B:C,2,0)</f>
        <v>187884819</v>
      </c>
      <c r="D31" s="74" t="str">
        <f>VLOOKUP(B31,'Bảng công T9'!B:F,5,0)</f>
        <v>Nguyễn Văn Hồng Hải</v>
      </c>
      <c r="E31" s="74" t="str">
        <f>VLOOKUP(B31,'Bảng công T9'!B:I,8,0)</f>
        <v>Line 4</v>
      </c>
      <c r="F31" s="74" t="str">
        <f>VLOOKUP(B31,'Bảng công T9'!$B$11:$J$1013,9,0)</f>
        <v>HNS</v>
      </c>
      <c r="G31" s="74">
        <f>VLOOKUP(B31,'Bảng công T9'!B:H,7,0)</f>
        <v>200704</v>
      </c>
      <c r="H31" s="177" t="e">
        <f>VLOOKUP(B31,'Bảng công T9'!$B$11:$GV$1013,215,0)</f>
        <v>#REF!</v>
      </c>
      <c r="I31" s="179" t="e">
        <f t="shared" si="0"/>
        <v>#REF!</v>
      </c>
      <c r="J31" s="177"/>
      <c r="K31" s="180" t="e">
        <f>VLOOKUP(B31,'Bảng công T9'!$B$11:$GU$1013,214,0)</f>
        <v>#REF!</v>
      </c>
      <c r="L31" s="181" t="e">
        <f>VLOOKUP(B31,'Bảng công T9'!$B$11:$GW$1013,216,0)</f>
        <v>#REF!</v>
      </c>
      <c r="M31" s="181" t="e">
        <f>VLOOKUP(B31,'Bảng công T9'!B:GX,217,0)</f>
        <v>#REF!</v>
      </c>
      <c r="N31" s="180" t="e">
        <f>VLOOKUP(B31,'Bảng công T9'!B:GY,218,0)</f>
        <v>#REF!</v>
      </c>
      <c r="O31" s="180"/>
      <c r="P31" s="180" t="e">
        <f t="shared" si="1"/>
        <v>#REF!</v>
      </c>
      <c r="Q31" s="180" t="e">
        <f>VLOOKUP(B31,'Bảng công T9'!B:HF,225,0)</f>
        <v>#REF!</v>
      </c>
      <c r="R31" s="180">
        <f t="shared" si="2"/>
        <v>0</v>
      </c>
      <c r="S31" s="180" t="e">
        <f t="shared" si="3"/>
        <v>#REF!</v>
      </c>
      <c r="T31" s="180"/>
      <c r="U31" s="182" t="e">
        <f t="shared" si="4"/>
        <v>#REF!</v>
      </c>
      <c r="V31" s="182" t="e">
        <f t="shared" si="5"/>
        <v>#REF!</v>
      </c>
      <c r="W31" s="182" t="e">
        <f>VLOOKUP(B31,'Bảng công T9'!B:HH,227,0)</f>
        <v>#REF!</v>
      </c>
      <c r="X31" s="285" t="e">
        <f>VLOOKUP(C31,'Bảng công T9'!C:HG,225,0)</f>
        <v>#REF!</v>
      </c>
      <c r="Y31" s="182" t="e">
        <f>VLOOKUP(C31,'Bảng công T9'!$C:$HI,227,0)</f>
        <v>#REF!</v>
      </c>
      <c r="Z31" s="185"/>
      <c r="AA31" s="191" t="s">
        <v>597</v>
      </c>
    </row>
    <row r="32" spans="1:28">
      <c r="A32" s="178">
        <v>24</v>
      </c>
      <c r="B32" s="74" t="s">
        <v>432</v>
      </c>
      <c r="C32" s="228" t="str">
        <f>VLOOKUP(B32,'Bảng công T9'!B:C,2,0)</f>
        <v>071066898</v>
      </c>
      <c r="D32" s="74" t="str">
        <f>VLOOKUP(B32,'Bảng công T9'!B:F,5,0)</f>
        <v>Trần Thanh Hường</v>
      </c>
      <c r="E32" s="74" t="str">
        <f>VLOOKUP(B32,'Bảng công T9'!B:I,8,0)</f>
        <v>Line 4</v>
      </c>
      <c r="F32" s="74" t="str">
        <f>VLOOKUP(B32,'Bảng công T9'!$B$11:$J$1013,9,0)</f>
        <v>HNS</v>
      </c>
      <c r="G32" s="74">
        <f>VLOOKUP(B32,'Bảng công T9'!B:H,7,0)</f>
        <v>200709</v>
      </c>
      <c r="H32" s="177" t="e">
        <f>VLOOKUP(B32,'Bảng công T9'!$B$11:$GV$1013,215,0)</f>
        <v>#REF!</v>
      </c>
      <c r="I32" s="179" t="e">
        <f t="shared" si="0"/>
        <v>#REF!</v>
      </c>
      <c r="J32" s="177" t="str">
        <f>VLOOKUP(B32,'Tham gia BH T9'!$B$10:$AY$26,50,0)</f>
        <v>BHXH</v>
      </c>
      <c r="K32" s="180" t="e">
        <f>VLOOKUP(B32,'Bảng công T9'!$B$11:$GU$1013,214,0)</f>
        <v>#REF!</v>
      </c>
      <c r="L32" s="181" t="e">
        <f>VLOOKUP(B32,'Bảng công T9'!$B$11:$GW$1013,216,0)</f>
        <v>#REF!</v>
      </c>
      <c r="M32" s="181" t="e">
        <f>VLOOKUP(B32,'Bảng công T9'!B:GX,217,0)</f>
        <v>#REF!</v>
      </c>
      <c r="N32" s="180" t="e">
        <f>VLOOKUP(B32,'Bảng công T9'!B:GY,218,0)</f>
        <v>#REF!</v>
      </c>
      <c r="O32" s="180"/>
      <c r="P32" s="180" t="e">
        <f t="shared" si="1"/>
        <v>#REF!</v>
      </c>
      <c r="Q32" s="180" t="e">
        <f>VLOOKUP(B32,'Bảng công T9'!B:HF,225,0)</f>
        <v>#REF!</v>
      </c>
      <c r="R32" s="180">
        <f t="shared" si="2"/>
        <v>496650</v>
      </c>
      <c r="S32" s="180" t="e">
        <f t="shared" si="3"/>
        <v>#REF!</v>
      </c>
      <c r="T32" s="180"/>
      <c r="U32" s="182" t="e">
        <f t="shared" si="4"/>
        <v>#REF!</v>
      </c>
      <c r="V32" s="182" t="e">
        <f t="shared" si="5"/>
        <v>#REF!</v>
      </c>
      <c r="W32" s="182" t="e">
        <f>VLOOKUP(B32,'Bảng công T9'!B:HH,227,0)</f>
        <v>#REF!</v>
      </c>
      <c r="X32" s="285" t="e">
        <f>VLOOKUP(C32,'Bảng công T9'!C:HG,225,0)</f>
        <v>#REF!</v>
      </c>
      <c r="Y32" s="182" t="e">
        <f>VLOOKUP(C32,'Bảng công T9'!$C:$HI,227,0)</f>
        <v>#REF!</v>
      </c>
      <c r="Z32" s="185"/>
      <c r="AA32" s="191" t="s">
        <v>598</v>
      </c>
    </row>
    <row r="33" spans="1:27">
      <c r="A33" s="178">
        <v>25</v>
      </c>
      <c r="B33" s="63" t="s">
        <v>64</v>
      </c>
      <c r="C33" s="228" t="str">
        <f>VLOOKUP(B33,'Bảng công T9'!B:C,2,0)</f>
        <v>187840012</v>
      </c>
      <c r="D33" s="74" t="str">
        <f>VLOOKUP(B33,'Bảng công T9'!B:F,5,0)</f>
        <v>Lương Văn Hài</v>
      </c>
      <c r="E33" s="74" t="str">
        <f>VLOOKUP(B33,'Bảng công T9'!B:I,8,0)</f>
        <v>Line 4</v>
      </c>
      <c r="F33" s="74" t="str">
        <f>VLOOKUP(B33,'Bảng công T9'!$B$11:$J$1013,9,0)</f>
        <v>HNS</v>
      </c>
      <c r="G33" s="74">
        <f>VLOOKUP(B33,'Bảng công T9'!B:H,7,0)</f>
        <v>200712</v>
      </c>
      <c r="H33" s="177" t="e">
        <f>VLOOKUP(B33,'Bảng công T9'!$B$11:$GV$1013,215,0)</f>
        <v>#REF!</v>
      </c>
      <c r="I33" s="179" t="e">
        <f t="shared" si="0"/>
        <v>#REF!</v>
      </c>
      <c r="J33" s="177" t="str">
        <f>VLOOKUP(B33,'Tham gia BH T9'!$B$10:$AY$26,50,0)</f>
        <v>BHXH</v>
      </c>
      <c r="K33" s="180" t="e">
        <f>VLOOKUP(B33,'Bảng công T9'!$B$11:$GU$1013,214,0)</f>
        <v>#REF!</v>
      </c>
      <c r="L33" s="181" t="e">
        <f>VLOOKUP(B33,'Bảng công T9'!$B$11:$GW$1013,216,0)</f>
        <v>#REF!</v>
      </c>
      <c r="M33" s="181" t="e">
        <f>VLOOKUP(B33,'Bảng công T9'!B:GX,217,0)</f>
        <v>#REF!</v>
      </c>
      <c r="N33" s="180" t="e">
        <f>VLOOKUP(B33,'Bảng công T9'!B:GY,218,0)</f>
        <v>#REF!</v>
      </c>
      <c r="O33" s="180"/>
      <c r="P33" s="180" t="e">
        <f t="shared" si="1"/>
        <v>#REF!</v>
      </c>
      <c r="Q33" s="180" t="e">
        <f>VLOOKUP(B33,'Bảng công T9'!B:HF,225,0)</f>
        <v>#REF!</v>
      </c>
      <c r="R33" s="180">
        <f t="shared" si="2"/>
        <v>496650</v>
      </c>
      <c r="S33" s="180" t="e">
        <f t="shared" si="3"/>
        <v>#REF!</v>
      </c>
      <c r="T33" s="180"/>
      <c r="U33" s="182" t="e">
        <f t="shared" si="4"/>
        <v>#REF!</v>
      </c>
      <c r="V33" s="182" t="e">
        <f t="shared" si="5"/>
        <v>#REF!</v>
      </c>
      <c r="W33" s="182" t="e">
        <f>VLOOKUP(B33,'Bảng công T9'!B:HH,227,0)</f>
        <v>#REF!</v>
      </c>
      <c r="X33" s="285" t="e">
        <f>VLOOKUP(C33,'Bảng công T9'!C:HG,225,0)</f>
        <v>#REF!</v>
      </c>
      <c r="Y33" s="182" t="e">
        <f>VLOOKUP(C33,'Bảng công T9'!$C:$HI,227,0)</f>
        <v>#REF!</v>
      </c>
      <c r="Z33" s="185"/>
      <c r="AA33" s="186" t="s">
        <v>48</v>
      </c>
    </row>
    <row r="34" spans="1:27">
      <c r="A34" s="178">
        <v>26</v>
      </c>
      <c r="B34" s="63" t="s">
        <v>62</v>
      </c>
      <c r="C34" s="228" t="str">
        <f>VLOOKUP(B34,'Bảng công T9'!B:C,2,0)</f>
        <v>031094007697</v>
      </c>
      <c r="D34" s="74" t="str">
        <f>VLOOKUP(B34,'Bảng công T9'!B:F,5,0)</f>
        <v>Đỗ Văn Thái</v>
      </c>
      <c r="E34" s="74" t="str">
        <f>VLOOKUP(B34,'Bảng công T9'!B:I,8,0)</f>
        <v>PM</v>
      </c>
      <c r="F34" s="74" t="str">
        <f>VLOOKUP(B34,'Bảng công T9'!$B$11:$J$1013,9,0)</f>
        <v>HNS</v>
      </c>
      <c r="G34" s="74">
        <f>VLOOKUP(B34,'Bảng công T9'!B:H,7,0)</f>
        <v>200714</v>
      </c>
      <c r="H34" s="177" t="e">
        <f>VLOOKUP(B34,'Bảng công T9'!$B$11:$GV$1013,215,0)</f>
        <v>#REF!</v>
      </c>
      <c r="I34" s="179" t="e">
        <f t="shared" ref="I34:I52" si="6">IF(H34&gt;=14,"D",0)</f>
        <v>#REF!</v>
      </c>
      <c r="J34" s="177"/>
      <c r="K34" s="180" t="e">
        <f>VLOOKUP(B34,'Bảng công T9'!$B$11:$GU$1013,214,0)</f>
        <v>#REF!</v>
      </c>
      <c r="L34" s="181" t="e">
        <f>VLOOKUP(B34,'Bảng công T9'!$B$11:$GW$1013,216,0)</f>
        <v>#REF!</v>
      </c>
      <c r="M34" s="181" t="e">
        <f>VLOOKUP(B34,'Bảng công T9'!B:GX,217,0)</f>
        <v>#REF!</v>
      </c>
      <c r="N34" s="180" t="e">
        <f>VLOOKUP(B34,'Bảng công T9'!B:GY,218,0)</f>
        <v>#REF!</v>
      </c>
      <c r="O34" s="180"/>
      <c r="P34" s="180" t="e">
        <f t="shared" si="1"/>
        <v>#REF!</v>
      </c>
      <c r="Q34" s="180" t="e">
        <f>VLOOKUP(B34,'Bảng công T9'!B:HF,225,0)</f>
        <v>#REF!</v>
      </c>
      <c r="R34" s="180">
        <f t="shared" ref="R34:R52" si="7">IF(J34="BHXH",$E$4*10.5%,0)</f>
        <v>0</v>
      </c>
      <c r="S34" s="180" t="e">
        <f t="shared" ref="S34:S52" si="8">IF(P34&gt;11000000,(P34-11000000)*10%,0)</f>
        <v>#REF!</v>
      </c>
      <c r="T34" s="180"/>
      <c r="U34" s="182" t="e">
        <f t="shared" ref="U34:U52" si="9">P34-Q34-R34-S34-T34</f>
        <v>#REF!</v>
      </c>
      <c r="V34" s="182" t="e">
        <f t="shared" ref="V34:V52" si="10">P34-Q34-R34-S34</f>
        <v>#REF!</v>
      </c>
      <c r="W34" s="182" t="e">
        <f>VLOOKUP(B34,'Bảng công T9'!B:HH,227,0)</f>
        <v>#REF!</v>
      </c>
      <c r="X34" s="285" t="e">
        <f>VLOOKUP(C34,'Bảng công T9'!C:HG,225,0)</f>
        <v>#REF!</v>
      </c>
      <c r="Y34" s="182" t="e">
        <f>VLOOKUP(C34,'Bảng công T9'!$C:$HI,227,0)</f>
        <v>#REF!</v>
      </c>
      <c r="Z34" s="185"/>
      <c r="AA34" s="186"/>
    </row>
    <row r="35" spans="1:27">
      <c r="A35" s="178">
        <v>27</v>
      </c>
      <c r="B35" s="63" t="s">
        <v>63</v>
      </c>
      <c r="C35" s="228" t="str">
        <f>VLOOKUP(B35,'Bảng công T9'!B:C,2,0)</f>
        <v>184320845</v>
      </c>
      <c r="D35" s="74" t="str">
        <f>VLOOKUP(B35,'Bảng công T9'!B:F,5,0)</f>
        <v>Dương Văn Nhật</v>
      </c>
      <c r="E35" s="74" t="str">
        <f>VLOOKUP(B35,'Bảng công T9'!B:I,8,0)</f>
        <v>Line 4</v>
      </c>
      <c r="F35" s="74" t="str">
        <f>VLOOKUP(B35,'Bảng công T9'!$B$11:$J$1013,9,0)</f>
        <v>HNS</v>
      </c>
      <c r="G35" s="74">
        <f>VLOOKUP(B35,'Bảng công T9'!B:H,7,0)</f>
        <v>200715</v>
      </c>
      <c r="H35" s="177" t="e">
        <f>VLOOKUP(B35,'Bảng công T9'!$B$11:$GV$1013,215,0)</f>
        <v>#REF!</v>
      </c>
      <c r="I35" s="179" t="e">
        <f t="shared" si="6"/>
        <v>#REF!</v>
      </c>
      <c r="J35" s="177"/>
      <c r="K35" s="180" t="e">
        <f>VLOOKUP(B35,'Bảng công T9'!$B$11:$GU$1013,214,0)</f>
        <v>#REF!</v>
      </c>
      <c r="L35" s="181" t="e">
        <f>VLOOKUP(B35,'Bảng công T9'!$B$11:$GW$1013,216,0)</f>
        <v>#REF!</v>
      </c>
      <c r="M35" s="181" t="e">
        <f>VLOOKUP(B35,'Bảng công T9'!B:GX,217,0)</f>
        <v>#REF!</v>
      </c>
      <c r="N35" s="180" t="e">
        <f>VLOOKUP(B35,'Bảng công T9'!B:GY,218,0)</f>
        <v>#REF!</v>
      </c>
      <c r="O35" s="180"/>
      <c r="P35" s="180" t="e">
        <f t="shared" si="1"/>
        <v>#REF!</v>
      </c>
      <c r="Q35" s="180" t="e">
        <f>VLOOKUP(B35,'Bảng công T9'!B:HF,225,0)</f>
        <v>#REF!</v>
      </c>
      <c r="R35" s="180">
        <f t="shared" si="7"/>
        <v>0</v>
      </c>
      <c r="S35" s="180" t="e">
        <f t="shared" si="8"/>
        <v>#REF!</v>
      </c>
      <c r="T35" s="180"/>
      <c r="U35" s="182" t="e">
        <f t="shared" si="9"/>
        <v>#REF!</v>
      </c>
      <c r="V35" s="182" t="e">
        <f t="shared" si="10"/>
        <v>#REF!</v>
      </c>
      <c r="W35" s="182" t="e">
        <f>VLOOKUP(B35,'Bảng công T9'!B:HH,227,0)</f>
        <v>#REF!</v>
      </c>
      <c r="X35" s="285" t="e">
        <f>VLOOKUP(C35,'Bảng công T9'!C:HG,225,0)</f>
        <v>#REF!</v>
      </c>
      <c r="Y35" s="182" t="e">
        <f>VLOOKUP(C35,'Bảng công T9'!$C:$HI,227,0)</f>
        <v>#REF!</v>
      </c>
      <c r="Z35" s="185"/>
      <c r="AA35" s="186"/>
    </row>
    <row r="36" spans="1:27">
      <c r="A36" s="178">
        <v>28</v>
      </c>
      <c r="B36" s="63" t="s">
        <v>427</v>
      </c>
      <c r="C36" s="228" t="str">
        <f>VLOOKUP(B36,'Bảng công T9'!B:C,2,0)</f>
        <v>184430445</v>
      </c>
      <c r="D36" s="74" t="str">
        <f>VLOOKUP(B36,'Bảng công T9'!B:F,5,0)</f>
        <v>Nguyễn Ngọc Ánh</v>
      </c>
      <c r="E36" s="74" t="str">
        <f>VLOOKUP(B36,'Bảng công T9'!B:I,8,0)</f>
        <v>Line 4</v>
      </c>
      <c r="F36" s="74" t="str">
        <f>VLOOKUP(B36,'Bảng công T9'!$B$11:$J$1013,9,0)</f>
        <v>HNS</v>
      </c>
      <c r="G36" s="74">
        <f>VLOOKUP(B36,'Bảng công T9'!B:H,7,0)</f>
        <v>200715</v>
      </c>
      <c r="H36" s="177" t="e">
        <f>VLOOKUP(B36,'Bảng công T9'!$B$11:$GV$1013,215,0)</f>
        <v>#REF!</v>
      </c>
      <c r="I36" s="179" t="e">
        <f t="shared" si="6"/>
        <v>#REF!</v>
      </c>
      <c r="J36" s="177"/>
      <c r="K36" s="180" t="e">
        <f>VLOOKUP(B36,'Bảng công T9'!$B$11:$GU$1013,214,0)</f>
        <v>#REF!</v>
      </c>
      <c r="L36" s="181" t="e">
        <f>VLOOKUP(B36,'Bảng công T9'!$B$11:$GW$1013,216,0)</f>
        <v>#REF!</v>
      </c>
      <c r="M36" s="181" t="e">
        <f>VLOOKUP(B36,'Bảng công T9'!B:GX,217,0)</f>
        <v>#REF!</v>
      </c>
      <c r="N36" s="180" t="e">
        <f>VLOOKUP(B36,'Bảng công T9'!B:GY,218,0)</f>
        <v>#REF!</v>
      </c>
      <c r="O36" s="180"/>
      <c r="P36" s="180" t="e">
        <f t="shared" si="1"/>
        <v>#REF!</v>
      </c>
      <c r="Q36" s="180" t="e">
        <f>VLOOKUP(B36,'Bảng công T9'!B:HF,225,0)</f>
        <v>#REF!</v>
      </c>
      <c r="R36" s="180">
        <f t="shared" si="7"/>
        <v>0</v>
      </c>
      <c r="S36" s="180" t="e">
        <f t="shared" si="8"/>
        <v>#REF!</v>
      </c>
      <c r="T36" s="180"/>
      <c r="U36" s="182" t="e">
        <f t="shared" si="9"/>
        <v>#REF!</v>
      </c>
      <c r="V36" s="182" t="e">
        <f t="shared" si="10"/>
        <v>#REF!</v>
      </c>
      <c r="W36" s="182" t="e">
        <f>VLOOKUP(B36,'Bảng công T9'!B:HH,227,0)</f>
        <v>#REF!</v>
      </c>
      <c r="X36" s="285" t="e">
        <f>VLOOKUP(C36,'Bảng công T9'!C:HG,225,0)</f>
        <v>#REF!</v>
      </c>
      <c r="Y36" s="182" t="e">
        <f>VLOOKUP(C36,'Bảng công T9'!$C:$HI,227,0)</f>
        <v>#REF!</v>
      </c>
      <c r="Z36" s="185"/>
      <c r="AA36" s="186"/>
    </row>
    <row r="37" spans="1:27">
      <c r="A37" s="178">
        <v>29</v>
      </c>
      <c r="B37" s="63" t="s">
        <v>65</v>
      </c>
      <c r="C37" s="228" t="str">
        <f>VLOOKUP(B37,'Bảng công T9'!B:C,2,0)</f>
        <v>051139904</v>
      </c>
      <c r="D37" s="74" t="str">
        <f>VLOOKUP(B37,'Bảng công T9'!B:F,5,0)</f>
        <v>Lò Văn Trường</v>
      </c>
      <c r="E37" s="74" t="str">
        <f>VLOOKUP(B37,'Bảng công T9'!B:I,8,0)</f>
        <v>Line 4</v>
      </c>
      <c r="F37" s="74" t="str">
        <f>VLOOKUP(B37,'Bảng công T9'!$B$11:$J$1013,9,0)</f>
        <v>HNS</v>
      </c>
      <c r="G37" s="74">
        <f>VLOOKUP(B37,'Bảng công T9'!B:H,7,0)</f>
        <v>200720</v>
      </c>
      <c r="H37" s="177" t="e">
        <f>VLOOKUP(B37,'Bảng công T9'!$B$11:$GV$1013,215,0)</f>
        <v>#REF!</v>
      </c>
      <c r="I37" s="179" t="e">
        <f t="shared" si="6"/>
        <v>#REF!</v>
      </c>
      <c r="J37" s="177"/>
      <c r="K37" s="180" t="e">
        <f>VLOOKUP(B37,'Bảng công T9'!$B$11:$GU$1013,214,0)</f>
        <v>#REF!</v>
      </c>
      <c r="L37" s="181" t="e">
        <f>VLOOKUP(B37,'Bảng công T9'!$B$11:$GW$1013,216,0)</f>
        <v>#REF!</v>
      </c>
      <c r="M37" s="181" t="e">
        <f>VLOOKUP(B37,'Bảng công T9'!B:GX,217,0)</f>
        <v>#REF!</v>
      </c>
      <c r="N37" s="180" t="e">
        <f>VLOOKUP(B37,'Bảng công T9'!B:GY,218,0)</f>
        <v>#REF!</v>
      </c>
      <c r="O37" s="180"/>
      <c r="P37" s="180" t="e">
        <f t="shared" si="1"/>
        <v>#REF!</v>
      </c>
      <c r="Q37" s="180" t="e">
        <f>VLOOKUP(B37,'Bảng công T9'!B:HF,225,0)</f>
        <v>#REF!</v>
      </c>
      <c r="R37" s="180">
        <f t="shared" si="7"/>
        <v>0</v>
      </c>
      <c r="S37" s="180" t="e">
        <f t="shared" si="8"/>
        <v>#REF!</v>
      </c>
      <c r="T37" s="180"/>
      <c r="U37" s="182" t="e">
        <f t="shared" si="9"/>
        <v>#REF!</v>
      </c>
      <c r="V37" s="182" t="e">
        <f t="shared" si="10"/>
        <v>#REF!</v>
      </c>
      <c r="W37" s="182" t="e">
        <f>VLOOKUP(B37,'Bảng công T9'!B:HH,227,0)</f>
        <v>#REF!</v>
      </c>
      <c r="X37" s="285" t="e">
        <f>VLOOKUP(C37,'Bảng công T9'!C:HG,225,0)</f>
        <v>#REF!</v>
      </c>
      <c r="Y37" s="182" t="e">
        <f>VLOOKUP(C37,'Bảng công T9'!$C:$HI,227,0)</f>
        <v>#REF!</v>
      </c>
      <c r="Z37" s="185"/>
      <c r="AA37" s="186"/>
    </row>
    <row r="38" spans="1:27">
      <c r="A38" s="178">
        <v>30</v>
      </c>
      <c r="B38" s="63" t="s">
        <v>66</v>
      </c>
      <c r="C38" s="228" t="str">
        <f>VLOOKUP(B38,'Bảng công T9'!B:C,2,0)</f>
        <v>187861025</v>
      </c>
      <c r="D38" s="74" t="str">
        <f>VLOOKUP(B38,'Bảng công T9'!B:F,5,0)</f>
        <v>Phan Thị Ngân</v>
      </c>
      <c r="E38" s="74" t="str">
        <f>VLOOKUP(B38,'Bảng công T9'!B:I,8,0)</f>
        <v>Máy</v>
      </c>
      <c r="F38" s="74" t="str">
        <f>VLOOKUP(B38,'Bảng công T9'!$B$11:$J$1013,9,0)</f>
        <v>HNS</v>
      </c>
      <c r="G38" s="74">
        <f>VLOOKUP(B38,'Bảng công T9'!B:H,7,0)</f>
        <v>200722</v>
      </c>
      <c r="H38" s="177" t="e">
        <f>VLOOKUP(B38,'Bảng công T9'!$B$11:$GV$1013,215,0)</f>
        <v>#REF!</v>
      </c>
      <c r="I38" s="179" t="e">
        <f t="shared" si="6"/>
        <v>#REF!</v>
      </c>
      <c r="J38" s="177"/>
      <c r="K38" s="180" t="e">
        <f>VLOOKUP(B38,'Bảng công T9'!$B$11:$GU$1013,214,0)</f>
        <v>#REF!</v>
      </c>
      <c r="L38" s="181" t="e">
        <f>VLOOKUP(B38,'Bảng công T9'!$B$11:$GW$1013,216,0)</f>
        <v>#REF!</v>
      </c>
      <c r="M38" s="181" t="e">
        <f>VLOOKUP(B38,'Bảng công T9'!B:GX,217,0)</f>
        <v>#REF!</v>
      </c>
      <c r="N38" s="180" t="e">
        <f>VLOOKUP(B38,'Bảng công T9'!B:GY,218,0)</f>
        <v>#REF!</v>
      </c>
      <c r="O38" s="180"/>
      <c r="P38" s="180" t="e">
        <f t="shared" si="1"/>
        <v>#REF!</v>
      </c>
      <c r="Q38" s="180" t="e">
        <f>VLOOKUP(B38,'Bảng công T9'!B:HF,225,0)</f>
        <v>#REF!</v>
      </c>
      <c r="R38" s="180">
        <f t="shared" si="7"/>
        <v>0</v>
      </c>
      <c r="S38" s="180" t="e">
        <f t="shared" si="8"/>
        <v>#REF!</v>
      </c>
      <c r="T38" s="180"/>
      <c r="U38" s="182" t="e">
        <f t="shared" si="9"/>
        <v>#REF!</v>
      </c>
      <c r="V38" s="182" t="e">
        <f t="shared" si="10"/>
        <v>#REF!</v>
      </c>
      <c r="W38" s="182" t="e">
        <f>VLOOKUP(B38,'Bảng công T9'!B:HH,227,0)</f>
        <v>#REF!</v>
      </c>
      <c r="X38" s="285" t="e">
        <f>VLOOKUP(C38,'Bảng công T9'!C:HG,225,0)</f>
        <v>#REF!</v>
      </c>
      <c r="Y38" s="182" t="e">
        <f>VLOOKUP(C38,'Bảng công T9'!$C:$HI,227,0)</f>
        <v>#REF!</v>
      </c>
      <c r="Z38" s="185"/>
      <c r="AA38" s="186"/>
    </row>
    <row r="39" spans="1:27">
      <c r="A39" s="178">
        <v>31</v>
      </c>
      <c r="B39" s="63" t="s">
        <v>67</v>
      </c>
      <c r="C39" s="228" t="str">
        <f>VLOOKUP(B39,'Bảng công T9'!B:C,2,0)</f>
        <v>187742278</v>
      </c>
      <c r="D39" s="74" t="str">
        <f>VLOOKUP(B39,'Bảng công T9'!B:F,5,0)</f>
        <v>Phan Thị Mai</v>
      </c>
      <c r="E39" s="74" t="str">
        <f>VLOOKUP(B39,'Bảng công T9'!B:I,8,0)</f>
        <v>Máy</v>
      </c>
      <c r="F39" s="74" t="str">
        <f>VLOOKUP(B39,'Bảng công T9'!$B$11:$J$1013,9,0)</f>
        <v>HNS</v>
      </c>
      <c r="G39" s="74">
        <f>VLOOKUP(B39,'Bảng công T9'!B:H,7,0)</f>
        <v>200722</v>
      </c>
      <c r="H39" s="177" t="e">
        <f>VLOOKUP(B39,'Bảng công T9'!$B$11:$GV$1013,215,0)</f>
        <v>#REF!</v>
      </c>
      <c r="I39" s="179" t="e">
        <f t="shared" si="6"/>
        <v>#REF!</v>
      </c>
      <c r="J39" s="177"/>
      <c r="K39" s="180" t="e">
        <f>VLOOKUP(B39,'Bảng công T9'!$B$11:$GU$1013,214,0)</f>
        <v>#REF!</v>
      </c>
      <c r="L39" s="181" t="e">
        <f>VLOOKUP(B39,'Bảng công T9'!$B$11:$GW$1013,216,0)</f>
        <v>#REF!</v>
      </c>
      <c r="M39" s="181" t="e">
        <f>VLOOKUP(B39,'Bảng công T9'!B:GX,217,0)</f>
        <v>#REF!</v>
      </c>
      <c r="N39" s="180" t="e">
        <f>VLOOKUP(B39,'Bảng công T9'!B:GY,218,0)</f>
        <v>#REF!</v>
      </c>
      <c r="O39" s="180"/>
      <c r="P39" s="180" t="e">
        <f t="shared" si="1"/>
        <v>#REF!</v>
      </c>
      <c r="Q39" s="180" t="e">
        <f>VLOOKUP(B39,'Bảng công T9'!B:HF,225,0)</f>
        <v>#REF!</v>
      </c>
      <c r="R39" s="180">
        <f t="shared" si="7"/>
        <v>0</v>
      </c>
      <c r="S39" s="180" t="e">
        <f t="shared" si="8"/>
        <v>#REF!</v>
      </c>
      <c r="T39" s="180"/>
      <c r="U39" s="182" t="e">
        <f t="shared" si="9"/>
        <v>#REF!</v>
      </c>
      <c r="V39" s="182" t="e">
        <f t="shared" si="10"/>
        <v>#REF!</v>
      </c>
      <c r="W39" s="182" t="e">
        <f>VLOOKUP(B39,'Bảng công T9'!B:HH,227,0)</f>
        <v>#REF!</v>
      </c>
      <c r="X39" s="285" t="e">
        <f>VLOOKUP(C39,'Bảng công T9'!C:HG,225,0)</f>
        <v>#REF!</v>
      </c>
      <c r="Y39" s="182" t="e">
        <f>VLOOKUP(C39,'Bảng công T9'!$C:$HI,227,0)</f>
        <v>#REF!</v>
      </c>
      <c r="Z39" s="185"/>
      <c r="AA39" s="186"/>
    </row>
    <row r="40" spans="1:27">
      <c r="A40" s="178">
        <v>32</v>
      </c>
      <c r="B40" s="63" t="s">
        <v>68</v>
      </c>
      <c r="C40" s="228" t="str">
        <f>VLOOKUP(B40,'Bảng công T9'!B:C,2,0)</f>
        <v>142736145</v>
      </c>
      <c r="D40" s="74" t="str">
        <f>VLOOKUP(B40,'Bảng công T9'!B:F,5,0)</f>
        <v>Đồng Thị Kim Anh</v>
      </c>
      <c r="E40" s="74" t="str">
        <f>VLOOKUP(B40,'Bảng công T9'!B:I,8,0)</f>
        <v>Máy</v>
      </c>
      <c r="F40" s="74" t="str">
        <f>VLOOKUP(B40,'Bảng công T9'!$B$11:$J$1013,9,0)</f>
        <v>HNS</v>
      </c>
      <c r="G40" s="74">
        <f>VLOOKUP(B40,'Bảng công T9'!B:H,7,0)</f>
        <v>200722</v>
      </c>
      <c r="H40" s="177" t="e">
        <f>VLOOKUP(B40,'Bảng công T9'!$B$11:$GV$1013,215,0)</f>
        <v>#REF!</v>
      </c>
      <c r="I40" s="179" t="e">
        <f t="shared" si="6"/>
        <v>#REF!</v>
      </c>
      <c r="J40" s="177"/>
      <c r="K40" s="180" t="e">
        <f>VLOOKUP(B40,'Bảng công T9'!$B$11:$GU$1013,214,0)</f>
        <v>#REF!</v>
      </c>
      <c r="L40" s="181" t="e">
        <f>VLOOKUP(B40,'Bảng công T9'!$B$11:$GW$1013,216,0)</f>
        <v>#REF!</v>
      </c>
      <c r="M40" s="181" t="e">
        <f>VLOOKUP(B40,'Bảng công T9'!B:GX,217,0)</f>
        <v>#REF!</v>
      </c>
      <c r="N40" s="180" t="e">
        <f>VLOOKUP(B40,'Bảng công T9'!B:GY,218,0)</f>
        <v>#REF!</v>
      </c>
      <c r="O40" s="180">
        <v>330000</v>
      </c>
      <c r="P40" s="180" t="e">
        <f t="shared" si="1"/>
        <v>#REF!</v>
      </c>
      <c r="Q40" s="180" t="e">
        <f>VLOOKUP(B40,'Bảng công T9'!B:HF,225,0)</f>
        <v>#REF!</v>
      </c>
      <c r="R40" s="180">
        <f t="shared" si="7"/>
        <v>0</v>
      </c>
      <c r="S40" s="180" t="e">
        <f t="shared" si="8"/>
        <v>#REF!</v>
      </c>
      <c r="T40" s="180"/>
      <c r="U40" s="182" t="e">
        <f t="shared" si="9"/>
        <v>#REF!</v>
      </c>
      <c r="V40" s="182" t="e">
        <f t="shared" si="10"/>
        <v>#REF!</v>
      </c>
      <c r="W40" s="182" t="e">
        <f>VLOOKUP(B40,'Bảng công T9'!B:HH,227,0)</f>
        <v>#REF!</v>
      </c>
      <c r="X40" s="285" t="e">
        <f>VLOOKUP(C40,'Bảng công T9'!C:HG,225,0)</f>
        <v>#REF!</v>
      </c>
      <c r="Y40" s="182" t="e">
        <f>VLOOKUP(C40,'Bảng công T9'!$C:$HI,227,0)</f>
        <v>#REF!</v>
      </c>
      <c r="Z40" s="185"/>
      <c r="AA40" s="186"/>
    </row>
    <row r="41" spans="1:27">
      <c r="A41" s="178">
        <v>33</v>
      </c>
      <c r="B41" s="63" t="s">
        <v>70</v>
      </c>
      <c r="C41" s="228" t="str">
        <f>VLOOKUP(B41,'Bảng công T9'!B:C,2,0)</f>
        <v>031191000284</v>
      </c>
      <c r="D41" s="74" t="str">
        <f>VLOOKUP(B41,'Bảng công T9'!B:F,5,0)</f>
        <v>Phạm Thị Hương</v>
      </c>
      <c r="E41" s="74" t="str">
        <f>VLOOKUP(B41,'Bảng công T9'!B:I,8,0)</f>
        <v>Máy</v>
      </c>
      <c r="F41" s="74" t="str">
        <f>VLOOKUP(B41,'Bảng công T9'!$B$11:$J$1013,9,0)</f>
        <v>HNS</v>
      </c>
      <c r="G41" s="74">
        <f>VLOOKUP(B41,'Bảng công T9'!B:H,7,0)</f>
        <v>200727</v>
      </c>
      <c r="H41" s="177" t="e">
        <f>VLOOKUP(B41,'Bảng công T9'!$B$11:$GV$1013,215,0)</f>
        <v>#REF!</v>
      </c>
      <c r="I41" s="179" t="e">
        <f t="shared" si="6"/>
        <v>#REF!</v>
      </c>
      <c r="J41" s="177"/>
      <c r="K41" s="180" t="e">
        <f>VLOOKUP(B41,'Bảng công T9'!$B$11:$GU$1013,214,0)</f>
        <v>#REF!</v>
      </c>
      <c r="L41" s="181" t="e">
        <f>VLOOKUP(B41,'Bảng công T9'!$B$11:$GW$1013,216,0)</f>
        <v>#REF!</v>
      </c>
      <c r="M41" s="870" t="e">
        <f>VLOOKUP(B41,'Bảng công T9'!B:GX,217,0)/2</f>
        <v>#REF!</v>
      </c>
      <c r="N41" s="180" t="e">
        <f>VLOOKUP(B41,'Bảng công T9'!B:GY,218,0)</f>
        <v>#REF!</v>
      </c>
      <c r="O41" s="180"/>
      <c r="P41" s="180" t="e">
        <f t="shared" si="1"/>
        <v>#REF!</v>
      </c>
      <c r="Q41" s="180" t="e">
        <f>VLOOKUP(B41,'Bảng công T9'!B:HF,225,0)</f>
        <v>#REF!</v>
      </c>
      <c r="R41" s="180">
        <f t="shared" si="7"/>
        <v>0</v>
      </c>
      <c r="S41" s="180" t="e">
        <f t="shared" si="8"/>
        <v>#REF!</v>
      </c>
      <c r="T41" s="180"/>
      <c r="U41" s="182" t="e">
        <f t="shared" si="9"/>
        <v>#REF!</v>
      </c>
      <c r="V41" s="182" t="e">
        <f t="shared" si="10"/>
        <v>#REF!</v>
      </c>
      <c r="W41" s="182" t="e">
        <f>VLOOKUP(B41,'Bảng công T9'!B:HH,227,0)</f>
        <v>#REF!</v>
      </c>
      <c r="X41" s="285" t="e">
        <f>VLOOKUP(C41,'Bảng công T9'!C:HG,225,0)</f>
        <v>#REF!</v>
      </c>
      <c r="Y41" s="182" t="e">
        <f>VLOOKUP(C41,'Bảng công T9'!$C:$HI,227,0)</f>
        <v>#REF!</v>
      </c>
      <c r="Z41" s="185"/>
      <c r="AA41" s="186"/>
    </row>
    <row r="42" spans="1:27">
      <c r="A42" s="178">
        <v>34</v>
      </c>
      <c r="B42" s="63" t="s">
        <v>535</v>
      </c>
      <c r="C42" s="228" t="str">
        <f>VLOOKUP(B42,'Bảng công T9'!B:C,2,0)</f>
        <v>061094273</v>
      </c>
      <c r="D42" s="74" t="str">
        <f>VLOOKUP(B42,'Bảng công T9'!B:F,5,0)</f>
        <v>Nguyễn Thị Ngọc Ánh 4/1/2001 Yên Bái</v>
      </c>
      <c r="E42" s="74" t="str">
        <f>VLOOKUP(B42,'Bảng công T9'!B:I,8,0)</f>
        <v>Line 4</v>
      </c>
      <c r="F42" s="74" t="str">
        <f>VLOOKUP(B42,'Bảng công T9'!$B$11:$J$1013,9,0)</f>
        <v>HNS</v>
      </c>
      <c r="G42" s="74">
        <f>VLOOKUP(B42,'Bảng công T9'!B:H,7,0)</f>
        <v>200806</v>
      </c>
      <c r="H42" s="177" t="e">
        <f>VLOOKUP(B42,'Bảng công T9'!$B$11:$GV$1013,215,0)</f>
        <v>#REF!</v>
      </c>
      <c r="I42" s="179" t="e">
        <f t="shared" si="6"/>
        <v>#REF!</v>
      </c>
      <c r="J42" s="177" t="str">
        <f>VLOOKUP(B42,'Tham gia BH T9'!$B$10:$AY$26,50,0)</f>
        <v>BHXH</v>
      </c>
      <c r="K42" s="180" t="e">
        <f>VLOOKUP(B42,'Bảng công T9'!$B$11:$GU$1013,214,0)</f>
        <v>#REF!</v>
      </c>
      <c r="L42" s="181" t="e">
        <f>VLOOKUP(B42,'Bảng công T9'!$B$11:$GW$1013,216,0)</f>
        <v>#REF!</v>
      </c>
      <c r="M42" s="181" t="e">
        <f>VLOOKUP(B42,'Bảng công T9'!B:GX,217,0)</f>
        <v>#REF!</v>
      </c>
      <c r="N42" s="180" t="e">
        <f>VLOOKUP(B42,'Bảng công T9'!B:GY,218,0)</f>
        <v>#REF!</v>
      </c>
      <c r="O42" s="180"/>
      <c r="P42" s="180" t="e">
        <f t="shared" si="1"/>
        <v>#REF!</v>
      </c>
      <c r="Q42" s="180" t="e">
        <f>VLOOKUP(B42,'Bảng công T9'!B:HF,225,0)</f>
        <v>#REF!</v>
      </c>
      <c r="R42" s="180">
        <f t="shared" si="7"/>
        <v>496650</v>
      </c>
      <c r="S42" s="180" t="e">
        <f t="shared" si="8"/>
        <v>#REF!</v>
      </c>
      <c r="T42" s="180"/>
      <c r="U42" s="182" t="e">
        <f t="shared" si="9"/>
        <v>#REF!</v>
      </c>
      <c r="V42" s="182" t="e">
        <f t="shared" si="10"/>
        <v>#REF!</v>
      </c>
      <c r="W42" s="182" t="e">
        <f>VLOOKUP(B42,'Bảng công T9'!B:HH,227,0)</f>
        <v>#REF!</v>
      </c>
      <c r="X42" s="285" t="e">
        <f>VLOOKUP(C42,'Bảng công T9'!C:HG,225,0)</f>
        <v>#REF!</v>
      </c>
      <c r="Y42" s="182" t="e">
        <f>VLOOKUP(C42,'Bảng công T9'!$C:$HI,227,0)</f>
        <v>#REF!</v>
      </c>
      <c r="Z42" s="185"/>
      <c r="AA42" s="186"/>
    </row>
    <row r="43" spans="1:27">
      <c r="A43" s="178">
        <v>35</v>
      </c>
      <c r="B43" s="63" t="s">
        <v>561</v>
      </c>
      <c r="C43" s="228" t="e">
        <f>VLOOKUP(B43,'Bảng công T9'!B:C,2,0)</f>
        <v>#N/A</v>
      </c>
      <c r="D43" s="74" t="e">
        <f>VLOOKUP(B43,'Bảng công T9'!B:F,5,0)</f>
        <v>#N/A</v>
      </c>
      <c r="E43" s="74" t="e">
        <f>VLOOKUP(B43,'Bảng công T9'!B:I,8,0)</f>
        <v>#N/A</v>
      </c>
      <c r="F43" s="74" t="e">
        <f>VLOOKUP(B43,'Bảng công T9'!$B$11:$J$1013,9,0)</f>
        <v>#N/A</v>
      </c>
      <c r="G43" s="74" t="e">
        <f>VLOOKUP(B43,'Bảng công T9'!B:H,7,0)</f>
        <v>#N/A</v>
      </c>
      <c r="H43" s="177" t="e">
        <f>VLOOKUP(B43,'Bảng công T9'!$B$11:$GV$1013,215,0)</f>
        <v>#N/A</v>
      </c>
      <c r="I43" s="179" t="e">
        <f t="shared" si="6"/>
        <v>#N/A</v>
      </c>
      <c r="J43" s="177" t="str">
        <f>VLOOKUP(B43,'Tham gia BH T9'!$B$10:$AY$26,50,0)</f>
        <v>BHXH</v>
      </c>
      <c r="K43" s="180" t="e">
        <f>VLOOKUP(B43,'Bảng công T9'!$B$11:$GU$1013,214,0)</f>
        <v>#N/A</v>
      </c>
      <c r="L43" s="181" t="e">
        <f>VLOOKUP(B43,'Bảng công T9'!$B$11:$GW$1013,216,0)</f>
        <v>#N/A</v>
      </c>
      <c r="M43" s="181" t="e">
        <f>VLOOKUP(B43,'Bảng công T9'!B:GX,217,0)</f>
        <v>#N/A</v>
      </c>
      <c r="N43" s="180" t="e">
        <f>VLOOKUP(B43,'Bảng công T9'!B:GY,218,0)</f>
        <v>#N/A</v>
      </c>
      <c r="O43" s="180"/>
      <c r="P43" s="180" t="e">
        <f t="shared" si="1"/>
        <v>#N/A</v>
      </c>
      <c r="Q43" s="180" t="e">
        <f>VLOOKUP(B43,'Bảng công T9'!B:HF,225,0)</f>
        <v>#N/A</v>
      </c>
      <c r="R43" s="180">
        <f t="shared" si="7"/>
        <v>496650</v>
      </c>
      <c r="S43" s="180" t="e">
        <f t="shared" si="8"/>
        <v>#N/A</v>
      </c>
      <c r="T43" s="180"/>
      <c r="U43" s="182" t="e">
        <f t="shared" si="9"/>
        <v>#N/A</v>
      </c>
      <c r="V43" s="182" t="e">
        <f t="shared" si="10"/>
        <v>#N/A</v>
      </c>
      <c r="W43" s="182" t="e">
        <f>VLOOKUP(B43,'Bảng công T9'!B:HH,227,0)</f>
        <v>#N/A</v>
      </c>
      <c r="X43" s="285" t="e">
        <f>VLOOKUP(C43,'Bảng công T9'!C:HG,225,0)</f>
        <v>#N/A</v>
      </c>
      <c r="Y43" s="182" t="e">
        <f>VLOOKUP(C43,'Bảng công T9'!$C:$HI,227,0)</f>
        <v>#N/A</v>
      </c>
      <c r="Z43" s="185"/>
      <c r="AA43" s="186"/>
    </row>
    <row r="44" spans="1:27">
      <c r="A44" s="178">
        <v>36</v>
      </c>
      <c r="B44" s="63" t="s">
        <v>834</v>
      </c>
      <c r="C44" s="228" t="str">
        <f>VLOOKUP(B44,'Bảng công T9'!B:C,2,0)</f>
        <v>031202003227</v>
      </c>
      <c r="D44" s="74" t="str">
        <f>VLOOKUP(B44,'Bảng công T9'!B:F,5,0)</f>
        <v>Đỗ Văn Đức</v>
      </c>
      <c r="E44" s="74" t="str">
        <f>VLOOKUP(B44,'Bảng công T9'!B:I,8,0)</f>
        <v>Line 4</v>
      </c>
      <c r="F44" s="74" t="str">
        <f>VLOOKUP(B44,'Bảng công T9'!$B$11:$J$1013,9,0)</f>
        <v>HNS</v>
      </c>
      <c r="G44" s="74">
        <f>VLOOKUP(B44,'Bảng công T9'!B:H,7,0)</f>
        <v>200904</v>
      </c>
      <c r="H44" s="177" t="e">
        <f>VLOOKUP(B44,'Bảng công T9'!$B$11:$GV$1013,215,0)</f>
        <v>#REF!</v>
      </c>
      <c r="I44" s="179" t="e">
        <f t="shared" si="6"/>
        <v>#REF!</v>
      </c>
      <c r="J44" s="177"/>
      <c r="K44" s="180" t="e">
        <f>VLOOKUP(B44,'Bảng công T9'!$B$11:$GU$1013,214,0)</f>
        <v>#REF!</v>
      </c>
      <c r="L44" s="181" t="e">
        <f>VLOOKUP(B44,'Bảng công T9'!$B$11:$GW$1013,216,0)</f>
        <v>#REF!</v>
      </c>
      <c r="M44" s="181" t="e">
        <f>VLOOKUP(B44,'Bảng công T9'!B:GX,217,0)</f>
        <v>#REF!</v>
      </c>
      <c r="N44" s="180" t="e">
        <f>VLOOKUP(B44,'Bảng công T9'!B:GY,218,0)</f>
        <v>#REF!</v>
      </c>
      <c r="O44" s="180"/>
      <c r="P44" s="180" t="e">
        <f t="shared" si="1"/>
        <v>#REF!</v>
      </c>
      <c r="Q44" s="180" t="e">
        <f>VLOOKUP(B44,'Bảng công T9'!B:HF,225,0)</f>
        <v>#REF!</v>
      </c>
      <c r="R44" s="180">
        <f t="shared" si="7"/>
        <v>0</v>
      </c>
      <c r="S44" s="180" t="e">
        <f t="shared" si="8"/>
        <v>#REF!</v>
      </c>
      <c r="T44" s="180"/>
      <c r="U44" s="182" t="e">
        <f t="shared" si="9"/>
        <v>#REF!</v>
      </c>
      <c r="V44" s="182" t="e">
        <f t="shared" si="10"/>
        <v>#REF!</v>
      </c>
      <c r="W44" s="182" t="e">
        <f>VLOOKUP(B44,'Bảng công T9'!B:HH,227,0)</f>
        <v>#REF!</v>
      </c>
      <c r="X44" s="285" t="e">
        <f>VLOOKUP(C44,'Bảng công T9'!C:HG,225,0)</f>
        <v>#REF!</v>
      </c>
      <c r="Y44" s="182" t="e">
        <f>VLOOKUP(C44,'Bảng công T9'!$C:$HI,227,0)</f>
        <v>#REF!</v>
      </c>
      <c r="Z44" s="185"/>
      <c r="AA44" s="186"/>
    </row>
    <row r="45" spans="1:27">
      <c r="A45" s="178">
        <v>37</v>
      </c>
      <c r="B45" s="63" t="s">
        <v>837</v>
      </c>
      <c r="C45" s="228" t="str">
        <f>VLOOKUP(B45,'Bảng công T9'!B:C,2,0)</f>
        <v>038302017433</v>
      </c>
      <c r="D45" s="74" t="str">
        <f>VLOOKUP(B45,'Bảng công T9'!B:F,5,0)</f>
        <v>Trịnh Thị Phương</v>
      </c>
      <c r="E45" s="74" t="str">
        <f>VLOOKUP(B45,'Bảng công T9'!B:I,8,0)</f>
        <v>Máy</v>
      </c>
      <c r="F45" s="74" t="str">
        <f>VLOOKUP(B45,'Bảng công T9'!$B$11:$J$1013,9,0)</f>
        <v>HNS</v>
      </c>
      <c r="G45" s="74">
        <f>VLOOKUP(B45,'Bảng công T9'!B:H,7,0)</f>
        <v>200904</v>
      </c>
      <c r="H45" s="177" t="e">
        <f>VLOOKUP(B45,'Bảng công T9'!$B$11:$GV$1013,215,0)</f>
        <v>#REF!</v>
      </c>
      <c r="I45" s="179" t="e">
        <f t="shared" si="6"/>
        <v>#REF!</v>
      </c>
      <c r="J45" s="177"/>
      <c r="K45" s="180" t="e">
        <f>VLOOKUP(B45,'Bảng công T9'!$B$11:$GU$1013,214,0)</f>
        <v>#REF!</v>
      </c>
      <c r="L45" s="181" t="e">
        <f>VLOOKUP(B45,'Bảng công T9'!$B$11:$GW$1013,216,0)</f>
        <v>#REF!</v>
      </c>
      <c r="M45" s="181" t="e">
        <f>VLOOKUP(B45,'Bảng công T9'!B:GX,217,0)</f>
        <v>#REF!</v>
      </c>
      <c r="N45" s="180" t="e">
        <f>VLOOKUP(B45,'Bảng công T9'!B:GY,218,0)</f>
        <v>#REF!</v>
      </c>
      <c r="O45" s="180"/>
      <c r="P45" s="180" t="e">
        <f t="shared" si="1"/>
        <v>#REF!</v>
      </c>
      <c r="Q45" s="180" t="e">
        <f>VLOOKUP(B45,'Bảng công T9'!B:HF,225,0)</f>
        <v>#REF!</v>
      </c>
      <c r="R45" s="180">
        <f t="shared" si="7"/>
        <v>0</v>
      </c>
      <c r="S45" s="180" t="e">
        <f t="shared" si="8"/>
        <v>#REF!</v>
      </c>
      <c r="T45" s="180"/>
      <c r="U45" s="182" t="e">
        <f t="shared" si="9"/>
        <v>#REF!</v>
      </c>
      <c r="V45" s="182" t="e">
        <f t="shared" si="10"/>
        <v>#REF!</v>
      </c>
      <c r="W45" s="182" t="e">
        <f>VLOOKUP(B45,'Bảng công T9'!B:HH,227,0)</f>
        <v>#REF!</v>
      </c>
      <c r="X45" s="285" t="e">
        <f>VLOOKUP(C45,'Bảng công T9'!C:HG,225,0)</f>
        <v>#REF!</v>
      </c>
      <c r="Y45" s="182" t="e">
        <f>VLOOKUP(C45,'Bảng công T9'!$C:$HI,227,0)</f>
        <v>#REF!</v>
      </c>
      <c r="Z45" s="185"/>
      <c r="AA45" s="186"/>
    </row>
    <row r="46" spans="1:27">
      <c r="A46" s="178">
        <v>38</v>
      </c>
      <c r="B46" s="63" t="s">
        <v>841</v>
      </c>
      <c r="C46" s="228" t="str">
        <f>VLOOKUP(B46,'Bảng công T9'!B:C,2,0)</f>
        <v>063565881</v>
      </c>
      <c r="D46" s="74" t="str">
        <f>VLOOKUP(B46,'Bảng công T9'!B:F,5,0)</f>
        <v>Nguyễn Việt Toàn</v>
      </c>
      <c r="E46" s="74" t="str">
        <f>VLOOKUP(B46,'Bảng công T9'!B:I,8,0)</f>
        <v>thay thế</v>
      </c>
      <c r="F46" s="74" t="str">
        <f>VLOOKUP(B46,'Bảng công T9'!$B$11:$J$1013,9,0)</f>
        <v>HNS</v>
      </c>
      <c r="G46" s="74">
        <f>VLOOKUP(B46,'Bảng công T9'!B:H,7,0)</f>
        <v>200903</v>
      </c>
      <c r="H46" s="177" t="e">
        <f>VLOOKUP(B46,'Bảng công T9'!$B$11:$GV$1013,215,0)</f>
        <v>#REF!</v>
      </c>
      <c r="I46" s="179" t="e">
        <f t="shared" si="6"/>
        <v>#REF!</v>
      </c>
      <c r="J46" s="177"/>
      <c r="K46" s="180" t="e">
        <f>VLOOKUP(B46,'Bảng công T9'!$B$11:$GU$1013,214,0)</f>
        <v>#REF!</v>
      </c>
      <c r="L46" s="181" t="e">
        <f>VLOOKUP(B46,'Bảng công T9'!$B$11:$GW$1013,216,0)</f>
        <v>#REF!</v>
      </c>
      <c r="M46" s="181" t="e">
        <f>VLOOKUP(B46,'Bảng công T9'!B:GX,217,0)</f>
        <v>#REF!</v>
      </c>
      <c r="N46" s="180" t="e">
        <f>VLOOKUP(B46,'Bảng công T9'!B:GY,218,0)</f>
        <v>#REF!</v>
      </c>
      <c r="O46" s="180"/>
      <c r="P46" s="180" t="e">
        <f t="shared" si="1"/>
        <v>#REF!</v>
      </c>
      <c r="Q46" s="180" t="e">
        <f>VLOOKUP(B46,'Bảng công T9'!B:HF,225,0)</f>
        <v>#REF!</v>
      </c>
      <c r="R46" s="180">
        <f t="shared" si="7"/>
        <v>0</v>
      </c>
      <c r="S46" s="180" t="e">
        <f t="shared" si="8"/>
        <v>#REF!</v>
      </c>
      <c r="T46" s="180"/>
      <c r="U46" s="182" t="e">
        <f t="shared" si="9"/>
        <v>#REF!</v>
      </c>
      <c r="V46" s="182" t="e">
        <f t="shared" si="10"/>
        <v>#REF!</v>
      </c>
      <c r="W46" s="182" t="e">
        <f>VLOOKUP(B46,'Bảng công T9'!B:HH,227,0)</f>
        <v>#REF!</v>
      </c>
      <c r="X46" s="285" t="e">
        <f>VLOOKUP(C46,'Bảng công T9'!C:HG,225,0)</f>
        <v>#REF!</v>
      </c>
      <c r="Y46" s="182" t="e">
        <f>VLOOKUP(C46,'Bảng công T9'!$C:$HI,227,0)</f>
        <v>#REF!</v>
      </c>
      <c r="Z46" s="183" t="s">
        <v>1017</v>
      </c>
      <c r="AA46" s="186"/>
    </row>
    <row r="47" spans="1:27">
      <c r="A47" s="178">
        <v>39</v>
      </c>
      <c r="B47" s="63" t="s">
        <v>847</v>
      </c>
      <c r="C47" s="228" t="str">
        <f>VLOOKUP(B47,'Bảng công T9'!B:C,2,0)</f>
        <v>070866443</v>
      </c>
      <c r="D47" s="74" t="str">
        <f>VLOOKUP(B47,'Bảng công T9'!B:F,5,0)</f>
        <v>Hoàng Trọng Phú</v>
      </c>
      <c r="E47" s="74" t="str">
        <f>VLOOKUP(B47,'Bảng công T9'!B:I,8,0)</f>
        <v>Line 2</v>
      </c>
      <c r="F47" s="74" t="str">
        <f>VLOOKUP(B47,'Bảng công T9'!$B$11:$J$1013,9,0)</f>
        <v>HNS</v>
      </c>
      <c r="G47" s="74">
        <f>VLOOKUP(B47,'Bảng công T9'!B:H,7,0)</f>
        <v>200910</v>
      </c>
      <c r="H47" s="177" t="e">
        <f>VLOOKUP(B47,'Bảng công T9'!$B$11:$GV$1013,215,0)</f>
        <v>#REF!</v>
      </c>
      <c r="I47" s="179" t="e">
        <f t="shared" si="6"/>
        <v>#REF!</v>
      </c>
      <c r="J47" s="177"/>
      <c r="K47" s="180" t="e">
        <f>VLOOKUP(B47,'Bảng công T9'!$B$11:$GU$1013,214,0)</f>
        <v>#REF!</v>
      </c>
      <c r="L47" s="181" t="e">
        <f>VLOOKUP(B47,'Bảng công T9'!$B$11:$GW$1013,216,0)</f>
        <v>#REF!</v>
      </c>
      <c r="M47" s="181" t="e">
        <f>VLOOKUP(B47,'Bảng công T9'!B:GX,217,0)</f>
        <v>#REF!</v>
      </c>
      <c r="N47" s="180" t="e">
        <f>VLOOKUP(B47,'Bảng công T9'!B:GY,218,0)</f>
        <v>#REF!</v>
      </c>
      <c r="O47" s="180"/>
      <c r="P47" s="180" t="e">
        <f t="shared" si="1"/>
        <v>#REF!</v>
      </c>
      <c r="Q47" s="180" t="e">
        <f>VLOOKUP(B47,'Bảng công T9'!B:HF,225,0)</f>
        <v>#REF!</v>
      </c>
      <c r="R47" s="180">
        <f t="shared" si="7"/>
        <v>0</v>
      </c>
      <c r="S47" s="180" t="e">
        <f t="shared" si="8"/>
        <v>#REF!</v>
      </c>
      <c r="T47" s="180"/>
      <c r="U47" s="182" t="e">
        <f t="shared" si="9"/>
        <v>#REF!</v>
      </c>
      <c r="V47" s="182" t="e">
        <f t="shared" si="10"/>
        <v>#REF!</v>
      </c>
      <c r="W47" s="182" t="e">
        <f>VLOOKUP(B47,'Bảng công T9'!B:HH,227,0)</f>
        <v>#REF!</v>
      </c>
      <c r="X47" s="285" t="e">
        <f>VLOOKUP(C47,'Bảng công T9'!C:HG,225,0)</f>
        <v>#REF!</v>
      </c>
      <c r="Y47" s="182" t="e">
        <f>VLOOKUP(C47,'Bảng công T9'!$C:$HI,227,0)</f>
        <v>#REF!</v>
      </c>
      <c r="Z47" s="185"/>
      <c r="AA47" s="186"/>
    </row>
    <row r="48" spans="1:27">
      <c r="A48" s="178">
        <v>40</v>
      </c>
      <c r="B48" s="63" t="s">
        <v>851</v>
      </c>
      <c r="C48" s="228" t="str">
        <f>VLOOKUP(B48,'Bảng công T9'!B:C,2,0)</f>
        <v>031201010759</v>
      </c>
      <c r="D48" s="74" t="str">
        <f>VLOOKUP(B48,'Bảng công T9'!B:F,5,0)</f>
        <v>Nguyễn Khắc Hiệp</v>
      </c>
      <c r="E48" s="74" t="str">
        <f>VLOOKUP(B48,'Bảng công T9'!B:I,8,0)</f>
        <v>TC</v>
      </c>
      <c r="F48" s="74" t="str">
        <f>VLOOKUP(B48,'Bảng công T9'!$B$11:$J$1013,9,0)</f>
        <v>HNS</v>
      </c>
      <c r="G48" s="74">
        <f>VLOOKUP(B48,'Bảng công T9'!B:H,7,0)</f>
        <v>200910</v>
      </c>
      <c r="H48" s="177" t="e">
        <f>VLOOKUP(B48,'Bảng công T9'!$B$11:$GV$1013,215,0)</f>
        <v>#REF!</v>
      </c>
      <c r="I48" s="179" t="e">
        <f t="shared" si="6"/>
        <v>#REF!</v>
      </c>
      <c r="J48" s="177"/>
      <c r="K48" s="180" t="e">
        <f>VLOOKUP(B48,'Bảng công T9'!$B$11:$GU$1013,214,0)</f>
        <v>#REF!</v>
      </c>
      <c r="L48" s="181" t="e">
        <f>VLOOKUP(B48,'Bảng công T9'!$B$11:$GW$1013,216,0)</f>
        <v>#REF!</v>
      </c>
      <c r="M48" s="181" t="e">
        <f>VLOOKUP(B48,'Bảng công T9'!B:GX,217,0)</f>
        <v>#REF!</v>
      </c>
      <c r="N48" s="180" t="e">
        <f>VLOOKUP(B48,'Bảng công T9'!B:GY,218,0)</f>
        <v>#REF!</v>
      </c>
      <c r="O48" s="180"/>
      <c r="P48" s="180" t="e">
        <f t="shared" si="1"/>
        <v>#REF!</v>
      </c>
      <c r="Q48" s="180" t="e">
        <f>VLOOKUP(B48,'Bảng công T9'!B:HF,225,0)</f>
        <v>#REF!</v>
      </c>
      <c r="R48" s="180">
        <f t="shared" si="7"/>
        <v>0</v>
      </c>
      <c r="S48" s="180" t="e">
        <f t="shared" si="8"/>
        <v>#REF!</v>
      </c>
      <c r="T48" s="180"/>
      <c r="U48" s="182" t="e">
        <f t="shared" si="9"/>
        <v>#REF!</v>
      </c>
      <c r="V48" s="182" t="e">
        <f t="shared" si="10"/>
        <v>#REF!</v>
      </c>
      <c r="W48" s="182" t="e">
        <f>VLOOKUP(B48,'Bảng công T9'!B:HH,227,0)</f>
        <v>#REF!</v>
      </c>
      <c r="X48" s="285" t="e">
        <f>VLOOKUP(C48,'Bảng công T9'!C:HG,225,0)</f>
        <v>#REF!</v>
      </c>
      <c r="Y48" s="182" t="e">
        <f>VLOOKUP(C48,'Bảng công T9'!$C:$HI,227,0)</f>
        <v>#REF!</v>
      </c>
      <c r="Z48" s="183" t="s">
        <v>1017</v>
      </c>
      <c r="AA48" s="186"/>
    </row>
    <row r="49" spans="1:28">
      <c r="A49" s="178">
        <v>41</v>
      </c>
      <c r="B49" s="63" t="s">
        <v>854</v>
      </c>
      <c r="C49" s="228" t="str">
        <f>VLOOKUP(B49,'Bảng công T9'!B:C,2,0)</f>
        <v>031301005788</v>
      </c>
      <c r="D49" s="74" t="str">
        <f>VLOOKUP(B49,'Bảng công T9'!B:F,5,0)</f>
        <v>Phạm Thị Luyện</v>
      </c>
      <c r="E49" s="74" t="str">
        <f>VLOOKUP(B49,'Bảng công T9'!B:I,8,0)</f>
        <v>Máy</v>
      </c>
      <c r="F49" s="74" t="str">
        <f>VLOOKUP(B49,'Bảng công T9'!$B$11:$J$1013,9,0)</f>
        <v>HNS</v>
      </c>
      <c r="G49" s="74">
        <f>VLOOKUP(B49,'Bảng công T9'!B:H,7,0)</f>
        <v>200910</v>
      </c>
      <c r="H49" s="177" t="e">
        <f>VLOOKUP(B49,'Bảng công T9'!$B$11:$GV$1013,215,0)</f>
        <v>#REF!</v>
      </c>
      <c r="I49" s="179" t="e">
        <f t="shared" si="6"/>
        <v>#REF!</v>
      </c>
      <c r="J49" s="177"/>
      <c r="K49" s="180" t="e">
        <f>VLOOKUP(B49,'Bảng công T9'!$B$11:$GU$1013,214,0)</f>
        <v>#REF!</v>
      </c>
      <c r="L49" s="181" t="e">
        <f>VLOOKUP(B49,'Bảng công T9'!$B$11:$GW$1013,216,0)</f>
        <v>#REF!</v>
      </c>
      <c r="M49" s="181" t="e">
        <f>VLOOKUP(B49,'Bảng công T9'!B:GX,217,0)</f>
        <v>#REF!</v>
      </c>
      <c r="N49" s="180" t="e">
        <f>VLOOKUP(B49,'Bảng công T9'!B:GY,218,0)</f>
        <v>#REF!</v>
      </c>
      <c r="O49" s="180"/>
      <c r="P49" s="180" t="e">
        <f t="shared" si="1"/>
        <v>#REF!</v>
      </c>
      <c r="Q49" s="180" t="e">
        <f>VLOOKUP(B49,'Bảng công T9'!B:HF,225,0)</f>
        <v>#REF!</v>
      </c>
      <c r="R49" s="180">
        <f t="shared" si="7"/>
        <v>0</v>
      </c>
      <c r="S49" s="180" t="e">
        <f t="shared" si="8"/>
        <v>#REF!</v>
      </c>
      <c r="T49" s="180"/>
      <c r="U49" s="182" t="e">
        <f t="shared" si="9"/>
        <v>#REF!</v>
      </c>
      <c r="V49" s="182" t="e">
        <f t="shared" si="10"/>
        <v>#REF!</v>
      </c>
      <c r="W49" s="182" t="e">
        <f>VLOOKUP(B49,'Bảng công T9'!B:HH,227,0)</f>
        <v>#REF!</v>
      </c>
      <c r="X49" s="285" t="e">
        <f>VLOOKUP(C49,'Bảng công T9'!C:HG,225,0)</f>
        <v>#REF!</v>
      </c>
      <c r="Y49" s="182" t="e">
        <f>VLOOKUP(C49,'Bảng công T9'!$C:$HI,227,0)</f>
        <v>#REF!</v>
      </c>
      <c r="Z49" s="185"/>
      <c r="AA49" s="186"/>
    </row>
    <row r="50" spans="1:28">
      <c r="A50" s="178">
        <v>42</v>
      </c>
      <c r="B50" s="63" t="s">
        <v>858</v>
      </c>
      <c r="C50" s="228" t="str">
        <f>VLOOKUP(B50,'Bảng công T9'!B:C,2,0)</f>
        <v>038197004273</v>
      </c>
      <c r="D50" s="74" t="str">
        <f>VLOOKUP(B50,'Bảng công T9'!B:F,5,0)</f>
        <v>Trình Thị Hạnh</v>
      </c>
      <c r="E50" s="74" t="str">
        <f>VLOOKUP(B50,'Bảng công T9'!B:I,8,0)</f>
        <v>Line 4</v>
      </c>
      <c r="F50" s="74" t="str">
        <f>VLOOKUP(B50,'Bảng công T9'!$B$11:$J$1013,9,0)</f>
        <v>HNS</v>
      </c>
      <c r="G50" s="74">
        <f>VLOOKUP(B50,'Bảng công T9'!B:H,7,0)</f>
        <v>200912</v>
      </c>
      <c r="H50" s="177" t="e">
        <f>VLOOKUP(B50,'Bảng công T9'!$B$11:$GV$1013,215,0)</f>
        <v>#REF!</v>
      </c>
      <c r="I50" s="179" t="e">
        <f t="shared" si="6"/>
        <v>#REF!</v>
      </c>
      <c r="J50" s="177"/>
      <c r="K50" s="180" t="e">
        <f>VLOOKUP(B50,'Bảng công T9'!$B$11:$GU$1013,214,0)</f>
        <v>#REF!</v>
      </c>
      <c r="L50" s="181" t="e">
        <f>VLOOKUP(B50,'Bảng công T9'!$B$11:$GW$1013,216,0)</f>
        <v>#REF!</v>
      </c>
      <c r="M50" s="181" t="e">
        <f>VLOOKUP(B50,'Bảng công T9'!B:GX,217,0)</f>
        <v>#REF!</v>
      </c>
      <c r="N50" s="180" t="e">
        <f>VLOOKUP(B50,'Bảng công T9'!B:GY,218,0)</f>
        <v>#REF!</v>
      </c>
      <c r="O50" s="180"/>
      <c r="P50" s="180" t="e">
        <f t="shared" si="1"/>
        <v>#REF!</v>
      </c>
      <c r="Q50" s="180" t="e">
        <f>VLOOKUP(B50,'Bảng công T9'!B:HF,225,0)</f>
        <v>#REF!</v>
      </c>
      <c r="R50" s="180">
        <f t="shared" si="7"/>
        <v>0</v>
      </c>
      <c r="S50" s="180" t="e">
        <f t="shared" si="8"/>
        <v>#REF!</v>
      </c>
      <c r="T50" s="180"/>
      <c r="U50" s="182" t="e">
        <f t="shared" si="9"/>
        <v>#REF!</v>
      </c>
      <c r="V50" s="182" t="e">
        <f t="shared" si="10"/>
        <v>#REF!</v>
      </c>
      <c r="W50" s="182" t="e">
        <f>VLOOKUP(B50,'Bảng công T9'!B:HH,227,0)</f>
        <v>#REF!</v>
      </c>
      <c r="X50" s="285" t="e">
        <f>VLOOKUP(C50,'Bảng công T9'!C:HG,225,0)</f>
        <v>#REF!</v>
      </c>
      <c r="Y50" s="182" t="e">
        <f>VLOOKUP(C50,'Bảng công T9'!$C:$HI,227,0)</f>
        <v>#REF!</v>
      </c>
      <c r="Z50" s="185"/>
      <c r="AA50" s="186"/>
    </row>
    <row r="51" spans="1:28">
      <c r="A51" s="178">
        <v>43</v>
      </c>
      <c r="B51" s="63" t="s">
        <v>861</v>
      </c>
      <c r="C51" s="228" t="str">
        <f>VLOOKUP(B51,'Bảng công T9'!B:C,2,0)</f>
        <v>187917964</v>
      </c>
      <c r="D51" s="74" t="str">
        <f>VLOOKUP(B51,'Bảng công T9'!B:F,5,0)</f>
        <v>Đặng Duy Huy</v>
      </c>
      <c r="E51" s="74" t="str">
        <f>VLOOKUP(B51,'Bảng công T9'!B:I,8,0)</f>
        <v>Line 4</v>
      </c>
      <c r="F51" s="74" t="str">
        <f>VLOOKUP(B51,'Bảng công T9'!$B$11:$J$1013,9,0)</f>
        <v>HNS</v>
      </c>
      <c r="G51" s="74">
        <f>VLOOKUP(B51,'Bảng công T9'!B:H,7,0)</f>
        <v>200912</v>
      </c>
      <c r="H51" s="177" t="e">
        <f>VLOOKUP(B51,'Bảng công T9'!$B$11:$GV$1013,215,0)</f>
        <v>#REF!</v>
      </c>
      <c r="I51" s="179" t="e">
        <f t="shared" si="6"/>
        <v>#REF!</v>
      </c>
      <c r="J51" s="177"/>
      <c r="K51" s="180" t="e">
        <f>VLOOKUP(B51,'Bảng công T9'!$B$11:$GU$1013,214,0)</f>
        <v>#REF!</v>
      </c>
      <c r="L51" s="181" t="e">
        <f>VLOOKUP(B51,'Bảng công T9'!$B$11:$GW$1013,216,0)</f>
        <v>#REF!</v>
      </c>
      <c r="M51" s="181" t="e">
        <f>VLOOKUP(B51,'Bảng công T9'!B:GX,217,0)</f>
        <v>#REF!</v>
      </c>
      <c r="N51" s="180" t="e">
        <f>VLOOKUP(B51,'Bảng công T9'!B:GY,218,0)</f>
        <v>#REF!</v>
      </c>
      <c r="O51" s="180"/>
      <c r="P51" s="180" t="e">
        <f t="shared" si="1"/>
        <v>#REF!</v>
      </c>
      <c r="Q51" s="180" t="e">
        <f>VLOOKUP(B51,'Bảng công T9'!B:HF,225,0)</f>
        <v>#REF!</v>
      </c>
      <c r="R51" s="180">
        <f t="shared" si="7"/>
        <v>0</v>
      </c>
      <c r="S51" s="180" t="e">
        <f t="shared" si="8"/>
        <v>#REF!</v>
      </c>
      <c r="T51" s="180"/>
      <c r="U51" s="182" t="e">
        <f t="shared" si="9"/>
        <v>#REF!</v>
      </c>
      <c r="V51" s="182" t="e">
        <f t="shared" si="10"/>
        <v>#REF!</v>
      </c>
      <c r="W51" s="182" t="e">
        <f>VLOOKUP(B51,'Bảng công T9'!B:HH,227,0)</f>
        <v>#REF!</v>
      </c>
      <c r="X51" s="285" t="e">
        <f>VLOOKUP(C51,'Bảng công T9'!C:HG,225,0)</f>
        <v>#REF!</v>
      </c>
      <c r="Y51" s="182" t="e">
        <f>VLOOKUP(C51,'Bảng công T9'!$C:$HI,227,0)</f>
        <v>#REF!</v>
      </c>
      <c r="Z51" s="185"/>
      <c r="AA51" s="186"/>
    </row>
    <row r="52" spans="1:28">
      <c r="A52" s="178">
        <v>44</v>
      </c>
      <c r="B52" s="63" t="s">
        <v>865</v>
      </c>
      <c r="C52" s="228" t="str">
        <f>VLOOKUP(B52,'Bảng công T9'!B:C,2,0)</f>
        <v>188025595</v>
      </c>
      <c r="D52" s="74" t="str">
        <f>VLOOKUP(B52,'Bảng công T9'!B:F,5,0)</f>
        <v>Nguyễn Thị Linh Chi</v>
      </c>
      <c r="E52" s="74" t="str">
        <f>VLOOKUP(B52,'Bảng công T9'!B:I,8,0)</f>
        <v>Line 4</v>
      </c>
      <c r="F52" s="74" t="str">
        <f>VLOOKUP(B52,'Bảng công T9'!$B$11:$J$1013,9,0)</f>
        <v>HNS</v>
      </c>
      <c r="G52" s="74">
        <f>VLOOKUP(B52,'Bảng công T9'!B:H,7,0)</f>
        <v>200912</v>
      </c>
      <c r="H52" s="177" t="e">
        <f>VLOOKUP(B52,'Bảng công T9'!$B$11:$GV$1013,215,0)</f>
        <v>#REF!</v>
      </c>
      <c r="I52" s="179" t="e">
        <f t="shared" si="6"/>
        <v>#REF!</v>
      </c>
      <c r="J52" s="177"/>
      <c r="K52" s="180" t="e">
        <f>VLOOKUP(B52,'Bảng công T9'!$B$11:$GU$1013,214,0)</f>
        <v>#REF!</v>
      </c>
      <c r="L52" s="181" t="e">
        <f>VLOOKUP(B52,'Bảng công T9'!$B$11:$GW$1013,216,0)</f>
        <v>#REF!</v>
      </c>
      <c r="M52" s="181" t="e">
        <f>VLOOKUP(B52,'Bảng công T9'!B:GX,217,0)</f>
        <v>#REF!</v>
      </c>
      <c r="N52" s="180" t="e">
        <f>VLOOKUP(B52,'Bảng công T9'!B:GY,218,0)</f>
        <v>#REF!</v>
      </c>
      <c r="O52" s="180"/>
      <c r="P52" s="180" t="e">
        <f t="shared" si="1"/>
        <v>#REF!</v>
      </c>
      <c r="Q52" s="180" t="e">
        <f>VLOOKUP(B52,'Bảng công T9'!B:HF,225,0)</f>
        <v>#REF!</v>
      </c>
      <c r="R52" s="180">
        <f t="shared" si="7"/>
        <v>0</v>
      </c>
      <c r="S52" s="180" t="e">
        <f t="shared" si="8"/>
        <v>#REF!</v>
      </c>
      <c r="T52" s="180"/>
      <c r="U52" s="182" t="e">
        <f t="shared" si="9"/>
        <v>#REF!</v>
      </c>
      <c r="V52" s="182" t="e">
        <f t="shared" si="10"/>
        <v>#REF!</v>
      </c>
      <c r="W52" s="182" t="e">
        <f>VLOOKUP(B52,'Bảng công T9'!B:HH,227,0)</f>
        <v>#REF!</v>
      </c>
      <c r="X52" s="285" t="e">
        <f>VLOOKUP(C52,'Bảng công T9'!C:HG,225,0)</f>
        <v>#REF!</v>
      </c>
      <c r="Y52" s="182" t="e">
        <f>VLOOKUP(C52,'Bảng công T9'!$C:$HI,227,0)</f>
        <v>#REF!</v>
      </c>
      <c r="Z52" s="185"/>
      <c r="AA52" s="186"/>
    </row>
    <row r="53" spans="1:28">
      <c r="A53" s="178">
        <v>45</v>
      </c>
      <c r="B53" s="63" t="s">
        <v>868</v>
      </c>
      <c r="C53" s="228" t="str">
        <f>VLOOKUP(B53,'Bảng công T9'!B:C,2,0)</f>
        <v>034198000755</v>
      </c>
      <c r="D53" s="74" t="str">
        <f>VLOOKUP(B53,'Bảng công T9'!B:F,5,0)</f>
        <v>Nguyễn Thị Hà 11/9/1998 Thái Bình</v>
      </c>
      <c r="E53" s="74" t="str">
        <f>VLOOKUP(B53,'Bảng công T9'!B:I,8,0)</f>
        <v>Máy</v>
      </c>
      <c r="F53" s="74" t="str">
        <f>VLOOKUP(B53,'Bảng công T9'!$B$11:$J$1013,9,0)</f>
        <v>HNS</v>
      </c>
      <c r="G53" s="74">
        <f>VLOOKUP(B53,'Bảng công T9'!B:H,7,0)</f>
        <v>200914</v>
      </c>
      <c r="H53" s="177" t="e">
        <f>VLOOKUP(B53,'Bảng công T9'!$B$11:$GV$1013,215,0)</f>
        <v>#REF!</v>
      </c>
      <c r="I53" s="179" t="e">
        <f t="shared" si="0"/>
        <v>#REF!</v>
      </c>
      <c r="J53" s="177"/>
      <c r="K53" s="180" t="e">
        <f>VLOOKUP(B53,'Bảng công T9'!$B$11:$GU$1013,214,0)</f>
        <v>#REF!</v>
      </c>
      <c r="L53" s="181" t="e">
        <f>VLOOKUP(B53,'Bảng công T9'!$B$11:$GW$1013,216,0)</f>
        <v>#REF!</v>
      </c>
      <c r="M53" s="181" t="e">
        <f>VLOOKUP(B53,'Bảng công T9'!B:GX,217,0)</f>
        <v>#REF!</v>
      </c>
      <c r="N53" s="180" t="e">
        <f>VLOOKUP(B53,'Bảng công T9'!B:GY,218,0)</f>
        <v>#REF!</v>
      </c>
      <c r="O53" s="180"/>
      <c r="P53" s="180" t="e">
        <f t="shared" si="1"/>
        <v>#REF!</v>
      </c>
      <c r="Q53" s="180" t="e">
        <f>VLOOKUP(B53,'Bảng công T9'!B:HF,225,0)</f>
        <v>#REF!</v>
      </c>
      <c r="R53" s="180">
        <f t="shared" si="2"/>
        <v>0</v>
      </c>
      <c r="S53" s="180" t="e">
        <f t="shared" si="3"/>
        <v>#REF!</v>
      </c>
      <c r="T53" s="180"/>
      <c r="U53" s="182" t="e">
        <f t="shared" si="4"/>
        <v>#REF!</v>
      </c>
      <c r="V53" s="182" t="e">
        <f t="shared" si="5"/>
        <v>#REF!</v>
      </c>
      <c r="W53" s="182" t="e">
        <f>VLOOKUP(B53,'Bảng công T9'!B:HH,227,0)</f>
        <v>#REF!</v>
      </c>
      <c r="X53" s="285" t="e">
        <f>VLOOKUP(C53,'Bảng công T9'!C:HG,225,0)</f>
        <v>#REF!</v>
      </c>
      <c r="Y53" s="182" t="e">
        <f>VLOOKUP(C53,'Bảng công T9'!$C:$HI,227,0)</f>
        <v>#REF!</v>
      </c>
      <c r="Z53" s="185"/>
      <c r="AA53" s="186" t="s">
        <v>49</v>
      </c>
    </row>
    <row r="54" spans="1:28">
      <c r="A54" s="178">
        <v>46</v>
      </c>
      <c r="B54" s="63" t="s">
        <v>871</v>
      </c>
      <c r="C54" s="228" t="str">
        <f>VLOOKUP(B54,'Bảng công T9'!B:C,2,0)</f>
        <v>034302007908</v>
      </c>
      <c r="D54" s="74" t="str">
        <f>VLOOKUP(B54,'Bảng công T9'!B:F,5,0)</f>
        <v>Hoàng Thị Nga</v>
      </c>
      <c r="E54" s="74" t="str">
        <f>VLOOKUP(B54,'Bảng công T9'!B:I,8,0)</f>
        <v>Máy</v>
      </c>
      <c r="F54" s="74" t="str">
        <f>VLOOKUP(B54,'Bảng công T9'!$B$11:$J$1013,9,0)</f>
        <v>HNS</v>
      </c>
      <c r="G54" s="74">
        <f>VLOOKUP(B54,'Bảng công T9'!B:H,7,0)</f>
        <v>200914</v>
      </c>
      <c r="H54" s="177" t="e">
        <f>VLOOKUP(B54,'Bảng công T9'!$B$11:$GV$1013,215,0)</f>
        <v>#REF!</v>
      </c>
      <c r="I54" s="179" t="e">
        <f t="shared" si="0"/>
        <v>#REF!</v>
      </c>
      <c r="J54" s="177"/>
      <c r="K54" s="180" t="e">
        <f>VLOOKUP(B54,'Bảng công T9'!$B$11:$GU$1013,214,0)</f>
        <v>#REF!</v>
      </c>
      <c r="L54" s="181" t="e">
        <f>VLOOKUP(B54,'Bảng công T9'!$B$11:$GW$1013,216,0)</f>
        <v>#REF!</v>
      </c>
      <c r="M54" s="181" t="e">
        <f>VLOOKUP(B54,'Bảng công T9'!B:GX,217,0)</f>
        <v>#REF!</v>
      </c>
      <c r="N54" s="180" t="e">
        <f>VLOOKUP(B54,'Bảng công T9'!B:GY,218,0)</f>
        <v>#REF!</v>
      </c>
      <c r="O54" s="180"/>
      <c r="P54" s="180" t="e">
        <f t="shared" si="1"/>
        <v>#REF!</v>
      </c>
      <c r="Q54" s="180" t="e">
        <f>VLOOKUP(B54,'Bảng công T9'!B:HF,225,0)</f>
        <v>#REF!</v>
      </c>
      <c r="R54" s="180">
        <f t="shared" si="2"/>
        <v>0</v>
      </c>
      <c r="S54" s="180" t="e">
        <f t="shared" si="3"/>
        <v>#REF!</v>
      </c>
      <c r="T54" s="180"/>
      <c r="U54" s="182" t="e">
        <f t="shared" si="4"/>
        <v>#REF!</v>
      </c>
      <c r="V54" s="182" t="e">
        <f t="shared" si="5"/>
        <v>#REF!</v>
      </c>
      <c r="W54" s="182" t="e">
        <f>VLOOKUP(B54,'Bảng công T9'!B:HH,227,0)</f>
        <v>#REF!</v>
      </c>
      <c r="X54" s="285" t="e">
        <f>VLOOKUP(C54,'Bảng công T9'!C:HG,225,0)</f>
        <v>#REF!</v>
      </c>
      <c r="Y54" s="182" t="e">
        <f>VLOOKUP(C54,'Bảng công T9'!$C:$HI,227,0)</f>
        <v>#REF!</v>
      </c>
      <c r="Z54" s="185"/>
      <c r="AA54" s="76" t="s">
        <v>50</v>
      </c>
    </row>
    <row r="55" spans="1:28">
      <c r="A55" s="178">
        <v>47</v>
      </c>
      <c r="B55" s="63" t="s">
        <v>876</v>
      </c>
      <c r="C55" s="228" t="str">
        <f>VLOOKUP(B55,'Bảng công T9'!B:C,2,0)</f>
        <v>061122035</v>
      </c>
      <c r="D55" s="74" t="str">
        <f>VLOOKUP(B55,'Bảng công T9'!B:F,5,0)</f>
        <v>Đỗ Thanh Sơn</v>
      </c>
      <c r="E55" s="74" t="str">
        <f>VLOOKUP(B55,'Bảng công T9'!B:I,8,0)</f>
        <v>Line 2</v>
      </c>
      <c r="F55" s="74" t="str">
        <f>VLOOKUP(B55,'Bảng công T9'!$B$11:$J$1013,9,0)</f>
        <v>HNS</v>
      </c>
      <c r="G55" s="74">
        <f>VLOOKUP(B55,'Bảng công T9'!B:H,7,0)</f>
        <v>200918</v>
      </c>
      <c r="H55" s="177" t="e">
        <f>VLOOKUP(B55,'Bảng công T9'!$B$11:$GV$1013,215,0)</f>
        <v>#REF!</v>
      </c>
      <c r="I55" s="179" t="e">
        <f t="shared" si="0"/>
        <v>#REF!</v>
      </c>
      <c r="J55" s="177"/>
      <c r="K55" s="180" t="e">
        <f>VLOOKUP(B55,'Bảng công T9'!$B$11:$GU$1013,214,0)</f>
        <v>#REF!</v>
      </c>
      <c r="L55" s="181" t="e">
        <f>VLOOKUP(B55,'Bảng công T9'!$B$11:$GW$1013,216,0)</f>
        <v>#REF!</v>
      </c>
      <c r="M55" s="181" t="e">
        <f>VLOOKUP(B55,'Bảng công T9'!B:GX,217,0)</f>
        <v>#REF!</v>
      </c>
      <c r="N55" s="180" t="e">
        <f>VLOOKUP(B55,'Bảng công T9'!B:GY,218,0)</f>
        <v>#REF!</v>
      </c>
      <c r="O55" s="180"/>
      <c r="P55" s="180" t="e">
        <f t="shared" si="1"/>
        <v>#REF!</v>
      </c>
      <c r="Q55" s="180" t="e">
        <f>VLOOKUP(B55,'Bảng công T9'!B:HF,225,0)</f>
        <v>#REF!</v>
      </c>
      <c r="R55" s="180">
        <f t="shared" si="2"/>
        <v>0</v>
      </c>
      <c r="S55" s="180" t="e">
        <f t="shared" si="3"/>
        <v>#REF!</v>
      </c>
      <c r="T55" s="74"/>
      <c r="U55" s="182" t="e">
        <f t="shared" si="4"/>
        <v>#REF!</v>
      </c>
      <c r="V55" s="182" t="e">
        <f t="shared" si="5"/>
        <v>#REF!</v>
      </c>
      <c r="W55" s="182" t="e">
        <f>VLOOKUP(B55,'Bảng công T9'!B:HH,227,0)</f>
        <v>#REF!</v>
      </c>
      <c r="X55" s="285" t="e">
        <f>VLOOKUP(C55,'Bảng công T9'!C:HG,225,0)</f>
        <v>#REF!</v>
      </c>
      <c r="Y55" s="182" t="e">
        <f>VLOOKUP(C55,'Bảng công T9'!$C:$HI,227,0)</f>
        <v>#REF!</v>
      </c>
      <c r="Z55" s="185"/>
      <c r="AA55" s="76" t="s">
        <v>599</v>
      </c>
    </row>
    <row r="56" spans="1:28">
      <c r="A56" s="178">
        <v>48</v>
      </c>
      <c r="B56" s="63" t="s">
        <v>879</v>
      </c>
      <c r="C56" s="228" t="str">
        <f>VLOOKUP(B56,'Bảng công T9'!B:C,2,0)</f>
        <v>061113994</v>
      </c>
      <c r="D56" s="74" t="str">
        <f>VLOOKUP(B56,'Bảng công T9'!B:F,5,0)</f>
        <v>Hoàng Thị Thu Hiền 14/9/2002 Yên Bái</v>
      </c>
      <c r="E56" s="74" t="str">
        <f>VLOOKUP(B56,'Bảng công T9'!B:I,8,0)</f>
        <v>Máy</v>
      </c>
      <c r="F56" s="74" t="str">
        <f>VLOOKUP(B56,'Bảng công T9'!$B$11:$J$1013,9,0)</f>
        <v>HNS</v>
      </c>
      <c r="G56" s="74">
        <f>VLOOKUP(B56,'Bảng công T9'!B:H,7,0)</f>
        <v>200919</v>
      </c>
      <c r="H56" s="177" t="e">
        <f>VLOOKUP(B56,'Bảng công T9'!$B$11:$GV$1013,215,0)</f>
        <v>#REF!</v>
      </c>
      <c r="I56" s="179" t="e">
        <f t="shared" si="0"/>
        <v>#REF!</v>
      </c>
      <c r="J56" s="177"/>
      <c r="K56" s="180" t="e">
        <f>VLOOKUP(B56,'Bảng công T9'!$B$11:$GU$1013,214,0)</f>
        <v>#REF!</v>
      </c>
      <c r="L56" s="181" t="e">
        <f>VLOOKUP(B56,'Bảng công T9'!$B$11:$GW$1013,216,0)</f>
        <v>#REF!</v>
      </c>
      <c r="M56" s="181" t="e">
        <f>VLOOKUP(B56,'Bảng công T9'!B:GX,217,0)</f>
        <v>#REF!</v>
      </c>
      <c r="N56" s="180" t="e">
        <f>VLOOKUP(B56,'Bảng công T9'!B:GY,218,0)</f>
        <v>#REF!</v>
      </c>
      <c r="O56" s="180"/>
      <c r="P56" s="180" t="e">
        <f t="shared" si="1"/>
        <v>#REF!</v>
      </c>
      <c r="Q56" s="180" t="e">
        <f>VLOOKUP(B56,'Bảng công T9'!B:HF,225,0)</f>
        <v>#REF!</v>
      </c>
      <c r="R56" s="180">
        <f t="shared" si="2"/>
        <v>0</v>
      </c>
      <c r="S56" s="180" t="e">
        <f t="shared" si="3"/>
        <v>#REF!</v>
      </c>
      <c r="T56" s="180"/>
      <c r="U56" s="182" t="e">
        <f t="shared" si="4"/>
        <v>#REF!</v>
      </c>
      <c r="V56" s="182" t="e">
        <f t="shared" si="5"/>
        <v>#REF!</v>
      </c>
      <c r="W56" s="182" t="e">
        <f>VLOOKUP(B56,'Bảng công T9'!B:HH,227,0)</f>
        <v>#REF!</v>
      </c>
      <c r="X56" s="285" t="e">
        <f>VLOOKUP(C56,'Bảng công T9'!C:HG,225,0)</f>
        <v>#REF!</v>
      </c>
      <c r="Y56" s="182" t="e">
        <f>VLOOKUP(C56,'Bảng công T9'!$C:$HI,227,0)</f>
        <v>#REF!</v>
      </c>
      <c r="Z56" s="185"/>
      <c r="AA56" s="76" t="s">
        <v>52</v>
      </c>
    </row>
    <row r="57" spans="1:28">
      <c r="A57" s="178">
        <v>49</v>
      </c>
      <c r="B57" s="74" t="s">
        <v>882</v>
      </c>
      <c r="C57" s="228">
        <f>VLOOKUP(B57,'Bảng công T9'!B:C,2,0)</f>
        <v>0</v>
      </c>
      <c r="D57" s="74" t="str">
        <f>VLOOKUP(B57,'Bảng công T9'!B:F,5,0)</f>
        <v>Dương Văn Phương</v>
      </c>
      <c r="E57" s="74" t="str">
        <f>VLOOKUP(B57,'Bảng công T9'!B:I,8,0)</f>
        <v>thay thế</v>
      </c>
      <c r="F57" s="74" t="str">
        <f>VLOOKUP(B57,'Bảng công T9'!$B$11:$J$1013,9,0)</f>
        <v>HNS</v>
      </c>
      <c r="G57" s="74">
        <f>VLOOKUP(B57,'Bảng công T9'!B:H,7,0)</f>
        <v>200919</v>
      </c>
      <c r="H57" s="177" t="e">
        <f>VLOOKUP(B57,'Bảng công T9'!$B$11:$GV$1013,215,0)</f>
        <v>#REF!</v>
      </c>
      <c r="I57" s="179" t="e">
        <f t="shared" si="0"/>
        <v>#REF!</v>
      </c>
      <c r="J57" s="177"/>
      <c r="K57" s="180" t="e">
        <f>VLOOKUP(B57,'Bảng công T9'!$B$11:$GU$1013,214,0)</f>
        <v>#REF!</v>
      </c>
      <c r="L57" s="181" t="e">
        <f>VLOOKUP(B57,'Bảng công T9'!$B$11:$GW$1013,216,0)</f>
        <v>#REF!</v>
      </c>
      <c r="M57" s="181" t="e">
        <f>VLOOKUP(B57,'Bảng công T9'!B:GX,217,0)</f>
        <v>#REF!</v>
      </c>
      <c r="N57" s="180" t="e">
        <f>VLOOKUP(B57,'Bảng công T9'!B:GY,218,0)</f>
        <v>#REF!</v>
      </c>
      <c r="O57" s="180"/>
      <c r="P57" s="180" t="e">
        <f t="shared" si="1"/>
        <v>#REF!</v>
      </c>
      <c r="Q57" s="180" t="e">
        <f>VLOOKUP(B57,'Bảng công T9'!B:HF,225,0)</f>
        <v>#REF!</v>
      </c>
      <c r="R57" s="180">
        <f t="shared" si="2"/>
        <v>0</v>
      </c>
      <c r="S57" s="180" t="e">
        <f t="shared" si="3"/>
        <v>#REF!</v>
      </c>
      <c r="T57" s="180"/>
      <c r="U57" s="182" t="e">
        <f t="shared" si="4"/>
        <v>#REF!</v>
      </c>
      <c r="V57" s="182" t="e">
        <f t="shared" si="5"/>
        <v>#REF!</v>
      </c>
      <c r="W57" s="182" t="e">
        <f>VLOOKUP(B57,'Bảng công T9'!B:HH,227,0)</f>
        <v>#REF!</v>
      </c>
      <c r="X57" s="285" t="e">
        <f>VLOOKUP(C57,'Bảng công T9'!C:HG,225,0)</f>
        <v>#N/A</v>
      </c>
      <c r="Y57" s="182" t="e">
        <f>VLOOKUP(C57,'Bảng công T9'!$C:$HI,227,0)</f>
        <v>#N/A</v>
      </c>
      <c r="Z57" s="183" t="s">
        <v>1017</v>
      </c>
      <c r="AA57" s="190" t="s">
        <v>54</v>
      </c>
    </row>
    <row r="58" spans="1:28">
      <c r="A58" s="178">
        <v>50</v>
      </c>
      <c r="B58" s="74" t="s">
        <v>884</v>
      </c>
      <c r="C58" s="228" t="str">
        <f>VLOOKUP(B58,'Bảng công T9'!B:C,2,0)</f>
        <v>040490979</v>
      </c>
      <c r="D58" s="74" t="str">
        <f>VLOOKUP(B58,'Bảng công T9'!B:F,5,0)</f>
        <v>Lương Văn Toán</v>
      </c>
      <c r="E58" s="74" t="str">
        <f>VLOOKUP(B58,'Bảng công T9'!B:I,8,0)</f>
        <v>Máy</v>
      </c>
      <c r="F58" s="74" t="str">
        <f>VLOOKUP(B58,'Bảng công T9'!$B$11:$J$1013,9,0)</f>
        <v>HNS</v>
      </c>
      <c r="G58" s="74">
        <f>VLOOKUP(B58,'Bảng công T9'!B:H,7,0)</f>
        <v>200920</v>
      </c>
      <c r="H58" s="177" t="e">
        <f>VLOOKUP(B58,'Bảng công T9'!$B$11:$GV$1013,215,0)</f>
        <v>#REF!</v>
      </c>
      <c r="I58" s="179" t="e">
        <f t="shared" si="0"/>
        <v>#REF!</v>
      </c>
      <c r="J58" s="177"/>
      <c r="K58" s="180" t="e">
        <f>VLOOKUP(B58,'Bảng công T9'!$B$11:$GU$1013,214,0)</f>
        <v>#REF!</v>
      </c>
      <c r="L58" s="181" t="e">
        <f>VLOOKUP(B58,'Bảng công T9'!$B$11:$GW$1013,216,0)</f>
        <v>#REF!</v>
      </c>
      <c r="M58" s="181" t="e">
        <f>VLOOKUP(B58,'Bảng công T9'!B:GX,217,0)</f>
        <v>#REF!</v>
      </c>
      <c r="N58" s="180" t="e">
        <f>VLOOKUP(B58,'Bảng công T9'!B:GY,218,0)</f>
        <v>#REF!</v>
      </c>
      <c r="O58" s="180"/>
      <c r="P58" s="180" t="e">
        <f t="shared" si="1"/>
        <v>#REF!</v>
      </c>
      <c r="Q58" s="180" t="e">
        <f>VLOOKUP(B58,'Bảng công T9'!B:HF,225,0)</f>
        <v>#REF!</v>
      </c>
      <c r="R58" s="180">
        <f t="shared" si="2"/>
        <v>0</v>
      </c>
      <c r="S58" s="180" t="e">
        <f t="shared" si="3"/>
        <v>#REF!</v>
      </c>
      <c r="T58" s="74"/>
      <c r="U58" s="182" t="e">
        <f t="shared" si="4"/>
        <v>#REF!</v>
      </c>
      <c r="V58" s="182" t="e">
        <f t="shared" si="5"/>
        <v>#REF!</v>
      </c>
      <c r="W58" s="182" t="e">
        <f>VLOOKUP(B58,'Bảng công T9'!B:HH,227,0)</f>
        <v>#REF!</v>
      </c>
      <c r="X58" s="285" t="e">
        <f>VLOOKUP(C58,'Bảng công T9'!C:HG,225,0)</f>
        <v>#REF!</v>
      </c>
      <c r="Y58" s="182" t="e">
        <f>VLOOKUP(C58,'Bảng công T9'!$C:$HI,227,0)</f>
        <v>#REF!</v>
      </c>
      <c r="Z58" s="185"/>
      <c r="AA58" s="190" t="s">
        <v>55</v>
      </c>
    </row>
    <row r="59" spans="1:28" s="116" customFormat="1">
      <c r="A59" s="178">
        <v>51</v>
      </c>
      <c r="B59" s="74" t="s">
        <v>888</v>
      </c>
      <c r="C59" s="228" t="str">
        <f>VLOOKUP(B59,'Bảng công T9'!B:C,2,0)</f>
        <v>142941721</v>
      </c>
      <c r="D59" s="74" t="str">
        <f>VLOOKUP(B59,'Bảng công T9'!B:F,5,0)</f>
        <v>Nguyễn Công Tuấn</v>
      </c>
      <c r="E59" s="74" t="str">
        <f>VLOOKUP(B59,'Bảng công T9'!B:I,8,0)</f>
        <v>Packing</v>
      </c>
      <c r="F59" s="74" t="str">
        <f>VLOOKUP(B59,'Bảng công T9'!$B$11:$J$1013,9,0)</f>
        <v>HNS</v>
      </c>
      <c r="G59" s="74">
        <f>VLOOKUP(B59,'Bảng công T9'!B:H,7,0)</f>
        <v>200921</v>
      </c>
      <c r="H59" s="177" t="e">
        <f>VLOOKUP(B59,'Bảng công T9'!$B$11:$GV$1013,215,0)</f>
        <v>#REF!</v>
      </c>
      <c r="I59" s="179" t="e">
        <f t="shared" si="0"/>
        <v>#REF!</v>
      </c>
      <c r="J59" s="177"/>
      <c r="K59" s="180" t="e">
        <f>VLOOKUP(B59,'Bảng công T9'!$B$11:$GU$1013,214,0)</f>
        <v>#REF!</v>
      </c>
      <c r="L59" s="181" t="e">
        <f>VLOOKUP(B59,'Bảng công T9'!$B$11:$GW$1013,216,0)</f>
        <v>#REF!</v>
      </c>
      <c r="M59" s="181" t="e">
        <f>VLOOKUP(B59,'Bảng công T9'!B:GX,217,0)</f>
        <v>#REF!</v>
      </c>
      <c r="N59" s="180" t="e">
        <f>VLOOKUP(B59,'Bảng công T9'!B:GY,218,0)</f>
        <v>#REF!</v>
      </c>
      <c r="O59" s="180"/>
      <c r="P59" s="180" t="e">
        <f t="shared" si="1"/>
        <v>#REF!</v>
      </c>
      <c r="Q59" s="180" t="e">
        <f>VLOOKUP(B59,'Bảng công T9'!B:HF,225,0)</f>
        <v>#REF!</v>
      </c>
      <c r="R59" s="180">
        <f t="shared" si="2"/>
        <v>0</v>
      </c>
      <c r="S59" s="180" t="e">
        <f t="shared" si="3"/>
        <v>#REF!</v>
      </c>
      <c r="T59" s="74"/>
      <c r="U59" s="182" t="e">
        <f t="shared" si="4"/>
        <v>#REF!</v>
      </c>
      <c r="V59" s="182" t="e">
        <f t="shared" si="5"/>
        <v>#REF!</v>
      </c>
      <c r="W59" s="182" t="e">
        <f>VLOOKUP(B59,'Bảng công T9'!B:HH,227,0)</f>
        <v>#REF!</v>
      </c>
      <c r="X59" s="285" t="e">
        <f>VLOOKUP(C59,'Bảng công T9'!C:HG,225,0)</f>
        <v>#REF!</v>
      </c>
      <c r="Y59" s="182" t="e">
        <f>VLOOKUP(C59,'Bảng công T9'!$C:$HI,227,0)</f>
        <v>#REF!</v>
      </c>
      <c r="Z59" s="185"/>
      <c r="AA59" s="189" t="s">
        <v>56</v>
      </c>
      <c r="AB59" s="59"/>
    </row>
    <row r="60" spans="1:28" s="116" customFormat="1">
      <c r="A60" s="178">
        <v>52</v>
      </c>
      <c r="B60" s="74" t="s">
        <v>893</v>
      </c>
      <c r="C60" s="228" t="str">
        <f>VLOOKUP(B60,'Bảng công T9'!B:C,2,0)</f>
        <v>142848315</v>
      </c>
      <c r="D60" s="74" t="str">
        <f>VLOOKUP(B60,'Bảng công T9'!B:F,5,0)</f>
        <v>Phạm Văn Nghĩa</v>
      </c>
      <c r="E60" s="74" t="str">
        <f>VLOOKUP(B60,'Bảng công T9'!B:I,8,0)</f>
        <v>Line 4</v>
      </c>
      <c r="F60" s="74" t="str">
        <f>VLOOKUP(B60,'Bảng công T9'!$B$11:$J$1013,9,0)</f>
        <v>HNS</v>
      </c>
      <c r="G60" s="74">
        <f>VLOOKUP(B60,'Bảng công T9'!B:H,7,0)</f>
        <v>200921</v>
      </c>
      <c r="H60" s="177" t="e">
        <f>VLOOKUP(B60,'Bảng công T9'!$B$11:$GV$1013,215,0)</f>
        <v>#REF!</v>
      </c>
      <c r="I60" s="179" t="e">
        <f t="shared" si="0"/>
        <v>#REF!</v>
      </c>
      <c r="J60" s="177"/>
      <c r="K60" s="180" t="e">
        <f>VLOOKUP(B60,'Bảng công T9'!$B$11:$GU$1013,214,0)</f>
        <v>#REF!</v>
      </c>
      <c r="L60" s="181" t="e">
        <f>VLOOKUP(B60,'Bảng công T9'!$B$11:$GW$1013,216,0)</f>
        <v>#REF!</v>
      </c>
      <c r="M60" s="181" t="e">
        <f>VLOOKUP(B60,'Bảng công T9'!B:GX,217,0)</f>
        <v>#REF!</v>
      </c>
      <c r="N60" s="180" t="e">
        <f>VLOOKUP(B60,'Bảng công T9'!B:GY,218,0)</f>
        <v>#REF!</v>
      </c>
      <c r="O60" s="180"/>
      <c r="P60" s="180" t="e">
        <f t="shared" si="1"/>
        <v>#REF!</v>
      </c>
      <c r="Q60" s="180" t="e">
        <f>VLOOKUP(B60,'Bảng công T9'!B:HF,225,0)</f>
        <v>#REF!</v>
      </c>
      <c r="R60" s="180">
        <f t="shared" si="2"/>
        <v>0</v>
      </c>
      <c r="S60" s="180" t="e">
        <f t="shared" si="3"/>
        <v>#REF!</v>
      </c>
      <c r="T60" s="180"/>
      <c r="U60" s="182" t="e">
        <f t="shared" si="4"/>
        <v>#REF!</v>
      </c>
      <c r="V60" s="182" t="e">
        <f t="shared" si="5"/>
        <v>#REF!</v>
      </c>
      <c r="W60" s="182" t="e">
        <f>VLOOKUP(B60,'Bảng công T9'!B:HH,227,0)</f>
        <v>#REF!</v>
      </c>
      <c r="X60" s="285" t="e">
        <f>VLOOKUP(C60,'Bảng công T9'!C:HG,225,0)</f>
        <v>#REF!</v>
      </c>
      <c r="Y60" s="182" t="e">
        <f>VLOOKUP(C60,'Bảng công T9'!$C:$HI,227,0)</f>
        <v>#REF!</v>
      </c>
      <c r="Z60" s="185"/>
      <c r="AA60" s="189" t="s">
        <v>57</v>
      </c>
      <c r="AB60" s="59"/>
    </row>
    <row r="61" spans="1:28" s="116" customFormat="1">
      <c r="A61" s="178">
        <v>53</v>
      </c>
      <c r="B61" s="74" t="s">
        <v>896</v>
      </c>
      <c r="C61" s="228" t="str">
        <f>VLOOKUP(B61,'Bảng công T9'!B:C,2,0)</f>
        <v>031302006847</v>
      </c>
      <c r="D61" s="74" t="str">
        <f>VLOOKUP(B61,'Bảng công T9'!B:F,5,0)</f>
        <v>Nguyễn Thị Ngọc Ánh 7/10/2002 HP</v>
      </c>
      <c r="E61" s="74" t="str">
        <f>VLOOKUP(B61,'Bảng công T9'!B:I,8,0)</f>
        <v>Máy</v>
      </c>
      <c r="F61" s="74" t="str">
        <f>VLOOKUP(B61,'Bảng công T9'!$B$11:$J$1013,9,0)</f>
        <v>HNS</v>
      </c>
      <c r="G61" s="74">
        <f>VLOOKUP(B61,'Bảng công T9'!B:H,7,0)</f>
        <v>200921</v>
      </c>
      <c r="H61" s="177" t="e">
        <f>VLOOKUP(B61,'Bảng công T9'!$B$11:$GV$1013,215,0)</f>
        <v>#REF!</v>
      </c>
      <c r="I61" s="179" t="e">
        <f t="shared" si="0"/>
        <v>#REF!</v>
      </c>
      <c r="J61" s="177"/>
      <c r="K61" s="180" t="e">
        <f>VLOOKUP(B61,'Bảng công T9'!$B$11:$GU$1013,214,0)</f>
        <v>#REF!</v>
      </c>
      <c r="L61" s="181" t="e">
        <f>VLOOKUP(B61,'Bảng công T9'!$B$11:$GW$1013,216,0)</f>
        <v>#REF!</v>
      </c>
      <c r="M61" s="181" t="e">
        <f>VLOOKUP(B61,'Bảng công T9'!B:GX,217,0)</f>
        <v>#REF!</v>
      </c>
      <c r="N61" s="180" t="e">
        <f>VLOOKUP(B61,'Bảng công T9'!B:GY,218,0)</f>
        <v>#REF!</v>
      </c>
      <c r="O61" s="180"/>
      <c r="P61" s="180" t="e">
        <f t="shared" si="1"/>
        <v>#REF!</v>
      </c>
      <c r="Q61" s="180" t="e">
        <f>VLOOKUP(B61,'Bảng công T9'!B:HF,225,0)</f>
        <v>#REF!</v>
      </c>
      <c r="R61" s="180">
        <f t="shared" si="2"/>
        <v>0</v>
      </c>
      <c r="S61" s="180" t="e">
        <f t="shared" si="3"/>
        <v>#REF!</v>
      </c>
      <c r="T61" s="180"/>
      <c r="U61" s="182" t="e">
        <f t="shared" si="4"/>
        <v>#REF!</v>
      </c>
      <c r="V61" s="182" t="e">
        <f t="shared" si="5"/>
        <v>#REF!</v>
      </c>
      <c r="W61" s="182" t="e">
        <f>VLOOKUP(B61,'Bảng công T9'!B:HH,227,0)</f>
        <v>#REF!</v>
      </c>
      <c r="X61" s="285" t="e">
        <f>VLOOKUP(C61,'Bảng công T9'!C:HG,225,0)</f>
        <v>#REF!</v>
      </c>
      <c r="Y61" s="182" t="e">
        <f>VLOOKUP(C61,'Bảng công T9'!$C:$HI,227,0)</f>
        <v>#REF!</v>
      </c>
      <c r="Z61" s="185"/>
      <c r="AA61" s="189" t="s">
        <v>58</v>
      </c>
      <c r="AB61" s="59"/>
    </row>
    <row r="62" spans="1:28" s="116" customFormat="1">
      <c r="A62" s="178">
        <v>54</v>
      </c>
      <c r="B62" s="63" t="s">
        <v>899</v>
      </c>
      <c r="C62" s="228" t="str">
        <f>VLOOKUP(B62,'Bảng công T9'!B:C,2,0)</f>
        <v>061113985</v>
      </c>
      <c r="D62" s="74" t="str">
        <f>VLOOKUP(B62,'Bảng công T9'!B:F,5,0)</f>
        <v>Hoàng Xuân Vững</v>
      </c>
      <c r="E62" s="74" t="str">
        <f>VLOOKUP(B62,'Bảng công T9'!B:I,8,0)</f>
        <v>PM</v>
      </c>
      <c r="F62" s="74" t="str">
        <f>VLOOKUP(B62,'Bảng công T9'!$B$11:$J$1013,9,0)</f>
        <v>HNS</v>
      </c>
      <c r="G62" s="74">
        <f>VLOOKUP(B62,'Bảng công T9'!B:H,7,0)</f>
        <v>200924</v>
      </c>
      <c r="H62" s="177" t="e">
        <f>VLOOKUP(B62,'Bảng công T9'!$B$11:$GV$1013,215,0)</f>
        <v>#REF!</v>
      </c>
      <c r="I62" s="179" t="e">
        <f t="shared" si="0"/>
        <v>#REF!</v>
      </c>
      <c r="J62" s="177"/>
      <c r="K62" s="180" t="e">
        <f>VLOOKUP(B62,'Bảng công T9'!$B$11:$GU$1013,214,0)</f>
        <v>#REF!</v>
      </c>
      <c r="L62" s="181" t="e">
        <f>VLOOKUP(B62,'Bảng công T9'!$B$11:$GW$1013,216,0)</f>
        <v>#REF!</v>
      </c>
      <c r="M62" s="181" t="e">
        <f>VLOOKUP(B62,'Bảng công T9'!B:GX,217,0)</f>
        <v>#REF!</v>
      </c>
      <c r="N62" s="180" t="e">
        <f>VLOOKUP(B62,'Bảng công T9'!B:GY,218,0)</f>
        <v>#REF!</v>
      </c>
      <c r="O62" s="180"/>
      <c r="P62" s="180" t="e">
        <f t="shared" si="1"/>
        <v>#REF!</v>
      </c>
      <c r="Q62" s="180" t="e">
        <f>VLOOKUP(B62,'Bảng công T9'!B:HF,225,0)</f>
        <v>#REF!</v>
      </c>
      <c r="R62" s="180">
        <f t="shared" si="2"/>
        <v>0</v>
      </c>
      <c r="S62" s="180" t="e">
        <f t="shared" si="3"/>
        <v>#REF!</v>
      </c>
      <c r="T62" s="180"/>
      <c r="U62" s="182" t="e">
        <f t="shared" si="4"/>
        <v>#REF!</v>
      </c>
      <c r="V62" s="182" t="e">
        <f t="shared" si="5"/>
        <v>#REF!</v>
      </c>
      <c r="W62" s="182" t="e">
        <f>VLOOKUP(B62,'Bảng công T9'!B:HH,227,0)</f>
        <v>#REF!</v>
      </c>
      <c r="X62" s="285" t="e">
        <f>VLOOKUP(C62,'Bảng công T9'!C:HG,225,0)</f>
        <v>#REF!</v>
      </c>
      <c r="Y62" s="182" t="e">
        <f>VLOOKUP(C62,'Bảng công T9'!$C:$HI,227,0)</f>
        <v>#REF!</v>
      </c>
      <c r="Z62" s="185"/>
      <c r="AA62" s="186" t="s">
        <v>430</v>
      </c>
      <c r="AB62" s="59"/>
    </row>
    <row r="63" spans="1:28" s="116" customFormat="1">
      <c r="A63" s="178">
        <v>55</v>
      </c>
      <c r="B63" s="74" t="s">
        <v>905</v>
      </c>
      <c r="C63" s="228" t="str">
        <f>VLOOKUP(B63,'Bảng công T9'!B:C,2,0)</f>
        <v>031099005436</v>
      </c>
      <c r="D63" s="74" t="str">
        <f>VLOOKUP(B63,'Bảng công T9'!B:F,5,0)</f>
        <v>Nguyễn Thanh Phúc</v>
      </c>
      <c r="E63" s="74" t="str">
        <f>VLOOKUP(B63,'Bảng công T9'!B:I,8,0)</f>
        <v>TC</v>
      </c>
      <c r="F63" s="74" t="str">
        <f>VLOOKUP(B63,'Bảng công T9'!$B$11:$J$1013,9,0)</f>
        <v>HNS</v>
      </c>
      <c r="G63" s="74">
        <f>VLOOKUP(B63,'Bảng công T9'!B:H,7,0)</f>
        <v>200925</v>
      </c>
      <c r="H63" s="177" t="e">
        <f>VLOOKUP(B63,'Bảng công T9'!$B$11:$GV$1013,215,0)</f>
        <v>#REF!</v>
      </c>
      <c r="I63" s="179" t="e">
        <f t="shared" si="0"/>
        <v>#REF!</v>
      </c>
      <c r="J63" s="177"/>
      <c r="K63" s="180" t="e">
        <f>VLOOKUP(B63,'Bảng công T9'!$B$11:$GU$1013,214,0)</f>
        <v>#REF!</v>
      </c>
      <c r="L63" s="181" t="e">
        <f>VLOOKUP(B63,'Bảng công T9'!$B$11:$GW$1013,216,0)</f>
        <v>#REF!</v>
      </c>
      <c r="M63" s="181" t="e">
        <f>VLOOKUP(B63,'Bảng công T9'!B:GX,217,0)</f>
        <v>#REF!</v>
      </c>
      <c r="N63" s="180" t="e">
        <f>VLOOKUP(B63,'Bảng công T9'!B:GY,218,0)</f>
        <v>#REF!</v>
      </c>
      <c r="O63" s="180"/>
      <c r="P63" s="180" t="e">
        <f t="shared" si="1"/>
        <v>#REF!</v>
      </c>
      <c r="Q63" s="180" t="e">
        <f>VLOOKUP(B63,'Bảng công T9'!B:HF,225,0)</f>
        <v>#REF!</v>
      </c>
      <c r="R63" s="180">
        <f t="shared" si="2"/>
        <v>0</v>
      </c>
      <c r="S63" s="180" t="e">
        <f t="shared" si="3"/>
        <v>#REF!</v>
      </c>
      <c r="T63" s="180"/>
      <c r="U63" s="182" t="e">
        <f t="shared" si="4"/>
        <v>#REF!</v>
      </c>
      <c r="V63" s="182" t="e">
        <f t="shared" si="5"/>
        <v>#REF!</v>
      </c>
      <c r="W63" s="182" t="e">
        <f>VLOOKUP(B63,'Bảng công T9'!B:HH,227,0)</f>
        <v>#REF!</v>
      </c>
      <c r="X63" s="285" t="e">
        <f>VLOOKUP(C63,'Bảng công T9'!C:HG,225,0)</f>
        <v>#REF!</v>
      </c>
      <c r="Y63" s="182" t="e">
        <f>VLOOKUP(C63,'Bảng công T9'!$C:$HI,227,0)</f>
        <v>#REF!</v>
      </c>
      <c r="Z63" s="183" t="s">
        <v>1017</v>
      </c>
      <c r="AA63" s="190" t="s">
        <v>59</v>
      </c>
      <c r="AB63" s="59"/>
    </row>
    <row r="64" spans="1:28" s="116" customFormat="1">
      <c r="A64" s="178">
        <v>56</v>
      </c>
      <c r="B64" s="74" t="s">
        <v>908</v>
      </c>
      <c r="C64" s="228" t="str">
        <f>VLOOKUP(B64,'Bảng công T9'!B:C,2,0)</f>
        <v>031202005725</v>
      </c>
      <c r="D64" s="74" t="str">
        <f>VLOOKUP(B64,'Bảng công T9'!B:F,5,0)</f>
        <v>Lê Hoàng Thái</v>
      </c>
      <c r="E64" s="74" t="str">
        <f>VLOOKUP(B64,'Bảng công T9'!B:I,8,0)</f>
        <v>thay thế</v>
      </c>
      <c r="F64" s="74" t="str">
        <f>VLOOKUP(B64,'Bảng công T9'!$B$11:$J$1013,9,0)</f>
        <v>HNS</v>
      </c>
      <c r="G64" s="74">
        <f>VLOOKUP(B64,'Bảng công T9'!B:H,7,0)</f>
        <v>200926</v>
      </c>
      <c r="H64" s="177" t="e">
        <f>VLOOKUP(B64,'Bảng công T9'!$B$11:$GV$1013,215,0)</f>
        <v>#REF!</v>
      </c>
      <c r="I64" s="179" t="e">
        <f t="shared" si="0"/>
        <v>#REF!</v>
      </c>
      <c r="J64" s="177"/>
      <c r="K64" s="180" t="e">
        <f>VLOOKUP(B64,'Bảng công T9'!$B$11:$GU$1013,214,0)</f>
        <v>#REF!</v>
      </c>
      <c r="L64" s="181" t="e">
        <f>VLOOKUP(B64,'Bảng công T9'!$B$11:$GW$1013,216,0)</f>
        <v>#REF!</v>
      </c>
      <c r="M64" s="181" t="e">
        <f>VLOOKUP(B64,'Bảng công T9'!B:GX,217,0)</f>
        <v>#REF!</v>
      </c>
      <c r="N64" s="180" t="e">
        <f>VLOOKUP(B64,'Bảng công T9'!B:GY,218,0)</f>
        <v>#REF!</v>
      </c>
      <c r="O64" s="180"/>
      <c r="P64" s="180" t="e">
        <f t="shared" si="1"/>
        <v>#REF!</v>
      </c>
      <c r="Q64" s="180" t="e">
        <f>VLOOKUP(B64,'Bảng công T9'!B:HF,225,0)</f>
        <v>#REF!</v>
      </c>
      <c r="R64" s="180">
        <f t="shared" si="2"/>
        <v>0</v>
      </c>
      <c r="S64" s="180" t="e">
        <f t="shared" si="3"/>
        <v>#REF!</v>
      </c>
      <c r="T64" s="180"/>
      <c r="U64" s="182" t="e">
        <f t="shared" si="4"/>
        <v>#REF!</v>
      </c>
      <c r="V64" s="182" t="e">
        <f t="shared" si="5"/>
        <v>#REF!</v>
      </c>
      <c r="W64" s="182" t="e">
        <f>VLOOKUP(B64,'Bảng công T9'!B:HH,227,0)</f>
        <v>#REF!</v>
      </c>
      <c r="X64" s="285" t="e">
        <f>VLOOKUP(C64,'Bảng công T9'!C:HG,225,0)</f>
        <v>#REF!</v>
      </c>
      <c r="Y64" s="182" t="e">
        <f>VLOOKUP(C64,'Bảng công T9'!$C:$HI,227,0)</f>
        <v>#REF!</v>
      </c>
      <c r="Z64" s="183" t="s">
        <v>1017</v>
      </c>
      <c r="AA64" s="191" t="s">
        <v>432</v>
      </c>
      <c r="AB64" s="59"/>
    </row>
    <row r="65" spans="1:28" s="116" customFormat="1">
      <c r="A65" s="178">
        <v>57</v>
      </c>
      <c r="B65" s="74" t="s">
        <v>911</v>
      </c>
      <c r="C65" s="228" t="str">
        <f>VLOOKUP(B65,'Bảng công T9'!B:C,2,0)</f>
        <v>031300003470</v>
      </c>
      <c r="D65" s="74" t="str">
        <f>VLOOKUP(B65,'Bảng công T9'!B:F,5,0)</f>
        <v xml:space="preserve">Bùi Thị Huyền Trang </v>
      </c>
      <c r="E65" s="74" t="str">
        <f>VLOOKUP(B65,'Bảng công T9'!B:I,8,0)</f>
        <v>Line 3</v>
      </c>
      <c r="F65" s="74" t="str">
        <f>VLOOKUP(B65,'Bảng công T9'!$B$11:$J$1013,9,0)</f>
        <v>HNS</v>
      </c>
      <c r="G65" s="74">
        <f>VLOOKUP(B65,'Bảng công T9'!B:H,7,0)</f>
        <v>200929</v>
      </c>
      <c r="H65" s="177" t="e">
        <f>VLOOKUP(B65,'Bảng công T9'!$B$11:$GV$1013,215,0)</f>
        <v>#REF!</v>
      </c>
      <c r="I65" s="179" t="e">
        <f t="shared" si="0"/>
        <v>#REF!</v>
      </c>
      <c r="J65" s="177"/>
      <c r="K65" s="180" t="e">
        <f>VLOOKUP(B65,'Bảng công T9'!$B$11:$GU$1013,214,0)</f>
        <v>#REF!</v>
      </c>
      <c r="L65" s="181" t="e">
        <f>VLOOKUP(B65,'Bảng công T9'!$B$11:$GW$1013,216,0)</f>
        <v>#REF!</v>
      </c>
      <c r="M65" s="181" t="e">
        <f>VLOOKUP(B65,'Bảng công T9'!B:GX,217,0)</f>
        <v>#REF!</v>
      </c>
      <c r="N65" s="180" t="e">
        <f>VLOOKUP(B65,'Bảng công T9'!B:GY,218,0)</f>
        <v>#REF!</v>
      </c>
      <c r="O65" s="180"/>
      <c r="P65" s="180" t="e">
        <f t="shared" si="1"/>
        <v>#REF!</v>
      </c>
      <c r="Q65" s="180" t="e">
        <f>VLOOKUP(B65,'Bảng công T9'!B:HF,225,0)</f>
        <v>#REF!</v>
      </c>
      <c r="R65" s="180">
        <f t="shared" si="2"/>
        <v>0</v>
      </c>
      <c r="S65" s="180" t="e">
        <f t="shared" si="3"/>
        <v>#REF!</v>
      </c>
      <c r="T65" s="180"/>
      <c r="U65" s="182" t="e">
        <f t="shared" si="4"/>
        <v>#REF!</v>
      </c>
      <c r="V65" s="182" t="e">
        <f t="shared" si="5"/>
        <v>#REF!</v>
      </c>
      <c r="W65" s="182" t="e">
        <f>VLOOKUP(B65,'Bảng công T9'!B:HH,227,0)</f>
        <v>#REF!</v>
      </c>
      <c r="X65" s="285" t="e">
        <f>VLOOKUP(C65,'Bảng công T9'!C:HG,225,0)</f>
        <v>#REF!</v>
      </c>
      <c r="Y65" s="182" t="e">
        <f>VLOOKUP(C65,'Bảng công T9'!$C:$HI,227,0)</f>
        <v>#REF!</v>
      </c>
      <c r="Z65" s="183"/>
      <c r="AA65" s="190" t="s">
        <v>433</v>
      </c>
      <c r="AB65" s="59"/>
    </row>
    <row r="66" spans="1:28">
      <c r="A66" s="192"/>
      <c r="B66" s="193"/>
      <c r="C66" s="193"/>
      <c r="D66" s="193" t="s">
        <v>600</v>
      </c>
      <c r="E66" s="435"/>
      <c r="F66" s="193"/>
      <c r="G66" s="435"/>
      <c r="H66" s="193"/>
      <c r="I66" s="193"/>
      <c r="J66" s="193"/>
      <c r="K66" s="194" t="e">
        <f t="shared" ref="K66:V66" si="11">SUBTOTAL(9,K9:K65)</f>
        <v>#REF!</v>
      </c>
      <c r="L66" s="194" t="e">
        <f t="shared" si="11"/>
        <v>#REF!</v>
      </c>
      <c r="M66" s="194" t="e">
        <f t="shared" si="11"/>
        <v>#REF!</v>
      </c>
      <c r="N66" s="194" t="e">
        <f t="shared" si="11"/>
        <v>#REF!</v>
      </c>
      <c r="O66" s="194">
        <f t="shared" si="11"/>
        <v>1121650</v>
      </c>
      <c r="P66" s="194" t="e">
        <f t="shared" si="11"/>
        <v>#REF!</v>
      </c>
      <c r="Q66" s="194" t="e">
        <f t="shared" si="11"/>
        <v>#REF!</v>
      </c>
      <c r="R66" s="194">
        <f t="shared" si="11"/>
        <v>7946400</v>
      </c>
      <c r="S66" s="194" t="e">
        <f t="shared" si="11"/>
        <v>#REF!</v>
      </c>
      <c r="T66" s="194">
        <f t="shared" si="11"/>
        <v>0</v>
      </c>
      <c r="U66" s="194" t="e">
        <f t="shared" si="11"/>
        <v>#REF!</v>
      </c>
      <c r="V66" s="194" t="e">
        <f t="shared" si="11"/>
        <v>#REF!</v>
      </c>
      <c r="W66" s="195"/>
      <c r="X66" s="286"/>
      <c r="Y66" s="196"/>
      <c r="Z66" s="197"/>
      <c r="AA66" s="198"/>
    </row>
    <row r="67" spans="1:28">
      <c r="C67" s="59"/>
      <c r="K67" s="59"/>
      <c r="L67" s="59"/>
      <c r="M67" s="59"/>
      <c r="N67" s="59"/>
      <c r="O67" s="59"/>
      <c r="P67" s="59"/>
      <c r="Q67" s="59"/>
      <c r="S67" s="59"/>
      <c r="U67" s="116"/>
      <c r="V67" s="284">
        <v>502786640.5</v>
      </c>
      <c r="W67" s="60"/>
      <c r="X67" s="59"/>
      <c r="Y67" s="59"/>
    </row>
    <row r="68" spans="1:28">
      <c r="C68" s="59"/>
      <c r="Q68" s="59"/>
      <c r="U68" s="585"/>
      <c r="V68" s="869" t="e">
        <f>V67-V66</f>
        <v>#REF!</v>
      </c>
      <c r="W68" s="60"/>
      <c r="X68" s="59"/>
      <c r="Y68" s="59"/>
    </row>
    <row r="69" spans="1:28">
      <c r="C69" s="59"/>
      <c r="U69" s="586"/>
      <c r="V69" s="284"/>
      <c r="W69" s="60"/>
      <c r="X69" s="59"/>
      <c r="Y69" s="59"/>
    </row>
    <row r="70" spans="1:28">
      <c r="C70" s="59"/>
      <c r="V70" s="284"/>
      <c r="W70" s="60"/>
      <c r="X70" s="59"/>
      <c r="Y70" s="59"/>
    </row>
  </sheetData>
  <autoFilter ref="A8:AB70"/>
  <mergeCells count="19">
    <mergeCell ref="G6:G7"/>
    <mergeCell ref="C6:C7"/>
    <mergeCell ref="A6:A7"/>
    <mergeCell ref="B6:B7"/>
    <mergeCell ref="D6:D7"/>
    <mergeCell ref="E6:E7"/>
    <mergeCell ref="F6:F7"/>
    <mergeCell ref="Z6:Z7"/>
    <mergeCell ref="H6:H7"/>
    <mergeCell ref="I6:I7"/>
    <mergeCell ref="J6:J7"/>
    <mergeCell ref="Q6:Q7"/>
    <mergeCell ref="S6:S7"/>
    <mergeCell ref="T6:T7"/>
    <mergeCell ref="U6:U7"/>
    <mergeCell ref="V6:V7"/>
    <mergeCell ref="W6:W7"/>
    <mergeCell ref="X6:X7"/>
    <mergeCell ref="Y6:Y7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L75"/>
  <sheetViews>
    <sheetView tabSelected="1" zoomScaleNormal="100" workbookViewId="0">
      <pane xSplit="13" ySplit="10" topLeftCell="N47" activePane="bottomRight" state="frozen"/>
      <selection activeCell="A6" sqref="A6"/>
      <selection pane="topRight" activeCell="N6" sqref="N6"/>
      <selection pane="bottomLeft" activeCell="A11" sqref="A11"/>
      <selection pane="bottomRight" activeCell="L52" sqref="L52"/>
    </sheetView>
  </sheetViews>
  <sheetFormatPr defaultColWidth="8.7109375" defaultRowHeight="12.75"/>
  <cols>
    <col min="1" max="1" width="5" style="94" customWidth="1"/>
    <col min="2" max="2" width="10" style="94" customWidth="1"/>
    <col min="3" max="3" width="15.28515625" style="866" customWidth="1"/>
    <col min="4" max="4" width="12.5703125" style="94" hidden="1" customWidth="1"/>
    <col min="5" max="5" width="17.5703125" style="94" hidden="1" customWidth="1"/>
    <col min="6" max="6" width="20.7109375" style="94" customWidth="1"/>
    <col min="7" max="7" width="15.140625" style="94" customWidth="1"/>
    <col min="8" max="8" width="10.140625" style="94" customWidth="1"/>
    <col min="9" max="9" width="9" style="94" customWidth="1"/>
    <col min="10" max="10" width="5.5703125" style="94" customWidth="1"/>
    <col min="11" max="11" width="8.7109375" style="94" customWidth="1"/>
    <col min="12" max="12" width="10.42578125" style="94" customWidth="1"/>
    <col min="13" max="13" width="12.28515625" style="94" customWidth="1"/>
    <col min="14" max="14" width="6.5703125" style="95" bestFit="1" customWidth="1"/>
    <col min="15" max="15" width="6" style="95" customWidth="1"/>
    <col min="16" max="17" width="5.7109375" style="95" customWidth="1"/>
    <col min="18" max="18" width="6.42578125" style="95" customWidth="1"/>
    <col min="19" max="19" width="7" style="95" customWidth="1"/>
    <col min="20" max="21" width="5.7109375" style="95" customWidth="1"/>
    <col min="22" max="22" width="6.28515625" style="95" customWidth="1"/>
    <col min="23" max="25" width="5.7109375" style="95" customWidth="1"/>
    <col min="26" max="26" width="7" style="95" customWidth="1"/>
    <col min="27" max="27" width="6.85546875" style="95" customWidth="1"/>
    <col min="28" max="29" width="5.7109375" style="95" customWidth="1"/>
    <col min="30" max="31" width="7.140625" style="95" customWidth="1"/>
    <col min="32" max="33" width="5.7109375" style="95" customWidth="1"/>
    <col min="34" max="35" width="5.7109375" style="95" hidden="1" customWidth="1"/>
    <col min="36" max="36" width="8.42578125" style="95" customWidth="1"/>
    <col min="37" max="37" width="7.28515625" style="95" customWidth="1"/>
    <col min="38" max="39" width="5.7109375" style="95" customWidth="1"/>
    <col min="40" max="41" width="5.7109375" style="95" hidden="1" customWidth="1"/>
    <col min="42" max="42" width="7.42578125" style="95" customWidth="1"/>
    <col min="43" max="43" width="7" style="95" customWidth="1"/>
    <col min="44" max="45" width="5.7109375" style="95" customWidth="1"/>
    <col min="46" max="47" width="5.7109375" style="95" hidden="1" customWidth="1"/>
    <col min="48" max="48" width="6.7109375" style="95" customWidth="1"/>
    <col min="49" max="49" width="7.28515625" style="95" customWidth="1"/>
    <col min="50" max="51" width="5.7109375" style="95" customWidth="1"/>
    <col min="52" max="53" width="5.7109375" style="95" hidden="1" customWidth="1"/>
    <col min="54" max="54" width="6.7109375" style="95" customWidth="1"/>
    <col min="55" max="55" width="6.85546875" style="95" customWidth="1"/>
    <col min="56" max="57" width="5.7109375" style="95" customWidth="1"/>
    <col min="58" max="58" width="7" style="95" customWidth="1"/>
    <col min="59" max="59" width="7.140625" style="95" customWidth="1"/>
    <col min="60" max="61" width="5.7109375" style="95" customWidth="1"/>
    <col min="62" max="63" width="5.7109375" style="95" hidden="1" customWidth="1"/>
    <col min="64" max="64" width="7.140625" style="95" customWidth="1"/>
    <col min="65" max="65" width="7.28515625" style="95" customWidth="1"/>
    <col min="66" max="67" width="5.7109375" style="95" customWidth="1"/>
    <col min="68" max="69" width="5.7109375" style="95" hidden="1" customWidth="1"/>
    <col min="70" max="70" width="6.85546875" style="134" customWidth="1"/>
    <col min="71" max="71" width="6.7109375" style="134" customWidth="1"/>
    <col min="72" max="73" width="5.7109375" style="95" customWidth="1"/>
    <col min="74" max="75" width="5.7109375" style="95" hidden="1" customWidth="1"/>
    <col min="76" max="76" width="7" style="134" customWidth="1"/>
    <col min="77" max="77" width="6.85546875" style="134" customWidth="1"/>
    <col min="78" max="79" width="5.7109375" style="95" customWidth="1"/>
    <col min="80" max="81" width="5.7109375" style="95" hidden="1" customWidth="1"/>
    <col min="82" max="83" width="6.7109375" style="134" customWidth="1"/>
    <col min="84" max="85" width="5.7109375" style="95" customWidth="1"/>
    <col min="86" max="87" width="5.7109375" style="95" hidden="1" customWidth="1"/>
    <col min="88" max="88" width="7.140625" style="95" customWidth="1"/>
    <col min="89" max="89" width="6.140625" style="95" customWidth="1"/>
    <col min="90" max="91" width="5.7109375" style="95" customWidth="1"/>
    <col min="92" max="93" width="5.7109375" style="95" hidden="1" customWidth="1"/>
    <col min="94" max="95" width="6.7109375" style="95" customWidth="1"/>
    <col min="96" max="97" width="5.7109375" style="95" customWidth="1"/>
    <col min="98" max="98" width="6.7109375" style="95" customWidth="1"/>
    <col min="99" max="99" width="7.140625" style="95" customWidth="1"/>
    <col min="100" max="101" width="5.7109375" style="95" customWidth="1"/>
    <col min="102" max="103" width="5.7109375" style="95" hidden="1" customWidth="1"/>
    <col min="104" max="104" width="7.140625" style="95" customWidth="1"/>
    <col min="105" max="105" width="7.42578125" style="95" customWidth="1"/>
    <col min="106" max="107" width="5.7109375" style="95" customWidth="1"/>
    <col min="108" max="109" width="5.7109375" style="95" hidden="1" customWidth="1"/>
    <col min="110" max="110" width="6.7109375" style="95" customWidth="1"/>
    <col min="111" max="111" width="7.5703125" style="95" customWidth="1"/>
    <col min="112" max="113" width="5.7109375" style="95" customWidth="1"/>
    <col min="114" max="115" width="5.7109375" style="95" hidden="1" customWidth="1"/>
    <col min="116" max="116" width="6.85546875" style="95" customWidth="1"/>
    <col min="117" max="117" width="7.85546875" style="95" customWidth="1"/>
    <col min="118" max="119" width="5.7109375" style="95" customWidth="1"/>
    <col min="120" max="121" width="5.7109375" style="95" hidden="1" customWidth="1"/>
    <col min="122" max="122" width="6.85546875" style="95" customWidth="1"/>
    <col min="123" max="123" width="7" style="95" customWidth="1"/>
    <col min="124" max="125" width="5.7109375" style="95" customWidth="1"/>
    <col min="126" max="127" width="5.7109375" style="95" hidden="1" customWidth="1"/>
    <col min="128" max="129" width="6.7109375" style="95" customWidth="1"/>
    <col min="130" max="131" width="5.7109375" style="95" customWidth="1"/>
    <col min="132" max="133" width="5.7109375" style="95" hidden="1" customWidth="1"/>
    <col min="134" max="135" width="6.85546875" style="95" customWidth="1"/>
    <col min="136" max="137" width="5.7109375" style="95" customWidth="1"/>
    <col min="138" max="139" width="5.7109375" style="95" hidden="1" customWidth="1"/>
    <col min="140" max="141" width="6.28515625" style="95" customWidth="1"/>
    <col min="142" max="143" width="5.7109375" style="95" customWidth="1"/>
    <col min="144" max="145" width="5.7109375" style="95" hidden="1" customWidth="1"/>
    <col min="146" max="146" width="6.42578125" style="95" customWidth="1"/>
    <col min="147" max="147" width="6.7109375" style="95" customWidth="1"/>
    <col min="148" max="149" width="5.7109375" style="95" customWidth="1"/>
    <col min="150" max="151" width="5.7109375" style="95" hidden="1" customWidth="1"/>
    <col min="152" max="152" width="7.28515625" style="95" customWidth="1"/>
    <col min="153" max="155" width="5.7109375" style="95" customWidth="1"/>
    <col min="156" max="157" width="5.7109375" style="95" hidden="1" customWidth="1"/>
    <col min="158" max="159" width="6.28515625" style="95" customWidth="1"/>
    <col min="160" max="161" width="5.7109375" style="95" customWidth="1"/>
    <col min="162" max="163" width="5.7109375" style="95" hidden="1" customWidth="1"/>
    <col min="164" max="165" width="6.42578125" style="95" customWidth="1"/>
    <col min="166" max="167" width="5.7109375" style="95" customWidth="1"/>
    <col min="168" max="169" width="5.7109375" style="95" hidden="1" customWidth="1"/>
    <col min="170" max="170" width="7.28515625" style="95" customWidth="1"/>
    <col min="171" max="171" width="6.85546875" style="95" customWidth="1"/>
    <col min="172" max="173" width="5.7109375" style="95" customWidth="1"/>
    <col min="174" max="175" width="5.7109375" style="95" hidden="1" customWidth="1"/>
    <col min="176" max="177" width="6.28515625" style="95" customWidth="1"/>
    <col min="178" max="179" width="5.7109375" style="95" customWidth="1"/>
    <col min="180" max="181" width="5.7109375" style="95" hidden="1" customWidth="1"/>
    <col min="182" max="182" width="7" style="95" customWidth="1"/>
    <col min="183" max="185" width="5.7109375" style="95" customWidth="1"/>
    <col min="186" max="186" width="5.7109375" style="95" hidden="1" customWidth="1"/>
    <col min="187" max="187" width="6.7109375" style="95" hidden="1" customWidth="1"/>
    <col min="188" max="188" width="9.5703125" style="94" customWidth="1"/>
    <col min="189" max="189" width="13" style="94" customWidth="1"/>
    <col min="190" max="190" width="12.7109375" style="94" customWidth="1"/>
    <col min="191" max="191" width="12" style="94" customWidth="1"/>
    <col min="192" max="192" width="13" style="94" customWidth="1"/>
    <col min="193" max="193" width="12.7109375" style="94" customWidth="1"/>
    <col min="194" max="194" width="12" style="94" customWidth="1"/>
    <col min="195" max="195" width="13" style="94" customWidth="1"/>
    <col min="196" max="196" width="12.7109375" style="94" customWidth="1"/>
    <col min="197" max="197" width="12" style="94" customWidth="1"/>
    <col min="198" max="200" width="8.7109375" style="94" customWidth="1"/>
    <col min="201" max="201" width="17.85546875" style="94" customWidth="1"/>
    <col min="202" max="202" width="8.7109375" style="94"/>
    <col min="203" max="203" width="14.7109375" style="94" customWidth="1"/>
    <col min="204" max="204" width="9.7109375" style="94" customWidth="1"/>
    <col min="205" max="206" width="11.85546875" style="94" customWidth="1"/>
    <col min="207" max="207" width="14.42578125" style="94" bestFit="1" customWidth="1"/>
    <col min="208" max="208" width="9.140625" style="94" customWidth="1"/>
    <col min="209" max="209" width="10.42578125" style="94" customWidth="1"/>
    <col min="210" max="210" width="10.85546875" style="94" customWidth="1"/>
    <col min="211" max="211" width="10.28515625" style="94" customWidth="1"/>
    <col min="212" max="212" width="11" style="94" customWidth="1"/>
    <col min="213" max="213" width="9.140625" style="94" customWidth="1"/>
    <col min="214" max="214" width="12" style="94" customWidth="1"/>
    <col min="215" max="215" width="12.42578125" style="155" customWidth="1"/>
    <col min="216" max="217" width="17.140625" style="158" customWidth="1"/>
    <col min="218" max="16384" width="8.7109375" style="94"/>
  </cols>
  <sheetData>
    <row r="1" spans="1:217" ht="15">
      <c r="A1" s="58" t="s">
        <v>920</v>
      </c>
      <c r="B1" s="59"/>
      <c r="C1" s="445"/>
      <c r="D1" s="59"/>
      <c r="E1" s="59"/>
      <c r="F1" s="59"/>
      <c r="G1" s="59"/>
      <c r="H1" s="59"/>
      <c r="I1" s="59" t="s">
        <v>8</v>
      </c>
      <c r="J1" s="59"/>
      <c r="K1" s="59"/>
      <c r="L1" s="59"/>
      <c r="M1" s="59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28"/>
      <c r="BS1" s="128"/>
      <c r="BT1" s="116"/>
      <c r="BU1" s="116"/>
      <c r="BV1" s="116"/>
      <c r="BW1" s="116"/>
      <c r="BX1" s="128"/>
      <c r="BY1" s="128"/>
      <c r="BZ1" s="116"/>
      <c r="CA1" s="116"/>
      <c r="CB1" s="116"/>
      <c r="CC1" s="116"/>
      <c r="CD1" s="128"/>
      <c r="CE1" s="128"/>
      <c r="CF1" s="116"/>
      <c r="CG1" s="116"/>
      <c r="CH1" s="116"/>
      <c r="CI1" s="116"/>
      <c r="CJ1" s="116"/>
      <c r="CK1" s="116"/>
      <c r="CL1" s="116"/>
      <c r="CM1" s="116"/>
      <c r="CN1" s="116"/>
      <c r="CO1" s="116"/>
      <c r="CP1" s="116"/>
      <c r="CQ1" s="116"/>
      <c r="CR1" s="116"/>
      <c r="CS1" s="116"/>
      <c r="CT1" s="116"/>
      <c r="CU1" s="116"/>
      <c r="CV1" s="116"/>
      <c r="CW1" s="116"/>
      <c r="CX1" s="116"/>
      <c r="CY1" s="116"/>
      <c r="CZ1" s="116"/>
      <c r="DA1" s="116"/>
      <c r="DB1" s="116"/>
      <c r="DC1" s="116"/>
      <c r="DD1" s="116"/>
      <c r="DE1" s="116"/>
      <c r="DF1" s="116"/>
      <c r="DG1" s="116"/>
      <c r="DH1" s="116"/>
      <c r="DI1" s="116"/>
      <c r="DJ1" s="116"/>
      <c r="DK1" s="116"/>
      <c r="DL1" s="116"/>
      <c r="DM1" s="116"/>
      <c r="DN1" s="116"/>
      <c r="DO1" s="116"/>
      <c r="DP1" s="116"/>
      <c r="DQ1" s="116"/>
      <c r="DR1" s="116"/>
      <c r="DS1" s="116"/>
      <c r="DT1" s="116"/>
      <c r="DU1" s="116"/>
      <c r="DV1" s="116"/>
      <c r="DW1" s="116"/>
      <c r="DX1" s="116"/>
      <c r="DY1" s="116"/>
      <c r="DZ1" s="116"/>
      <c r="EA1" s="116"/>
      <c r="EB1" s="116"/>
      <c r="EC1" s="116"/>
      <c r="ED1" s="116"/>
      <c r="EE1" s="116"/>
      <c r="EF1" s="116"/>
      <c r="EG1" s="116"/>
      <c r="EH1" s="116"/>
      <c r="EI1" s="116"/>
      <c r="EJ1" s="116"/>
      <c r="EK1" s="116"/>
      <c r="EL1" s="116"/>
      <c r="EM1" s="116"/>
      <c r="EN1" s="116"/>
      <c r="EO1" s="116"/>
      <c r="EP1" s="116"/>
      <c r="EQ1" s="116"/>
      <c r="ER1" s="116"/>
      <c r="ES1" s="116"/>
      <c r="ET1" s="116"/>
      <c r="EU1" s="116"/>
      <c r="EV1" s="116"/>
      <c r="EW1" s="116"/>
      <c r="EX1" s="116"/>
      <c r="EY1" s="116"/>
      <c r="EZ1" s="116"/>
      <c r="FA1" s="116"/>
      <c r="FB1" s="116"/>
      <c r="FC1" s="116"/>
      <c r="FD1" s="116"/>
      <c r="FE1" s="116"/>
      <c r="FF1" s="116"/>
      <c r="FG1" s="116"/>
      <c r="FH1" s="116"/>
      <c r="FI1" s="116"/>
      <c r="FJ1" s="116"/>
      <c r="FK1" s="116"/>
      <c r="FL1" s="116"/>
      <c r="FM1" s="116"/>
      <c r="FN1" s="116"/>
      <c r="FO1" s="116"/>
      <c r="FP1" s="116"/>
      <c r="FQ1" s="116"/>
      <c r="FR1" s="116"/>
      <c r="FS1" s="116"/>
      <c r="FT1" s="116"/>
      <c r="FU1" s="116"/>
      <c r="FV1" s="116"/>
      <c r="FW1" s="116"/>
      <c r="FX1" s="116"/>
      <c r="FY1" s="116"/>
      <c r="FZ1" s="116"/>
      <c r="GA1" s="116"/>
      <c r="GB1" s="116"/>
      <c r="GC1" s="116"/>
      <c r="GD1" s="116"/>
      <c r="GE1" s="116"/>
      <c r="GF1" s="59"/>
      <c r="GG1" s="59"/>
      <c r="GH1" s="59"/>
      <c r="GI1" s="59"/>
      <c r="GJ1" s="59"/>
      <c r="GK1" s="59"/>
      <c r="GL1" s="59"/>
      <c r="GM1" s="59"/>
      <c r="GN1" s="59"/>
      <c r="GO1" s="59"/>
      <c r="GP1" s="59"/>
      <c r="GQ1" s="59"/>
      <c r="GR1" s="59"/>
    </row>
    <row r="2" spans="1:217" ht="15">
      <c r="A2" s="58" t="s">
        <v>24</v>
      </c>
      <c r="B2" s="59"/>
      <c r="C2" s="445"/>
      <c r="D2" s="59"/>
      <c r="E2" s="59"/>
      <c r="F2" s="59"/>
      <c r="G2" s="59"/>
      <c r="H2" s="59"/>
      <c r="I2" s="59" t="s">
        <v>13</v>
      </c>
      <c r="J2" s="59"/>
      <c r="K2" s="59"/>
      <c r="L2" s="59"/>
      <c r="M2" s="59" t="s">
        <v>11</v>
      </c>
      <c r="N2" s="116"/>
      <c r="O2" s="116"/>
      <c r="P2" s="116"/>
      <c r="Q2" s="116" t="s">
        <v>25</v>
      </c>
      <c r="R2" s="116"/>
      <c r="S2" s="116"/>
      <c r="T2" s="116" t="s">
        <v>9</v>
      </c>
      <c r="U2" s="116"/>
      <c r="V2" s="116"/>
      <c r="W2" s="116"/>
      <c r="X2" s="116"/>
      <c r="Y2" s="116" t="s">
        <v>15</v>
      </c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  <c r="BN2" s="116"/>
      <c r="BO2" s="116"/>
      <c r="BP2" s="116"/>
      <c r="BQ2" s="116"/>
      <c r="BR2" s="128"/>
      <c r="BS2" s="128"/>
      <c r="BT2" s="116"/>
      <c r="BU2" s="116"/>
      <c r="BV2" s="116"/>
      <c r="BW2" s="116"/>
      <c r="BX2" s="128"/>
      <c r="BY2" s="128"/>
      <c r="BZ2" s="116"/>
      <c r="CA2" s="116"/>
      <c r="CB2" s="116"/>
      <c r="CC2" s="116"/>
      <c r="CD2" s="128"/>
      <c r="CE2" s="128"/>
      <c r="CF2" s="116"/>
      <c r="CG2" s="116"/>
      <c r="CH2" s="116"/>
      <c r="CI2" s="116"/>
      <c r="CJ2" s="116"/>
      <c r="CK2" s="116"/>
      <c r="CL2" s="116"/>
      <c r="CM2" s="116"/>
      <c r="CN2" s="116"/>
      <c r="CO2" s="116"/>
      <c r="CP2" s="116"/>
      <c r="CQ2" s="116"/>
      <c r="CR2" s="116"/>
      <c r="CS2" s="116"/>
      <c r="CT2" s="116"/>
      <c r="CU2" s="116"/>
      <c r="CV2" s="116"/>
      <c r="CW2" s="116"/>
      <c r="CX2" s="116"/>
      <c r="CY2" s="116"/>
      <c r="CZ2" s="116"/>
      <c r="DA2" s="116"/>
      <c r="DB2" s="116"/>
      <c r="DC2" s="116"/>
      <c r="DD2" s="116"/>
      <c r="DE2" s="116"/>
      <c r="DF2" s="116"/>
      <c r="DG2" s="116"/>
      <c r="DH2" s="116"/>
      <c r="DI2" s="116"/>
      <c r="DJ2" s="116"/>
      <c r="DK2" s="116"/>
      <c r="DL2" s="116"/>
      <c r="DM2" s="116"/>
      <c r="DN2" s="116"/>
      <c r="DO2" s="116"/>
      <c r="DP2" s="116"/>
      <c r="DQ2" s="116"/>
      <c r="DR2" s="116"/>
      <c r="DS2" s="116"/>
      <c r="DT2" s="116"/>
      <c r="DU2" s="116"/>
      <c r="DV2" s="116"/>
      <c r="DW2" s="116"/>
      <c r="DX2" s="116"/>
      <c r="DY2" s="116"/>
      <c r="DZ2" s="116"/>
      <c r="EA2" s="116"/>
      <c r="EB2" s="116"/>
      <c r="EC2" s="116"/>
      <c r="ED2" s="116"/>
      <c r="EE2" s="116"/>
      <c r="EF2" s="116"/>
      <c r="EG2" s="116"/>
      <c r="EH2" s="116"/>
      <c r="EI2" s="116"/>
      <c r="EJ2" s="116"/>
      <c r="EK2" s="116"/>
      <c r="EL2" s="116"/>
      <c r="EM2" s="116"/>
      <c r="EN2" s="116"/>
      <c r="EO2" s="116"/>
      <c r="EP2" s="116"/>
      <c r="EQ2" s="116"/>
      <c r="ER2" s="116"/>
      <c r="ES2" s="116"/>
      <c r="ET2" s="116"/>
      <c r="EU2" s="116"/>
      <c r="EV2" s="116"/>
      <c r="EW2" s="116"/>
      <c r="EX2" s="116"/>
      <c r="EY2" s="116"/>
      <c r="EZ2" s="116"/>
      <c r="FA2" s="116"/>
      <c r="FB2" s="116"/>
      <c r="FC2" s="116"/>
      <c r="FD2" s="116"/>
      <c r="FE2" s="116"/>
      <c r="FF2" s="116"/>
      <c r="FG2" s="116"/>
      <c r="FH2" s="116"/>
      <c r="FI2" s="116"/>
      <c r="FJ2" s="116"/>
      <c r="FK2" s="116"/>
      <c r="FL2" s="116"/>
      <c r="FM2" s="116"/>
      <c r="FN2" s="116"/>
      <c r="FO2" s="116"/>
      <c r="FP2" s="116"/>
      <c r="FQ2" s="116"/>
      <c r="FR2" s="116"/>
      <c r="FS2" s="116"/>
      <c r="FT2" s="116"/>
      <c r="FU2" s="116"/>
      <c r="FV2" s="116"/>
      <c r="FW2" s="116"/>
      <c r="FX2" s="116"/>
      <c r="FY2" s="116"/>
      <c r="FZ2" s="116"/>
      <c r="GA2" s="116"/>
      <c r="GB2" s="116"/>
      <c r="GC2" s="116"/>
      <c r="GD2" s="116"/>
      <c r="GE2" s="116"/>
      <c r="GF2" s="59"/>
      <c r="GG2" s="59"/>
      <c r="GH2" s="59"/>
      <c r="GI2" s="59"/>
      <c r="GJ2" s="59"/>
      <c r="GK2" s="59"/>
      <c r="GL2" s="59"/>
      <c r="GM2" s="59"/>
      <c r="GN2" s="59"/>
      <c r="GO2" s="59"/>
      <c r="GP2" s="59"/>
      <c r="GQ2" s="59"/>
      <c r="GR2" s="59"/>
    </row>
    <row r="3" spans="1:217" ht="15">
      <c r="A3" s="59"/>
      <c r="B3" s="59"/>
      <c r="C3" s="445"/>
      <c r="D3" s="59"/>
      <c r="E3" s="59"/>
      <c r="F3" s="59"/>
      <c r="G3" s="59"/>
      <c r="H3" s="59"/>
      <c r="I3" s="59" t="s">
        <v>14</v>
      </c>
      <c r="J3" s="59"/>
      <c r="K3" s="59"/>
      <c r="L3" s="59"/>
      <c r="M3" s="59" t="s">
        <v>12</v>
      </c>
      <c r="N3" s="116"/>
      <c r="O3" s="116"/>
      <c r="P3" s="116"/>
      <c r="Q3" s="116" t="s">
        <v>26</v>
      </c>
      <c r="R3" s="116"/>
      <c r="S3" s="116"/>
      <c r="T3" s="116" t="s">
        <v>10</v>
      </c>
      <c r="U3" s="116"/>
      <c r="V3" s="116"/>
      <c r="W3" s="116"/>
      <c r="X3" s="116"/>
      <c r="Y3" s="116" t="s">
        <v>16</v>
      </c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6"/>
      <c r="BG3" s="116"/>
      <c r="BH3" s="116"/>
      <c r="BI3" s="116"/>
      <c r="BJ3" s="116"/>
      <c r="BK3" s="116"/>
      <c r="BL3" s="116"/>
      <c r="BM3" s="116"/>
      <c r="BN3" s="116"/>
      <c r="BO3" s="116"/>
      <c r="BP3" s="116"/>
      <c r="BQ3" s="116"/>
      <c r="BR3" s="128"/>
      <c r="BS3" s="128"/>
      <c r="BT3" s="116"/>
      <c r="BU3" s="116"/>
      <c r="BV3" s="116"/>
      <c r="BW3" s="116"/>
      <c r="BX3" s="128"/>
      <c r="BY3" s="128"/>
      <c r="BZ3" s="116"/>
      <c r="CA3" s="116"/>
      <c r="CB3" s="116"/>
      <c r="CC3" s="116"/>
      <c r="CD3" s="128"/>
      <c r="CE3" s="128"/>
      <c r="CF3" s="116"/>
      <c r="CG3" s="116"/>
      <c r="CH3" s="116"/>
      <c r="CI3" s="116"/>
      <c r="CJ3" s="116"/>
      <c r="CK3" s="116"/>
      <c r="CL3" s="116"/>
      <c r="CM3" s="116"/>
      <c r="CN3" s="116"/>
      <c r="CO3" s="116"/>
      <c r="CP3" s="116"/>
      <c r="CQ3" s="116"/>
      <c r="CR3" s="116"/>
      <c r="CS3" s="116"/>
      <c r="CT3" s="116"/>
      <c r="CU3" s="116"/>
      <c r="CV3" s="116"/>
      <c r="CW3" s="116"/>
      <c r="CX3" s="116"/>
      <c r="CY3" s="116"/>
      <c r="CZ3" s="116"/>
      <c r="DA3" s="116"/>
      <c r="DB3" s="116"/>
      <c r="DC3" s="116"/>
      <c r="DD3" s="116"/>
      <c r="DE3" s="116"/>
      <c r="DF3" s="116"/>
      <c r="DG3" s="116"/>
      <c r="DH3" s="116"/>
      <c r="DI3" s="116"/>
      <c r="DJ3" s="116"/>
      <c r="DK3" s="116"/>
      <c r="DL3" s="116"/>
      <c r="DM3" s="116"/>
      <c r="DN3" s="116"/>
      <c r="DO3" s="116"/>
      <c r="DP3" s="116"/>
      <c r="DQ3" s="116"/>
      <c r="DR3" s="116"/>
      <c r="DS3" s="116"/>
      <c r="DT3" s="116"/>
      <c r="DU3" s="116"/>
      <c r="DV3" s="116"/>
      <c r="DW3" s="116"/>
      <c r="DX3" s="116"/>
      <c r="DY3" s="116"/>
      <c r="DZ3" s="116"/>
      <c r="EA3" s="116"/>
      <c r="EB3" s="116"/>
      <c r="EC3" s="116"/>
      <c r="ED3" s="116"/>
      <c r="EE3" s="116"/>
      <c r="EF3" s="116"/>
      <c r="EG3" s="116"/>
      <c r="EH3" s="116"/>
      <c r="EI3" s="116"/>
      <c r="EJ3" s="116"/>
      <c r="EK3" s="116"/>
      <c r="EL3" s="116"/>
      <c r="EM3" s="116"/>
      <c r="EN3" s="116"/>
      <c r="EO3" s="116"/>
      <c r="EP3" s="116"/>
      <c r="EQ3" s="116"/>
      <c r="ER3" s="116"/>
      <c r="ES3" s="116"/>
      <c r="ET3" s="116"/>
      <c r="EU3" s="116"/>
      <c r="EV3" s="116"/>
      <c r="EW3" s="116"/>
      <c r="EX3" s="116"/>
      <c r="EY3" s="116"/>
      <c r="EZ3" s="116"/>
      <c r="FA3" s="116"/>
      <c r="FB3" s="116"/>
      <c r="FC3" s="116"/>
      <c r="FD3" s="116"/>
      <c r="FE3" s="116"/>
      <c r="FF3" s="116"/>
      <c r="FG3" s="116"/>
      <c r="FH3" s="116"/>
      <c r="FI3" s="116"/>
      <c r="FJ3" s="116"/>
      <c r="FK3" s="116"/>
      <c r="FL3" s="116"/>
      <c r="FM3" s="116"/>
      <c r="FN3" s="116"/>
      <c r="FO3" s="116"/>
      <c r="FP3" s="116"/>
      <c r="FQ3" s="116"/>
      <c r="FR3" s="116"/>
      <c r="FS3" s="116"/>
      <c r="FT3" s="116"/>
      <c r="FU3" s="116"/>
      <c r="FV3" s="116"/>
      <c r="FW3" s="116"/>
      <c r="FX3" s="116"/>
      <c r="FY3" s="116"/>
      <c r="FZ3" s="116"/>
      <c r="GA3" s="116"/>
      <c r="GB3" s="116"/>
      <c r="GC3" s="116"/>
      <c r="GD3" s="116"/>
      <c r="GE3" s="116"/>
      <c r="GF3" s="59"/>
      <c r="GG3" s="59"/>
      <c r="GH3" s="59"/>
      <c r="GI3" s="59"/>
      <c r="GJ3" s="59"/>
      <c r="GK3" s="59"/>
      <c r="GL3" s="59"/>
      <c r="GM3" s="59"/>
      <c r="GN3" s="59"/>
      <c r="GO3" s="59"/>
      <c r="GP3" s="59"/>
      <c r="GQ3" s="59"/>
      <c r="GR3" s="59"/>
    </row>
    <row r="4" spans="1:217" ht="15">
      <c r="A4" s="117" t="s">
        <v>23</v>
      </c>
      <c r="B4" s="117"/>
      <c r="C4" s="995">
        <v>44075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16"/>
      <c r="BK4" s="116"/>
      <c r="BL4" s="116"/>
      <c r="BM4" s="116"/>
      <c r="BN4" s="116"/>
      <c r="BO4" s="116"/>
      <c r="BP4" s="116"/>
      <c r="BQ4" s="116"/>
      <c r="BR4" s="128"/>
      <c r="BS4" s="128"/>
      <c r="BT4" s="116"/>
      <c r="BU4" s="116"/>
      <c r="BV4" s="116"/>
      <c r="BW4" s="116"/>
      <c r="BX4" s="128"/>
      <c r="BY4" s="128"/>
      <c r="BZ4" s="116"/>
      <c r="CA4" s="116"/>
      <c r="CB4" s="116"/>
      <c r="CC4" s="116"/>
      <c r="CD4" s="128"/>
      <c r="CE4" s="128"/>
      <c r="CF4" s="116"/>
      <c r="CG4" s="116"/>
      <c r="CH4" s="116"/>
      <c r="CI4" s="116"/>
      <c r="CJ4" s="116"/>
      <c r="CK4" s="116"/>
      <c r="CL4" s="116"/>
      <c r="CM4" s="116"/>
      <c r="CN4" s="116"/>
      <c r="CO4" s="116"/>
      <c r="CP4" s="116"/>
      <c r="CQ4" s="116"/>
      <c r="CR4" s="116"/>
      <c r="CS4" s="116"/>
      <c r="CT4" s="116"/>
      <c r="CU4" s="116"/>
      <c r="CV4" s="116"/>
      <c r="CW4" s="116"/>
      <c r="CX4" s="116"/>
      <c r="CY4" s="116"/>
      <c r="CZ4" s="116"/>
      <c r="DA4" s="116"/>
      <c r="DB4" s="116"/>
      <c r="DC4" s="116"/>
      <c r="DD4" s="116"/>
      <c r="DE4" s="116"/>
      <c r="DF4" s="116"/>
      <c r="DG4" s="116"/>
      <c r="DH4" s="116"/>
      <c r="DI4" s="116"/>
      <c r="DJ4" s="116"/>
      <c r="DK4" s="116"/>
      <c r="DL4" s="116"/>
      <c r="DM4" s="116"/>
      <c r="DN4" s="116"/>
      <c r="DO4" s="116"/>
      <c r="DP4" s="116"/>
      <c r="DQ4" s="116"/>
      <c r="DR4" s="116"/>
      <c r="DS4" s="116"/>
      <c r="DT4" s="116"/>
      <c r="DU4" s="116"/>
      <c r="DV4" s="116"/>
      <c r="DW4" s="116"/>
      <c r="DX4" s="116"/>
      <c r="DY4" s="116"/>
      <c r="DZ4" s="116"/>
      <c r="EA4" s="116"/>
      <c r="EB4" s="116"/>
      <c r="EC4" s="116"/>
      <c r="ED4" s="116"/>
      <c r="EE4" s="116"/>
      <c r="EF4" s="116"/>
      <c r="EG4" s="116"/>
      <c r="EH4" s="116"/>
      <c r="EI4" s="116"/>
      <c r="EJ4" s="116"/>
      <c r="EK4" s="116"/>
      <c r="EL4" s="116"/>
      <c r="EM4" s="116"/>
      <c r="EN4" s="116"/>
      <c r="EO4" s="116"/>
      <c r="EP4" s="116"/>
      <c r="EQ4" s="116"/>
      <c r="ER4" s="116"/>
      <c r="ES4" s="116"/>
      <c r="ET4" s="116"/>
      <c r="EU4" s="116"/>
      <c r="EV4" s="116"/>
      <c r="EW4" s="116"/>
      <c r="EX4" s="116"/>
      <c r="EY4" s="116"/>
      <c r="EZ4" s="116"/>
      <c r="FA4" s="116"/>
      <c r="FB4" s="116"/>
      <c r="FC4" s="116"/>
      <c r="FD4" s="116"/>
      <c r="FE4" s="116"/>
      <c r="FF4" s="116"/>
      <c r="FG4" s="116"/>
      <c r="FH4" s="116"/>
      <c r="FI4" s="116"/>
      <c r="FJ4" s="116"/>
      <c r="FK4" s="116"/>
      <c r="FL4" s="116"/>
      <c r="FM4" s="116"/>
      <c r="FN4" s="116"/>
      <c r="FO4" s="116"/>
      <c r="FP4" s="116"/>
      <c r="FQ4" s="116"/>
      <c r="FR4" s="116"/>
      <c r="FS4" s="116"/>
      <c r="FT4" s="116"/>
      <c r="FU4" s="116"/>
      <c r="FV4" s="116"/>
      <c r="FW4" s="116"/>
      <c r="FX4" s="116"/>
      <c r="FY4" s="116"/>
      <c r="FZ4" s="116"/>
      <c r="GA4" s="116"/>
      <c r="GB4" s="116"/>
      <c r="GC4" s="116"/>
      <c r="GD4" s="116"/>
      <c r="GE4" s="116"/>
      <c r="GF4" s="59"/>
      <c r="GG4" s="59"/>
      <c r="GH4" s="59"/>
      <c r="GI4" s="59"/>
      <c r="GJ4" s="59"/>
      <c r="GK4" s="59"/>
      <c r="GL4" s="59"/>
      <c r="GM4" s="59"/>
      <c r="GN4" s="59"/>
      <c r="GO4" s="59"/>
      <c r="GP4" s="59"/>
      <c r="GQ4" s="59"/>
      <c r="GR4" s="59"/>
      <c r="HA4" s="868"/>
    </row>
    <row r="5" spans="1:217" ht="15">
      <c r="A5" s="59"/>
      <c r="B5" s="59"/>
      <c r="C5" s="447"/>
      <c r="D5" s="59"/>
      <c r="E5" s="59"/>
      <c r="F5" s="59"/>
      <c r="G5" s="59"/>
      <c r="H5" s="59"/>
      <c r="I5" s="59"/>
      <c r="J5" s="59"/>
      <c r="K5" s="59"/>
      <c r="L5" s="59"/>
      <c r="M5" s="59"/>
      <c r="N5" s="118">
        <f>C4</f>
        <v>44075</v>
      </c>
      <c r="O5" s="119"/>
      <c r="P5" s="119"/>
      <c r="Q5" s="119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  <c r="BF5" s="116"/>
      <c r="BG5" s="116"/>
      <c r="BH5" s="116"/>
      <c r="BI5" s="116"/>
      <c r="BJ5" s="116"/>
      <c r="BK5" s="116"/>
      <c r="BL5" s="116"/>
      <c r="BM5" s="116"/>
      <c r="BN5" s="116"/>
      <c r="BO5" s="116"/>
      <c r="BP5" s="116"/>
      <c r="BQ5" s="116"/>
      <c r="BR5" s="128"/>
      <c r="BS5" s="128"/>
      <c r="BT5" s="116"/>
      <c r="BU5" s="116"/>
      <c r="BV5" s="116"/>
      <c r="BW5" s="116"/>
      <c r="BX5" s="128"/>
      <c r="BY5" s="128"/>
      <c r="BZ5" s="116"/>
      <c r="CA5" s="116"/>
      <c r="CB5" s="116"/>
      <c r="CC5" s="116"/>
      <c r="CD5" s="128"/>
      <c r="CE5" s="128"/>
      <c r="CF5" s="116"/>
      <c r="CG5" s="116"/>
      <c r="CH5" s="116"/>
      <c r="CI5" s="116"/>
      <c r="CJ5" s="116"/>
      <c r="CK5" s="116"/>
      <c r="CL5" s="116"/>
      <c r="CM5" s="116"/>
      <c r="CN5" s="116"/>
      <c r="CO5" s="116"/>
      <c r="CP5" s="116"/>
      <c r="CQ5" s="116"/>
      <c r="CR5" s="116"/>
      <c r="CS5" s="116"/>
      <c r="CT5" s="116"/>
      <c r="CU5" s="116"/>
      <c r="CV5" s="116"/>
      <c r="CW5" s="116"/>
      <c r="CX5" s="116"/>
      <c r="CY5" s="116"/>
      <c r="CZ5" s="116"/>
      <c r="DA5" s="116"/>
      <c r="DB5" s="116"/>
      <c r="DC5" s="116"/>
      <c r="DD5" s="116"/>
      <c r="DE5" s="116"/>
      <c r="DF5" s="116"/>
      <c r="DG5" s="116"/>
      <c r="DH5" s="116"/>
      <c r="DI5" s="116"/>
      <c r="DJ5" s="116"/>
      <c r="DK5" s="116"/>
      <c r="DL5" s="116"/>
      <c r="DM5" s="116"/>
      <c r="DN5" s="116"/>
      <c r="DO5" s="116"/>
      <c r="DP5" s="116"/>
      <c r="DQ5" s="116"/>
      <c r="DR5" s="116"/>
      <c r="DS5" s="116"/>
      <c r="DT5" s="116"/>
      <c r="DU5" s="116"/>
      <c r="DV5" s="116"/>
      <c r="DW5" s="116"/>
      <c r="DX5" s="116"/>
      <c r="DY5" s="116"/>
      <c r="DZ5" s="116"/>
      <c r="EA5" s="116"/>
      <c r="EB5" s="116"/>
      <c r="EC5" s="116"/>
      <c r="ED5" s="116"/>
      <c r="EE5" s="116"/>
      <c r="EF5" s="116"/>
      <c r="EG5" s="116"/>
      <c r="EH5" s="116"/>
      <c r="EI5" s="116"/>
      <c r="EJ5" s="116"/>
      <c r="EK5" s="116"/>
      <c r="EL5" s="116"/>
      <c r="EM5" s="116"/>
      <c r="EN5" s="116"/>
      <c r="EO5" s="116"/>
      <c r="EP5" s="116"/>
      <c r="EQ5" s="116"/>
      <c r="ER5" s="116"/>
      <c r="ES5" s="116"/>
      <c r="ET5" s="116"/>
      <c r="EU5" s="116"/>
      <c r="EV5" s="116"/>
      <c r="EW5" s="116"/>
      <c r="EX5" s="116"/>
      <c r="EY5" s="116"/>
      <c r="EZ5" s="116"/>
      <c r="FA5" s="116"/>
      <c r="FB5" s="116"/>
      <c r="FC5" s="116"/>
      <c r="FD5" s="116"/>
      <c r="FE5" s="116"/>
      <c r="FF5" s="116"/>
      <c r="FG5" s="116"/>
      <c r="FH5" s="116"/>
      <c r="FI5" s="116"/>
      <c r="FJ5" s="116"/>
      <c r="FK5" s="116"/>
      <c r="FL5" s="116"/>
      <c r="FM5" s="116"/>
      <c r="FN5" s="116"/>
      <c r="FO5" s="116"/>
      <c r="FP5" s="116"/>
      <c r="FQ5" s="116"/>
      <c r="FR5" s="116"/>
      <c r="FS5" s="116"/>
      <c r="FT5" s="116"/>
      <c r="FU5" s="116"/>
      <c r="FV5" s="116"/>
      <c r="FW5" s="116"/>
      <c r="FX5" s="116"/>
      <c r="FY5" s="116"/>
      <c r="FZ5" s="116"/>
      <c r="GA5" s="116"/>
      <c r="GB5" s="116"/>
      <c r="GC5" s="116"/>
      <c r="GD5" s="116"/>
      <c r="GE5" s="116"/>
      <c r="GF5" s="59"/>
      <c r="GG5" s="59"/>
      <c r="GH5" s="59"/>
      <c r="GI5" s="59"/>
      <c r="GJ5" s="59"/>
      <c r="GK5" s="59"/>
      <c r="GL5" s="59"/>
      <c r="GM5" s="59"/>
      <c r="GN5" s="59"/>
      <c r="GO5" s="59"/>
      <c r="GP5" s="59"/>
      <c r="GQ5" s="59"/>
      <c r="GR5" s="59"/>
    </row>
    <row r="6" spans="1:217" s="95" customFormat="1" ht="14.1" customHeight="1">
      <c r="A6" s="923" t="s">
        <v>18</v>
      </c>
      <c r="B6" s="919" t="s">
        <v>232</v>
      </c>
      <c r="C6" s="849" t="s">
        <v>2</v>
      </c>
      <c r="D6" s="153"/>
      <c r="E6" s="153"/>
      <c r="F6" s="153"/>
      <c r="G6" s="919" t="s">
        <v>143</v>
      </c>
      <c r="H6" s="919" t="s">
        <v>129</v>
      </c>
      <c r="I6" s="919" t="s">
        <v>122</v>
      </c>
      <c r="J6" s="919" t="s">
        <v>7</v>
      </c>
      <c r="K6" s="919" t="s">
        <v>543</v>
      </c>
      <c r="L6" s="919" t="s">
        <v>6</v>
      </c>
      <c r="M6" s="919" t="s">
        <v>195</v>
      </c>
      <c r="N6" s="922">
        <f>C4</f>
        <v>44075</v>
      </c>
      <c r="O6" s="922"/>
      <c r="P6" s="922"/>
      <c r="Q6" s="922"/>
      <c r="R6" s="922">
        <f>N6+1</f>
        <v>44076</v>
      </c>
      <c r="S6" s="922"/>
      <c r="T6" s="922"/>
      <c r="U6" s="922"/>
      <c r="V6" s="922">
        <f>R6+1</f>
        <v>44077</v>
      </c>
      <c r="W6" s="922"/>
      <c r="X6" s="922"/>
      <c r="Y6" s="922"/>
      <c r="Z6" s="922">
        <f>V6+1</f>
        <v>44078</v>
      </c>
      <c r="AA6" s="922"/>
      <c r="AB6" s="922"/>
      <c r="AC6" s="922"/>
      <c r="AD6" s="921">
        <f>Z6+1</f>
        <v>44079</v>
      </c>
      <c r="AE6" s="921"/>
      <c r="AF6" s="921"/>
      <c r="AG6" s="921"/>
      <c r="AH6" s="921"/>
      <c r="AI6" s="921"/>
      <c r="AJ6" s="922">
        <f>AD6+1</f>
        <v>44080</v>
      </c>
      <c r="AK6" s="922"/>
      <c r="AL6" s="922"/>
      <c r="AM6" s="922"/>
      <c r="AN6" s="922"/>
      <c r="AO6" s="922"/>
      <c r="AP6" s="922">
        <f>AJ6+1</f>
        <v>44081</v>
      </c>
      <c r="AQ6" s="922"/>
      <c r="AR6" s="922"/>
      <c r="AS6" s="922"/>
      <c r="AT6" s="922"/>
      <c r="AU6" s="922"/>
      <c r="AV6" s="922">
        <f>AP6+1</f>
        <v>44082</v>
      </c>
      <c r="AW6" s="922"/>
      <c r="AX6" s="922"/>
      <c r="AY6" s="922"/>
      <c r="AZ6" s="922"/>
      <c r="BA6" s="922"/>
      <c r="BB6" s="922">
        <f>AV6+1</f>
        <v>44083</v>
      </c>
      <c r="BC6" s="922"/>
      <c r="BD6" s="922"/>
      <c r="BE6" s="922"/>
      <c r="BF6" s="922">
        <f>BB6+1</f>
        <v>44084</v>
      </c>
      <c r="BG6" s="922"/>
      <c r="BH6" s="922"/>
      <c r="BI6" s="922"/>
      <c r="BJ6" s="922"/>
      <c r="BK6" s="922"/>
      <c r="BL6" s="922">
        <f>BF6+1</f>
        <v>44085</v>
      </c>
      <c r="BM6" s="922"/>
      <c r="BN6" s="922"/>
      <c r="BO6" s="922"/>
      <c r="BP6" s="922"/>
      <c r="BQ6" s="922"/>
      <c r="BR6" s="921">
        <f>BL6+1</f>
        <v>44086</v>
      </c>
      <c r="BS6" s="921"/>
      <c r="BT6" s="921"/>
      <c r="BU6" s="921"/>
      <c r="BV6" s="921"/>
      <c r="BW6" s="921"/>
      <c r="BX6" s="922">
        <f>BR6+1</f>
        <v>44087</v>
      </c>
      <c r="BY6" s="922"/>
      <c r="BZ6" s="922"/>
      <c r="CA6" s="922"/>
      <c r="CB6" s="922"/>
      <c r="CC6" s="922"/>
      <c r="CD6" s="922">
        <f>BX6+1</f>
        <v>44088</v>
      </c>
      <c r="CE6" s="922"/>
      <c r="CF6" s="922"/>
      <c r="CG6" s="922"/>
      <c r="CH6" s="922"/>
      <c r="CI6" s="922"/>
      <c r="CJ6" s="922">
        <f>CD6+1</f>
        <v>44089</v>
      </c>
      <c r="CK6" s="922"/>
      <c r="CL6" s="922"/>
      <c r="CM6" s="922"/>
      <c r="CN6" s="922"/>
      <c r="CO6" s="922"/>
      <c r="CP6" s="922">
        <f>CJ6+1</f>
        <v>44090</v>
      </c>
      <c r="CQ6" s="922"/>
      <c r="CR6" s="922"/>
      <c r="CS6" s="922"/>
      <c r="CT6" s="922">
        <f>CP6+1</f>
        <v>44091</v>
      </c>
      <c r="CU6" s="922"/>
      <c r="CV6" s="922"/>
      <c r="CW6" s="922"/>
      <c r="CX6" s="922"/>
      <c r="CY6" s="922"/>
      <c r="CZ6" s="922">
        <f>CT6+1</f>
        <v>44092</v>
      </c>
      <c r="DA6" s="922"/>
      <c r="DB6" s="922"/>
      <c r="DC6" s="922"/>
      <c r="DD6" s="922"/>
      <c r="DE6" s="922"/>
      <c r="DF6" s="921">
        <f>CZ6+1</f>
        <v>44093</v>
      </c>
      <c r="DG6" s="921"/>
      <c r="DH6" s="921"/>
      <c r="DI6" s="921"/>
      <c r="DJ6" s="921"/>
      <c r="DK6" s="921"/>
      <c r="DL6" s="922">
        <f>DF6+1</f>
        <v>44094</v>
      </c>
      <c r="DM6" s="922"/>
      <c r="DN6" s="922"/>
      <c r="DO6" s="922"/>
      <c r="DP6" s="922"/>
      <c r="DQ6" s="922"/>
      <c r="DR6" s="922">
        <f>DL6+1</f>
        <v>44095</v>
      </c>
      <c r="DS6" s="922"/>
      <c r="DT6" s="922"/>
      <c r="DU6" s="922"/>
      <c r="DV6" s="922"/>
      <c r="DW6" s="922"/>
      <c r="DX6" s="921">
        <f>DR6+1</f>
        <v>44096</v>
      </c>
      <c r="DY6" s="921"/>
      <c r="DZ6" s="921"/>
      <c r="EA6" s="921"/>
      <c r="EB6" s="921"/>
      <c r="EC6" s="921"/>
      <c r="ED6" s="921">
        <f>DX6+1</f>
        <v>44097</v>
      </c>
      <c r="EE6" s="921"/>
      <c r="EF6" s="921"/>
      <c r="EG6" s="921"/>
      <c r="EH6" s="921"/>
      <c r="EI6" s="921"/>
      <c r="EJ6" s="921">
        <f>ED6+1</f>
        <v>44098</v>
      </c>
      <c r="EK6" s="921"/>
      <c r="EL6" s="921"/>
      <c r="EM6" s="921"/>
      <c r="EN6" s="921"/>
      <c r="EO6" s="921"/>
      <c r="EP6" s="921">
        <f>EJ6+1</f>
        <v>44099</v>
      </c>
      <c r="EQ6" s="921"/>
      <c r="ER6" s="921"/>
      <c r="ES6" s="921"/>
      <c r="ET6" s="921"/>
      <c r="EU6" s="921"/>
      <c r="EV6" s="921">
        <f>EP6+1</f>
        <v>44100</v>
      </c>
      <c r="EW6" s="921"/>
      <c r="EX6" s="921"/>
      <c r="EY6" s="921"/>
      <c r="EZ6" s="921"/>
      <c r="FA6" s="921"/>
      <c r="FB6" s="921">
        <f>EV6+1</f>
        <v>44101</v>
      </c>
      <c r="FC6" s="921"/>
      <c r="FD6" s="921"/>
      <c r="FE6" s="921"/>
      <c r="FF6" s="921"/>
      <c r="FG6" s="921"/>
      <c r="FH6" s="921">
        <f>FB6+1</f>
        <v>44102</v>
      </c>
      <c r="FI6" s="921"/>
      <c r="FJ6" s="921"/>
      <c r="FK6" s="921"/>
      <c r="FL6" s="921"/>
      <c r="FM6" s="921"/>
      <c r="FN6" s="921">
        <f>FH6+1</f>
        <v>44103</v>
      </c>
      <c r="FO6" s="921"/>
      <c r="FP6" s="921"/>
      <c r="FQ6" s="921"/>
      <c r="FR6" s="921"/>
      <c r="FS6" s="921"/>
      <c r="FT6" s="921">
        <f>FN6+1</f>
        <v>44104</v>
      </c>
      <c r="FU6" s="921"/>
      <c r="FV6" s="921"/>
      <c r="FW6" s="921"/>
      <c r="FX6" s="921"/>
      <c r="FY6" s="921"/>
      <c r="FZ6" s="921">
        <v>44074</v>
      </c>
      <c r="GA6" s="921"/>
      <c r="GB6" s="921"/>
      <c r="GC6" s="921"/>
      <c r="GD6" s="921"/>
      <c r="GE6" s="921"/>
      <c r="GF6" s="919" t="s">
        <v>22</v>
      </c>
      <c r="GG6" s="919" t="s">
        <v>751</v>
      </c>
      <c r="GH6" s="919"/>
      <c r="GI6" s="919"/>
      <c r="GJ6" s="919" t="s">
        <v>752</v>
      </c>
      <c r="GK6" s="919"/>
      <c r="GL6" s="919"/>
      <c r="GM6" s="919" t="s">
        <v>753</v>
      </c>
      <c r="GN6" s="919"/>
      <c r="GO6" s="919"/>
      <c r="GP6" s="919" t="s">
        <v>17</v>
      </c>
      <c r="GQ6" s="919"/>
      <c r="GR6" s="919"/>
      <c r="GS6" s="926" t="s">
        <v>568</v>
      </c>
      <c r="GT6" s="926" t="s">
        <v>569</v>
      </c>
      <c r="GU6" s="926" t="s">
        <v>570</v>
      </c>
      <c r="GV6" s="152" t="s">
        <v>1032</v>
      </c>
      <c r="GW6" s="152"/>
      <c r="GX6" s="152"/>
      <c r="GY6" s="152"/>
      <c r="GZ6" s="152" t="s">
        <v>571</v>
      </c>
      <c r="HA6" s="152"/>
      <c r="HB6" s="152"/>
      <c r="HC6" s="152"/>
      <c r="HD6" s="152"/>
      <c r="HE6" s="152"/>
      <c r="HF6" s="152"/>
      <c r="HG6" s="156" t="s">
        <v>572</v>
      </c>
      <c r="HH6" s="159"/>
      <c r="HI6" s="160"/>
    </row>
    <row r="7" spans="1:217" s="95" customFormat="1" ht="14.1" customHeight="1">
      <c r="A7" s="924"/>
      <c r="B7" s="920"/>
      <c r="C7" s="925" t="s">
        <v>3</v>
      </c>
      <c r="D7" s="920" t="s">
        <v>4</v>
      </c>
      <c r="E7" s="920" t="s">
        <v>5</v>
      </c>
      <c r="F7" s="920" t="s">
        <v>1</v>
      </c>
      <c r="G7" s="920"/>
      <c r="H7" s="920"/>
      <c r="I7" s="920"/>
      <c r="J7" s="920"/>
      <c r="K7" s="920"/>
      <c r="L7" s="920"/>
      <c r="M7" s="920"/>
      <c r="N7" s="918" t="str">
        <f>IF(WEEKDAY(N6)=1,"SUNDAY","")</f>
        <v/>
      </c>
      <c r="O7" s="918"/>
      <c r="P7" s="918"/>
      <c r="Q7" s="918"/>
      <c r="R7" s="918" t="str">
        <f t="shared" ref="R7" si="0">IF(WEEKDAY(R6)=1,"SUNDAY","")</f>
        <v/>
      </c>
      <c r="S7" s="918"/>
      <c r="T7" s="918"/>
      <c r="U7" s="918"/>
      <c r="V7" s="918" t="str">
        <f t="shared" ref="V7" si="1">IF(WEEKDAY(V6)=1,"SUNDAY","")</f>
        <v/>
      </c>
      <c r="W7" s="918"/>
      <c r="X7" s="918"/>
      <c r="Y7" s="918"/>
      <c r="Z7" s="918" t="str">
        <f t="shared" ref="Z7" si="2">IF(WEEKDAY(Z6)=1,"SUNDAY","")</f>
        <v/>
      </c>
      <c r="AA7" s="918"/>
      <c r="AB7" s="918"/>
      <c r="AC7" s="918"/>
      <c r="AD7" s="918" t="str">
        <f t="shared" ref="AD7" si="3">IF(WEEKDAY(AD6)=1,"SUNDAY","")</f>
        <v/>
      </c>
      <c r="AE7" s="918"/>
      <c r="AF7" s="918"/>
      <c r="AG7" s="918"/>
      <c r="AH7" s="918"/>
      <c r="AI7" s="918"/>
      <c r="AJ7" s="918" t="str">
        <f t="shared" ref="AJ7" si="4">IF(WEEKDAY(AJ6)=1,"SUNDAY","")</f>
        <v>SUNDAY</v>
      </c>
      <c r="AK7" s="918"/>
      <c r="AL7" s="918"/>
      <c r="AM7" s="918"/>
      <c r="AN7" s="918"/>
      <c r="AO7" s="918"/>
      <c r="AP7" s="918" t="str">
        <f t="shared" ref="AP7" si="5">IF(WEEKDAY(AP6)=1,"SUNDAY","")</f>
        <v/>
      </c>
      <c r="AQ7" s="918"/>
      <c r="AR7" s="918"/>
      <c r="AS7" s="918"/>
      <c r="AT7" s="918"/>
      <c r="AU7" s="918"/>
      <c r="AV7" s="918" t="str">
        <f t="shared" ref="AV7" si="6">IF(WEEKDAY(AV6)=1,"SUNDAY","")</f>
        <v/>
      </c>
      <c r="AW7" s="918"/>
      <c r="AX7" s="918"/>
      <c r="AY7" s="918"/>
      <c r="AZ7" s="918"/>
      <c r="BA7" s="918"/>
      <c r="BB7" s="918" t="str">
        <f t="shared" ref="BB7" si="7">IF(WEEKDAY(BB6)=1,"SUNDAY","")</f>
        <v/>
      </c>
      <c r="BC7" s="918"/>
      <c r="BD7" s="918"/>
      <c r="BE7" s="918"/>
      <c r="BF7" s="918" t="str">
        <f t="shared" ref="BF7" si="8">IF(WEEKDAY(BF6)=1,"SUNDAY","")</f>
        <v/>
      </c>
      <c r="BG7" s="918"/>
      <c r="BH7" s="918"/>
      <c r="BI7" s="918"/>
      <c r="BJ7" s="918"/>
      <c r="BK7" s="918"/>
      <c r="BL7" s="918" t="str">
        <f t="shared" ref="BL7" si="9">IF(WEEKDAY(BL6)=1,"SUNDAY","")</f>
        <v/>
      </c>
      <c r="BM7" s="918"/>
      <c r="BN7" s="918"/>
      <c r="BO7" s="918"/>
      <c r="BP7" s="918"/>
      <c r="BQ7" s="918"/>
      <c r="BR7" s="918" t="str">
        <f t="shared" ref="BR7" si="10">IF(WEEKDAY(BR6)=1,"SUNDAY","")</f>
        <v/>
      </c>
      <c r="BS7" s="918"/>
      <c r="BT7" s="918"/>
      <c r="BU7" s="918"/>
      <c r="BV7" s="918"/>
      <c r="BW7" s="918"/>
      <c r="BX7" s="918" t="str">
        <f t="shared" ref="BX7" si="11">IF(WEEKDAY(BX6)=1,"SUNDAY","")</f>
        <v>SUNDAY</v>
      </c>
      <c r="BY7" s="918"/>
      <c r="BZ7" s="918"/>
      <c r="CA7" s="918"/>
      <c r="CB7" s="918"/>
      <c r="CC7" s="918"/>
      <c r="CD7" s="918" t="str">
        <f t="shared" ref="CD7" si="12">IF(WEEKDAY(CD6)=1,"SUNDAY","")</f>
        <v/>
      </c>
      <c r="CE7" s="918"/>
      <c r="CF7" s="918"/>
      <c r="CG7" s="918"/>
      <c r="CH7" s="918"/>
      <c r="CI7" s="918"/>
      <c r="CJ7" s="918" t="str">
        <f t="shared" ref="CJ7" si="13">IF(WEEKDAY(CJ6)=1,"SUNDAY","")</f>
        <v/>
      </c>
      <c r="CK7" s="918"/>
      <c r="CL7" s="918"/>
      <c r="CM7" s="918"/>
      <c r="CN7" s="918"/>
      <c r="CO7" s="918"/>
      <c r="CP7" s="918" t="str">
        <f t="shared" ref="CP7" si="14">IF(WEEKDAY(CP6)=1,"SUNDAY","")</f>
        <v/>
      </c>
      <c r="CQ7" s="918"/>
      <c r="CR7" s="918"/>
      <c r="CS7" s="918"/>
      <c r="CT7" s="918" t="str">
        <f t="shared" ref="CT7" si="15">IF(WEEKDAY(CT6)=1,"SUNDAY","")</f>
        <v/>
      </c>
      <c r="CU7" s="918"/>
      <c r="CV7" s="918"/>
      <c r="CW7" s="918"/>
      <c r="CX7" s="918"/>
      <c r="CY7" s="918"/>
      <c r="CZ7" s="918" t="str">
        <f t="shared" ref="CZ7" si="16">IF(WEEKDAY(CZ6)=1,"SUNDAY","")</f>
        <v/>
      </c>
      <c r="DA7" s="918"/>
      <c r="DB7" s="918"/>
      <c r="DC7" s="918"/>
      <c r="DD7" s="918"/>
      <c r="DE7" s="918"/>
      <c r="DF7" s="918" t="str">
        <f t="shared" ref="DF7" si="17">IF(WEEKDAY(DF6)=1,"SUNDAY","")</f>
        <v/>
      </c>
      <c r="DG7" s="918"/>
      <c r="DH7" s="918"/>
      <c r="DI7" s="918"/>
      <c r="DJ7" s="918"/>
      <c r="DK7" s="918"/>
      <c r="DL7" s="918" t="str">
        <f t="shared" ref="DL7" si="18">IF(WEEKDAY(DL6)=1,"SUNDAY","")</f>
        <v>SUNDAY</v>
      </c>
      <c r="DM7" s="918"/>
      <c r="DN7" s="918"/>
      <c r="DO7" s="918"/>
      <c r="DP7" s="918"/>
      <c r="DQ7" s="918"/>
      <c r="DR7" s="918" t="str">
        <f t="shared" ref="DR7" si="19">IF(WEEKDAY(DR6)=1,"SUNDAY","")</f>
        <v/>
      </c>
      <c r="DS7" s="918"/>
      <c r="DT7" s="918"/>
      <c r="DU7" s="918"/>
      <c r="DV7" s="918"/>
      <c r="DW7" s="918"/>
      <c r="DX7" s="918" t="str">
        <f t="shared" ref="DX7" si="20">IF(WEEKDAY(DX6)=1,"SUNDAY","")</f>
        <v/>
      </c>
      <c r="DY7" s="918"/>
      <c r="DZ7" s="918"/>
      <c r="EA7" s="918"/>
      <c r="EB7" s="918"/>
      <c r="EC7" s="918"/>
      <c r="ED7" s="918" t="str">
        <f t="shared" ref="ED7" si="21">IF(WEEKDAY(ED6)=1,"SUNDAY","")</f>
        <v/>
      </c>
      <c r="EE7" s="918"/>
      <c r="EF7" s="918"/>
      <c r="EG7" s="918"/>
      <c r="EH7" s="918"/>
      <c r="EI7" s="918"/>
      <c r="EJ7" s="918" t="str">
        <f t="shared" ref="EJ7" si="22">IF(WEEKDAY(EJ6)=1,"SUNDAY","")</f>
        <v/>
      </c>
      <c r="EK7" s="918"/>
      <c r="EL7" s="918"/>
      <c r="EM7" s="918"/>
      <c r="EN7" s="918"/>
      <c r="EO7" s="918"/>
      <c r="EP7" s="918" t="str">
        <f t="shared" ref="EP7" si="23">IF(WEEKDAY(EP6)=1,"SUNDAY","")</f>
        <v/>
      </c>
      <c r="EQ7" s="918"/>
      <c r="ER7" s="918"/>
      <c r="ES7" s="918"/>
      <c r="ET7" s="918"/>
      <c r="EU7" s="918"/>
      <c r="EV7" s="918" t="str">
        <f t="shared" ref="EV7" si="24">IF(WEEKDAY(EV6)=1,"SUNDAY","")</f>
        <v/>
      </c>
      <c r="EW7" s="918"/>
      <c r="EX7" s="918"/>
      <c r="EY7" s="918"/>
      <c r="EZ7" s="918"/>
      <c r="FA7" s="918"/>
      <c r="FB7" s="918" t="str">
        <f t="shared" ref="FB7" si="25">IF(WEEKDAY(FB6)=1,"SUNDAY","")</f>
        <v>SUNDAY</v>
      </c>
      <c r="FC7" s="918"/>
      <c r="FD7" s="918"/>
      <c r="FE7" s="918"/>
      <c r="FF7" s="918"/>
      <c r="FG7" s="918"/>
      <c r="FH7" s="918" t="str">
        <f t="shared" ref="FH7" si="26">IF(WEEKDAY(FH6)=1,"SUNDAY","")</f>
        <v/>
      </c>
      <c r="FI7" s="918"/>
      <c r="FJ7" s="918"/>
      <c r="FK7" s="918"/>
      <c r="FL7" s="918"/>
      <c r="FM7" s="918"/>
      <c r="FN7" s="918" t="str">
        <f t="shared" ref="FN7" si="27">IF(WEEKDAY(FN6)=1,"SUNDAY","")</f>
        <v/>
      </c>
      <c r="FO7" s="918"/>
      <c r="FP7" s="918"/>
      <c r="FQ7" s="918"/>
      <c r="FR7" s="918"/>
      <c r="FS7" s="918"/>
      <c r="FT7" s="918" t="str">
        <f t="shared" ref="FT7" si="28">IF(WEEKDAY(FT6)=1,"SUNDAY","")</f>
        <v/>
      </c>
      <c r="FU7" s="918"/>
      <c r="FV7" s="918"/>
      <c r="FW7" s="918"/>
      <c r="FX7" s="918"/>
      <c r="FY7" s="918"/>
      <c r="FZ7" s="918" t="str">
        <f>IF(WEEKDAY(FZ6)=1,"SUNDAY","")</f>
        <v/>
      </c>
      <c r="GA7" s="918"/>
      <c r="GB7" s="918"/>
      <c r="GC7" s="918"/>
      <c r="GD7" s="918"/>
      <c r="GE7" s="918"/>
      <c r="GF7" s="920"/>
      <c r="GG7" s="920"/>
      <c r="GH7" s="920"/>
      <c r="GI7" s="920"/>
      <c r="GJ7" s="920"/>
      <c r="GK7" s="920"/>
      <c r="GL7" s="920"/>
      <c r="GM7" s="920"/>
      <c r="GN7" s="920"/>
      <c r="GO7" s="920"/>
      <c r="GP7" s="920"/>
      <c r="GQ7" s="920"/>
      <c r="GR7" s="920"/>
      <c r="GS7" s="927"/>
      <c r="GT7" s="927"/>
      <c r="GU7" s="927"/>
      <c r="GV7" s="926" t="s">
        <v>573</v>
      </c>
      <c r="GW7" s="926" t="s">
        <v>1039</v>
      </c>
      <c r="GX7" s="926" t="s">
        <v>1040</v>
      </c>
      <c r="GY7" s="926" t="s">
        <v>1033</v>
      </c>
      <c r="GZ7" s="926" t="s">
        <v>574</v>
      </c>
      <c r="HA7" s="926" t="s">
        <v>575</v>
      </c>
      <c r="HB7" s="926" t="s">
        <v>576</v>
      </c>
      <c r="HC7" s="926" t="s">
        <v>577</v>
      </c>
      <c r="HD7" s="926" t="s">
        <v>578</v>
      </c>
      <c r="HE7" s="926" t="s">
        <v>579</v>
      </c>
      <c r="HF7" s="926" t="s">
        <v>580</v>
      </c>
      <c r="HG7" s="926" t="s">
        <v>242</v>
      </c>
      <c r="HH7" s="928" t="s">
        <v>244</v>
      </c>
      <c r="HI7" s="930" t="s">
        <v>243</v>
      </c>
    </row>
    <row r="8" spans="1:217" s="95" customFormat="1" ht="14.1" customHeight="1">
      <c r="A8" s="924"/>
      <c r="B8" s="920"/>
      <c r="C8" s="925"/>
      <c r="D8" s="920"/>
      <c r="E8" s="920"/>
      <c r="F8" s="920"/>
      <c r="G8" s="920"/>
      <c r="H8" s="920"/>
      <c r="I8" s="920"/>
      <c r="J8" s="920"/>
      <c r="K8" s="920"/>
      <c r="L8" s="920"/>
      <c r="M8" s="920"/>
      <c r="N8" s="915" t="str">
        <f>IF(WEEKDAY(N6)&gt;=0,"Ca ngày","")</f>
        <v>Ca ngày</v>
      </c>
      <c r="O8" s="915"/>
      <c r="P8" s="915" t="str">
        <f>IF(WEEKDAY(N6)&gt;=0,"Ca đêm","")</f>
        <v>Ca đêm</v>
      </c>
      <c r="Q8" s="915"/>
      <c r="R8" s="915" t="str">
        <f>IF(WEEKDAY(R6)&gt;=0,"Ca ngày","")</f>
        <v>Ca ngày</v>
      </c>
      <c r="S8" s="915"/>
      <c r="T8" s="615" t="str">
        <f>IF(WEEKDAY(R6)&gt;=0,"Ca đêm","")</f>
        <v>Ca đêm</v>
      </c>
      <c r="U8" s="615"/>
      <c r="V8" s="915" t="str">
        <f>IF(WEEKDAY(V6)&gt;=0,"Ca ngày","")</f>
        <v>Ca ngày</v>
      </c>
      <c r="W8" s="915"/>
      <c r="X8" s="915" t="str">
        <f>IF(WEEKDAY(V6)&gt;=0,"Ca đêm","")</f>
        <v>Ca đêm</v>
      </c>
      <c r="Y8" s="915"/>
      <c r="Z8" s="915" t="str">
        <f>IF(WEEKDAY(Z6)&gt;=0,"Ca ngày","")</f>
        <v>Ca ngày</v>
      </c>
      <c r="AA8" s="915"/>
      <c r="AB8" s="915" t="str">
        <f>IF(WEEKDAY(Z6)&gt;=0,"Ca đêm","")</f>
        <v>Ca đêm</v>
      </c>
      <c r="AC8" s="915"/>
      <c r="AD8" s="917" t="str">
        <f>IF(WEEKDAY(AD6)&gt;=0,"Ca ngày","")</f>
        <v>Ca ngày</v>
      </c>
      <c r="AE8" s="917"/>
      <c r="AF8" s="917" t="str">
        <f>IF(WEEKDAY(AD6)&gt;=0,"Ca đêm","")</f>
        <v>Ca đêm</v>
      </c>
      <c r="AG8" s="917"/>
      <c r="AH8" s="917" t="str">
        <f>IF(WEEKDAY(AD6)&gt;=0,"Ca HC","")</f>
        <v>Ca HC</v>
      </c>
      <c r="AI8" s="917"/>
      <c r="AJ8" s="917" t="str">
        <f>IF(WEEKDAY(AJ6)&gt;=0,"Ca ngày","")</f>
        <v>Ca ngày</v>
      </c>
      <c r="AK8" s="917"/>
      <c r="AL8" s="917" t="str">
        <f>IF(WEEKDAY(AJ6)&gt;=0,"Ca đêm","")</f>
        <v>Ca đêm</v>
      </c>
      <c r="AM8" s="917"/>
      <c r="AN8" s="917" t="str">
        <f>IF(WEEKDAY(AJ6)&gt;=0,"Ca HC","")</f>
        <v>Ca HC</v>
      </c>
      <c r="AO8" s="917"/>
      <c r="AP8" s="915" t="str">
        <f>IF(WEEKDAY(AP6)&gt;=0,"Ca ngày","")</f>
        <v>Ca ngày</v>
      </c>
      <c r="AQ8" s="915"/>
      <c r="AR8" s="915" t="str">
        <f>IF(WEEKDAY(AP6)&gt;=0,"Ca đêm","")</f>
        <v>Ca đêm</v>
      </c>
      <c r="AS8" s="915"/>
      <c r="AT8" s="915" t="str">
        <f>IF(WEEKDAY(AP6)&gt;=0,"Ca HC","")</f>
        <v>Ca HC</v>
      </c>
      <c r="AU8" s="915"/>
      <c r="AV8" s="915" t="str">
        <f>IF(WEEKDAY(AV6)&gt;=0,"Ca ngày","")</f>
        <v>Ca ngày</v>
      </c>
      <c r="AW8" s="915"/>
      <c r="AX8" s="915" t="str">
        <f>IF(WEEKDAY(AV6)&gt;=0,"Ca đêm","")</f>
        <v>Ca đêm</v>
      </c>
      <c r="AY8" s="915"/>
      <c r="AZ8" s="915" t="str">
        <f>IF(WEEKDAY(AV6)&gt;=0,"Ca HC","")</f>
        <v>Ca HC</v>
      </c>
      <c r="BA8" s="915"/>
      <c r="BB8" s="915" t="str">
        <f>IF(WEEKDAY(BB6)&gt;=0,"Ca ngày","")</f>
        <v>Ca ngày</v>
      </c>
      <c r="BC8" s="915"/>
      <c r="BD8" s="915" t="str">
        <f>IF(WEEKDAY(BB6)&gt;=0,"Ca đêm","")</f>
        <v>Ca đêm</v>
      </c>
      <c r="BE8" s="915"/>
      <c r="BF8" s="915" t="str">
        <f>IF(WEEKDAY(BF6)&gt;=0,"Ca ngày","")</f>
        <v>Ca ngày</v>
      </c>
      <c r="BG8" s="915"/>
      <c r="BH8" s="915" t="str">
        <f>IF(WEEKDAY(BF6)&gt;=0,"Ca đêm","")</f>
        <v>Ca đêm</v>
      </c>
      <c r="BI8" s="915"/>
      <c r="BJ8" s="915" t="str">
        <f>IF(WEEKDAY(BF6)&gt;=0,"Ca HC","")</f>
        <v>Ca HC</v>
      </c>
      <c r="BK8" s="915"/>
      <c r="BL8" s="915" t="str">
        <f>IF(WEEKDAY(BL6)&gt;=0,"Ca ngày","")</f>
        <v>Ca ngày</v>
      </c>
      <c r="BM8" s="915"/>
      <c r="BN8" s="915" t="str">
        <f>IF(WEEKDAY(BL6)&gt;=0,"Ca đêm","")</f>
        <v>Ca đêm</v>
      </c>
      <c r="BO8" s="915"/>
      <c r="BP8" s="915" t="str">
        <f>IF(WEEKDAY(BL6)&gt;=0,"Ca HC","")</f>
        <v>Ca HC</v>
      </c>
      <c r="BQ8" s="915"/>
      <c r="BR8" s="915" t="str">
        <f>IF(WEEKDAY(BR6)&gt;=0,"Ca ngày","")</f>
        <v>Ca ngày</v>
      </c>
      <c r="BS8" s="915"/>
      <c r="BT8" s="915" t="str">
        <f>IF(WEEKDAY(BR6)&gt;=0,"Ca đêm","")</f>
        <v>Ca đêm</v>
      </c>
      <c r="BU8" s="915"/>
      <c r="BV8" s="915" t="str">
        <f>IF(WEEKDAY(BR6)&gt;=0,"Ca HC","")</f>
        <v>Ca HC</v>
      </c>
      <c r="BW8" s="915"/>
      <c r="BX8" s="917" t="str">
        <f>IF(WEEKDAY(BX6)&gt;=0,"Ca ngày","")</f>
        <v>Ca ngày</v>
      </c>
      <c r="BY8" s="917"/>
      <c r="BZ8" s="917" t="str">
        <f>IF(WEEKDAY(BX6)&gt;=0,"Ca đêm","")</f>
        <v>Ca đêm</v>
      </c>
      <c r="CA8" s="917"/>
      <c r="CB8" s="917" t="str">
        <f>IF(WEEKDAY(BX6)&gt;=0,"Ca HC","")</f>
        <v>Ca HC</v>
      </c>
      <c r="CC8" s="917"/>
      <c r="CD8" s="915" t="str">
        <f>IF(WEEKDAY(CD6)&gt;=0,"Ca ngày","")</f>
        <v>Ca ngày</v>
      </c>
      <c r="CE8" s="915"/>
      <c r="CF8" s="915" t="str">
        <f>IF(WEEKDAY(CD6)&gt;=0,"Ca đêm","")</f>
        <v>Ca đêm</v>
      </c>
      <c r="CG8" s="915"/>
      <c r="CH8" s="915" t="str">
        <f>IF(WEEKDAY(CD6)&gt;=0,"Ca HC","")</f>
        <v>Ca HC</v>
      </c>
      <c r="CI8" s="915"/>
      <c r="CJ8" s="915" t="str">
        <f>IF(WEEKDAY(CJ6)&gt;=0,"Ca ngày","")</f>
        <v>Ca ngày</v>
      </c>
      <c r="CK8" s="915"/>
      <c r="CL8" s="915" t="str">
        <f>IF(WEEKDAY(CJ6)&gt;=0,"Ca đêm","")</f>
        <v>Ca đêm</v>
      </c>
      <c r="CM8" s="915"/>
      <c r="CN8" s="915" t="str">
        <f>IF(WEEKDAY(CJ6)&gt;=0,"Ca HC","")</f>
        <v>Ca HC</v>
      </c>
      <c r="CO8" s="915"/>
      <c r="CP8" s="915" t="str">
        <f>IF(WEEKDAY(CP6)&gt;=0,"Ca ngày","")</f>
        <v>Ca ngày</v>
      </c>
      <c r="CQ8" s="915"/>
      <c r="CR8" s="915" t="str">
        <f>IF(WEEKDAY(CP6)&gt;=0,"Ca đêm","")</f>
        <v>Ca đêm</v>
      </c>
      <c r="CS8" s="915"/>
      <c r="CT8" s="915" t="str">
        <f>IF(WEEKDAY(CT6)&gt;=0,"Ca ngày","")</f>
        <v>Ca ngày</v>
      </c>
      <c r="CU8" s="915"/>
      <c r="CV8" s="915" t="str">
        <f>IF(WEEKDAY(CT6)&gt;=0,"Ca đêm","")</f>
        <v>Ca đêm</v>
      </c>
      <c r="CW8" s="915"/>
      <c r="CX8" s="915" t="str">
        <f>IF(WEEKDAY(CT6)&gt;=0,"Ca HC","")</f>
        <v>Ca HC</v>
      </c>
      <c r="CY8" s="915"/>
      <c r="CZ8" s="915" t="str">
        <f>IF(WEEKDAY(CZ6)&gt;=0,"Ca ngày","")</f>
        <v>Ca ngày</v>
      </c>
      <c r="DA8" s="915"/>
      <c r="DB8" s="915" t="str">
        <f>IF(WEEKDAY(CZ6)&gt;=0,"Ca đêm","")</f>
        <v>Ca đêm</v>
      </c>
      <c r="DC8" s="915"/>
      <c r="DD8" s="915" t="str">
        <f>IF(WEEKDAY(CZ6)&gt;=0,"Ca HC","")</f>
        <v>Ca HC</v>
      </c>
      <c r="DE8" s="915"/>
      <c r="DF8" s="917" t="str">
        <f>IF(WEEKDAY(DF6)&gt;=0,"Ca ngày","")</f>
        <v>Ca ngày</v>
      </c>
      <c r="DG8" s="917"/>
      <c r="DH8" s="917" t="str">
        <f>IF(WEEKDAY(DF6)&gt;=0,"Ca đêm","")</f>
        <v>Ca đêm</v>
      </c>
      <c r="DI8" s="917"/>
      <c r="DJ8" s="917" t="str">
        <f>IF(WEEKDAY(DF6)&gt;=0,"Ca HC","")</f>
        <v>Ca HC</v>
      </c>
      <c r="DK8" s="917"/>
      <c r="DL8" s="917" t="str">
        <f>IF(WEEKDAY(DL6)&gt;=0,"Ca ngày","")</f>
        <v>Ca ngày</v>
      </c>
      <c r="DM8" s="917"/>
      <c r="DN8" s="917" t="str">
        <f>IF(WEEKDAY(DL6)&gt;=0,"Ca đêm","")</f>
        <v>Ca đêm</v>
      </c>
      <c r="DO8" s="917"/>
      <c r="DP8" s="917" t="str">
        <f>IF(WEEKDAY(DL6)&gt;=0,"Ca HC","")</f>
        <v>Ca HC</v>
      </c>
      <c r="DQ8" s="917"/>
      <c r="DR8" s="915" t="str">
        <f>IF(WEEKDAY(DR6)&gt;=0,"Ca ngày","")</f>
        <v>Ca ngày</v>
      </c>
      <c r="DS8" s="915"/>
      <c r="DT8" s="915" t="str">
        <f>IF(WEEKDAY(DR6)&gt;=0,"Ca đêm","")</f>
        <v>Ca đêm</v>
      </c>
      <c r="DU8" s="915"/>
      <c r="DV8" s="915" t="str">
        <f>IF(WEEKDAY(DR6)&gt;=0,"Ca HC","")</f>
        <v>Ca HC</v>
      </c>
      <c r="DW8" s="915"/>
      <c r="DX8" s="915" t="str">
        <f>IF(WEEKDAY(DX6)&gt;=0,"Ca ngày","")</f>
        <v>Ca ngày</v>
      </c>
      <c r="DY8" s="915"/>
      <c r="DZ8" s="915" t="str">
        <f>IF(WEEKDAY(DX6)&gt;=0,"Ca đêm","")</f>
        <v>Ca đêm</v>
      </c>
      <c r="EA8" s="915"/>
      <c r="EB8" s="915" t="str">
        <f>IF(WEEKDAY(DX6)&gt;=0,"Ca HC","")</f>
        <v>Ca HC</v>
      </c>
      <c r="EC8" s="915"/>
      <c r="ED8" s="915" t="str">
        <f>IF(WEEKDAY(ED6)&gt;=0,"Ca ngày","")</f>
        <v>Ca ngày</v>
      </c>
      <c r="EE8" s="915"/>
      <c r="EF8" s="915" t="str">
        <f>IF(WEEKDAY(ED6)&gt;=0,"Ca đêm","")</f>
        <v>Ca đêm</v>
      </c>
      <c r="EG8" s="915"/>
      <c r="EH8" s="915" t="str">
        <f>IF(WEEKDAY(ED6)&gt;=0,"Ca HC","")</f>
        <v>Ca HC</v>
      </c>
      <c r="EI8" s="915"/>
      <c r="EJ8" s="915" t="str">
        <f>IF(WEEKDAY(EJ6)&gt;=0,"Ca ngày","")</f>
        <v>Ca ngày</v>
      </c>
      <c r="EK8" s="915"/>
      <c r="EL8" s="915" t="str">
        <f>IF(WEEKDAY(EJ6)&gt;=0,"Ca đêm","")</f>
        <v>Ca đêm</v>
      </c>
      <c r="EM8" s="915"/>
      <c r="EN8" s="915" t="str">
        <f>IF(WEEKDAY(EJ6)&gt;=0,"Ca HC","")</f>
        <v>Ca HC</v>
      </c>
      <c r="EO8" s="915"/>
      <c r="EP8" s="915" t="str">
        <f>IF(WEEKDAY(EP6)&gt;=0,"Ca ngày","")</f>
        <v>Ca ngày</v>
      </c>
      <c r="EQ8" s="915"/>
      <c r="ER8" s="915" t="str">
        <f>IF(WEEKDAY(EP6)&gt;=0,"Ca đêm","")</f>
        <v>Ca đêm</v>
      </c>
      <c r="ES8" s="915"/>
      <c r="ET8" s="915" t="str">
        <f>IF(WEEKDAY(EP6)&gt;=0,"Ca HC","")</f>
        <v>Ca HC</v>
      </c>
      <c r="EU8" s="915"/>
      <c r="EV8" s="915" t="str">
        <f>IF(WEEKDAY(EV6)&gt;=0,"Ca ngày","")</f>
        <v>Ca ngày</v>
      </c>
      <c r="EW8" s="915"/>
      <c r="EX8" s="915" t="str">
        <f>IF(WEEKDAY(EV6)&gt;=0,"Ca đêm","")</f>
        <v>Ca đêm</v>
      </c>
      <c r="EY8" s="915"/>
      <c r="EZ8" s="915" t="str">
        <f>IF(WEEKDAY(EV6)&gt;=0,"Ca HC","")</f>
        <v>Ca HC</v>
      </c>
      <c r="FA8" s="915"/>
      <c r="FB8" s="917" t="str">
        <f>IF(WEEKDAY(FB6)&gt;=0,"Ca ngày","")</f>
        <v>Ca ngày</v>
      </c>
      <c r="FC8" s="917"/>
      <c r="FD8" s="917" t="str">
        <f>IF(WEEKDAY(FB6)&gt;=0,"Ca đêm","")</f>
        <v>Ca đêm</v>
      </c>
      <c r="FE8" s="917"/>
      <c r="FF8" s="917" t="str">
        <f>IF(WEEKDAY(FB6)&gt;=0,"Ca HC","")</f>
        <v>Ca HC</v>
      </c>
      <c r="FG8" s="917"/>
      <c r="FH8" s="915" t="str">
        <f>IF(WEEKDAY(FH6)&gt;=0,"Ca ngày","")</f>
        <v>Ca ngày</v>
      </c>
      <c r="FI8" s="915"/>
      <c r="FJ8" s="915" t="str">
        <f>IF(WEEKDAY(FH6)&gt;=0,"Ca đêm","")</f>
        <v>Ca đêm</v>
      </c>
      <c r="FK8" s="915"/>
      <c r="FL8" s="915" t="str">
        <f>IF(WEEKDAY(FH6)&gt;=0,"Ca HC","")</f>
        <v>Ca HC</v>
      </c>
      <c r="FM8" s="915"/>
      <c r="FN8" s="915" t="str">
        <f>IF(WEEKDAY(FN6)&gt;=0,"Ca ngày","")</f>
        <v>Ca ngày</v>
      </c>
      <c r="FO8" s="915"/>
      <c r="FP8" s="915" t="str">
        <f>IF(WEEKDAY(FN6)&gt;=0,"Ca đêm","")</f>
        <v>Ca đêm</v>
      </c>
      <c r="FQ8" s="915"/>
      <c r="FR8" s="915" t="str">
        <f>IF(WEEKDAY(FN6)&gt;=0,"Ca HC","")</f>
        <v>Ca HC</v>
      </c>
      <c r="FS8" s="915"/>
      <c r="FT8" s="915" t="str">
        <f>IF(WEEKDAY(FT6)&gt;=0,"Ca ngày","")</f>
        <v>Ca ngày</v>
      </c>
      <c r="FU8" s="915"/>
      <c r="FV8" s="915" t="str">
        <f>IF(WEEKDAY(FT6)&gt;=0,"Ca đêm","")</f>
        <v>Ca đêm</v>
      </c>
      <c r="FW8" s="915"/>
      <c r="FX8" s="915" t="str">
        <f>IF(WEEKDAY(FT6)&gt;=0,"Ca HC","")</f>
        <v>Ca HC</v>
      </c>
      <c r="FY8" s="915"/>
      <c r="FZ8" s="915" t="str">
        <f>IF(WEEKDAY(FZ6)&gt;=0,"Ca ngày","")</f>
        <v>Ca ngày</v>
      </c>
      <c r="GA8" s="915"/>
      <c r="GB8" s="915" t="str">
        <f>IF(WEEKDAY(FZ6)&gt;=0,"Ca đêm","")</f>
        <v>Ca đêm</v>
      </c>
      <c r="GC8" s="915"/>
      <c r="GD8" s="916" t="str">
        <f>IF(WEEKDAY(FZ6)&gt;=0,"Ca HC","")</f>
        <v>Ca HC</v>
      </c>
      <c r="GE8" s="916"/>
      <c r="GF8" s="920"/>
      <c r="GG8" s="920"/>
      <c r="GH8" s="920"/>
      <c r="GI8" s="920"/>
      <c r="GJ8" s="920"/>
      <c r="GK8" s="920"/>
      <c r="GL8" s="920"/>
      <c r="GM8" s="920"/>
      <c r="GN8" s="920"/>
      <c r="GO8" s="920"/>
      <c r="GP8" s="920"/>
      <c r="GQ8" s="920"/>
      <c r="GR8" s="920"/>
      <c r="GS8" s="927"/>
      <c r="GT8" s="927"/>
      <c r="GU8" s="927"/>
      <c r="GV8" s="927"/>
      <c r="GW8" s="927"/>
      <c r="GX8" s="927"/>
      <c r="GY8" s="927"/>
      <c r="GZ8" s="927"/>
      <c r="HA8" s="927"/>
      <c r="HB8" s="927"/>
      <c r="HC8" s="927"/>
      <c r="HD8" s="927"/>
      <c r="HE8" s="927"/>
      <c r="HF8" s="927"/>
      <c r="HG8" s="927"/>
      <c r="HH8" s="929"/>
      <c r="HI8" s="931"/>
    </row>
    <row r="9" spans="1:217" s="95" customFormat="1" ht="29.1" customHeight="1">
      <c r="A9" s="924"/>
      <c r="B9" s="920"/>
      <c r="C9" s="925"/>
      <c r="D9" s="920"/>
      <c r="E9" s="920"/>
      <c r="F9" s="920"/>
      <c r="G9" s="920"/>
      <c r="H9" s="920"/>
      <c r="I9" s="920"/>
      <c r="J9" s="920"/>
      <c r="K9" s="920"/>
      <c r="L9" s="920"/>
      <c r="M9" s="920"/>
      <c r="N9" s="587" t="s">
        <v>915</v>
      </c>
      <c r="O9" s="587" t="s">
        <v>0</v>
      </c>
      <c r="P9" s="655" t="s">
        <v>916</v>
      </c>
      <c r="Q9" s="655" t="s">
        <v>917</v>
      </c>
      <c r="R9" s="587" t="s">
        <v>915</v>
      </c>
      <c r="S9" s="587" t="s">
        <v>0</v>
      </c>
      <c r="T9" s="655" t="s">
        <v>916</v>
      </c>
      <c r="U9" s="655" t="s">
        <v>917</v>
      </c>
      <c r="V9" s="587" t="s">
        <v>915</v>
      </c>
      <c r="W9" s="587" t="s">
        <v>0</v>
      </c>
      <c r="X9" s="655" t="s">
        <v>916</v>
      </c>
      <c r="Y9" s="655" t="s">
        <v>917</v>
      </c>
      <c r="Z9" s="587" t="s">
        <v>915</v>
      </c>
      <c r="AA9" s="587" t="s">
        <v>0</v>
      </c>
      <c r="AB9" s="655" t="s">
        <v>916</v>
      </c>
      <c r="AC9" s="655" t="s">
        <v>917</v>
      </c>
      <c r="AD9" s="656" t="s">
        <v>174</v>
      </c>
      <c r="AE9" s="656" t="s">
        <v>175</v>
      </c>
      <c r="AF9" s="656" t="s">
        <v>176</v>
      </c>
      <c r="AG9" s="656" t="s">
        <v>177</v>
      </c>
      <c r="AH9" s="656" t="s">
        <v>178</v>
      </c>
      <c r="AI9" s="656" t="s">
        <v>179</v>
      </c>
      <c r="AJ9" s="656" t="str">
        <f>IF(WEEKDAY(AJ6)=1,"WK-D","GC")</f>
        <v>WK-D</v>
      </c>
      <c r="AK9" s="656" t="str">
        <f>IF(WEEKDAY(AJ6)=1,"WK-TC","TC")</f>
        <v>WK-TC</v>
      </c>
      <c r="AL9" s="656" t="str">
        <f>IF(WEEKDAY(AJ6)=1,"WK-D1","GC1")</f>
        <v>WK-D1</v>
      </c>
      <c r="AM9" s="656" t="str">
        <f>IF(WEEKDAY(AJ6)=1,"WK-TC1","TC1")</f>
        <v>WK-TC1</v>
      </c>
      <c r="AN9" s="656" t="str">
        <f>IF(WEEKDAY(AJ6)=1,"WK-D2","GC2")</f>
        <v>WK-D2</v>
      </c>
      <c r="AO9" s="656" t="str">
        <f>IF(WEEKDAY(AJ6)=1,"WK-TC2","TC2")</f>
        <v>WK-TC2</v>
      </c>
      <c r="AP9" s="587" t="s">
        <v>915</v>
      </c>
      <c r="AQ9" s="587" t="s">
        <v>0</v>
      </c>
      <c r="AR9" s="655" t="s">
        <v>916</v>
      </c>
      <c r="AS9" s="655" t="s">
        <v>917</v>
      </c>
      <c r="AT9" s="587" t="s">
        <v>918</v>
      </c>
      <c r="AU9" s="587" t="s">
        <v>919</v>
      </c>
      <c r="AV9" s="587" t="s">
        <v>915</v>
      </c>
      <c r="AW9" s="587" t="s">
        <v>0</v>
      </c>
      <c r="AX9" s="655" t="s">
        <v>916</v>
      </c>
      <c r="AY9" s="655" t="s">
        <v>917</v>
      </c>
      <c r="AZ9" s="587" t="s">
        <v>918</v>
      </c>
      <c r="BA9" s="587" t="s">
        <v>919</v>
      </c>
      <c r="BB9" s="587" t="s">
        <v>915</v>
      </c>
      <c r="BC9" s="587" t="s">
        <v>0</v>
      </c>
      <c r="BD9" s="655" t="s">
        <v>916</v>
      </c>
      <c r="BE9" s="655" t="s">
        <v>917</v>
      </c>
      <c r="BF9" s="587" t="s">
        <v>915</v>
      </c>
      <c r="BG9" s="587" t="s">
        <v>0</v>
      </c>
      <c r="BH9" s="655" t="s">
        <v>916</v>
      </c>
      <c r="BI9" s="655" t="s">
        <v>917</v>
      </c>
      <c r="BJ9" s="587" t="s">
        <v>918</v>
      </c>
      <c r="BK9" s="587" t="s">
        <v>919</v>
      </c>
      <c r="BL9" s="587" t="s">
        <v>915</v>
      </c>
      <c r="BM9" s="587" t="s">
        <v>0</v>
      </c>
      <c r="BN9" s="655" t="s">
        <v>916</v>
      </c>
      <c r="BO9" s="655" t="s">
        <v>917</v>
      </c>
      <c r="BP9" s="587" t="s">
        <v>918</v>
      </c>
      <c r="BQ9" s="587" t="s">
        <v>919</v>
      </c>
      <c r="BR9" s="587" t="s">
        <v>915</v>
      </c>
      <c r="BS9" s="587" t="s">
        <v>0</v>
      </c>
      <c r="BT9" s="655" t="s">
        <v>916</v>
      </c>
      <c r="BU9" s="655" t="s">
        <v>917</v>
      </c>
      <c r="BV9" s="587" t="s">
        <v>918</v>
      </c>
      <c r="BW9" s="587" t="s">
        <v>919</v>
      </c>
      <c r="BX9" s="656" t="str">
        <f>IF(WEEKDAY(BX6)=1,"WK-D","GC")</f>
        <v>WK-D</v>
      </c>
      <c r="BY9" s="656" t="str">
        <f>IF(WEEKDAY(BX6)=1,"WK-TC","TC")</f>
        <v>WK-TC</v>
      </c>
      <c r="BZ9" s="656" t="str">
        <f>IF(WEEKDAY(BX6)=1,"WK-D1","GC1")</f>
        <v>WK-D1</v>
      </c>
      <c r="CA9" s="656" t="str">
        <f>IF(WEEKDAY(BX6)=1,"WK-TC1","TC1")</f>
        <v>WK-TC1</v>
      </c>
      <c r="CB9" s="656" t="str">
        <f>IF(WEEKDAY(BX6)=1,"WK-D2","GC2")</f>
        <v>WK-D2</v>
      </c>
      <c r="CC9" s="656" t="str">
        <f>IF(WEEKDAY(BX6)=1,"WK-TC2","TC2")</f>
        <v>WK-TC2</v>
      </c>
      <c r="CD9" s="587" t="s">
        <v>915</v>
      </c>
      <c r="CE9" s="587" t="s">
        <v>0</v>
      </c>
      <c r="CF9" s="655" t="s">
        <v>916</v>
      </c>
      <c r="CG9" s="655" t="s">
        <v>917</v>
      </c>
      <c r="CH9" s="587" t="s">
        <v>918</v>
      </c>
      <c r="CI9" s="587" t="s">
        <v>919</v>
      </c>
      <c r="CJ9" s="587" t="s">
        <v>915</v>
      </c>
      <c r="CK9" s="587" t="s">
        <v>0</v>
      </c>
      <c r="CL9" s="655" t="s">
        <v>916</v>
      </c>
      <c r="CM9" s="655" t="s">
        <v>917</v>
      </c>
      <c r="CN9" s="587" t="s">
        <v>918</v>
      </c>
      <c r="CO9" s="587" t="s">
        <v>919</v>
      </c>
      <c r="CP9" s="587" t="s">
        <v>915</v>
      </c>
      <c r="CQ9" s="587" t="s">
        <v>0</v>
      </c>
      <c r="CR9" s="655" t="s">
        <v>916</v>
      </c>
      <c r="CS9" s="655" t="s">
        <v>917</v>
      </c>
      <c r="CT9" s="587" t="s">
        <v>915</v>
      </c>
      <c r="CU9" s="587" t="s">
        <v>0</v>
      </c>
      <c r="CV9" s="655" t="s">
        <v>916</v>
      </c>
      <c r="CW9" s="655" t="s">
        <v>917</v>
      </c>
      <c r="CX9" s="587" t="s">
        <v>918</v>
      </c>
      <c r="CY9" s="587" t="s">
        <v>919</v>
      </c>
      <c r="CZ9" s="587" t="s">
        <v>915</v>
      </c>
      <c r="DA9" s="587" t="s">
        <v>0</v>
      </c>
      <c r="DB9" s="655" t="s">
        <v>916</v>
      </c>
      <c r="DC9" s="655" t="s">
        <v>917</v>
      </c>
      <c r="DD9" s="587" t="s">
        <v>918</v>
      </c>
      <c r="DE9" s="587" t="s">
        <v>919</v>
      </c>
      <c r="DF9" s="656" t="s">
        <v>174</v>
      </c>
      <c r="DG9" s="656" t="s">
        <v>175</v>
      </c>
      <c r="DH9" s="656" t="s">
        <v>176</v>
      </c>
      <c r="DI9" s="656" t="s">
        <v>177</v>
      </c>
      <c r="DJ9" s="656" t="s">
        <v>178</v>
      </c>
      <c r="DK9" s="656" t="s">
        <v>179</v>
      </c>
      <c r="DL9" s="656" t="str">
        <f>IF(WEEKDAY(DL6)=1,"WK-D","GC")</f>
        <v>WK-D</v>
      </c>
      <c r="DM9" s="656" t="str">
        <f>IF(WEEKDAY(DL6)=1,"WK-TC","TC")</f>
        <v>WK-TC</v>
      </c>
      <c r="DN9" s="656" t="str">
        <f>IF(WEEKDAY(DL6)=1,"WK-D1","GC1")</f>
        <v>WK-D1</v>
      </c>
      <c r="DO9" s="656" t="str">
        <f>IF(WEEKDAY(DL6)=1,"WK-TC1","TC1")</f>
        <v>WK-TC1</v>
      </c>
      <c r="DP9" s="656" t="str">
        <f>IF(WEEKDAY(DL6)=1,"WK-D2","GC2")</f>
        <v>WK-D2</v>
      </c>
      <c r="DQ9" s="656" t="str">
        <f>IF(WEEKDAY(DL6)=1,"WK-TC2","TC2")</f>
        <v>WK-TC2</v>
      </c>
      <c r="DR9" s="587" t="s">
        <v>915</v>
      </c>
      <c r="DS9" s="587" t="s">
        <v>0</v>
      </c>
      <c r="DT9" s="655" t="s">
        <v>916</v>
      </c>
      <c r="DU9" s="655" t="s">
        <v>917</v>
      </c>
      <c r="DV9" s="587" t="s">
        <v>918</v>
      </c>
      <c r="DW9" s="587" t="s">
        <v>919</v>
      </c>
      <c r="DX9" s="587" t="s">
        <v>915</v>
      </c>
      <c r="DY9" s="587" t="s">
        <v>0</v>
      </c>
      <c r="DZ9" s="655" t="s">
        <v>916</v>
      </c>
      <c r="EA9" s="655" t="s">
        <v>917</v>
      </c>
      <c r="EB9" s="587" t="s">
        <v>918</v>
      </c>
      <c r="EC9" s="587" t="s">
        <v>919</v>
      </c>
      <c r="ED9" s="587" t="s">
        <v>915</v>
      </c>
      <c r="EE9" s="587" t="s">
        <v>0</v>
      </c>
      <c r="EF9" s="655" t="s">
        <v>916</v>
      </c>
      <c r="EG9" s="655" t="s">
        <v>917</v>
      </c>
      <c r="EH9" s="587" t="s">
        <v>918</v>
      </c>
      <c r="EI9" s="587" t="s">
        <v>919</v>
      </c>
      <c r="EJ9" s="587" t="s">
        <v>915</v>
      </c>
      <c r="EK9" s="587" t="s">
        <v>0</v>
      </c>
      <c r="EL9" s="655" t="s">
        <v>916</v>
      </c>
      <c r="EM9" s="655" t="s">
        <v>917</v>
      </c>
      <c r="EN9" s="587" t="s">
        <v>918</v>
      </c>
      <c r="EO9" s="587" t="s">
        <v>919</v>
      </c>
      <c r="EP9" s="587" t="s">
        <v>915</v>
      </c>
      <c r="EQ9" s="587" t="s">
        <v>0</v>
      </c>
      <c r="ER9" s="655" t="s">
        <v>916</v>
      </c>
      <c r="ES9" s="655" t="s">
        <v>917</v>
      </c>
      <c r="ET9" s="587" t="s">
        <v>918</v>
      </c>
      <c r="EU9" s="587" t="s">
        <v>919</v>
      </c>
      <c r="EV9" s="587" t="s">
        <v>915</v>
      </c>
      <c r="EW9" s="587" t="s">
        <v>0</v>
      </c>
      <c r="EX9" s="655" t="s">
        <v>916</v>
      </c>
      <c r="EY9" s="655" t="s">
        <v>917</v>
      </c>
      <c r="EZ9" s="587" t="s">
        <v>918</v>
      </c>
      <c r="FA9" s="587" t="s">
        <v>919</v>
      </c>
      <c r="FB9" s="656" t="str">
        <f>IF(WEEKDAY(FB6)=1,"WK-D","GC")</f>
        <v>WK-D</v>
      </c>
      <c r="FC9" s="656" t="str">
        <f>IF(WEEKDAY(FB6)=1,"WK-TC","TC")</f>
        <v>WK-TC</v>
      </c>
      <c r="FD9" s="656" t="str">
        <f>IF(WEEKDAY(FB6)=1,"WK-D1","GC1")</f>
        <v>WK-D1</v>
      </c>
      <c r="FE9" s="656" t="str">
        <f>IF(WEEKDAY(FB6)=1,"WK-TC1","TC1")</f>
        <v>WK-TC1</v>
      </c>
      <c r="FF9" s="656" t="str">
        <f>IF(WEEKDAY(FB6)=1,"WK-D2","GC2")</f>
        <v>WK-D2</v>
      </c>
      <c r="FG9" s="656" t="str">
        <f>IF(WEEKDAY(FB6)=1,"WK-TC2","TC2")</f>
        <v>WK-TC2</v>
      </c>
      <c r="FH9" s="587" t="s">
        <v>915</v>
      </c>
      <c r="FI9" s="587" t="s">
        <v>0</v>
      </c>
      <c r="FJ9" s="655" t="s">
        <v>916</v>
      </c>
      <c r="FK9" s="655" t="s">
        <v>917</v>
      </c>
      <c r="FL9" s="587" t="s">
        <v>918</v>
      </c>
      <c r="FM9" s="587" t="s">
        <v>919</v>
      </c>
      <c r="FN9" s="587" t="s">
        <v>915</v>
      </c>
      <c r="FO9" s="587" t="s">
        <v>0</v>
      </c>
      <c r="FP9" s="655" t="s">
        <v>916</v>
      </c>
      <c r="FQ9" s="655" t="s">
        <v>917</v>
      </c>
      <c r="FR9" s="587" t="s">
        <v>918</v>
      </c>
      <c r="FS9" s="587" t="s">
        <v>919</v>
      </c>
      <c r="FT9" s="587" t="s">
        <v>915</v>
      </c>
      <c r="FU9" s="587" t="s">
        <v>0</v>
      </c>
      <c r="FV9" s="655" t="s">
        <v>916</v>
      </c>
      <c r="FW9" s="655" t="s">
        <v>917</v>
      </c>
      <c r="FX9" s="587" t="s">
        <v>918</v>
      </c>
      <c r="FY9" s="587" t="s">
        <v>919</v>
      </c>
      <c r="FZ9" s="587" t="s">
        <v>915</v>
      </c>
      <c r="GA9" s="587" t="s">
        <v>0</v>
      </c>
      <c r="GB9" s="655" t="s">
        <v>916</v>
      </c>
      <c r="GC9" s="655" t="s">
        <v>917</v>
      </c>
      <c r="GD9" s="154" t="str">
        <f>IF(WEEKDAY(FZ6)=1,"WK-D2","GC2")</f>
        <v>GC2</v>
      </c>
      <c r="GE9" s="154" t="str">
        <f>IF(WEEKDAY(FZ6)=1,"WK-TC2","TC2")</f>
        <v>TC2</v>
      </c>
      <c r="GF9" s="920"/>
      <c r="GG9" s="154" t="s">
        <v>181</v>
      </c>
      <c r="GH9" s="154" t="s">
        <v>182</v>
      </c>
      <c r="GI9" s="154" t="s">
        <v>19</v>
      </c>
      <c r="GJ9" s="154" t="s">
        <v>181</v>
      </c>
      <c r="GK9" s="154" t="s">
        <v>182</v>
      </c>
      <c r="GL9" s="154" t="s">
        <v>19</v>
      </c>
      <c r="GM9" s="154" t="s">
        <v>181</v>
      </c>
      <c r="GN9" s="154" t="s">
        <v>182</v>
      </c>
      <c r="GO9" s="154" t="s">
        <v>19</v>
      </c>
      <c r="GP9" s="154" t="s">
        <v>181</v>
      </c>
      <c r="GQ9" s="154" t="s">
        <v>182</v>
      </c>
      <c r="GR9" s="154" t="s">
        <v>19</v>
      </c>
      <c r="GS9" s="927"/>
      <c r="GT9" s="927"/>
      <c r="GU9" s="927"/>
      <c r="GV9" s="927"/>
      <c r="GW9" s="927"/>
      <c r="GX9" s="927"/>
      <c r="GY9" s="927">
        <v>10000</v>
      </c>
      <c r="GZ9" s="927"/>
      <c r="HA9" s="927">
        <v>188000</v>
      </c>
      <c r="HB9" s="927">
        <v>157500</v>
      </c>
      <c r="HC9" s="927"/>
      <c r="HD9" s="927">
        <f>4730000/24*5</f>
        <v>985416.66666666674</v>
      </c>
      <c r="HE9" s="927"/>
      <c r="HF9" s="927"/>
      <c r="HG9" s="927"/>
      <c r="HH9" s="929"/>
      <c r="HI9" s="931"/>
    </row>
    <row r="10" spans="1:217" s="95" customFormat="1" ht="19.5" customHeight="1">
      <c r="A10" s="596"/>
      <c r="B10" s="597"/>
      <c r="C10" s="850"/>
      <c r="D10" s="597"/>
      <c r="E10" s="597"/>
      <c r="F10" s="597"/>
      <c r="G10" s="597"/>
      <c r="H10" s="597"/>
      <c r="I10" s="597"/>
      <c r="J10" s="597"/>
      <c r="K10" s="597"/>
      <c r="L10" s="597"/>
      <c r="M10" s="597"/>
      <c r="N10" s="587"/>
      <c r="O10" s="587"/>
      <c r="P10" s="655"/>
      <c r="Q10" s="655"/>
      <c r="R10" s="587"/>
      <c r="S10" s="587"/>
      <c r="T10" s="655"/>
      <c r="U10" s="655"/>
      <c r="V10" s="587"/>
      <c r="W10" s="587"/>
      <c r="X10" s="655"/>
      <c r="Y10" s="655"/>
      <c r="Z10" s="587"/>
      <c r="AA10" s="587"/>
      <c r="AB10" s="655"/>
      <c r="AC10" s="655"/>
      <c r="AD10" s="656"/>
      <c r="AE10" s="656"/>
      <c r="AF10" s="656"/>
      <c r="AG10" s="656"/>
      <c r="AH10" s="656"/>
      <c r="AI10" s="656"/>
      <c r="AJ10" s="656"/>
      <c r="AK10" s="656"/>
      <c r="AL10" s="656"/>
      <c r="AM10" s="656"/>
      <c r="AN10" s="656"/>
      <c r="AO10" s="656"/>
      <c r="AP10" s="587"/>
      <c r="AQ10" s="587"/>
      <c r="AR10" s="655"/>
      <c r="AS10" s="655"/>
      <c r="AT10" s="587"/>
      <c r="AU10" s="587"/>
      <c r="AV10" s="587"/>
      <c r="AW10" s="587"/>
      <c r="AX10" s="655"/>
      <c r="AY10" s="655"/>
      <c r="AZ10" s="587"/>
      <c r="BA10" s="587"/>
      <c r="BB10" s="587"/>
      <c r="BC10" s="587"/>
      <c r="BD10" s="655"/>
      <c r="BE10" s="655"/>
      <c r="BF10" s="587"/>
      <c r="BG10" s="587"/>
      <c r="BH10" s="655"/>
      <c r="BI10" s="655"/>
      <c r="BJ10" s="587"/>
      <c r="BK10" s="587"/>
      <c r="BL10" s="587"/>
      <c r="BM10" s="587"/>
      <c r="BN10" s="655"/>
      <c r="BO10" s="655"/>
      <c r="BP10" s="587"/>
      <c r="BQ10" s="587"/>
      <c r="BR10" s="587"/>
      <c r="BS10" s="587"/>
      <c r="BT10" s="655"/>
      <c r="BU10" s="655"/>
      <c r="BV10" s="587"/>
      <c r="BW10" s="587"/>
      <c r="BX10" s="656"/>
      <c r="BY10" s="656"/>
      <c r="BZ10" s="656"/>
      <c r="CA10" s="656"/>
      <c r="CB10" s="656"/>
      <c r="CC10" s="656"/>
      <c r="CD10" s="587"/>
      <c r="CE10" s="587"/>
      <c r="CF10" s="655"/>
      <c r="CG10" s="655"/>
      <c r="CH10" s="587"/>
      <c r="CI10" s="587"/>
      <c r="CJ10" s="587"/>
      <c r="CK10" s="587"/>
      <c r="CL10" s="655"/>
      <c r="CM10" s="655"/>
      <c r="CN10" s="587"/>
      <c r="CO10" s="587"/>
      <c r="CP10" s="587"/>
      <c r="CQ10" s="587"/>
      <c r="CR10" s="655"/>
      <c r="CS10" s="655"/>
      <c r="CT10" s="587"/>
      <c r="CU10" s="587"/>
      <c r="CV10" s="655"/>
      <c r="CW10" s="655"/>
      <c r="CX10" s="587"/>
      <c r="CY10" s="587"/>
      <c r="CZ10" s="587"/>
      <c r="DA10" s="587"/>
      <c r="DB10" s="655"/>
      <c r="DC10" s="655"/>
      <c r="DD10" s="587"/>
      <c r="DE10" s="587"/>
      <c r="DF10" s="656"/>
      <c r="DG10" s="656"/>
      <c r="DH10" s="656"/>
      <c r="DI10" s="656"/>
      <c r="DJ10" s="656"/>
      <c r="DK10" s="656"/>
      <c r="DL10" s="656"/>
      <c r="DM10" s="656"/>
      <c r="DN10" s="656"/>
      <c r="DO10" s="656"/>
      <c r="DP10" s="656"/>
      <c r="DQ10" s="656"/>
      <c r="DR10" s="587"/>
      <c r="DS10" s="587"/>
      <c r="DT10" s="655"/>
      <c r="DU10" s="655"/>
      <c r="DV10" s="587"/>
      <c r="DW10" s="587"/>
      <c r="DX10" s="587"/>
      <c r="DY10" s="587"/>
      <c r="DZ10" s="655"/>
      <c r="EA10" s="655"/>
      <c r="EB10" s="587"/>
      <c r="EC10" s="587"/>
      <c r="ED10" s="587"/>
      <c r="EE10" s="587"/>
      <c r="EF10" s="655"/>
      <c r="EG10" s="655"/>
      <c r="EH10" s="587"/>
      <c r="EI10" s="587"/>
      <c r="EJ10" s="587"/>
      <c r="EK10" s="587"/>
      <c r="EL10" s="655"/>
      <c r="EM10" s="655"/>
      <c r="EN10" s="587"/>
      <c r="EO10" s="587"/>
      <c r="EP10" s="587"/>
      <c r="EQ10" s="587"/>
      <c r="ER10" s="655"/>
      <c r="ES10" s="655"/>
      <c r="ET10" s="587"/>
      <c r="EU10" s="587"/>
      <c r="EV10" s="587"/>
      <c r="EW10" s="587"/>
      <c r="EX10" s="655"/>
      <c r="EY10" s="655"/>
      <c r="EZ10" s="587"/>
      <c r="FA10" s="587"/>
      <c r="FB10" s="656"/>
      <c r="FC10" s="656"/>
      <c r="FD10" s="656"/>
      <c r="FE10" s="656"/>
      <c r="FF10" s="656"/>
      <c r="FG10" s="656"/>
      <c r="FH10" s="587"/>
      <c r="FI10" s="587"/>
      <c r="FJ10" s="655"/>
      <c r="FK10" s="655"/>
      <c r="FL10" s="587"/>
      <c r="FM10" s="587"/>
      <c r="FN10" s="587"/>
      <c r="FO10" s="587"/>
      <c r="FP10" s="655"/>
      <c r="FQ10" s="655"/>
      <c r="FR10" s="587"/>
      <c r="FS10" s="587"/>
      <c r="FT10" s="587"/>
      <c r="FU10" s="587"/>
      <c r="FV10" s="655"/>
      <c r="FW10" s="655"/>
      <c r="FX10" s="587"/>
      <c r="FY10" s="587"/>
      <c r="FZ10" s="587"/>
      <c r="GA10" s="587"/>
      <c r="GB10" s="655"/>
      <c r="GC10" s="655"/>
      <c r="GD10" s="154"/>
      <c r="GE10" s="154"/>
      <c r="GF10" s="583"/>
      <c r="GG10" s="588">
        <f>188000/8</f>
        <v>23500</v>
      </c>
      <c r="GH10" s="588">
        <f>227000/8</f>
        <v>28375</v>
      </c>
      <c r="GI10" s="588">
        <f>188000/8</f>
        <v>23500</v>
      </c>
      <c r="GJ10" s="588">
        <v>32000</v>
      </c>
      <c r="GK10" s="588">
        <v>34000</v>
      </c>
      <c r="GL10" s="588">
        <v>32000</v>
      </c>
      <c r="GM10" s="588">
        <v>45750</v>
      </c>
      <c r="GN10" s="588">
        <v>45750</v>
      </c>
      <c r="GO10" s="588">
        <v>45750</v>
      </c>
      <c r="GP10" s="154"/>
      <c r="GQ10" s="154"/>
      <c r="GR10" s="154"/>
      <c r="GS10" s="97"/>
      <c r="GT10" s="97"/>
      <c r="GU10" s="97"/>
      <c r="GV10" s="97"/>
      <c r="GW10" s="97"/>
      <c r="GX10" s="162">
        <f>300000/29</f>
        <v>10344.827586206897</v>
      </c>
      <c r="GY10" s="162">
        <f>240000/23</f>
        <v>10434.782608695652</v>
      </c>
      <c r="GZ10" s="162"/>
      <c r="HA10" s="162">
        <v>188000</v>
      </c>
      <c r="HB10" s="162">
        <v>150000</v>
      </c>
      <c r="HC10" s="162"/>
      <c r="HD10" s="162">
        <f>4730000/24*5</f>
        <v>985416.66666666674</v>
      </c>
      <c r="HE10" s="97"/>
      <c r="HF10" s="97"/>
      <c r="HG10" s="589"/>
      <c r="HH10" s="96"/>
      <c r="HI10" s="163"/>
    </row>
    <row r="11" spans="1:217" s="95" customFormat="1" ht="15">
      <c r="A11" s="73">
        <v>1</v>
      </c>
      <c r="B11" s="599" t="s">
        <v>43</v>
      </c>
      <c r="C11" s="851" t="s">
        <v>438</v>
      </c>
      <c r="D11" s="164" t="s">
        <v>505</v>
      </c>
      <c r="E11" s="164" t="s">
        <v>517</v>
      </c>
      <c r="F11" s="164" t="s">
        <v>89</v>
      </c>
      <c r="G11" s="164"/>
      <c r="H11" s="164">
        <v>200601</v>
      </c>
      <c r="I11" s="164" t="s">
        <v>125</v>
      </c>
      <c r="J11" s="136" t="s">
        <v>124</v>
      </c>
      <c r="K11" s="165"/>
      <c r="L11" s="600"/>
      <c r="M11" s="600"/>
      <c r="N11" s="601">
        <v>8</v>
      </c>
      <c r="O11" s="601">
        <v>5</v>
      </c>
      <c r="P11" s="602"/>
      <c r="Q11" s="602"/>
      <c r="R11" s="601"/>
      <c r="S11" s="601"/>
      <c r="T11" s="602"/>
      <c r="U11" s="602"/>
      <c r="V11" s="603">
        <v>8</v>
      </c>
      <c r="W11" s="603">
        <v>5</v>
      </c>
      <c r="X11" s="602"/>
      <c r="Y11" s="602"/>
      <c r="Z11" s="603">
        <v>8</v>
      </c>
      <c r="AA11" s="603">
        <v>5</v>
      </c>
      <c r="AB11" s="602"/>
      <c r="AC11" s="602"/>
      <c r="AD11" s="604">
        <v>8</v>
      </c>
      <c r="AE11" s="604">
        <v>5</v>
      </c>
      <c r="AF11" s="605"/>
      <c r="AG11" s="605"/>
      <c r="AH11" s="605"/>
      <c r="AI11" s="605"/>
      <c r="AJ11" s="604">
        <v>8</v>
      </c>
      <c r="AK11" s="604">
        <v>3</v>
      </c>
      <c r="AL11" s="605"/>
      <c r="AM11" s="605"/>
      <c r="AN11" s="605"/>
      <c r="AO11" s="605"/>
      <c r="AP11" s="603">
        <v>8</v>
      </c>
      <c r="AQ11" s="603">
        <v>3</v>
      </c>
      <c r="AR11" s="606"/>
      <c r="AS11" s="606"/>
      <c r="AT11" s="136"/>
      <c r="AU11" s="136"/>
      <c r="AV11" s="135">
        <v>8</v>
      </c>
      <c r="AW11" s="135">
        <v>3</v>
      </c>
      <c r="AX11" s="606"/>
      <c r="AY11" s="606"/>
      <c r="AZ11" s="136"/>
      <c r="BA11" s="136"/>
      <c r="BB11" s="135">
        <v>8</v>
      </c>
      <c r="BC11" s="135">
        <v>3</v>
      </c>
      <c r="BD11" s="606"/>
      <c r="BE11" s="606"/>
      <c r="BF11" s="135">
        <v>8</v>
      </c>
      <c r="BG11" s="135">
        <v>3</v>
      </c>
      <c r="BH11" s="606"/>
      <c r="BI11" s="606"/>
      <c r="BJ11" s="136"/>
      <c r="BK11" s="136"/>
      <c r="BL11" s="129">
        <v>8</v>
      </c>
      <c r="BM11" s="129">
        <v>3</v>
      </c>
      <c r="BN11" s="606"/>
      <c r="BO11" s="606"/>
      <c r="BP11" s="136"/>
      <c r="BQ11" s="136"/>
      <c r="BR11" s="130">
        <v>8</v>
      </c>
      <c r="BS11" s="129">
        <v>3</v>
      </c>
      <c r="BT11" s="606"/>
      <c r="BU11" s="606"/>
      <c r="BV11" s="136"/>
      <c r="BW11" s="136"/>
      <c r="BX11" s="607">
        <v>8</v>
      </c>
      <c r="BY11" s="607">
        <v>0</v>
      </c>
      <c r="BZ11" s="608"/>
      <c r="CA11" s="608"/>
      <c r="CB11" s="609"/>
      <c r="CC11" s="609"/>
      <c r="CD11" s="138">
        <v>8</v>
      </c>
      <c r="CE11" s="138">
        <v>5</v>
      </c>
      <c r="CF11" s="606"/>
      <c r="CG11" s="606"/>
      <c r="CH11" s="136"/>
      <c r="CI11" s="136"/>
      <c r="CJ11" s="138">
        <v>8</v>
      </c>
      <c r="CK11" s="138">
        <v>5</v>
      </c>
      <c r="CL11" s="606"/>
      <c r="CM11" s="606"/>
      <c r="CN11" s="136"/>
      <c r="CO11" s="136"/>
      <c r="CP11" s="138">
        <v>8</v>
      </c>
      <c r="CQ11" s="138">
        <v>5</v>
      </c>
      <c r="CR11" s="606"/>
      <c r="CS11" s="606"/>
      <c r="CT11" s="138">
        <v>8</v>
      </c>
      <c r="CU11" s="138">
        <v>5</v>
      </c>
      <c r="CV11" s="606"/>
      <c r="CW11" s="606"/>
      <c r="CX11" s="136"/>
      <c r="CY11" s="136"/>
      <c r="CZ11" s="130">
        <v>8</v>
      </c>
      <c r="DA11" s="138">
        <v>5</v>
      </c>
      <c r="DB11" s="606"/>
      <c r="DC11" s="606"/>
      <c r="DD11" s="136"/>
      <c r="DE11" s="136"/>
      <c r="DF11" s="607">
        <v>8</v>
      </c>
      <c r="DG11" s="607">
        <v>5</v>
      </c>
      <c r="DH11" s="608"/>
      <c r="DI11" s="608"/>
      <c r="DJ11" s="609"/>
      <c r="DK11" s="609"/>
      <c r="DL11" s="607">
        <v>8</v>
      </c>
      <c r="DM11" s="607">
        <v>3</v>
      </c>
      <c r="DN11" s="608"/>
      <c r="DO11" s="608"/>
      <c r="DP11" s="609"/>
      <c r="DQ11" s="609"/>
      <c r="DR11" s="138">
        <v>8</v>
      </c>
      <c r="DS11" s="138">
        <v>5</v>
      </c>
      <c r="DT11" s="606"/>
      <c r="DU11" s="606"/>
      <c r="DV11" s="136"/>
      <c r="DW11" s="136"/>
      <c r="DX11" s="138">
        <v>8</v>
      </c>
      <c r="DY11" s="138">
        <v>5</v>
      </c>
      <c r="DZ11" s="606"/>
      <c r="EA11" s="606"/>
      <c r="EB11" s="136"/>
      <c r="EC11" s="136"/>
      <c r="ED11" s="138">
        <v>8</v>
      </c>
      <c r="EE11" s="138">
        <v>5</v>
      </c>
      <c r="EF11" s="606"/>
      <c r="EG11" s="606"/>
      <c r="EH11" s="136"/>
      <c r="EI11" s="136"/>
      <c r="EJ11" s="138">
        <v>8</v>
      </c>
      <c r="EK11" s="138">
        <v>5</v>
      </c>
      <c r="EL11" s="606"/>
      <c r="EM11" s="606"/>
      <c r="EN11" s="136"/>
      <c r="EO11" s="136"/>
      <c r="EP11" s="130">
        <v>8</v>
      </c>
      <c r="EQ11" s="130">
        <v>3</v>
      </c>
      <c r="ER11" s="606"/>
      <c r="ES11" s="606"/>
      <c r="ET11" s="136"/>
      <c r="EU11" s="136"/>
      <c r="EV11" s="130" t="str">
        <f>F68</f>
        <v>Lê Hoàng Thái</v>
      </c>
      <c r="EW11" s="130">
        <v>2</v>
      </c>
      <c r="EX11" s="606"/>
      <c r="EY11" s="606"/>
      <c r="EZ11" s="136"/>
      <c r="FA11" s="136"/>
      <c r="FB11" s="607">
        <v>8</v>
      </c>
      <c r="FC11" s="607">
        <v>3</v>
      </c>
      <c r="FD11" s="610"/>
      <c r="FE11" s="610"/>
      <c r="FF11" s="607"/>
      <c r="FG11" s="609"/>
      <c r="FH11" s="138">
        <v>8</v>
      </c>
      <c r="FI11" s="138">
        <v>5</v>
      </c>
      <c r="FJ11" s="611"/>
      <c r="FK11" s="611"/>
      <c r="FL11" s="138"/>
      <c r="FM11" s="136"/>
      <c r="FN11" s="612">
        <v>8</v>
      </c>
      <c r="FO11" s="612">
        <v>5</v>
      </c>
      <c r="FP11" s="613"/>
      <c r="FQ11" s="613"/>
      <c r="FR11" s="130"/>
      <c r="FS11" s="136"/>
      <c r="FT11" s="131">
        <v>8</v>
      </c>
      <c r="FU11" s="131">
        <v>3</v>
      </c>
      <c r="FV11" s="614"/>
      <c r="FW11" s="614"/>
      <c r="FX11" s="130"/>
      <c r="FY11" s="136"/>
      <c r="FZ11" s="130"/>
      <c r="GA11" s="130"/>
      <c r="GB11" s="613"/>
      <c r="GC11" s="613"/>
      <c r="GD11" s="122"/>
      <c r="GE11" s="124"/>
      <c r="GF11" s="125">
        <f>SUM(COUNTIFS(N11:GE11,"&gt;0",$N$9:$GE$9,"GC"),COUNTIFS(N11:GE11,"&gt;0",$N$9:$GE$9,"GC1"),COUNTIFS(N11:GE11,"&gt;0",$N$9:$GE$9,"GC2"))</f>
        <v>22</v>
      </c>
      <c r="GG11" s="126">
        <f>SUMIF($N$9:$GE$9,"GC",$N11:$GE11)</f>
        <v>176</v>
      </c>
      <c r="GH11" s="126">
        <f>SUMIF($N$9:$GE$9,"GC1",$N11:$GE11)</f>
        <v>0</v>
      </c>
      <c r="GI11" s="126">
        <f>SUMIF($N$9:$GE$9,"GC2",$N11:$GE11)</f>
        <v>0</v>
      </c>
      <c r="GJ11" s="126">
        <f>SUMIF($N$9:$GE$9,"TC",$N11:$GE11)</f>
        <v>96</v>
      </c>
      <c r="GK11" s="126">
        <f>SUMIF($N$9:$GE$9,"TC1",$N11:$GE11)</f>
        <v>0</v>
      </c>
      <c r="GL11" s="126">
        <f>SUMIF($N$9:$GE$9,"TC2",$N11:$GE11)</f>
        <v>0</v>
      </c>
      <c r="GM11" s="126">
        <f>SUMIF($N$9:$GE$9,"WK-D",$N11:$GE11)+SUMIF($N$9:$GE$9,"WK-TC",$N11:$GE11)</f>
        <v>67</v>
      </c>
      <c r="GN11" s="126">
        <f>SUMIF($N$9:$GE$9,"WK-D1",$N11:$GE11)+SUMIF($N$9:$GE$9,"WK-TC1",$N11:$GE11)</f>
        <v>0</v>
      </c>
      <c r="GO11" s="126">
        <f>SUMIF($N$9:$GE$9,"WK-D2",$N11:$GE11)+SUMIF($N$9:$GE$9,"WK-TC2",$N11:$GE11)</f>
        <v>0</v>
      </c>
      <c r="GP11" s="126">
        <f>SUMIF($N$9:$GE$9,"HOD",$N11:$GE11)</f>
        <v>0</v>
      </c>
      <c r="GQ11" s="126">
        <f>SUMIF($N$9:$GE$9,"HOD1",$N11:$GE11)</f>
        <v>0</v>
      </c>
      <c r="GR11" s="126">
        <f>SUMIF($N$9:$GE$9,"HOD2",$N11:$GE11)</f>
        <v>0</v>
      </c>
      <c r="GS11" s="162">
        <f>GG11*$GG$10+GH11*$GH$10+GI11*$GI$10+GJ11*$GJ$10+GK11*$GK$10+GL11*$GL$10+GM11*$GM$10+GN11*$GN$10+GO11*$GO$10+GP11*$GP$10+GQ11*$GQ$10+GR11*$GR$10</f>
        <v>10273250</v>
      </c>
      <c r="GT11" s="97" t="str">
        <f>IF(SUM(COUNTIFS(N11:GC11,"&gt;0",$N$9:$GC$9,"GC"),COUNTIFS(N11:GC11,"&gt;0",$N$9:$GC$9,"GC1"),COUNTIFS(N11:GC11,"&gt;0",$N$9:$GC$9,"GC2"),COUNTIFS(N11:GC11,"&gt;0",$N$9:$GC$9,"WK-D"),COUNTIFS(N11:GC11,"&gt;0",$N$9:$GC$9,"WK-D1"),COUNTIFS(N11:GC11,"&gt;0",$N$9:$GC$9,"WK-D2"))&gt;3,"Đ","K")</f>
        <v>Đ</v>
      </c>
      <c r="GU11" s="97">
        <f t="shared" ref="GU11" si="29">IF(GT11="Đ",GS11,0)</f>
        <v>10273250</v>
      </c>
      <c r="GV11" s="97">
        <f>SUM(COUNTIFS(N11:GC11,"&gt;2",$N$9:$GC$9,"GC"),COUNTIFS(N11:GC11,"&gt;2",$N$9:$GC$9,"GC1"),COUNTIFS(N11:GC11,"&gt;2",$N$9:$GC$9,"GC2"))</f>
        <v>22</v>
      </c>
      <c r="GW11" s="162">
        <f>IF(GV11&gt;=23,200000,0)</f>
        <v>0</v>
      </c>
      <c r="GX11" s="162">
        <f>SUM(COUNTIFS(N11:GC11,"&gt;2",$N$9:$GC$9,"GC"),COUNTIFS(N11:GC11,"&gt;2",$N$9:$GC$9,"GC1"),COUNTIFS(N11:GC11,"&gt;2",$N$9:$GC$9,"GC2"),COUNTIFS(N11:GC11,"&gt;2",$N$9:$GC$9,"WK-D"),COUNTIFS(N11:GC11,"&gt;2",$N$9:$GC$9,"WK-D1"),COUNTIFS(N11:GC11,"&gt;2",$N$9:$GC$9,"WK-D2"))*$GX$10</f>
        <v>289655.1724137931</v>
      </c>
      <c r="GY11" s="162">
        <f>IF(GV11&gt;=3,GV11*$GY$10,0)</f>
        <v>229565.21739130435</v>
      </c>
      <c r="GZ11" s="162">
        <f>COUNTIF($N11:$GC11,"CP")</f>
        <v>0</v>
      </c>
      <c r="HA11" s="162">
        <f>COUNTIF($N11:$GC11,"KP")</f>
        <v>0</v>
      </c>
      <c r="HB11" s="162">
        <f>COUNTIF($N11:$GC11,"ĐP")</f>
        <v>0</v>
      </c>
      <c r="HC11" s="162">
        <f>COUNTIF($N11:$GC11,"ĐD")</f>
        <v>0</v>
      </c>
      <c r="HD11" s="162">
        <f>COUNTIF($N11:$GC11,"TPL")</f>
        <v>0</v>
      </c>
      <c r="HE11" s="162">
        <f>COUNTIF($N11:$GC11,"ĐPL")</f>
        <v>0</v>
      </c>
      <c r="HF11" s="162">
        <f>GZ11*$GZ$10+HA11*$HA$10+HB11*$HB$10+HC11*$HC$10+HD11*$HD$10+HE11*$HE$10</f>
        <v>0</v>
      </c>
      <c r="HG11" s="156" t="str">
        <f>VLOOKUP(B11,'data nguồn'!B:N,13,0)</f>
        <v>1015431898</v>
      </c>
      <c r="HH11" s="159" t="str">
        <f>VLOOKUP(B11,'data nguồn'!B:P,15,0)</f>
        <v>Lò Văn Thảnh</v>
      </c>
      <c r="HI11" s="163" t="str">
        <f>VLOOKUP(B11,'data nguồn'!B:P,14,0)</f>
        <v>VCB Hải Phòng</v>
      </c>
    </row>
    <row r="12" spans="1:217" s="95" customFormat="1" ht="15">
      <c r="A12" s="73">
        <v>2</v>
      </c>
      <c r="B12" s="599" t="s">
        <v>28</v>
      </c>
      <c r="C12" s="851" t="s">
        <v>440</v>
      </c>
      <c r="D12" s="164" t="s">
        <v>484</v>
      </c>
      <c r="E12" s="164" t="s">
        <v>485</v>
      </c>
      <c r="F12" s="164" t="s">
        <v>72</v>
      </c>
      <c r="G12" s="164"/>
      <c r="H12" s="164">
        <v>200207</v>
      </c>
      <c r="I12" s="164" t="s">
        <v>123</v>
      </c>
      <c r="J12" s="136" t="s">
        <v>124</v>
      </c>
      <c r="K12" s="165"/>
      <c r="L12" s="166" t="s">
        <v>544</v>
      </c>
      <c r="M12" s="166"/>
      <c r="N12" s="601">
        <v>8</v>
      </c>
      <c r="O12" s="601">
        <v>5</v>
      </c>
      <c r="P12" s="602"/>
      <c r="Q12" s="602"/>
      <c r="R12" s="601"/>
      <c r="S12" s="601"/>
      <c r="T12" s="615"/>
      <c r="U12" s="615"/>
      <c r="V12" s="603">
        <v>8</v>
      </c>
      <c r="W12" s="603">
        <v>5</v>
      </c>
      <c r="X12" s="602"/>
      <c r="Y12" s="602"/>
      <c r="Z12" s="603">
        <v>8</v>
      </c>
      <c r="AA12" s="603">
        <v>5</v>
      </c>
      <c r="AB12" s="602"/>
      <c r="AC12" s="602"/>
      <c r="AD12" s="604">
        <v>8</v>
      </c>
      <c r="AE12" s="604">
        <v>5</v>
      </c>
      <c r="AF12" s="605"/>
      <c r="AG12" s="605"/>
      <c r="AH12" s="605"/>
      <c r="AI12" s="605"/>
      <c r="AJ12" s="604">
        <v>8</v>
      </c>
      <c r="AK12" s="604">
        <v>3</v>
      </c>
      <c r="AL12" s="605"/>
      <c r="AM12" s="605"/>
      <c r="AN12" s="605"/>
      <c r="AO12" s="605"/>
      <c r="AP12" s="603">
        <v>8</v>
      </c>
      <c r="AQ12" s="603">
        <v>3</v>
      </c>
      <c r="AR12" s="606"/>
      <c r="AS12" s="606"/>
      <c r="AT12" s="136"/>
      <c r="AU12" s="136"/>
      <c r="AV12" s="135">
        <v>8</v>
      </c>
      <c r="AW12" s="135">
        <v>3</v>
      </c>
      <c r="AX12" s="606"/>
      <c r="AY12" s="606"/>
      <c r="AZ12" s="136"/>
      <c r="BA12" s="136"/>
      <c r="BB12" s="135">
        <v>8</v>
      </c>
      <c r="BC12" s="135">
        <v>3</v>
      </c>
      <c r="BD12" s="606"/>
      <c r="BE12" s="606"/>
      <c r="BF12" s="135">
        <v>8</v>
      </c>
      <c r="BG12" s="135">
        <v>3</v>
      </c>
      <c r="BH12" s="606"/>
      <c r="BI12" s="606"/>
      <c r="BJ12" s="136"/>
      <c r="BK12" s="136"/>
      <c r="BL12" s="129">
        <v>8</v>
      </c>
      <c r="BM12" s="129">
        <v>3</v>
      </c>
      <c r="BN12" s="606"/>
      <c r="BO12" s="606"/>
      <c r="BP12" s="136"/>
      <c r="BQ12" s="136"/>
      <c r="BR12" s="130">
        <v>8</v>
      </c>
      <c r="BS12" s="129">
        <v>3</v>
      </c>
      <c r="BT12" s="606"/>
      <c r="BU12" s="606"/>
      <c r="BV12" s="136"/>
      <c r="BW12" s="136"/>
      <c r="BX12" s="607">
        <v>8</v>
      </c>
      <c r="BY12" s="607">
        <v>0</v>
      </c>
      <c r="BZ12" s="608"/>
      <c r="CA12" s="608"/>
      <c r="CB12" s="609"/>
      <c r="CC12" s="609"/>
      <c r="CD12" s="138">
        <v>8</v>
      </c>
      <c r="CE12" s="138">
        <v>5</v>
      </c>
      <c r="CF12" s="606"/>
      <c r="CG12" s="606"/>
      <c r="CH12" s="136"/>
      <c r="CI12" s="136"/>
      <c r="CJ12" s="138">
        <v>8</v>
      </c>
      <c r="CK12" s="138">
        <v>5</v>
      </c>
      <c r="CL12" s="606"/>
      <c r="CM12" s="606"/>
      <c r="CN12" s="136"/>
      <c r="CO12" s="136"/>
      <c r="CP12" s="138">
        <v>8</v>
      </c>
      <c r="CQ12" s="138">
        <v>5</v>
      </c>
      <c r="CR12" s="606"/>
      <c r="CS12" s="606"/>
      <c r="CT12" s="138">
        <v>8</v>
      </c>
      <c r="CU12" s="138">
        <v>5</v>
      </c>
      <c r="CV12" s="606"/>
      <c r="CW12" s="606"/>
      <c r="CX12" s="136"/>
      <c r="CY12" s="136"/>
      <c r="CZ12" s="130">
        <v>8</v>
      </c>
      <c r="DA12" s="138">
        <v>5</v>
      </c>
      <c r="DB12" s="606"/>
      <c r="DC12" s="606"/>
      <c r="DD12" s="136"/>
      <c r="DE12" s="136"/>
      <c r="DF12" s="607">
        <v>8</v>
      </c>
      <c r="DG12" s="607">
        <v>5</v>
      </c>
      <c r="DH12" s="608"/>
      <c r="DI12" s="608"/>
      <c r="DJ12" s="609"/>
      <c r="DK12" s="609"/>
      <c r="DL12" s="607">
        <v>8</v>
      </c>
      <c r="DM12" s="607">
        <v>3</v>
      </c>
      <c r="DN12" s="608"/>
      <c r="DO12" s="608"/>
      <c r="DP12" s="609"/>
      <c r="DQ12" s="609"/>
      <c r="DR12" s="138">
        <v>8</v>
      </c>
      <c r="DS12" s="138">
        <v>5</v>
      </c>
      <c r="DT12" s="606"/>
      <c r="DU12" s="606"/>
      <c r="DV12" s="136"/>
      <c r="DW12" s="136"/>
      <c r="DX12" s="138">
        <v>8</v>
      </c>
      <c r="DY12" s="138">
        <v>5</v>
      </c>
      <c r="DZ12" s="606"/>
      <c r="EA12" s="606"/>
      <c r="EB12" s="136"/>
      <c r="EC12" s="136"/>
      <c r="ED12" s="138">
        <v>8</v>
      </c>
      <c r="EE12" s="138">
        <v>5</v>
      </c>
      <c r="EF12" s="606"/>
      <c r="EG12" s="606"/>
      <c r="EH12" s="136"/>
      <c r="EI12" s="136"/>
      <c r="EJ12" s="138">
        <v>8</v>
      </c>
      <c r="EK12" s="138">
        <v>5</v>
      </c>
      <c r="EL12" s="606"/>
      <c r="EM12" s="606"/>
      <c r="EN12" s="136"/>
      <c r="EO12" s="136"/>
      <c r="EP12" s="130">
        <v>8</v>
      </c>
      <c r="EQ12" s="130">
        <v>3</v>
      </c>
      <c r="ER12" s="606"/>
      <c r="ES12" s="606"/>
      <c r="ET12" s="136"/>
      <c r="EU12" s="136"/>
      <c r="EV12" s="130">
        <v>8</v>
      </c>
      <c r="EW12" s="130">
        <v>5</v>
      </c>
      <c r="EX12" s="606"/>
      <c r="EY12" s="606"/>
      <c r="EZ12" s="136"/>
      <c r="FA12" s="136"/>
      <c r="FB12" s="607">
        <v>8</v>
      </c>
      <c r="FC12" s="607">
        <v>3</v>
      </c>
      <c r="FD12" s="610"/>
      <c r="FE12" s="610"/>
      <c r="FF12" s="607"/>
      <c r="FG12" s="609"/>
      <c r="FH12" s="138">
        <v>8</v>
      </c>
      <c r="FI12" s="138">
        <v>5</v>
      </c>
      <c r="FJ12" s="611"/>
      <c r="FK12" s="611"/>
      <c r="FL12" s="138"/>
      <c r="FM12" s="136"/>
      <c r="FN12" s="612">
        <v>8</v>
      </c>
      <c r="FO12" s="612">
        <v>5</v>
      </c>
      <c r="FP12" s="613"/>
      <c r="FQ12" s="613"/>
      <c r="FR12" s="130"/>
      <c r="FS12" s="136"/>
      <c r="FT12" s="131">
        <v>8</v>
      </c>
      <c r="FU12" s="131">
        <v>3</v>
      </c>
      <c r="FV12" s="614"/>
      <c r="FW12" s="614"/>
      <c r="FX12" s="130"/>
      <c r="FY12" s="136"/>
      <c r="FZ12" s="130"/>
      <c r="GA12" s="130"/>
      <c r="GB12" s="613"/>
      <c r="GC12" s="613"/>
      <c r="GD12" s="122"/>
      <c r="GE12" s="124"/>
      <c r="GF12" s="125">
        <f>SUM(COUNTIFS(N12:GE12,"&gt;0",$N$9:$GE$9,"GC"),COUNTIFS(N12:GE12,"&gt;0",$N$9:$GE$9,"GC1"),COUNTIFS(N12:GE12,"&gt;0",$N$9:$GE$9,"GC2"))</f>
        <v>23</v>
      </c>
      <c r="GG12" s="126">
        <f>SUMIF($N$9:$GE$9,"GC",$N12:$GE12)</f>
        <v>184</v>
      </c>
      <c r="GH12" s="126">
        <f>SUMIF($N$9:$GE$9,"GC1",$N12:$GE12)</f>
        <v>0</v>
      </c>
      <c r="GI12" s="126">
        <f>SUMIF($N$9:$GE$9,"GC2",$N12:$GE12)</f>
        <v>0</v>
      </c>
      <c r="GJ12" s="126">
        <f>SUMIF($N$9:$GE$9,"TC",$N12:$GE12)</f>
        <v>99</v>
      </c>
      <c r="GK12" s="126">
        <f>SUMIF($N$9:$GE$9,"TC1",$N12:$GE12)</f>
        <v>0</v>
      </c>
      <c r="GL12" s="126">
        <f>SUMIF($N$9:$GE$9,"TC2",$N12:$GE12)</f>
        <v>0</v>
      </c>
      <c r="GM12" s="126">
        <f>SUMIF($N$9:$GE$9,"WK-D",$N12:$GE12)+SUMIF($N$9:$GE$9,"WK-TC",$N12:$GE12)</f>
        <v>67</v>
      </c>
      <c r="GN12" s="126">
        <f>SUMIF($N$9:$GE$9,"WK-D1",$N12:$GE12)+SUMIF($N$9:$GE$9,"WK-TC1",$N12:$GE12)</f>
        <v>0</v>
      </c>
      <c r="GO12" s="126">
        <f>SUMIF($N$9:$GE$9,"WK-D2",$N12:$GE12)+SUMIF($N$9:$GE$9,"WK-TC2",$N12:$GE12)</f>
        <v>0</v>
      </c>
      <c r="GP12" s="126">
        <f>SUMIF($N$9:$GE$9,"HOD",$N12:$GE12)</f>
        <v>0</v>
      </c>
      <c r="GQ12" s="126">
        <f>SUMIF($N$9:$GE$9,"HOD1",$N12:$GE12)</f>
        <v>0</v>
      </c>
      <c r="GR12" s="126">
        <f>SUMIF($N$9:$GE$9,"HOD2",$N12:$GE12)</f>
        <v>0</v>
      </c>
      <c r="GS12" s="162">
        <f t="shared" ref="GS12:GS40" si="30">GG12*$GG$10+GH12*$GH$10+GI12*$GI$10+GJ12*$GJ$10+GK12*$GK$10+GL12*$GL$10+GM12*$GM$10+GN12*$GN$10+GO12*$GO$10+GP12*$GP$10+GQ12*$GQ$10+GR12*$GR$10</f>
        <v>10557250</v>
      </c>
      <c r="GT12" s="97" t="str">
        <f>IF(SUM(COUNTIFS(N12:GC12,"&gt;0",$N$9:$GC$9,"GC"),COUNTIFS(N12:GC12,"&gt;0",$N$9:$GC$9,"GC1"),COUNTIFS(N12:GC12,"&gt;0",$N$9:$GC$9,"GC2"),COUNTIFS(N12:GC12,"&gt;0",$N$9:$GC$9,"WK-D"),COUNTIFS(N12:GC12,"&gt;0",$N$9:$GC$9,"WK-D1"),COUNTIFS(N12:GC12,"&gt;0",$N$9:$GC$9,"WK-D2"))&gt;3,"Đ","K")</f>
        <v>Đ</v>
      </c>
      <c r="GU12" s="97">
        <f t="shared" ref="GU12:GU42" si="31">IF(GT12="Đ",GS12,0)</f>
        <v>10557250</v>
      </c>
      <c r="GV12" s="97">
        <f>SUM(COUNTIFS(N12:GC12,"&gt;2",$N$9:$GC$9,"GC"),COUNTIFS(N12:GC12,"&gt;2",$N$9:$GC$9,"GC1"),COUNTIFS(N12:GC12,"&gt;2",$N$9:$GC$9,"GC2"))</f>
        <v>23</v>
      </c>
      <c r="GW12" s="162">
        <f t="shared" ref="GW12:GW69" si="32">IF(GV12&gt;=23,200000,0)</f>
        <v>200000</v>
      </c>
      <c r="GX12" s="162">
        <f>SUM(COUNTIFS(N12:GC12,"&gt;2",$N$9:$GC$9,"GC"),COUNTIFS(N12:GC12,"&gt;2",$N$9:$GC$9,"GC1"),COUNTIFS(N12:GC12,"&gt;2",$N$9:$GC$9,"GC2"),COUNTIFS(N12:GC12,"&gt;2",$N$9:$GC$9,"WK-D"),COUNTIFS(N12:GC12,"&gt;2",$N$9:$GC$9,"WK-D1"),COUNTIFS(N12:GC12,"&gt;2",$N$9:$GC$9,"WK-D2"))*$GX$10</f>
        <v>300000</v>
      </c>
      <c r="GY12" s="162">
        <f t="shared" ref="GY12:GY68" si="33">IF(GV12&gt;=3,GV12*$GY$10,0)</f>
        <v>240000</v>
      </c>
      <c r="GZ12" s="162">
        <f>COUNTIF($N12:$GC12,"CP")</f>
        <v>0</v>
      </c>
      <c r="HA12" s="162">
        <f>COUNTIF($N12:$GC12,"KP")</f>
        <v>0</v>
      </c>
      <c r="HB12" s="162">
        <f>COUNTIF($N12:$GC12,"ĐP")</f>
        <v>0</v>
      </c>
      <c r="HC12" s="162">
        <f>COUNTIF($N12:$GC12,"ĐD")</f>
        <v>0</v>
      </c>
      <c r="HD12" s="162">
        <f>COUNTIF($N12:$GC12,"TPL")</f>
        <v>0</v>
      </c>
      <c r="HE12" s="162">
        <f>COUNTIF($N12:$GC12,"ĐPL")</f>
        <v>0</v>
      </c>
      <c r="HF12" s="162">
        <f t="shared" ref="HF12:HF13" si="34">GZ12*$GZ$10+HA12*$HA$10+HB12*$HB$10+HC12*$HC$10+HD12*$HD$10+HE12*$HE$10</f>
        <v>0</v>
      </c>
      <c r="HG12" s="156" t="str">
        <f>VLOOKUP(B12,'data nguồn'!B:N,13,0)</f>
        <v>1013359889</v>
      </c>
      <c r="HH12" s="159" t="str">
        <f>VLOOKUP(B12,'data nguồn'!B:P,15,0)</f>
        <v>Phạm Văn Sơn</v>
      </c>
      <c r="HI12" s="163" t="str">
        <f>VLOOKUP(B12,'data nguồn'!B:P,14,0)</f>
        <v>VCB Hải Phòng</v>
      </c>
    </row>
    <row r="13" spans="1:217" s="95" customFormat="1" ht="15">
      <c r="A13" s="73">
        <v>3</v>
      </c>
      <c r="B13" s="599" t="s">
        <v>29</v>
      </c>
      <c r="C13" s="851" t="s">
        <v>441</v>
      </c>
      <c r="D13" s="164" t="s">
        <v>486</v>
      </c>
      <c r="E13" s="164" t="s">
        <v>133</v>
      </c>
      <c r="F13" s="164" t="s">
        <v>73</v>
      </c>
      <c r="G13" s="164"/>
      <c r="H13" s="164">
        <v>200207</v>
      </c>
      <c r="I13" s="164" t="s">
        <v>125</v>
      </c>
      <c r="J13" s="136" t="s">
        <v>124</v>
      </c>
      <c r="K13" s="165">
        <v>30</v>
      </c>
      <c r="L13" s="166">
        <v>44135</v>
      </c>
      <c r="M13" s="166"/>
      <c r="N13" s="601">
        <v>8</v>
      </c>
      <c r="O13" s="601">
        <v>5</v>
      </c>
      <c r="P13" s="602"/>
      <c r="Q13" s="602"/>
      <c r="R13" s="601"/>
      <c r="S13" s="601"/>
      <c r="T13" s="615"/>
      <c r="U13" s="615"/>
      <c r="V13" s="603">
        <v>8</v>
      </c>
      <c r="W13" s="603">
        <v>5</v>
      </c>
      <c r="X13" s="602"/>
      <c r="Y13" s="602"/>
      <c r="Z13" s="603">
        <v>8</v>
      </c>
      <c r="AA13" s="603">
        <v>5</v>
      </c>
      <c r="AB13" s="602"/>
      <c r="AC13" s="602"/>
      <c r="AD13" s="604">
        <v>8</v>
      </c>
      <c r="AE13" s="604">
        <v>5</v>
      </c>
      <c r="AF13" s="605"/>
      <c r="AG13" s="605"/>
      <c r="AH13" s="605"/>
      <c r="AI13" s="605"/>
      <c r="AJ13" s="604">
        <v>8</v>
      </c>
      <c r="AK13" s="604">
        <v>3</v>
      </c>
      <c r="AL13" s="605"/>
      <c r="AM13" s="605"/>
      <c r="AN13" s="605"/>
      <c r="AO13" s="605"/>
      <c r="AP13" s="603">
        <v>8</v>
      </c>
      <c r="AQ13" s="603">
        <v>3</v>
      </c>
      <c r="AR13" s="606"/>
      <c r="AS13" s="606"/>
      <c r="AT13" s="136"/>
      <c r="AU13" s="136"/>
      <c r="AV13" s="135">
        <v>8</v>
      </c>
      <c r="AW13" s="135">
        <v>3</v>
      </c>
      <c r="AX13" s="606"/>
      <c r="AY13" s="606"/>
      <c r="AZ13" s="136"/>
      <c r="BA13" s="136"/>
      <c r="BB13" s="135">
        <v>8</v>
      </c>
      <c r="BC13" s="135">
        <v>3</v>
      </c>
      <c r="BD13" s="606"/>
      <c r="BE13" s="606"/>
      <c r="BF13" s="135">
        <v>8</v>
      </c>
      <c r="BG13" s="135">
        <v>3</v>
      </c>
      <c r="BH13" s="606"/>
      <c r="BI13" s="606"/>
      <c r="BJ13" s="136"/>
      <c r="BK13" s="136"/>
      <c r="BL13" s="129">
        <v>8</v>
      </c>
      <c r="BM13" s="129">
        <v>3</v>
      </c>
      <c r="BN13" s="606"/>
      <c r="BO13" s="606"/>
      <c r="BP13" s="136"/>
      <c r="BQ13" s="136"/>
      <c r="BR13" s="130">
        <v>8</v>
      </c>
      <c r="BS13" s="129">
        <v>3</v>
      </c>
      <c r="BT13" s="606"/>
      <c r="BU13" s="606"/>
      <c r="BV13" s="136"/>
      <c r="BW13" s="136"/>
      <c r="BX13" s="607">
        <v>8</v>
      </c>
      <c r="BY13" s="607">
        <v>0</v>
      </c>
      <c r="BZ13" s="608"/>
      <c r="CA13" s="608"/>
      <c r="CB13" s="609"/>
      <c r="CC13" s="609"/>
      <c r="CD13" s="138">
        <v>8</v>
      </c>
      <c r="CE13" s="138">
        <v>5</v>
      </c>
      <c r="CF13" s="606"/>
      <c r="CG13" s="606"/>
      <c r="CH13" s="136"/>
      <c r="CI13" s="136"/>
      <c r="CJ13" s="138">
        <v>8</v>
      </c>
      <c r="CK13" s="138">
        <v>5</v>
      </c>
      <c r="CL13" s="606"/>
      <c r="CM13" s="606"/>
      <c r="CN13" s="136"/>
      <c r="CO13" s="136"/>
      <c r="CP13" s="138">
        <v>8</v>
      </c>
      <c r="CQ13" s="138">
        <v>5</v>
      </c>
      <c r="CR13" s="606"/>
      <c r="CS13" s="606"/>
      <c r="CT13" s="138">
        <v>8</v>
      </c>
      <c r="CU13" s="138">
        <v>5</v>
      </c>
      <c r="CV13" s="606"/>
      <c r="CW13" s="606"/>
      <c r="CX13" s="136"/>
      <c r="CY13" s="136"/>
      <c r="CZ13" s="130">
        <v>8</v>
      </c>
      <c r="DA13" s="138">
        <v>5</v>
      </c>
      <c r="DB13" s="606"/>
      <c r="DC13" s="606"/>
      <c r="DD13" s="136"/>
      <c r="DE13" s="136"/>
      <c r="DF13" s="607">
        <v>8</v>
      </c>
      <c r="DG13" s="607">
        <v>5</v>
      </c>
      <c r="DH13" s="608"/>
      <c r="DI13" s="608"/>
      <c r="DJ13" s="609"/>
      <c r="DK13" s="609"/>
      <c r="DL13" s="607">
        <v>8</v>
      </c>
      <c r="DM13" s="607">
        <v>3</v>
      </c>
      <c r="DN13" s="608"/>
      <c r="DO13" s="608"/>
      <c r="DP13" s="609"/>
      <c r="DQ13" s="609"/>
      <c r="DR13" s="138">
        <v>8</v>
      </c>
      <c r="DS13" s="138">
        <v>5</v>
      </c>
      <c r="DT13" s="606"/>
      <c r="DU13" s="606"/>
      <c r="DV13" s="136"/>
      <c r="DW13" s="136"/>
      <c r="DX13" s="138">
        <v>8</v>
      </c>
      <c r="DY13" s="138">
        <v>5</v>
      </c>
      <c r="DZ13" s="606"/>
      <c r="EA13" s="606"/>
      <c r="EB13" s="136"/>
      <c r="EC13" s="136"/>
      <c r="ED13" s="138">
        <v>8</v>
      </c>
      <c r="EE13" s="138">
        <v>5</v>
      </c>
      <c r="EF13" s="606"/>
      <c r="EG13" s="606"/>
      <c r="EH13" s="136"/>
      <c r="EI13" s="136"/>
      <c r="EJ13" s="138">
        <v>8</v>
      </c>
      <c r="EK13" s="138">
        <v>5</v>
      </c>
      <c r="EL13" s="606"/>
      <c r="EM13" s="606"/>
      <c r="EN13" s="136"/>
      <c r="EO13" s="136"/>
      <c r="EP13" s="130">
        <v>8</v>
      </c>
      <c r="EQ13" s="130">
        <v>3</v>
      </c>
      <c r="ER13" s="606"/>
      <c r="ES13" s="606"/>
      <c r="ET13" s="136"/>
      <c r="EU13" s="136"/>
      <c r="EV13" s="130">
        <v>8</v>
      </c>
      <c r="EW13" s="130">
        <v>5</v>
      </c>
      <c r="EX13" s="606"/>
      <c r="EY13" s="606"/>
      <c r="EZ13" s="130"/>
      <c r="FA13" s="130"/>
      <c r="FB13" s="610">
        <v>8</v>
      </c>
      <c r="FC13" s="610">
        <v>3</v>
      </c>
      <c r="FD13" s="610"/>
      <c r="FE13" s="610"/>
      <c r="FF13" s="607"/>
      <c r="FG13" s="609"/>
      <c r="FH13" s="138">
        <v>8</v>
      </c>
      <c r="FI13" s="138">
        <v>5</v>
      </c>
      <c r="FJ13" s="611"/>
      <c r="FK13" s="611"/>
      <c r="FL13" s="138"/>
      <c r="FM13" s="136"/>
      <c r="FN13" s="616">
        <v>8</v>
      </c>
      <c r="FO13" s="616">
        <v>5</v>
      </c>
      <c r="FP13" s="613"/>
      <c r="FQ13" s="613"/>
      <c r="FR13" s="130"/>
      <c r="FS13" s="136"/>
      <c r="FT13" s="131">
        <v>8</v>
      </c>
      <c r="FU13" s="131">
        <v>3</v>
      </c>
      <c r="FV13" s="614"/>
      <c r="FW13" s="614"/>
      <c r="FX13" s="130"/>
      <c r="FY13" s="136"/>
      <c r="FZ13" s="130"/>
      <c r="GA13" s="130"/>
      <c r="GB13" s="613"/>
      <c r="GC13" s="613"/>
      <c r="GD13" s="122"/>
      <c r="GE13" s="124"/>
      <c r="GF13" s="125">
        <f>SUM(COUNTIFS(N13:GE13,"&gt;0",$N$9:$GE$9,"GC"),COUNTIFS(N13:GE13,"&gt;0",$N$9:$GE$9,"GC1"),COUNTIFS(N13:GE13,"&gt;0",$N$9:$GE$9,"GC2"))</f>
        <v>23</v>
      </c>
      <c r="GG13" s="126">
        <f>SUMIF($N$9:$GE$9,"GC",$N13:$GE13)</f>
        <v>184</v>
      </c>
      <c r="GH13" s="126">
        <f>SUMIF($N$9:$GE$9,"GC1",$N13:$GE13)</f>
        <v>0</v>
      </c>
      <c r="GI13" s="126">
        <f>SUMIF($N$9:$GE$9,"GC2",$N13:$GE13)</f>
        <v>0</v>
      </c>
      <c r="GJ13" s="126">
        <f>SUMIF($N$9:$GE$9,"TC",$N13:$GE13)</f>
        <v>99</v>
      </c>
      <c r="GK13" s="126">
        <f>SUMIF($N$9:$GE$9,"TC1",$N13:$GE13)</f>
        <v>0</v>
      </c>
      <c r="GL13" s="126">
        <f>SUMIF($N$9:$GE$9,"TC2",$N13:$GE13)</f>
        <v>0</v>
      </c>
      <c r="GM13" s="126">
        <f>SUMIF($N$9:$GE$9,"WK-D",$N13:$GE13)+SUMIF($N$9:$GE$9,"WK-TC",$N13:$GE13)</f>
        <v>67</v>
      </c>
      <c r="GN13" s="126">
        <f>SUMIF($N$9:$GE$9,"WK-D1",$N13:$GE13)+SUMIF($N$9:$GE$9,"WK-TC1",$N13:$GE13)</f>
        <v>0</v>
      </c>
      <c r="GO13" s="126">
        <f>SUMIF($N$9:$GE$9,"WK-D2",$N13:$GE13)+SUMIF($N$9:$GE$9,"WK-TC2",$N13:$GE13)</f>
        <v>0</v>
      </c>
      <c r="GP13" s="126">
        <f>SUMIF($N$9:$GE$9,"HOD",$N13:$GE13)</f>
        <v>0</v>
      </c>
      <c r="GQ13" s="126">
        <f>SUMIF($N$9:$GE$9,"HOD1",$N13:$GE13)</f>
        <v>0</v>
      </c>
      <c r="GR13" s="126">
        <f>SUMIF($N$9:$GE$9,"HOD2",$N13:$GE13)</f>
        <v>0</v>
      </c>
      <c r="GS13" s="162">
        <f t="shared" si="30"/>
        <v>10557250</v>
      </c>
      <c r="GT13" s="97" t="str">
        <f>IF(SUM(COUNTIFS(N13:GC13,"&gt;0",$N$9:$GC$9,"GC"),COUNTIFS(N13:GC13,"&gt;0",$N$9:$GC$9,"GC1"),COUNTIFS(N13:GC13,"&gt;0",$N$9:$GC$9,"GC2"),COUNTIFS(N13:GC13,"&gt;0",$N$9:$GC$9,"WK-D"),COUNTIFS(N13:GC13,"&gt;0",$N$9:$GC$9,"WK-D1"),COUNTIFS(N13:GC13,"&gt;0",$N$9:$GC$9,"WK-D2"))&gt;3,"Đ","K")</f>
        <v>Đ</v>
      </c>
      <c r="GU13" s="97">
        <f t="shared" si="31"/>
        <v>10557250</v>
      </c>
      <c r="GV13" s="97">
        <f>SUM(COUNTIFS(N13:GC13,"&gt;2",$N$9:$GC$9,"GC"),COUNTIFS(N13:GC13,"&gt;2",$N$9:$GC$9,"GC1"),COUNTIFS(N13:GC13,"&gt;2",$N$9:$GC$9,"GC2"))</f>
        <v>23</v>
      </c>
      <c r="GW13" s="162">
        <f t="shared" si="32"/>
        <v>200000</v>
      </c>
      <c r="GX13" s="162">
        <f>SUM(COUNTIFS(N13:GC13,"&gt;2",$N$9:$GC$9,"GC"),COUNTIFS(N13:GC13,"&gt;2",$N$9:$GC$9,"GC1"),COUNTIFS(N13:GC13,"&gt;2",$N$9:$GC$9,"GC2"),COUNTIFS(N13:GC13,"&gt;2",$N$9:$GC$9,"WK-D"),COUNTIFS(N13:GC13,"&gt;2",$N$9:$GC$9,"WK-D1"),COUNTIFS(N13:GC13,"&gt;2",$N$9:$GC$9,"WK-D2"))*$GX$10</f>
        <v>300000</v>
      </c>
      <c r="GY13" s="162">
        <f t="shared" si="33"/>
        <v>240000</v>
      </c>
      <c r="GZ13" s="162">
        <f>COUNTIF($N13:$GC13,"CP")</f>
        <v>0</v>
      </c>
      <c r="HA13" s="162">
        <f>COUNTIF($N13:$GC13,"KP")</f>
        <v>0</v>
      </c>
      <c r="HB13" s="162">
        <f>COUNTIF($N13:$GC13,"ĐP")</f>
        <v>0</v>
      </c>
      <c r="HC13" s="162">
        <f>COUNTIF($N13:$GC13,"ĐD")</f>
        <v>0</v>
      </c>
      <c r="HD13" s="162">
        <f>COUNTIF($N13:$GC13,"TPL")</f>
        <v>0</v>
      </c>
      <c r="HE13" s="162">
        <f>COUNTIF($N13:$GC13,"ĐPL")</f>
        <v>0</v>
      </c>
      <c r="HF13" s="162">
        <f t="shared" si="34"/>
        <v>0</v>
      </c>
      <c r="HG13" s="156" t="str">
        <f>VLOOKUP(B13,'data nguồn'!B:N,13,0)</f>
        <v>1013348275</v>
      </c>
      <c r="HH13" s="159" t="str">
        <f>VLOOKUP(B13,'data nguồn'!B:P,15,0)</f>
        <v>Hoàng Thị Như</v>
      </c>
      <c r="HI13" s="163" t="str">
        <f>VLOOKUP(B13,'data nguồn'!B:P,14,0)</f>
        <v>VCB Hải Phòng</v>
      </c>
    </row>
    <row r="14" spans="1:217" s="95" customFormat="1" ht="15">
      <c r="A14" s="73">
        <v>4</v>
      </c>
      <c r="B14" s="617" t="s">
        <v>30</v>
      </c>
      <c r="C14" s="852" t="s">
        <v>442</v>
      </c>
      <c r="D14" s="618" t="s">
        <v>487</v>
      </c>
      <c r="E14" s="618" t="s">
        <v>485</v>
      </c>
      <c r="F14" s="618" t="s">
        <v>74</v>
      </c>
      <c r="G14" s="618"/>
      <c r="H14" s="164">
        <v>200209</v>
      </c>
      <c r="I14" s="164" t="s">
        <v>123</v>
      </c>
      <c r="J14" s="136" t="s">
        <v>124</v>
      </c>
      <c r="K14" s="165">
        <v>90</v>
      </c>
      <c r="L14" s="166" t="s">
        <v>545</v>
      </c>
      <c r="M14" s="619">
        <v>44076</v>
      </c>
      <c r="N14" s="601">
        <v>8</v>
      </c>
      <c r="O14" s="601">
        <v>5</v>
      </c>
      <c r="P14" s="602"/>
      <c r="Q14" s="602"/>
      <c r="R14" s="601"/>
      <c r="S14" s="601"/>
      <c r="T14" s="615"/>
      <c r="U14" s="615"/>
      <c r="V14" s="603" t="s">
        <v>533</v>
      </c>
      <c r="W14" s="603" t="str">
        <f>F48</f>
        <v>Nguyễn Việt Toàn</v>
      </c>
      <c r="X14" s="602"/>
      <c r="Y14" s="602"/>
      <c r="Z14" s="620" t="s">
        <v>827</v>
      </c>
      <c r="AA14" s="603"/>
      <c r="AB14" s="602"/>
      <c r="AC14" s="602"/>
      <c r="AD14" s="604"/>
      <c r="AE14" s="604"/>
      <c r="AF14" s="605"/>
      <c r="AG14" s="605"/>
      <c r="AH14" s="605"/>
      <c r="AI14" s="605"/>
      <c r="AJ14" s="604"/>
      <c r="AK14" s="604"/>
      <c r="AL14" s="605"/>
      <c r="AM14" s="605"/>
      <c r="AN14" s="605"/>
      <c r="AO14" s="605"/>
      <c r="AP14" s="603"/>
      <c r="AQ14" s="603"/>
      <c r="AR14" s="606"/>
      <c r="AS14" s="606"/>
      <c r="AT14" s="136"/>
      <c r="AU14" s="136"/>
      <c r="AV14" s="135"/>
      <c r="AW14" s="135"/>
      <c r="AX14" s="606"/>
      <c r="AY14" s="606"/>
      <c r="AZ14" s="136"/>
      <c r="BA14" s="136"/>
      <c r="BB14" s="135"/>
      <c r="BC14" s="135"/>
      <c r="BD14" s="606"/>
      <c r="BE14" s="606"/>
      <c r="BF14" s="135"/>
      <c r="BG14" s="135"/>
      <c r="BH14" s="606"/>
      <c r="BI14" s="606"/>
      <c r="BJ14" s="136"/>
      <c r="BK14" s="136"/>
      <c r="BL14" s="129"/>
      <c r="BM14" s="129"/>
      <c r="BN14" s="606"/>
      <c r="BO14" s="606"/>
      <c r="BP14" s="136"/>
      <c r="BQ14" s="136"/>
      <c r="BR14" s="130"/>
      <c r="BS14" s="129"/>
      <c r="BT14" s="606"/>
      <c r="BU14" s="606"/>
      <c r="BV14" s="136"/>
      <c r="BW14" s="136"/>
      <c r="BX14" s="607"/>
      <c r="BY14" s="607"/>
      <c r="BZ14" s="608"/>
      <c r="CA14" s="608"/>
      <c r="CB14" s="609"/>
      <c r="CC14" s="609"/>
      <c r="CD14" s="138"/>
      <c r="CE14" s="138"/>
      <c r="CF14" s="606"/>
      <c r="CG14" s="606"/>
      <c r="CH14" s="136"/>
      <c r="CI14" s="136"/>
      <c r="CJ14" s="138"/>
      <c r="CK14" s="138"/>
      <c r="CL14" s="606"/>
      <c r="CM14" s="606"/>
      <c r="CN14" s="136"/>
      <c r="CO14" s="136"/>
      <c r="CP14" s="138"/>
      <c r="CQ14" s="138"/>
      <c r="CR14" s="606"/>
      <c r="CS14" s="606"/>
      <c r="CT14" s="138"/>
      <c r="CU14" s="138"/>
      <c r="CV14" s="606"/>
      <c r="CW14" s="606"/>
      <c r="CX14" s="136"/>
      <c r="CY14" s="136"/>
      <c r="CZ14" s="130"/>
      <c r="DA14" s="138"/>
      <c r="DB14" s="606"/>
      <c r="DC14" s="606"/>
      <c r="DD14" s="136"/>
      <c r="DE14" s="136"/>
      <c r="DF14" s="607"/>
      <c r="DG14" s="607"/>
      <c r="DH14" s="608"/>
      <c r="DI14" s="608"/>
      <c r="DJ14" s="609"/>
      <c r="DK14" s="609"/>
      <c r="DL14" s="607"/>
      <c r="DM14" s="607"/>
      <c r="DN14" s="608"/>
      <c r="DO14" s="608"/>
      <c r="DP14" s="609"/>
      <c r="DQ14" s="609"/>
      <c r="DR14" s="138"/>
      <c r="DS14" s="138"/>
      <c r="DT14" s="606"/>
      <c r="DU14" s="606"/>
      <c r="DV14" s="136"/>
      <c r="DW14" s="136"/>
      <c r="DX14" s="138"/>
      <c r="DY14" s="138"/>
      <c r="DZ14" s="606"/>
      <c r="EA14" s="606"/>
      <c r="EB14" s="136"/>
      <c r="EC14" s="136"/>
      <c r="ED14" s="138"/>
      <c r="EE14" s="138"/>
      <c r="EF14" s="606"/>
      <c r="EG14" s="606"/>
      <c r="EH14" s="136"/>
      <c r="EI14" s="136"/>
      <c r="EJ14" s="138"/>
      <c r="EK14" s="138"/>
      <c r="EL14" s="606"/>
      <c r="EM14" s="606"/>
      <c r="EN14" s="136"/>
      <c r="EO14" s="136"/>
      <c r="EP14" s="130"/>
      <c r="EQ14" s="130"/>
      <c r="ER14" s="606"/>
      <c r="ES14" s="606"/>
      <c r="ET14" s="136"/>
      <c r="EU14" s="136"/>
      <c r="EV14" s="130"/>
      <c r="EW14" s="130"/>
      <c r="EX14" s="606"/>
      <c r="EY14" s="606"/>
      <c r="EZ14" s="130"/>
      <c r="FA14" s="130"/>
      <c r="FB14" s="610"/>
      <c r="FC14" s="610"/>
      <c r="FD14" s="610"/>
      <c r="FE14" s="610"/>
      <c r="FF14" s="607"/>
      <c r="FG14" s="609"/>
      <c r="FH14" s="138"/>
      <c r="FI14" s="138"/>
      <c r="FJ14" s="621"/>
      <c r="FK14" s="621"/>
      <c r="FL14" s="138"/>
      <c r="FM14" s="136"/>
      <c r="FN14" s="616"/>
      <c r="FO14" s="616"/>
      <c r="FP14" s="613"/>
      <c r="FQ14" s="613"/>
      <c r="FR14" s="130"/>
      <c r="FS14" s="136"/>
      <c r="FT14" s="131"/>
      <c r="FU14" s="131"/>
      <c r="FV14" s="614"/>
      <c r="FW14" s="614"/>
      <c r="FX14" s="130"/>
      <c r="FY14" s="136"/>
      <c r="FZ14" s="130"/>
      <c r="GA14" s="130"/>
      <c r="GB14" s="613"/>
      <c r="GC14" s="613"/>
      <c r="GD14" s="122"/>
      <c r="GE14" s="124"/>
      <c r="GF14" s="125">
        <f>SUM(COUNTIFS(N14:GE14,"&gt;0",$N$9:$GE$9,"GC"),COUNTIFS(N14:GE14,"&gt;0",$N$9:$GE$9,"GC1"),COUNTIFS(N14:GE14,"&gt;0",$N$9:$GE$9,"GC2"))</f>
        <v>1</v>
      </c>
      <c r="GG14" s="126">
        <f>SUMIF($N$9:$GE$9,"GC",$N14:$GE14)</f>
        <v>8</v>
      </c>
      <c r="GH14" s="126">
        <f>SUMIF($N$9:$GE$9,"GC1",$N14:$GE14)</f>
        <v>0</v>
      </c>
      <c r="GI14" s="126">
        <f>SUMIF($N$9:$GE$9,"GC2",$N14:$GE14)</f>
        <v>0</v>
      </c>
      <c r="GJ14" s="126">
        <f>SUMIF($N$9:$GE$9,"TC",$N14:$GE14)</f>
        <v>5</v>
      </c>
      <c r="GK14" s="126">
        <f>SUMIF($N$9:$GE$9,"TC1",$N14:$GE14)</f>
        <v>0</v>
      </c>
      <c r="GL14" s="126">
        <f>SUMIF($N$9:$GE$9,"TC2",$N14:$GE14)</f>
        <v>0</v>
      </c>
      <c r="GM14" s="126">
        <f>SUMIF($N$9:$GE$9,"WK-D",$N14:$GE14)+SUMIF($N$9:$GE$9,"WK-TC",$N14:$GE14)</f>
        <v>0</v>
      </c>
      <c r="GN14" s="126">
        <f>SUMIF($N$9:$GE$9,"WK-D1",$N14:$GE14)+SUMIF($N$9:$GE$9,"WK-TC1",$N14:$GE14)</f>
        <v>0</v>
      </c>
      <c r="GO14" s="126">
        <f>SUMIF($N$9:$GE$9,"WK-D2",$N14:$GE14)+SUMIF($N$9:$GE$9,"WK-TC2",$N14:$GE14)</f>
        <v>0</v>
      </c>
      <c r="GP14" s="126">
        <f>SUMIF($N$9:$GE$9,"HOD",$N14:$GE14)</f>
        <v>0</v>
      </c>
      <c r="GQ14" s="126">
        <f>SUMIF($N$9:$GE$9,"HOD1",$N14:$GE14)</f>
        <v>0</v>
      </c>
      <c r="GR14" s="126">
        <f>SUMIF($N$9:$GE$9,"HOD2",$N14:$GE14)</f>
        <v>0</v>
      </c>
      <c r="GS14" s="162">
        <f t="shared" si="30"/>
        <v>348000</v>
      </c>
      <c r="GT14" s="97" t="s">
        <v>639</v>
      </c>
      <c r="GU14" s="97">
        <f t="shared" si="31"/>
        <v>348000</v>
      </c>
      <c r="GV14" s="97">
        <f>SUM(COUNTIFS(N14:GC14,"&gt;2",$N$9:$GC$9,"GC"),COUNTIFS(N14:GC14,"&gt;2",$N$9:$GC$9,"GC1"),COUNTIFS(N14:GC14,"&gt;2",$N$9:$GC$9,"GC2"))</f>
        <v>1</v>
      </c>
      <c r="GW14" s="162">
        <f t="shared" si="32"/>
        <v>0</v>
      </c>
      <c r="GX14" s="162">
        <f>SUM(COUNTIFS(N14:GC14,"&gt;2",$N$9:$GC$9,"GC"),COUNTIFS(N14:GC14,"&gt;2",$N$9:$GC$9,"GC1"),COUNTIFS(N14:GC14,"&gt;2",$N$9:$GC$9,"GC2"),COUNTIFS(N14:GC14,"&gt;2",$N$9:$GC$9,"WK-D"),COUNTIFS(N14:GC14,"&gt;2",$N$9:$GC$9,"WK-D1"),COUNTIFS(N14:GC14,"&gt;2",$N$9:$GC$9,"WK-D2"))*$GX$10</f>
        <v>10344.827586206897</v>
      </c>
      <c r="GY14" s="162">
        <f t="shared" si="33"/>
        <v>0</v>
      </c>
      <c r="GZ14" s="162">
        <f>COUNTIF($N14:$GC14,"CP")</f>
        <v>1</v>
      </c>
      <c r="HA14" s="162">
        <f>COUNTIF($N14:$GC14,"KP")</f>
        <v>0</v>
      </c>
      <c r="HB14" s="162">
        <f>COUNTIF($N14:$GC14,"ĐP")</f>
        <v>0</v>
      </c>
      <c r="HC14" s="162">
        <f>COUNTIF($N14:$GC14,"ĐD")</f>
        <v>0</v>
      </c>
      <c r="HD14" s="162">
        <f>COUNTIF($N14:$GC14,"TPL")</f>
        <v>0</v>
      </c>
      <c r="HE14" s="162">
        <f>COUNTIF($N14:$GC14,"ĐPL")</f>
        <v>0</v>
      </c>
      <c r="HF14" s="162">
        <f t="shared" ref="HF14:HF42" si="35">GZ14*$GZ$10+HA14*$HA$10+HB14*$HB$10+HC14*$HC$10+HD14*$HD$10+HE14*$HE$10</f>
        <v>0</v>
      </c>
      <c r="HG14" s="156" t="str">
        <f>VLOOKUP(B14,'data nguồn'!B:N,13,0)</f>
        <v>1016282493</v>
      </c>
      <c r="HH14" s="159" t="str">
        <f>VLOOKUP(B14,'data nguồn'!B:P,15,0)</f>
        <v>Nguyễn Duy Hải</v>
      </c>
      <c r="HI14" s="163" t="str">
        <f>VLOOKUP(B14,'data nguồn'!B:P,14,0)</f>
        <v>VCB Hải Phòng</v>
      </c>
    </row>
    <row r="15" spans="1:217" s="95" customFormat="1" ht="15">
      <c r="A15" s="73">
        <v>5</v>
      </c>
      <c r="B15" s="599" t="s">
        <v>38</v>
      </c>
      <c r="C15" s="851" t="s">
        <v>443</v>
      </c>
      <c r="D15" s="164" t="s">
        <v>488</v>
      </c>
      <c r="E15" s="164" t="s">
        <v>485</v>
      </c>
      <c r="F15" s="164" t="s">
        <v>82</v>
      </c>
      <c r="G15" s="164"/>
      <c r="H15" s="164">
        <v>200212</v>
      </c>
      <c r="I15" s="164" t="s">
        <v>126</v>
      </c>
      <c r="J15" s="136" t="s">
        <v>124</v>
      </c>
      <c r="K15" s="165"/>
      <c r="L15" s="166">
        <v>43902</v>
      </c>
      <c r="M15" s="166"/>
      <c r="N15" s="601"/>
      <c r="O15" s="601"/>
      <c r="P15" s="602">
        <v>8</v>
      </c>
      <c r="Q15" s="602">
        <v>3</v>
      </c>
      <c r="R15" s="601"/>
      <c r="S15" s="601"/>
      <c r="T15" s="602"/>
      <c r="U15" s="602"/>
      <c r="V15" s="603">
        <v>8</v>
      </c>
      <c r="W15" s="603">
        <v>3</v>
      </c>
      <c r="X15" s="602"/>
      <c r="Y15" s="602"/>
      <c r="Z15" s="603">
        <v>8</v>
      </c>
      <c r="AA15" s="603">
        <v>3</v>
      </c>
      <c r="AB15" s="602"/>
      <c r="AC15" s="602"/>
      <c r="AD15" s="604">
        <v>8</v>
      </c>
      <c r="AE15" s="604">
        <v>3</v>
      </c>
      <c r="AF15" s="605"/>
      <c r="AG15" s="605"/>
      <c r="AH15" s="605"/>
      <c r="AI15" s="605"/>
      <c r="AJ15" s="604">
        <v>8</v>
      </c>
      <c r="AK15" s="604">
        <v>3</v>
      </c>
      <c r="AL15" s="605"/>
      <c r="AM15" s="605"/>
      <c r="AN15" s="605"/>
      <c r="AO15" s="605"/>
      <c r="AP15" s="603">
        <v>8</v>
      </c>
      <c r="AQ15" s="603">
        <v>3</v>
      </c>
      <c r="AR15" s="606"/>
      <c r="AS15" s="606"/>
      <c r="AT15" s="136"/>
      <c r="AU15" s="136"/>
      <c r="AV15" s="135">
        <v>8</v>
      </c>
      <c r="AW15" s="135">
        <v>3</v>
      </c>
      <c r="AX15" s="606"/>
      <c r="AY15" s="606"/>
      <c r="AZ15" s="136"/>
      <c r="BA15" s="136"/>
      <c r="BB15" s="135">
        <v>8</v>
      </c>
      <c r="BC15" s="135">
        <v>3</v>
      </c>
      <c r="BD15" s="606"/>
      <c r="BE15" s="606"/>
      <c r="BF15" s="135">
        <v>8</v>
      </c>
      <c r="BG15" s="135">
        <v>3</v>
      </c>
      <c r="BH15" s="606"/>
      <c r="BI15" s="606"/>
      <c r="BJ15" s="136"/>
      <c r="BK15" s="136"/>
      <c r="BL15" s="129">
        <v>8</v>
      </c>
      <c r="BM15" s="129">
        <v>3</v>
      </c>
      <c r="BN15" s="606"/>
      <c r="BO15" s="606"/>
      <c r="BP15" s="136"/>
      <c r="BQ15" s="136"/>
      <c r="BR15" s="130">
        <v>8</v>
      </c>
      <c r="BS15" s="129">
        <v>3</v>
      </c>
      <c r="BT15" s="606"/>
      <c r="BU15" s="606"/>
      <c r="BV15" s="136"/>
      <c r="BW15" s="136"/>
      <c r="BX15" s="607">
        <v>8</v>
      </c>
      <c r="BY15" s="607">
        <v>3</v>
      </c>
      <c r="BZ15" s="608"/>
      <c r="CA15" s="608"/>
      <c r="CB15" s="609"/>
      <c r="CC15" s="609"/>
      <c r="CD15" s="138">
        <v>8</v>
      </c>
      <c r="CE15" s="138">
        <v>3</v>
      </c>
      <c r="CF15" s="606"/>
      <c r="CG15" s="606"/>
      <c r="CH15" s="136"/>
      <c r="CI15" s="136"/>
      <c r="CJ15" s="138">
        <v>8</v>
      </c>
      <c r="CK15" s="138">
        <v>3</v>
      </c>
      <c r="CL15" s="606"/>
      <c r="CM15" s="606"/>
      <c r="CN15" s="136"/>
      <c r="CO15" s="136"/>
      <c r="CP15" s="138">
        <v>8</v>
      </c>
      <c r="CQ15" s="138">
        <v>3</v>
      </c>
      <c r="CR15" s="606"/>
      <c r="CS15" s="606"/>
      <c r="CT15" s="138"/>
      <c r="CU15" s="138"/>
      <c r="CV15" s="611">
        <v>8</v>
      </c>
      <c r="CW15" s="611">
        <v>3</v>
      </c>
      <c r="CX15" s="130"/>
      <c r="CY15" s="130"/>
      <c r="CZ15" s="130"/>
      <c r="DA15" s="130"/>
      <c r="DB15" s="611">
        <v>8</v>
      </c>
      <c r="DC15" s="611">
        <v>3</v>
      </c>
      <c r="DD15" s="130"/>
      <c r="DE15" s="130"/>
      <c r="DF15" s="610"/>
      <c r="DG15" s="610"/>
      <c r="DH15" s="610">
        <v>8</v>
      </c>
      <c r="DI15" s="610">
        <v>3</v>
      </c>
      <c r="DJ15" s="609"/>
      <c r="DK15" s="609"/>
      <c r="DL15" s="607"/>
      <c r="DM15" s="607"/>
      <c r="DN15" s="607">
        <v>8</v>
      </c>
      <c r="DO15" s="607">
        <v>3</v>
      </c>
      <c r="DP15" s="138"/>
      <c r="DQ15" s="138"/>
      <c r="DR15" s="138"/>
      <c r="DS15" s="138"/>
      <c r="DT15" s="621">
        <v>8</v>
      </c>
      <c r="DU15" s="621">
        <v>3</v>
      </c>
      <c r="DV15" s="138"/>
      <c r="DW15" s="138"/>
      <c r="DX15" s="138"/>
      <c r="DY15" s="138"/>
      <c r="DZ15" s="621">
        <v>8</v>
      </c>
      <c r="EA15" s="621">
        <v>3</v>
      </c>
      <c r="EB15" s="138"/>
      <c r="EC15" s="138"/>
      <c r="ED15" s="138"/>
      <c r="EE15" s="138"/>
      <c r="EF15" s="621">
        <v>8</v>
      </c>
      <c r="EG15" s="621">
        <v>3</v>
      </c>
      <c r="EH15" s="138"/>
      <c r="EI15" s="138"/>
      <c r="EJ15" s="138"/>
      <c r="EK15" s="138"/>
      <c r="EL15" s="621">
        <v>8</v>
      </c>
      <c r="EM15" s="621">
        <v>3</v>
      </c>
      <c r="EN15" s="138"/>
      <c r="EO15" s="138"/>
      <c r="EP15" s="138"/>
      <c r="EQ15" s="138"/>
      <c r="ER15" s="621">
        <v>8</v>
      </c>
      <c r="ES15" s="621">
        <v>3</v>
      </c>
      <c r="ET15" s="138"/>
      <c r="EU15" s="138"/>
      <c r="EV15" s="138"/>
      <c r="EW15" s="138"/>
      <c r="EX15" s="621">
        <v>8</v>
      </c>
      <c r="EY15" s="621">
        <v>3</v>
      </c>
      <c r="EZ15" s="138"/>
      <c r="FA15" s="138"/>
      <c r="FB15" s="123"/>
      <c r="FC15" s="123"/>
      <c r="FD15" s="123" t="s">
        <v>533</v>
      </c>
      <c r="FE15" s="123"/>
      <c r="FF15" s="138"/>
      <c r="FG15" s="138"/>
      <c r="FH15" s="138"/>
      <c r="FI15" s="138"/>
      <c r="FJ15" s="621">
        <v>8</v>
      </c>
      <c r="FK15" s="621">
        <v>3</v>
      </c>
      <c r="FL15" s="138"/>
      <c r="FM15" s="138"/>
      <c r="FN15" s="138"/>
      <c r="FO15" s="138"/>
      <c r="FP15" s="621">
        <v>8</v>
      </c>
      <c r="FQ15" s="621">
        <v>3</v>
      </c>
      <c r="FR15" s="138"/>
      <c r="FS15" s="138"/>
      <c r="FT15" s="138"/>
      <c r="FU15" s="138"/>
      <c r="FV15" s="621">
        <v>8</v>
      </c>
      <c r="FW15" s="621">
        <v>3</v>
      </c>
      <c r="FX15" s="130"/>
      <c r="FY15" s="136"/>
      <c r="FZ15" s="130"/>
      <c r="GA15" s="130"/>
      <c r="GB15" s="613"/>
      <c r="GC15" s="613"/>
      <c r="GD15" s="122"/>
      <c r="GE15" s="124"/>
      <c r="GF15" s="125">
        <f>SUM(COUNTIFS(N15:GE15,"&gt;0",$N$9:$GE$9,"GC"),COUNTIFS(N15:GE15,"&gt;0",$N$9:$GE$9,"GC1"),COUNTIFS(N15:GE15,"&gt;0",$N$9:$GE$9,"GC2"))</f>
        <v>23</v>
      </c>
      <c r="GG15" s="126">
        <f>SUMIF($N$9:$GE$9,"GC",$N15:$GE15)</f>
        <v>88</v>
      </c>
      <c r="GH15" s="126">
        <f>SUMIF($N$9:$GE$9,"GC1",$N15:$GE15)</f>
        <v>96</v>
      </c>
      <c r="GI15" s="126">
        <f>SUMIF($N$9:$GE$9,"GC2",$N15:$GE15)</f>
        <v>0</v>
      </c>
      <c r="GJ15" s="126">
        <f>SUMIF($N$9:$GE$9,"TC",$N15:$GE15)</f>
        <v>33</v>
      </c>
      <c r="GK15" s="126">
        <f>SUMIF($N$9:$GE$9,"TC1",$N15:$GE15)</f>
        <v>36</v>
      </c>
      <c r="GL15" s="126">
        <f>SUMIF($N$9:$GE$9,"TC2",$N15:$GE15)</f>
        <v>0</v>
      </c>
      <c r="GM15" s="126">
        <f>SUMIF($N$9:$GE$9,"WK-D",$N15:$GE15)+SUMIF($N$9:$GE$9,"WK-TC",$N15:$GE15)</f>
        <v>33</v>
      </c>
      <c r="GN15" s="126">
        <f>SUMIF($N$9:$GE$9,"WK-D1",$N15:$GE15)+SUMIF($N$9:$GE$9,"WK-TC1",$N15:$GE15)</f>
        <v>22</v>
      </c>
      <c r="GO15" s="126">
        <f>SUMIF($N$9:$GE$9,"WK-D2",$N15:$GE15)+SUMIF($N$9:$GE$9,"WK-TC2",$N15:$GE15)</f>
        <v>0</v>
      </c>
      <c r="GP15" s="126">
        <f>SUMIF($N$9:$GE$9,"HOD",$N15:$GE15)</f>
        <v>0</v>
      </c>
      <c r="GQ15" s="126">
        <f>SUMIF($N$9:$GE$9,"HOD1",$N15:$GE15)</f>
        <v>0</v>
      </c>
      <c r="GR15" s="126">
        <f>SUMIF($N$9:$GE$9,"HOD2",$N15:$GE15)</f>
        <v>0</v>
      </c>
      <c r="GS15" s="162">
        <f t="shared" si="30"/>
        <v>9588250</v>
      </c>
      <c r="GT15" s="97" t="str">
        <f>IF(SUM(COUNTIFS(N15:GC15,"&gt;0",$N$9:$GC$9,"GC"),COUNTIFS(N15:GC15,"&gt;0",$N$9:$GC$9,"GC1"),COUNTIFS(N15:GC15,"&gt;0",$N$9:$GC$9,"GC2"),COUNTIFS(N15:GC15,"&gt;0",$N$9:$GC$9,"WK-D"),COUNTIFS(N15:GC15,"&gt;0",$N$9:$GC$9,"WK-D1"),COUNTIFS(N15:GC15,"&gt;0",$N$9:$GC$9,"WK-D2"))&gt;3,"Đ","K")</f>
        <v>Đ</v>
      </c>
      <c r="GU15" s="97">
        <f t="shared" si="31"/>
        <v>9588250</v>
      </c>
      <c r="GV15" s="97">
        <f>SUM(COUNTIFS(N15:GC15,"&gt;2",$N$9:$GC$9,"GC"),COUNTIFS(N15:GC15,"&gt;2",$N$9:$GC$9,"GC1"),COUNTIFS(N15:GC15,"&gt;2",$N$9:$GC$9,"GC2"))</f>
        <v>23</v>
      </c>
      <c r="GW15" s="828"/>
      <c r="GX15" s="162">
        <f>SUM(COUNTIFS(N15:GC15,"&gt;2",$N$9:$GC$9,"GC"),COUNTIFS(N15:GC15,"&gt;2",$N$9:$GC$9,"GC1"),COUNTIFS(N15:GC15,"&gt;2",$N$9:$GC$9,"GC2"),COUNTIFS(N15:GC15,"&gt;2",$N$9:$GC$9,"WK-D"),COUNTIFS(N15:GC15,"&gt;2",$N$9:$GC$9,"WK-D1"),COUNTIFS(N15:GC15,"&gt;2",$N$9:$GC$9,"WK-D2"))*$GX$10</f>
        <v>289655.1724137931</v>
      </c>
      <c r="GY15" s="162">
        <f t="shared" si="33"/>
        <v>240000</v>
      </c>
      <c r="GZ15" s="162">
        <f>COUNTIF($N15:$GC15,"CP")</f>
        <v>1</v>
      </c>
      <c r="HA15" s="162">
        <f>COUNTIF($N15:$GC15,"KP")</f>
        <v>0</v>
      </c>
      <c r="HB15" s="162">
        <f>COUNTIF($N15:$GC15,"ĐP")</f>
        <v>0</v>
      </c>
      <c r="HC15" s="162">
        <f>COUNTIF($N15:$GC15,"ĐD")</f>
        <v>0</v>
      </c>
      <c r="HD15" s="162">
        <f>COUNTIF($N15:$GC15,"TPL")</f>
        <v>0</v>
      </c>
      <c r="HE15" s="162">
        <f>COUNTIF($N15:$GC15,"ĐPL")</f>
        <v>0</v>
      </c>
      <c r="HF15" s="162">
        <f t="shared" si="35"/>
        <v>0</v>
      </c>
      <c r="HG15" s="156" t="str">
        <f>VLOOKUP(B15,'data nguồn'!B:N,13,0)</f>
        <v>1013359726</v>
      </c>
      <c r="HH15" s="159" t="str">
        <f>VLOOKUP(B15,'data nguồn'!B:P,15,0)</f>
        <v>Lê Văn Quân</v>
      </c>
      <c r="HI15" s="163" t="str">
        <f>VLOOKUP(B15,'data nguồn'!B:P,14,0)</f>
        <v>VCB Hải Phòng</v>
      </c>
    </row>
    <row r="16" spans="1:217" s="95" customFormat="1" ht="15">
      <c r="A16" s="73">
        <v>6</v>
      </c>
      <c r="B16" s="599" t="s">
        <v>31</v>
      </c>
      <c r="C16" s="851" t="s">
        <v>146</v>
      </c>
      <c r="D16" s="164" t="s">
        <v>147</v>
      </c>
      <c r="E16" s="164" t="s">
        <v>489</v>
      </c>
      <c r="F16" s="164" t="s">
        <v>75</v>
      </c>
      <c r="G16" s="164"/>
      <c r="H16" s="164">
        <v>200217</v>
      </c>
      <c r="I16" s="164" t="s">
        <v>123</v>
      </c>
      <c r="J16" s="136" t="s">
        <v>124</v>
      </c>
      <c r="K16" s="165">
        <v>120</v>
      </c>
      <c r="L16" s="166" t="s">
        <v>546</v>
      </c>
      <c r="M16" s="166"/>
      <c r="N16" s="601">
        <v>8</v>
      </c>
      <c r="O16" s="601">
        <v>5</v>
      </c>
      <c r="P16" s="602"/>
      <c r="Q16" s="602"/>
      <c r="R16" s="601"/>
      <c r="S16" s="601"/>
      <c r="T16" s="615"/>
      <c r="U16" s="615"/>
      <c r="V16" s="603">
        <v>8</v>
      </c>
      <c r="W16" s="603">
        <v>5</v>
      </c>
      <c r="X16" s="602"/>
      <c r="Y16" s="602"/>
      <c r="Z16" s="603">
        <v>8</v>
      </c>
      <c r="AA16" s="603">
        <v>5</v>
      </c>
      <c r="AB16" s="602"/>
      <c r="AC16" s="602"/>
      <c r="AD16" s="604">
        <v>8</v>
      </c>
      <c r="AE16" s="604">
        <v>5</v>
      </c>
      <c r="AF16" s="605"/>
      <c r="AG16" s="605"/>
      <c r="AH16" s="605"/>
      <c r="AI16" s="605"/>
      <c r="AJ16" s="604">
        <v>8</v>
      </c>
      <c r="AK16" s="604">
        <v>3</v>
      </c>
      <c r="AL16" s="605"/>
      <c r="AM16" s="605"/>
      <c r="AN16" s="605"/>
      <c r="AO16" s="605"/>
      <c r="AP16" s="603">
        <v>8</v>
      </c>
      <c r="AQ16" s="603">
        <v>3</v>
      </c>
      <c r="AR16" s="606"/>
      <c r="AS16" s="606"/>
      <c r="AT16" s="136"/>
      <c r="AU16" s="136"/>
      <c r="AV16" s="135">
        <v>8</v>
      </c>
      <c r="AW16" s="135">
        <v>3</v>
      </c>
      <c r="AX16" s="606"/>
      <c r="AY16" s="606"/>
      <c r="AZ16" s="136"/>
      <c r="BA16" s="136"/>
      <c r="BB16" s="135">
        <v>8</v>
      </c>
      <c r="BC16" s="135">
        <v>3</v>
      </c>
      <c r="BD16" s="606"/>
      <c r="BE16" s="606"/>
      <c r="BF16" s="135">
        <v>8</v>
      </c>
      <c r="BG16" s="135">
        <v>3</v>
      </c>
      <c r="BH16" s="606"/>
      <c r="BI16" s="606"/>
      <c r="BJ16" s="136"/>
      <c r="BK16" s="136"/>
      <c r="BL16" s="129">
        <v>8</v>
      </c>
      <c r="BM16" s="129">
        <v>3</v>
      </c>
      <c r="BN16" s="606"/>
      <c r="BO16" s="606"/>
      <c r="BP16" s="136"/>
      <c r="BQ16" s="136"/>
      <c r="BR16" s="130">
        <v>8</v>
      </c>
      <c r="BS16" s="129">
        <v>3</v>
      </c>
      <c r="BT16" s="606"/>
      <c r="BU16" s="606"/>
      <c r="BV16" s="136"/>
      <c r="BW16" s="136"/>
      <c r="BX16" s="607">
        <v>8</v>
      </c>
      <c r="BY16" s="607">
        <v>0</v>
      </c>
      <c r="BZ16" s="608"/>
      <c r="CA16" s="608"/>
      <c r="CB16" s="609"/>
      <c r="CC16" s="609"/>
      <c r="CD16" s="138">
        <v>8</v>
      </c>
      <c r="CE16" s="138">
        <v>3</v>
      </c>
      <c r="CF16" s="606"/>
      <c r="CG16" s="606"/>
      <c r="CH16" s="136"/>
      <c r="CI16" s="136"/>
      <c r="CJ16" s="138">
        <v>8</v>
      </c>
      <c r="CK16" s="138">
        <v>5</v>
      </c>
      <c r="CL16" s="606"/>
      <c r="CM16" s="606"/>
      <c r="CN16" s="136"/>
      <c r="CO16" s="136"/>
      <c r="CP16" s="138">
        <v>8</v>
      </c>
      <c r="CQ16" s="138">
        <v>5</v>
      </c>
      <c r="CR16" s="606"/>
      <c r="CS16" s="606"/>
      <c r="CT16" s="138">
        <v>8</v>
      </c>
      <c r="CU16" s="138">
        <v>5</v>
      </c>
      <c r="CV16" s="606"/>
      <c r="CW16" s="606"/>
      <c r="CX16" s="136"/>
      <c r="CY16" s="136"/>
      <c r="CZ16" s="130">
        <v>8</v>
      </c>
      <c r="DA16" s="138">
        <v>5</v>
      </c>
      <c r="DB16" s="606"/>
      <c r="DC16" s="606"/>
      <c r="DD16" s="136"/>
      <c r="DE16" s="136"/>
      <c r="DF16" s="607">
        <v>8</v>
      </c>
      <c r="DG16" s="607">
        <v>5</v>
      </c>
      <c r="DH16" s="608"/>
      <c r="DI16" s="608"/>
      <c r="DJ16" s="609"/>
      <c r="DK16" s="609"/>
      <c r="DL16" s="607">
        <v>8</v>
      </c>
      <c r="DM16" s="607">
        <v>3</v>
      </c>
      <c r="DN16" s="607"/>
      <c r="DO16" s="607"/>
      <c r="DP16" s="138"/>
      <c r="DQ16" s="138"/>
      <c r="DR16" s="138">
        <v>8</v>
      </c>
      <c r="DS16" s="138">
        <v>5</v>
      </c>
      <c r="DT16" s="621"/>
      <c r="DU16" s="621"/>
      <c r="DV16" s="138"/>
      <c r="DW16" s="138"/>
      <c r="DX16" s="138">
        <v>8</v>
      </c>
      <c r="DY16" s="138">
        <v>5</v>
      </c>
      <c r="DZ16" s="621"/>
      <c r="EA16" s="621"/>
      <c r="EB16" s="138"/>
      <c r="EC16" s="138"/>
      <c r="ED16" s="138">
        <v>8</v>
      </c>
      <c r="EE16" s="138">
        <v>3</v>
      </c>
      <c r="EF16" s="621"/>
      <c r="EG16" s="621"/>
      <c r="EH16" s="138"/>
      <c r="EI16" s="138"/>
      <c r="EJ16" s="138">
        <v>8</v>
      </c>
      <c r="EK16" s="138">
        <v>3</v>
      </c>
      <c r="EL16" s="621"/>
      <c r="EM16" s="621"/>
      <c r="EN16" s="138"/>
      <c r="EO16" s="138"/>
      <c r="EP16" s="138">
        <v>8</v>
      </c>
      <c r="EQ16" s="138">
        <v>3</v>
      </c>
      <c r="ER16" s="621"/>
      <c r="ES16" s="621"/>
      <c r="ET16" s="138"/>
      <c r="EU16" s="138"/>
      <c r="EV16" s="138">
        <v>8</v>
      </c>
      <c r="EW16" s="138">
        <v>3</v>
      </c>
      <c r="EX16" s="621"/>
      <c r="EY16" s="621"/>
      <c r="EZ16" s="138"/>
      <c r="FA16" s="138"/>
      <c r="FB16" s="123">
        <v>8</v>
      </c>
      <c r="FC16" s="123">
        <v>0</v>
      </c>
      <c r="FD16" s="123"/>
      <c r="FE16" s="123"/>
      <c r="FF16" s="138"/>
      <c r="FG16" s="138"/>
      <c r="FH16" s="138">
        <v>8</v>
      </c>
      <c r="FI16" s="138">
        <v>3</v>
      </c>
      <c r="FJ16" s="621"/>
      <c r="FK16" s="621"/>
      <c r="FL16" s="138"/>
      <c r="FM16" s="138"/>
      <c r="FN16" s="138">
        <v>8</v>
      </c>
      <c r="FO16" s="138">
        <v>3</v>
      </c>
      <c r="FP16" s="621"/>
      <c r="FQ16" s="621"/>
      <c r="FR16" s="138"/>
      <c r="FS16" s="138"/>
      <c r="FT16" s="138">
        <v>8</v>
      </c>
      <c r="FU16" s="138">
        <v>3</v>
      </c>
      <c r="FV16" s="621"/>
      <c r="FW16" s="621"/>
      <c r="FX16" s="130"/>
      <c r="FY16" s="136"/>
      <c r="FZ16" s="130"/>
      <c r="GA16" s="130"/>
      <c r="GB16" s="613"/>
      <c r="GC16" s="613"/>
      <c r="GD16" s="122"/>
      <c r="GE16" s="124"/>
      <c r="GF16" s="125">
        <f>SUM(COUNTIFS(N16:GE16,"&gt;0",$N$9:$GE$9,"GC"),COUNTIFS(N16:GE16,"&gt;0",$N$9:$GE$9,"GC1"),COUNTIFS(N16:GE16,"&gt;0",$N$9:$GE$9,"GC2"))</f>
        <v>23</v>
      </c>
      <c r="GG16" s="126">
        <f>SUMIF($N$9:$GE$9,"GC",$N16:$GE16)</f>
        <v>184</v>
      </c>
      <c r="GH16" s="126">
        <f>SUMIF($N$9:$GE$9,"GC1",$N16:$GE16)</f>
        <v>0</v>
      </c>
      <c r="GI16" s="126">
        <f>SUMIF($N$9:$GE$9,"GC2",$N16:$GE16)</f>
        <v>0</v>
      </c>
      <c r="GJ16" s="126">
        <f>SUMIF($N$9:$GE$9,"TC",$N16:$GE16)</f>
        <v>87</v>
      </c>
      <c r="GK16" s="126">
        <f>SUMIF($N$9:$GE$9,"TC1",$N16:$GE16)</f>
        <v>0</v>
      </c>
      <c r="GL16" s="126">
        <f>SUMIF($N$9:$GE$9,"TC2",$N16:$GE16)</f>
        <v>0</v>
      </c>
      <c r="GM16" s="126">
        <f>SUMIF($N$9:$GE$9,"WK-D",$N16:$GE16)+SUMIF($N$9:$GE$9,"WK-TC",$N16:$GE16)</f>
        <v>64</v>
      </c>
      <c r="GN16" s="126">
        <f>SUMIF($N$9:$GE$9,"WK-D1",$N16:$GE16)+SUMIF($N$9:$GE$9,"WK-TC1",$N16:$GE16)</f>
        <v>0</v>
      </c>
      <c r="GO16" s="126">
        <f>SUMIF($N$9:$GE$9,"WK-D2",$N16:$GE16)+SUMIF($N$9:$GE$9,"WK-TC2",$N16:$GE16)</f>
        <v>0</v>
      </c>
      <c r="GP16" s="126">
        <f>SUMIF($N$9:$GE$9,"HOD",$N16:$GE16)</f>
        <v>0</v>
      </c>
      <c r="GQ16" s="126">
        <f>SUMIF($N$9:$GE$9,"HOD1",$N16:$GE16)</f>
        <v>0</v>
      </c>
      <c r="GR16" s="126">
        <f>SUMIF($N$9:$GE$9,"HOD2",$N16:$GE16)</f>
        <v>0</v>
      </c>
      <c r="GS16" s="162">
        <f t="shared" si="30"/>
        <v>10036000</v>
      </c>
      <c r="GT16" s="97" t="str">
        <f>IF(SUM(COUNTIFS(N16:GC16,"&gt;0",$N$9:$GC$9,"GC"),COUNTIFS(N16:GC16,"&gt;0",$N$9:$GC$9,"GC1"),COUNTIFS(N16:GC16,"&gt;0",$N$9:$GC$9,"GC2"),COUNTIFS(N16:GC16,"&gt;0",$N$9:$GC$9,"WK-D"),COUNTIFS(N16:GC16,"&gt;0",$N$9:$GC$9,"WK-D1"),COUNTIFS(N16:GC16,"&gt;0",$N$9:$GC$9,"WK-D2"))&gt;3,"Đ","K")</f>
        <v>Đ</v>
      </c>
      <c r="GU16" s="97">
        <f t="shared" si="31"/>
        <v>10036000</v>
      </c>
      <c r="GV16" s="97">
        <f>SUM(COUNTIFS(N16:GC16,"&gt;2",$N$9:$GC$9,"GC"),COUNTIFS(N16:GC16,"&gt;2",$N$9:$GC$9,"GC1"),COUNTIFS(N16:GC16,"&gt;2",$N$9:$GC$9,"GC2"))</f>
        <v>23</v>
      </c>
      <c r="GW16" s="162">
        <f t="shared" si="32"/>
        <v>200000</v>
      </c>
      <c r="GX16" s="162">
        <f>SUM(COUNTIFS(N16:GC16,"&gt;2",$N$9:$GC$9,"GC"),COUNTIFS(N16:GC16,"&gt;2",$N$9:$GC$9,"GC1"),COUNTIFS(N16:GC16,"&gt;2",$N$9:$GC$9,"GC2"),COUNTIFS(N16:GC16,"&gt;2",$N$9:$GC$9,"WK-D"),COUNTIFS(N16:GC16,"&gt;2",$N$9:$GC$9,"WK-D1"),COUNTIFS(N16:GC16,"&gt;2",$N$9:$GC$9,"WK-D2"))*$GX$10</f>
        <v>300000</v>
      </c>
      <c r="GY16" s="162">
        <f t="shared" si="33"/>
        <v>240000</v>
      </c>
      <c r="GZ16" s="162">
        <f>COUNTIF($N16:$GC16,"CP")</f>
        <v>0</v>
      </c>
      <c r="HA16" s="162">
        <f>COUNTIF($N16:$GC16,"KP")</f>
        <v>0</v>
      </c>
      <c r="HB16" s="162">
        <f>COUNTIF($N16:$GC16,"ĐP")</f>
        <v>0</v>
      </c>
      <c r="HC16" s="162">
        <f>COUNTIF($N16:$GC16,"ĐD")</f>
        <v>0</v>
      </c>
      <c r="HD16" s="162">
        <f>COUNTIF($N16:$GC16,"TPL")</f>
        <v>0</v>
      </c>
      <c r="HE16" s="162">
        <f>COUNTIF($N16:$GC16,"ĐPL")</f>
        <v>0</v>
      </c>
      <c r="HF16" s="162">
        <f t="shared" si="35"/>
        <v>0</v>
      </c>
      <c r="HG16" s="156" t="str">
        <f>VLOOKUP(B16,'data nguồn'!B:N,13,0)</f>
        <v>1013014589</v>
      </c>
      <c r="HH16" s="159" t="str">
        <f>VLOOKUP(B16,'data nguồn'!B:P,15,0)</f>
        <v>Nguyễn Đức Toàn</v>
      </c>
      <c r="HI16" s="163" t="str">
        <f>VLOOKUP(B16,'data nguồn'!B:P,14,0)</f>
        <v>VCB Hải Phòng</v>
      </c>
    </row>
    <row r="17" spans="1:218" s="95" customFormat="1" ht="15">
      <c r="A17" s="73">
        <v>7</v>
      </c>
      <c r="B17" s="599" t="s">
        <v>42</v>
      </c>
      <c r="C17" s="851" t="s">
        <v>445</v>
      </c>
      <c r="D17" s="164" t="s">
        <v>495</v>
      </c>
      <c r="E17" s="164" t="s">
        <v>142</v>
      </c>
      <c r="F17" s="164" t="s">
        <v>87</v>
      </c>
      <c r="G17" s="164"/>
      <c r="H17" s="164">
        <v>200525</v>
      </c>
      <c r="I17" s="164" t="s">
        <v>126</v>
      </c>
      <c r="J17" s="136" t="s">
        <v>124</v>
      </c>
      <c r="K17" s="165"/>
      <c r="L17" s="166"/>
      <c r="M17" s="166"/>
      <c r="N17" s="601"/>
      <c r="O17" s="601"/>
      <c r="P17" s="602">
        <v>8</v>
      </c>
      <c r="Q17" s="602">
        <v>3</v>
      </c>
      <c r="R17" s="601"/>
      <c r="S17" s="601"/>
      <c r="T17" s="602"/>
      <c r="U17" s="602"/>
      <c r="V17" s="603"/>
      <c r="W17" s="603"/>
      <c r="X17" s="602">
        <v>8</v>
      </c>
      <c r="Y17" s="602">
        <v>3</v>
      </c>
      <c r="Z17" s="603"/>
      <c r="AA17" s="603"/>
      <c r="AB17" s="602">
        <v>8</v>
      </c>
      <c r="AC17" s="602">
        <v>3</v>
      </c>
      <c r="AD17" s="604"/>
      <c r="AE17" s="604"/>
      <c r="AF17" s="605">
        <v>8</v>
      </c>
      <c r="AG17" s="605">
        <v>3</v>
      </c>
      <c r="AH17" s="605"/>
      <c r="AI17" s="605"/>
      <c r="AJ17" s="604"/>
      <c r="AK17" s="604"/>
      <c r="AL17" s="605">
        <v>8</v>
      </c>
      <c r="AM17" s="605">
        <v>3</v>
      </c>
      <c r="AN17" s="605"/>
      <c r="AO17" s="605"/>
      <c r="AP17" s="603"/>
      <c r="AQ17" s="603"/>
      <c r="AR17" s="622" t="s">
        <v>533</v>
      </c>
      <c r="AS17" s="622"/>
      <c r="AT17" s="136"/>
      <c r="AU17" s="136"/>
      <c r="AV17" s="135"/>
      <c r="AW17" s="135"/>
      <c r="AX17" s="615">
        <v>8</v>
      </c>
      <c r="AY17" s="615">
        <v>3</v>
      </c>
      <c r="AZ17" s="136"/>
      <c r="BA17" s="136"/>
      <c r="BB17" s="135"/>
      <c r="BC17" s="135"/>
      <c r="BD17" s="615">
        <v>8</v>
      </c>
      <c r="BE17" s="615">
        <v>3</v>
      </c>
      <c r="BF17" s="135"/>
      <c r="BG17" s="135"/>
      <c r="BH17" s="615">
        <v>8</v>
      </c>
      <c r="BI17" s="615">
        <v>3</v>
      </c>
      <c r="BJ17" s="136"/>
      <c r="BK17" s="136"/>
      <c r="BL17" s="129"/>
      <c r="BM17" s="129"/>
      <c r="BN17" s="615">
        <v>8</v>
      </c>
      <c r="BO17" s="615">
        <v>3</v>
      </c>
      <c r="BP17" s="135"/>
      <c r="BQ17" s="135"/>
      <c r="BR17" s="135"/>
      <c r="BS17" s="135"/>
      <c r="BT17" s="615">
        <v>8</v>
      </c>
      <c r="BU17" s="615">
        <v>3</v>
      </c>
      <c r="BV17" s="135"/>
      <c r="BW17" s="135"/>
      <c r="BX17" s="654"/>
      <c r="BY17" s="654"/>
      <c r="BZ17" s="654">
        <v>8</v>
      </c>
      <c r="CA17" s="654">
        <v>3</v>
      </c>
      <c r="CB17" s="135"/>
      <c r="CC17" s="135"/>
      <c r="CD17" s="135"/>
      <c r="CE17" s="135"/>
      <c r="CF17" s="615">
        <v>8</v>
      </c>
      <c r="CG17" s="615">
        <v>3</v>
      </c>
      <c r="CH17" s="135"/>
      <c r="CI17" s="135"/>
      <c r="CJ17" s="135"/>
      <c r="CK17" s="135"/>
      <c r="CL17" s="615">
        <v>8</v>
      </c>
      <c r="CM17" s="615">
        <v>3</v>
      </c>
      <c r="CN17" s="135"/>
      <c r="CO17" s="135"/>
      <c r="CP17" s="135"/>
      <c r="CQ17" s="135"/>
      <c r="CR17" s="615">
        <v>8</v>
      </c>
      <c r="CS17" s="615">
        <v>3</v>
      </c>
      <c r="CT17" s="135"/>
      <c r="CU17" s="135"/>
      <c r="CV17" s="615">
        <v>8</v>
      </c>
      <c r="CW17" s="615">
        <v>3</v>
      </c>
      <c r="CX17" s="135"/>
      <c r="CY17" s="135"/>
      <c r="CZ17" s="135"/>
      <c r="DA17" s="135"/>
      <c r="DB17" s="615">
        <v>8</v>
      </c>
      <c r="DC17" s="615">
        <v>3</v>
      </c>
      <c r="DD17" s="135"/>
      <c r="DE17" s="135"/>
      <c r="DF17" s="654"/>
      <c r="DG17" s="654"/>
      <c r="DH17" s="654">
        <v>8</v>
      </c>
      <c r="DI17" s="654">
        <v>3</v>
      </c>
      <c r="DJ17" s="654"/>
      <c r="DK17" s="654"/>
      <c r="DL17" s="654"/>
      <c r="DM17" s="654"/>
      <c r="DN17" s="654">
        <v>8</v>
      </c>
      <c r="DO17" s="607">
        <v>3</v>
      </c>
      <c r="DP17" s="138"/>
      <c r="DQ17" s="138"/>
      <c r="DR17" s="138"/>
      <c r="DS17" s="138"/>
      <c r="DT17" s="621">
        <v>8</v>
      </c>
      <c r="DU17" s="621">
        <v>3</v>
      </c>
      <c r="DV17" s="138"/>
      <c r="DW17" s="138"/>
      <c r="DX17" s="138"/>
      <c r="DY17" s="138"/>
      <c r="DZ17" s="621">
        <v>8</v>
      </c>
      <c r="EA17" s="621">
        <v>3</v>
      </c>
      <c r="EB17" s="138"/>
      <c r="EC17" s="138"/>
      <c r="ED17" s="138"/>
      <c r="EE17" s="138"/>
      <c r="EF17" s="621">
        <v>8</v>
      </c>
      <c r="EG17" s="621">
        <v>3</v>
      </c>
      <c r="EH17" s="138"/>
      <c r="EI17" s="138"/>
      <c r="EJ17" s="138"/>
      <c r="EK17" s="138"/>
      <c r="EL17" s="621">
        <v>8</v>
      </c>
      <c r="EM17" s="621">
        <v>3</v>
      </c>
      <c r="EN17" s="138"/>
      <c r="EO17" s="138"/>
      <c r="EP17" s="138"/>
      <c r="EQ17" s="138"/>
      <c r="ER17" s="621">
        <v>8</v>
      </c>
      <c r="ES17" s="621">
        <v>3</v>
      </c>
      <c r="ET17" s="138"/>
      <c r="EU17" s="138"/>
      <c r="EV17" s="138"/>
      <c r="EW17" s="138"/>
      <c r="EX17" s="621">
        <v>8</v>
      </c>
      <c r="EY17" s="621">
        <v>3</v>
      </c>
      <c r="EZ17" s="138"/>
      <c r="FA17" s="138"/>
      <c r="FB17" s="123"/>
      <c r="FC17" s="123"/>
      <c r="FD17" s="123">
        <v>8</v>
      </c>
      <c r="FE17" s="123">
        <v>3</v>
      </c>
      <c r="FF17" s="138"/>
      <c r="FG17" s="138"/>
      <c r="FH17" s="138"/>
      <c r="FI17" s="138"/>
      <c r="FJ17" s="621">
        <v>8</v>
      </c>
      <c r="FK17" s="621">
        <v>3</v>
      </c>
      <c r="FL17" s="138"/>
      <c r="FM17" s="138"/>
      <c r="FN17" s="138"/>
      <c r="FO17" s="138"/>
      <c r="FP17" s="621">
        <v>8</v>
      </c>
      <c r="FQ17" s="621">
        <v>3</v>
      </c>
      <c r="FR17" s="138"/>
      <c r="FS17" s="138"/>
      <c r="FT17" s="138"/>
      <c r="FU17" s="138"/>
      <c r="FV17" s="621">
        <v>8</v>
      </c>
      <c r="FW17" s="621">
        <v>3</v>
      </c>
      <c r="FX17" s="130"/>
      <c r="FY17" s="136"/>
      <c r="FZ17" s="130"/>
      <c r="GA17" s="130"/>
      <c r="GB17" s="613"/>
      <c r="GC17" s="613"/>
      <c r="GD17" s="122"/>
      <c r="GE17" s="124"/>
      <c r="GF17" s="125">
        <f>SUM(COUNTIFS(N17:GE17,"&gt;0",$N$9:$GE$9,"GC"),COUNTIFS(N17:GE17,"&gt;0",$N$9:$GE$9,"GC1"),COUNTIFS(N17:GE17,"&gt;0",$N$9:$GE$9,"GC2"))</f>
        <v>22</v>
      </c>
      <c r="GG17" s="126">
        <f>SUMIF($N$9:$GE$9,"GC",$N17:$GE17)</f>
        <v>0</v>
      </c>
      <c r="GH17" s="126">
        <f>SUMIF($N$9:$GE$9,"GC1",$N17:$GE17)</f>
        <v>176</v>
      </c>
      <c r="GI17" s="126">
        <f>SUMIF($N$9:$GE$9,"GC2",$N17:$GE17)</f>
        <v>0</v>
      </c>
      <c r="GJ17" s="126">
        <f>SUMIF($N$9:$GE$9,"TC",$N17:$GE17)</f>
        <v>0</v>
      </c>
      <c r="GK17" s="126">
        <f>SUMIF($N$9:$GE$9,"TC1",$N17:$GE17)</f>
        <v>66</v>
      </c>
      <c r="GL17" s="126">
        <f>SUMIF($N$9:$GE$9,"TC2",$N17:$GE17)</f>
        <v>0</v>
      </c>
      <c r="GM17" s="126">
        <f>SUMIF($N$9:$GE$9,"WK-D",$N17:$GE17)+SUMIF($N$9:$GE$9,"WK-TC",$N17:$GE17)</f>
        <v>0</v>
      </c>
      <c r="GN17" s="126">
        <f>SUMIF($N$9:$GE$9,"WK-D1",$N17:$GE17)+SUMIF($N$9:$GE$9,"WK-TC1",$N17:$GE17)</f>
        <v>66</v>
      </c>
      <c r="GO17" s="126">
        <f>SUMIF($N$9:$GE$9,"WK-D2",$N17:$GE17)+SUMIF($N$9:$GE$9,"WK-TC2",$N17:$GE17)</f>
        <v>0</v>
      </c>
      <c r="GP17" s="126">
        <f>SUMIF($N$9:$GE$9,"HOD",$N17:$GE17)</f>
        <v>0</v>
      </c>
      <c r="GQ17" s="126">
        <f>SUMIF($N$9:$GE$9,"HOD1",$N17:$GE17)</f>
        <v>0</v>
      </c>
      <c r="GR17" s="126">
        <f>SUMIF($N$9:$GE$9,"HOD2",$N17:$GE17)</f>
        <v>0</v>
      </c>
      <c r="GS17" s="162">
        <f t="shared" si="30"/>
        <v>10257500</v>
      </c>
      <c r="GT17" s="97" t="str">
        <f>IF(SUM(COUNTIFS(N17:GC17,"&gt;0",$N$9:$GC$9,"GC"),COUNTIFS(N17:GC17,"&gt;0",$N$9:$GC$9,"GC1"),COUNTIFS(N17:GC17,"&gt;0",$N$9:$GC$9,"GC2"),COUNTIFS(N17:GC17,"&gt;0",$N$9:$GC$9,"WK-D"),COUNTIFS(N17:GC17,"&gt;0",$N$9:$GC$9,"WK-D1"),COUNTIFS(N17:GC17,"&gt;0",$N$9:$GC$9,"WK-D2"))&gt;3,"Đ","K")</f>
        <v>Đ</v>
      </c>
      <c r="GU17" s="97">
        <f t="shared" si="31"/>
        <v>10257500</v>
      </c>
      <c r="GV17" s="97">
        <f>SUM(COUNTIFS(N17:GC17,"&gt;2",$N$9:$GC$9,"GC"),COUNTIFS(N17:GC17,"&gt;2",$N$9:$GC$9,"GC1"),COUNTIFS(N17:GC17,"&gt;2",$N$9:$GC$9,"GC2"))</f>
        <v>22</v>
      </c>
      <c r="GW17" s="162">
        <f t="shared" si="32"/>
        <v>0</v>
      </c>
      <c r="GX17" s="162">
        <f>SUM(COUNTIFS(N17:GC17,"&gt;2",$N$9:$GC$9,"GC"),COUNTIFS(N17:GC17,"&gt;2",$N$9:$GC$9,"GC1"),COUNTIFS(N17:GC17,"&gt;2",$N$9:$GC$9,"GC2"),COUNTIFS(N17:GC17,"&gt;2",$N$9:$GC$9,"WK-D"),COUNTIFS(N17:GC17,"&gt;2",$N$9:$GC$9,"WK-D1"),COUNTIFS(N17:GC17,"&gt;2",$N$9:$GC$9,"WK-D2"))*$GX$10</f>
        <v>289655.1724137931</v>
      </c>
      <c r="GY17" s="162">
        <f t="shared" si="33"/>
        <v>229565.21739130435</v>
      </c>
      <c r="GZ17" s="162">
        <f>COUNTIF($N17:$GC17,"CP")</f>
        <v>1</v>
      </c>
      <c r="HA17" s="162">
        <f>COUNTIF($N17:$GC17,"KP")</f>
        <v>0</v>
      </c>
      <c r="HB17" s="162">
        <f>COUNTIF($N17:$GC17,"ĐP")</f>
        <v>0</v>
      </c>
      <c r="HC17" s="162">
        <f>COUNTIF($N17:$GC17,"ĐD")</f>
        <v>0</v>
      </c>
      <c r="HD17" s="162">
        <f>COUNTIF($N17:$GC17,"TPL")</f>
        <v>0</v>
      </c>
      <c r="HE17" s="162">
        <f>COUNTIF($N17:$GC17,"ĐPL")</f>
        <v>0</v>
      </c>
      <c r="HF17" s="162">
        <f t="shared" si="35"/>
        <v>0</v>
      </c>
      <c r="HG17" s="156" t="str">
        <f>VLOOKUP(B17,'data nguồn'!B:N,13,0)</f>
        <v>1013359364</v>
      </c>
      <c r="HH17" s="159" t="str">
        <f>VLOOKUP(B17,'data nguồn'!B:P,15,0)</f>
        <v>Lò Văn Thuận</v>
      </c>
      <c r="HI17" s="163" t="str">
        <f>VLOOKUP(B17,'data nguồn'!B:P,14,0)</f>
        <v>VCB Hải Phòng</v>
      </c>
    </row>
    <row r="18" spans="1:218" s="95" customFormat="1" ht="15">
      <c r="A18" s="73">
        <v>8</v>
      </c>
      <c r="B18" s="623" t="s">
        <v>311</v>
      </c>
      <c r="C18" s="853" t="s">
        <v>446</v>
      </c>
      <c r="D18" s="452" t="s">
        <v>496</v>
      </c>
      <c r="E18" s="452" t="s">
        <v>142</v>
      </c>
      <c r="F18" s="452" t="s">
        <v>88</v>
      </c>
      <c r="G18" s="452"/>
      <c r="H18" s="164">
        <v>200525</v>
      </c>
      <c r="I18" s="164" t="s">
        <v>126</v>
      </c>
      <c r="J18" s="136" t="s">
        <v>124</v>
      </c>
      <c r="K18" s="165">
        <v>90</v>
      </c>
      <c r="L18" s="166" t="s">
        <v>547</v>
      </c>
      <c r="M18" s="166"/>
      <c r="N18" s="601">
        <v>8</v>
      </c>
      <c r="O18" s="601">
        <v>3.5</v>
      </c>
      <c r="P18" s="602"/>
      <c r="Q18" s="602"/>
      <c r="R18" s="601"/>
      <c r="S18" s="601"/>
      <c r="T18" s="602"/>
      <c r="U18" s="602"/>
      <c r="V18" s="603"/>
      <c r="W18" s="603"/>
      <c r="X18" s="602">
        <v>8</v>
      </c>
      <c r="Y18" s="602">
        <v>3</v>
      </c>
      <c r="Z18" s="603"/>
      <c r="AA18" s="603"/>
      <c r="AB18" s="602">
        <v>8</v>
      </c>
      <c r="AC18" s="602">
        <v>3</v>
      </c>
      <c r="AD18" s="604"/>
      <c r="AE18" s="604"/>
      <c r="AF18" s="605">
        <v>8</v>
      </c>
      <c r="AG18" s="605">
        <v>3</v>
      </c>
      <c r="AH18" s="605"/>
      <c r="AI18" s="605"/>
      <c r="AJ18" s="604"/>
      <c r="AK18" s="604"/>
      <c r="AL18" s="605">
        <v>8</v>
      </c>
      <c r="AM18" s="605">
        <v>3</v>
      </c>
      <c r="AN18" s="605"/>
      <c r="AO18" s="605"/>
      <c r="AP18" s="603"/>
      <c r="AQ18" s="603"/>
      <c r="AR18" s="630">
        <v>8</v>
      </c>
      <c r="AS18" s="630">
        <v>3</v>
      </c>
      <c r="AT18" s="136"/>
      <c r="AU18" s="136"/>
      <c r="AV18" s="135"/>
      <c r="AW18" s="135"/>
      <c r="AX18" s="615">
        <v>8</v>
      </c>
      <c r="AY18" s="615">
        <v>3</v>
      </c>
      <c r="AZ18" s="136"/>
      <c r="BA18" s="136"/>
      <c r="BB18" s="135"/>
      <c r="BC18" s="135"/>
      <c r="BD18" s="615">
        <v>8</v>
      </c>
      <c r="BE18" s="615">
        <v>3</v>
      </c>
      <c r="BF18" s="135"/>
      <c r="BG18" s="135"/>
      <c r="BH18" s="615">
        <v>8</v>
      </c>
      <c r="BI18" s="615">
        <v>3</v>
      </c>
      <c r="BJ18" s="136"/>
      <c r="BK18" s="136"/>
      <c r="BL18" s="129"/>
      <c r="BM18" s="129"/>
      <c r="BN18" s="615">
        <v>8</v>
      </c>
      <c r="BO18" s="615">
        <v>3</v>
      </c>
      <c r="BP18" s="135"/>
      <c r="BQ18" s="135"/>
      <c r="BR18" s="135"/>
      <c r="BS18" s="135"/>
      <c r="BT18" s="615">
        <v>8</v>
      </c>
      <c r="BU18" s="615">
        <v>3</v>
      </c>
      <c r="BV18" s="135"/>
      <c r="BW18" s="135"/>
      <c r="BX18" s="654"/>
      <c r="BY18" s="654"/>
      <c r="BZ18" s="654">
        <v>8</v>
      </c>
      <c r="CA18" s="654">
        <v>3</v>
      </c>
      <c r="CB18" s="135"/>
      <c r="CC18" s="135"/>
      <c r="CD18" s="135"/>
      <c r="CE18" s="135"/>
      <c r="CF18" s="615">
        <v>8</v>
      </c>
      <c r="CG18" s="615">
        <v>3</v>
      </c>
      <c r="CH18" s="135"/>
      <c r="CI18" s="135"/>
      <c r="CJ18" s="135"/>
      <c r="CK18" s="135"/>
      <c r="CL18" s="615">
        <v>8</v>
      </c>
      <c r="CM18" s="615">
        <v>3</v>
      </c>
      <c r="CN18" s="135"/>
      <c r="CO18" s="135"/>
      <c r="CP18" s="135"/>
      <c r="CQ18" s="135"/>
      <c r="CR18" s="615">
        <v>8</v>
      </c>
      <c r="CS18" s="615">
        <v>3</v>
      </c>
      <c r="CT18" s="135"/>
      <c r="CU18" s="135"/>
      <c r="CV18" s="615">
        <v>8</v>
      </c>
      <c r="CW18" s="615">
        <v>3</v>
      </c>
      <c r="CX18" s="135"/>
      <c r="CY18" s="135"/>
      <c r="CZ18" s="135"/>
      <c r="DA18" s="135"/>
      <c r="DB18" s="615">
        <v>8</v>
      </c>
      <c r="DC18" s="615">
        <v>3</v>
      </c>
      <c r="DD18" s="135"/>
      <c r="DE18" s="135"/>
      <c r="DF18" s="654"/>
      <c r="DG18" s="654"/>
      <c r="DH18" s="654">
        <v>8</v>
      </c>
      <c r="DI18" s="654">
        <v>3</v>
      </c>
      <c r="DJ18" s="654"/>
      <c r="DK18" s="654"/>
      <c r="DL18" s="654"/>
      <c r="DM18" s="654"/>
      <c r="DN18" s="654">
        <v>8</v>
      </c>
      <c r="DO18" s="607">
        <v>3</v>
      </c>
      <c r="DP18" s="138"/>
      <c r="DQ18" s="138"/>
      <c r="DR18" s="138"/>
      <c r="DS18" s="138"/>
      <c r="DT18" s="621">
        <v>8</v>
      </c>
      <c r="DU18" s="621">
        <v>3</v>
      </c>
      <c r="DV18" s="138"/>
      <c r="DW18" s="138"/>
      <c r="DX18" s="138"/>
      <c r="DY18" s="138"/>
      <c r="DZ18" s="621">
        <v>8</v>
      </c>
      <c r="EA18" s="621">
        <v>3</v>
      </c>
      <c r="EB18" s="138"/>
      <c r="EC18" s="138"/>
      <c r="ED18" s="138"/>
      <c r="EE18" s="138"/>
      <c r="EF18" s="621">
        <v>8</v>
      </c>
      <c r="EG18" s="621">
        <v>3</v>
      </c>
      <c r="EH18" s="138"/>
      <c r="EI18" s="138"/>
      <c r="EJ18" s="138"/>
      <c r="EK18" s="138"/>
      <c r="EL18" s="621">
        <v>8</v>
      </c>
      <c r="EM18" s="621">
        <v>3</v>
      </c>
      <c r="EN18" s="138"/>
      <c r="EO18" s="138"/>
      <c r="EP18" s="138"/>
      <c r="EQ18" s="138"/>
      <c r="ER18" s="621">
        <v>8</v>
      </c>
      <c r="ES18" s="621">
        <v>3</v>
      </c>
      <c r="ET18" s="138"/>
      <c r="EU18" s="138"/>
      <c r="EV18" s="138"/>
      <c r="EW18" s="138"/>
      <c r="EX18" s="621">
        <v>8</v>
      </c>
      <c r="EY18" s="621">
        <v>3</v>
      </c>
      <c r="EZ18" s="138"/>
      <c r="FA18" s="138"/>
      <c r="FB18" s="123"/>
      <c r="FC18" s="123"/>
      <c r="FD18" s="123">
        <v>8</v>
      </c>
      <c r="FE18" s="123">
        <v>3</v>
      </c>
      <c r="FF18" s="138"/>
      <c r="FG18" s="138"/>
      <c r="FH18" s="138"/>
      <c r="FI18" s="138"/>
      <c r="FJ18" s="621">
        <v>8</v>
      </c>
      <c r="FK18" s="621">
        <v>3</v>
      </c>
      <c r="FL18" s="138"/>
      <c r="FM18" s="138"/>
      <c r="FN18" s="138"/>
      <c r="FO18" s="138"/>
      <c r="FP18" s="621">
        <v>8</v>
      </c>
      <c r="FQ18" s="621">
        <v>3</v>
      </c>
      <c r="FR18" s="138"/>
      <c r="FS18" s="138"/>
      <c r="FT18" s="138"/>
      <c r="FU18" s="138"/>
      <c r="FV18" s="621">
        <v>8</v>
      </c>
      <c r="FW18" s="621">
        <v>3</v>
      </c>
      <c r="FX18" s="130"/>
      <c r="FY18" s="136"/>
      <c r="FZ18" s="130"/>
      <c r="GA18" s="130"/>
      <c r="GB18" s="613"/>
      <c r="GC18" s="613"/>
      <c r="GD18" s="122"/>
      <c r="GE18" s="124"/>
      <c r="GF18" s="125">
        <f>SUM(COUNTIFS(N18:GE18,"&gt;0",$N$9:$GE$9,"GC"),COUNTIFS(N18:GE18,"&gt;0",$N$9:$GE$9,"GC1"),COUNTIFS(N18:GE18,"&gt;0",$N$9:$GE$9,"GC2"))</f>
        <v>23</v>
      </c>
      <c r="GG18" s="126">
        <f>SUMIF($N$9:$GE$9,"GC",$N18:$GE18)</f>
        <v>8</v>
      </c>
      <c r="GH18" s="126">
        <f>SUMIF($N$9:$GE$9,"GC1",$N18:$GE18)</f>
        <v>176</v>
      </c>
      <c r="GI18" s="126">
        <f>SUMIF($N$9:$GE$9,"GC2",$N18:$GE18)</f>
        <v>0</v>
      </c>
      <c r="GJ18" s="126">
        <f>SUMIF($N$9:$GE$9,"TC",$N18:$GE18)</f>
        <v>3.5</v>
      </c>
      <c r="GK18" s="126">
        <f>SUMIF($N$9:$GE$9,"TC1",$N18:$GE18)</f>
        <v>66</v>
      </c>
      <c r="GL18" s="126">
        <f>SUMIF($N$9:$GE$9,"TC2",$N18:$GE18)</f>
        <v>0</v>
      </c>
      <c r="GM18" s="126">
        <f>SUMIF($N$9:$GE$9,"WK-D",$N18:$GE18)+SUMIF($N$9:$GE$9,"WK-TC",$N18:$GE18)</f>
        <v>0</v>
      </c>
      <c r="GN18" s="126">
        <f>SUMIF($N$9:$GE$9,"WK-D1",$N18:$GE18)+SUMIF($N$9:$GE$9,"WK-TC1",$N18:$GE18)</f>
        <v>66</v>
      </c>
      <c r="GO18" s="126">
        <f>SUMIF($N$9:$GE$9,"WK-D2",$N18:$GE18)+SUMIF($N$9:$GE$9,"WK-TC2",$N18:$GE18)</f>
        <v>0</v>
      </c>
      <c r="GP18" s="126">
        <f>SUMIF($N$9:$GE$9,"HOD",$N18:$GE18)</f>
        <v>0</v>
      </c>
      <c r="GQ18" s="126">
        <f>SUMIF($N$9:$GE$9,"HOD1",$N18:$GE18)</f>
        <v>0</v>
      </c>
      <c r="GR18" s="126">
        <f>SUMIF($N$9:$GE$9,"HOD2",$N18:$GE18)</f>
        <v>0</v>
      </c>
      <c r="GS18" s="162">
        <f t="shared" si="30"/>
        <v>10557500</v>
      </c>
      <c r="GT18" s="97" t="str">
        <f>IF(SUM(COUNTIFS(N18:GC18,"&gt;0",$N$9:$GC$9,"GC"),COUNTIFS(N18:GC18,"&gt;0",$N$9:$GC$9,"GC1"),COUNTIFS(N18:GC18,"&gt;0",$N$9:$GC$9,"GC2"),COUNTIFS(N18:GC18,"&gt;0",$N$9:$GC$9,"WK-D"),COUNTIFS(N18:GC18,"&gt;0",$N$9:$GC$9,"WK-D1"),COUNTIFS(N18:GC18,"&gt;0",$N$9:$GC$9,"WK-D2"))&gt;3,"Đ","K")</f>
        <v>Đ</v>
      </c>
      <c r="GU18" s="97">
        <f t="shared" si="31"/>
        <v>10557500</v>
      </c>
      <c r="GV18" s="97">
        <f>SUM(COUNTIFS(N18:GC18,"&gt;2",$N$9:$GC$9,"GC"),COUNTIFS(N18:GC18,"&gt;2",$N$9:$GC$9,"GC1"),COUNTIFS(N18:GC18,"&gt;2",$N$9:$GC$9,"GC2"))</f>
        <v>23</v>
      </c>
      <c r="GW18" s="162">
        <f t="shared" si="32"/>
        <v>200000</v>
      </c>
      <c r="GX18" s="162">
        <f>SUM(COUNTIFS(N18:GC18,"&gt;2",$N$9:$GC$9,"GC"),COUNTIFS(N18:GC18,"&gt;2",$N$9:$GC$9,"GC1"),COUNTIFS(N18:GC18,"&gt;2",$N$9:$GC$9,"GC2"),COUNTIFS(N18:GC18,"&gt;2",$N$9:$GC$9,"WK-D"),COUNTIFS(N18:GC18,"&gt;2",$N$9:$GC$9,"WK-D1"),COUNTIFS(N18:GC18,"&gt;2",$N$9:$GC$9,"WK-D2"))*$GX$10</f>
        <v>300000</v>
      </c>
      <c r="GY18" s="162">
        <f t="shared" si="33"/>
        <v>240000</v>
      </c>
      <c r="GZ18" s="162">
        <f>COUNTIF($N18:$GC18,"CP")</f>
        <v>0</v>
      </c>
      <c r="HA18" s="162">
        <f>COUNTIF($N18:$GC18,"KP")</f>
        <v>0</v>
      </c>
      <c r="HB18" s="162">
        <f>COUNTIF($N18:$GC18,"ĐP")</f>
        <v>0</v>
      </c>
      <c r="HC18" s="162">
        <f>COUNTIF($N18:$GC18,"ĐD")</f>
        <v>0</v>
      </c>
      <c r="HD18" s="162">
        <f>COUNTIF($N18:$GC18,"TPL")</f>
        <v>0</v>
      </c>
      <c r="HE18" s="162">
        <f>COUNTIF($N18:$GC18,"ĐPL")</f>
        <v>0</v>
      </c>
      <c r="HF18" s="162">
        <f t="shared" si="35"/>
        <v>0</v>
      </c>
      <c r="HG18" s="156" t="str">
        <f>VLOOKUP(B18,'data nguồn'!B:N,13,0)</f>
        <v>1013360056</v>
      </c>
      <c r="HH18" s="159" t="str">
        <f>VLOOKUP(B18,'data nguồn'!B:P,15,0)</f>
        <v>Quàng Văn Mạnh</v>
      </c>
      <c r="HI18" s="163" t="str">
        <f>VLOOKUP(B18,'data nguồn'!B:P,14,0)</f>
        <v>VCB Hải Phòng</v>
      </c>
    </row>
    <row r="19" spans="1:218" s="95" customFormat="1" ht="13.5" customHeight="1">
      <c r="A19" s="73">
        <v>9</v>
      </c>
      <c r="B19" s="623" t="s">
        <v>34</v>
      </c>
      <c r="C19" s="853" t="s">
        <v>448</v>
      </c>
      <c r="D19" s="452" t="s">
        <v>498</v>
      </c>
      <c r="E19" s="452" t="s">
        <v>483</v>
      </c>
      <c r="F19" s="452" t="s">
        <v>78</v>
      </c>
      <c r="G19" s="452"/>
      <c r="H19" s="164">
        <v>200319</v>
      </c>
      <c r="I19" s="164" t="s">
        <v>126</v>
      </c>
      <c r="J19" s="136" t="s">
        <v>124</v>
      </c>
      <c r="K19" s="165">
        <v>30</v>
      </c>
      <c r="L19" s="166">
        <v>43940</v>
      </c>
      <c r="M19" s="166"/>
      <c r="N19" s="601"/>
      <c r="O19" s="601"/>
      <c r="P19" s="602">
        <v>8</v>
      </c>
      <c r="Q19" s="602">
        <v>3</v>
      </c>
      <c r="R19" s="601"/>
      <c r="S19" s="601"/>
      <c r="T19" s="615"/>
      <c r="U19" s="615"/>
      <c r="V19" s="603">
        <v>8</v>
      </c>
      <c r="W19" s="603">
        <v>3</v>
      </c>
      <c r="X19" s="602"/>
      <c r="Y19" s="602"/>
      <c r="Z19" s="603">
        <v>8</v>
      </c>
      <c r="AA19" s="603">
        <v>3</v>
      </c>
      <c r="AB19" s="602"/>
      <c r="AC19" s="602"/>
      <c r="AD19" s="604">
        <v>8</v>
      </c>
      <c r="AE19" s="604">
        <v>3</v>
      </c>
      <c r="AF19" s="605"/>
      <c r="AG19" s="605"/>
      <c r="AH19" s="605"/>
      <c r="AI19" s="605"/>
      <c r="AJ19" s="604">
        <v>8</v>
      </c>
      <c r="AK19" s="604">
        <v>3</v>
      </c>
      <c r="AL19" s="605"/>
      <c r="AM19" s="605"/>
      <c r="AN19" s="605"/>
      <c r="AO19" s="605"/>
      <c r="AP19" s="603">
        <v>8</v>
      </c>
      <c r="AQ19" s="603">
        <v>3</v>
      </c>
      <c r="AR19" s="622"/>
      <c r="AS19" s="622"/>
      <c r="AT19" s="136"/>
      <c r="AU19" s="136"/>
      <c r="AV19" s="135">
        <v>8</v>
      </c>
      <c r="AW19" s="135">
        <v>3</v>
      </c>
      <c r="AX19" s="606"/>
      <c r="AY19" s="606"/>
      <c r="AZ19" s="136"/>
      <c r="BA19" s="136"/>
      <c r="BB19" s="135">
        <v>8</v>
      </c>
      <c r="BC19" s="135">
        <v>3</v>
      </c>
      <c r="BD19" s="606"/>
      <c r="BE19" s="606"/>
      <c r="BF19" s="135">
        <v>8</v>
      </c>
      <c r="BG19" s="135">
        <v>3</v>
      </c>
      <c r="BH19" s="606"/>
      <c r="BI19" s="606"/>
      <c r="BJ19" s="136"/>
      <c r="BK19" s="136"/>
      <c r="BL19" s="129">
        <v>8</v>
      </c>
      <c r="BM19" s="129">
        <v>3</v>
      </c>
      <c r="BN19" s="615"/>
      <c r="BO19" s="615"/>
      <c r="BP19" s="135"/>
      <c r="BQ19" s="135"/>
      <c r="BR19" s="135">
        <v>8</v>
      </c>
      <c r="BS19" s="135">
        <v>3</v>
      </c>
      <c r="BT19" s="615"/>
      <c r="BU19" s="615"/>
      <c r="BV19" s="135"/>
      <c r="BW19" s="135"/>
      <c r="BX19" s="654" t="s">
        <v>533</v>
      </c>
      <c r="BY19" s="654"/>
      <c r="BZ19" s="654"/>
      <c r="CA19" s="654"/>
      <c r="CB19" s="135"/>
      <c r="CC19" s="135"/>
      <c r="CD19" s="135">
        <v>8</v>
      </c>
      <c r="CE19" s="135">
        <v>3</v>
      </c>
      <c r="CF19" s="615"/>
      <c r="CG19" s="615"/>
      <c r="CH19" s="135"/>
      <c r="CI19" s="135"/>
      <c r="CJ19" s="135">
        <v>8</v>
      </c>
      <c r="CK19" s="135">
        <v>3</v>
      </c>
      <c r="CL19" s="615"/>
      <c r="CM19" s="615"/>
      <c r="CN19" s="135"/>
      <c r="CO19" s="135"/>
      <c r="CP19" s="135">
        <v>8</v>
      </c>
      <c r="CQ19" s="135">
        <v>3</v>
      </c>
      <c r="CR19" s="615"/>
      <c r="CS19" s="615"/>
      <c r="CT19" s="135">
        <v>8</v>
      </c>
      <c r="CU19" s="135">
        <v>3</v>
      </c>
      <c r="CV19" s="615"/>
      <c r="CW19" s="615"/>
      <c r="CX19" s="135"/>
      <c r="CY19" s="135"/>
      <c r="CZ19" s="135">
        <v>8</v>
      </c>
      <c r="DA19" s="135">
        <v>3</v>
      </c>
      <c r="DB19" s="615"/>
      <c r="DC19" s="615"/>
      <c r="DD19" s="135"/>
      <c r="DE19" s="135"/>
      <c r="DF19" s="654"/>
      <c r="DG19" s="654"/>
      <c r="DH19" s="654">
        <v>8</v>
      </c>
      <c r="DI19" s="654">
        <v>3</v>
      </c>
      <c r="DJ19" s="654"/>
      <c r="DK19" s="654"/>
      <c r="DL19" s="654"/>
      <c r="DM19" s="654"/>
      <c r="DN19" s="654">
        <v>8</v>
      </c>
      <c r="DO19" s="607">
        <v>3</v>
      </c>
      <c r="DP19" s="138"/>
      <c r="DQ19" s="138"/>
      <c r="DR19" s="138"/>
      <c r="DS19" s="138"/>
      <c r="DT19" s="621">
        <v>8</v>
      </c>
      <c r="DU19" s="621">
        <v>3</v>
      </c>
      <c r="DV19" s="138"/>
      <c r="DW19" s="138"/>
      <c r="DX19" s="138"/>
      <c r="DY19" s="138"/>
      <c r="DZ19" s="621">
        <v>8</v>
      </c>
      <c r="EA19" s="621">
        <v>3</v>
      </c>
      <c r="EB19" s="138"/>
      <c r="EC19" s="138"/>
      <c r="ED19" s="138"/>
      <c r="EE19" s="138"/>
      <c r="EF19" s="621">
        <v>8</v>
      </c>
      <c r="EG19" s="621">
        <v>3</v>
      </c>
      <c r="EH19" s="138"/>
      <c r="EI19" s="138"/>
      <c r="EJ19" s="138"/>
      <c r="EK19" s="138"/>
      <c r="EL19" s="621">
        <v>8</v>
      </c>
      <c r="EM19" s="621">
        <v>3</v>
      </c>
      <c r="EN19" s="138"/>
      <c r="EO19" s="138"/>
      <c r="EP19" s="138"/>
      <c r="EQ19" s="138"/>
      <c r="ER19" s="621">
        <v>8</v>
      </c>
      <c r="ES19" s="621">
        <v>3</v>
      </c>
      <c r="ET19" s="138"/>
      <c r="EU19" s="138"/>
      <c r="EV19" s="138"/>
      <c r="EW19" s="138"/>
      <c r="EX19" s="621">
        <v>8</v>
      </c>
      <c r="EY19" s="621">
        <v>3</v>
      </c>
      <c r="EZ19" s="138"/>
      <c r="FA19" s="138"/>
      <c r="FB19" s="123"/>
      <c r="FC19" s="123"/>
      <c r="FD19" s="123">
        <v>8</v>
      </c>
      <c r="FE19" s="123">
        <v>3</v>
      </c>
      <c r="FF19" s="138"/>
      <c r="FG19" s="138"/>
      <c r="FH19" s="138"/>
      <c r="FI19" s="138"/>
      <c r="FJ19" s="621">
        <v>8</v>
      </c>
      <c r="FK19" s="621">
        <v>3</v>
      </c>
      <c r="FL19" s="138"/>
      <c r="FM19" s="138"/>
      <c r="FN19" s="138"/>
      <c r="FO19" s="138"/>
      <c r="FP19" s="621" t="s">
        <v>533</v>
      </c>
      <c r="FQ19" s="621"/>
      <c r="FR19" s="138"/>
      <c r="FS19" s="138"/>
      <c r="FT19" s="138"/>
      <c r="FU19" s="138"/>
      <c r="FV19" s="621">
        <v>8</v>
      </c>
      <c r="FW19" s="621">
        <v>3</v>
      </c>
      <c r="FX19" s="130"/>
      <c r="FY19" s="136"/>
      <c r="FZ19" s="130"/>
      <c r="GA19" s="130"/>
      <c r="GB19" s="613"/>
      <c r="GC19" s="613"/>
      <c r="GD19" s="122"/>
      <c r="GE19" s="124"/>
      <c r="GF19" s="125">
        <f>SUM(COUNTIFS(N19:GE19,"&gt;0",$N$9:$GE$9,"GC"),COUNTIFS(N19:GE19,"&gt;0",$N$9:$GE$9,"GC1"),COUNTIFS(N19:GE19,"&gt;0",$N$9:$GE$9,"GC2"))</f>
        <v>22</v>
      </c>
      <c r="GG19" s="126">
        <f>SUMIF($N$9:$GE$9,"GC",$N19:$GE19)</f>
        <v>104</v>
      </c>
      <c r="GH19" s="126">
        <f>SUMIF($N$9:$GE$9,"GC1",$N19:$GE19)</f>
        <v>72</v>
      </c>
      <c r="GI19" s="126">
        <f>SUMIF($N$9:$GE$9,"GC2",$N19:$GE19)</f>
        <v>0</v>
      </c>
      <c r="GJ19" s="126">
        <f>SUMIF($N$9:$GE$9,"TC",$N19:$GE19)</f>
        <v>39</v>
      </c>
      <c r="GK19" s="126">
        <f>SUMIF($N$9:$GE$9,"TC1",$N19:$GE19)</f>
        <v>27</v>
      </c>
      <c r="GL19" s="126">
        <f>SUMIF($N$9:$GE$9,"TC2",$N19:$GE19)</f>
        <v>0</v>
      </c>
      <c r="GM19" s="126">
        <f>SUMIF($N$9:$GE$9,"WK-D",$N19:$GE19)+SUMIF($N$9:$GE$9,"WK-TC",$N19:$GE19)</f>
        <v>22</v>
      </c>
      <c r="GN19" s="126">
        <f>SUMIF($N$9:$GE$9,"WK-D1",$N19:$GE19)+SUMIF($N$9:$GE$9,"WK-TC1",$N19:$GE19)</f>
        <v>33</v>
      </c>
      <c r="GO19" s="126">
        <f>SUMIF($N$9:$GE$9,"WK-D2",$N19:$GE19)+SUMIF($N$9:$GE$9,"WK-TC2",$N19:$GE19)</f>
        <v>0</v>
      </c>
      <c r="GP19" s="126">
        <f>SUMIF($N$9:$GE$9,"HOD",$N19:$GE19)</f>
        <v>0</v>
      </c>
      <c r="GQ19" s="126">
        <f>SUMIF($N$9:$GE$9,"HOD1",$N19:$GE19)</f>
        <v>0</v>
      </c>
      <c r="GR19" s="126">
        <f>SUMIF($N$9:$GE$9,"HOD2",$N19:$GE19)</f>
        <v>0</v>
      </c>
      <c r="GS19" s="162">
        <f t="shared" si="30"/>
        <v>9169250</v>
      </c>
      <c r="GT19" s="97" t="str">
        <f>IF(SUM(COUNTIFS(N19:GC19,"&gt;0",$N$9:$GC$9,"GC"),COUNTIFS(N19:GC19,"&gt;0",$N$9:$GC$9,"GC1"),COUNTIFS(N19:GC19,"&gt;0",$N$9:$GC$9,"GC2"),COUNTIFS(N19:GC19,"&gt;0",$N$9:$GC$9,"WK-D"),COUNTIFS(N19:GC19,"&gt;0",$N$9:$GC$9,"WK-D1"),COUNTIFS(N19:GC19,"&gt;0",$N$9:$GC$9,"WK-D2"))&gt;3,"Đ","K")</f>
        <v>Đ</v>
      </c>
      <c r="GU19" s="97">
        <f t="shared" si="31"/>
        <v>9169250</v>
      </c>
      <c r="GV19" s="97">
        <f>SUM(COUNTIFS(N19:GC19,"&gt;2",$N$9:$GC$9,"GC"),COUNTIFS(N19:GC19,"&gt;2",$N$9:$GC$9,"GC1"),COUNTIFS(N19:GC19,"&gt;2",$N$9:$GC$9,"GC2"))</f>
        <v>22</v>
      </c>
      <c r="GW19" s="162">
        <f t="shared" si="32"/>
        <v>0</v>
      </c>
      <c r="GX19" s="162">
        <f>SUM(COUNTIFS(N19:GC19,"&gt;2",$N$9:$GC$9,"GC"),COUNTIFS(N19:GC19,"&gt;2",$N$9:$GC$9,"GC1"),COUNTIFS(N19:GC19,"&gt;2",$N$9:$GC$9,"GC2"),COUNTIFS(N19:GC19,"&gt;2",$N$9:$GC$9,"WK-D"),COUNTIFS(N19:GC19,"&gt;2",$N$9:$GC$9,"WK-D1"),COUNTIFS(N19:GC19,"&gt;2",$N$9:$GC$9,"WK-D2"))*$GX$10</f>
        <v>279310.3448275862</v>
      </c>
      <c r="GY19" s="162">
        <f t="shared" si="33"/>
        <v>229565.21739130435</v>
      </c>
      <c r="GZ19" s="162">
        <f>COUNTIF($N19:$GC19,"CP")</f>
        <v>2</v>
      </c>
      <c r="HA19" s="162">
        <f>COUNTIF($N19:$GC19,"KP")</f>
        <v>0</v>
      </c>
      <c r="HB19" s="162">
        <f>COUNTIF($N19:$GC19,"ĐP")</f>
        <v>0</v>
      </c>
      <c r="HC19" s="162">
        <f>COUNTIF($N19:$GC19,"ĐD")</f>
        <v>0</v>
      </c>
      <c r="HD19" s="162">
        <f>COUNTIF($N19:$GC19,"TPL")</f>
        <v>0</v>
      </c>
      <c r="HE19" s="162">
        <f>COUNTIF($N19:$GC19,"ĐPL")</f>
        <v>0</v>
      </c>
      <c r="HF19" s="162">
        <f t="shared" si="35"/>
        <v>0</v>
      </c>
      <c r="HG19" s="156" t="str">
        <f>VLOOKUP(B19,'data nguồn'!B:N,13,0)</f>
        <v>1013359871</v>
      </c>
      <c r="HH19" s="159" t="str">
        <f>VLOOKUP(B19,'data nguồn'!B:P,15,0)</f>
        <v>Hoàng Văn Hiên</v>
      </c>
      <c r="HI19" s="163" t="str">
        <f>VLOOKUP(B19,'data nguồn'!B:P,14,0)</f>
        <v>VCB Hải Phòng</v>
      </c>
    </row>
    <row r="20" spans="1:218" s="95" customFormat="1" ht="15">
      <c r="A20" s="73">
        <v>10</v>
      </c>
      <c r="B20" s="599" t="s">
        <v>35</v>
      </c>
      <c r="C20" s="851" t="s">
        <v>449</v>
      </c>
      <c r="D20" s="164">
        <v>0</v>
      </c>
      <c r="E20" s="164" t="s">
        <v>485</v>
      </c>
      <c r="F20" s="164" t="s">
        <v>79</v>
      </c>
      <c r="G20" s="164"/>
      <c r="H20" s="164">
        <v>200319</v>
      </c>
      <c r="I20" s="164" t="s">
        <v>123</v>
      </c>
      <c r="J20" s="136" t="s">
        <v>124</v>
      </c>
      <c r="K20" s="165">
        <v>90</v>
      </c>
      <c r="L20" s="166" t="s">
        <v>548</v>
      </c>
      <c r="M20" s="619">
        <v>44105</v>
      </c>
      <c r="N20" s="601">
        <v>8</v>
      </c>
      <c r="O20" s="601">
        <v>5</v>
      </c>
      <c r="P20" s="602"/>
      <c r="Q20" s="602"/>
      <c r="R20" s="601"/>
      <c r="S20" s="601"/>
      <c r="T20" s="615"/>
      <c r="U20" s="615"/>
      <c r="V20" s="603">
        <v>8</v>
      </c>
      <c r="W20" s="603">
        <v>5</v>
      </c>
      <c r="X20" s="602"/>
      <c r="Y20" s="602"/>
      <c r="Z20" s="603">
        <v>8</v>
      </c>
      <c r="AA20" s="603">
        <v>5</v>
      </c>
      <c r="AB20" s="602"/>
      <c r="AC20" s="602"/>
      <c r="AD20" s="604">
        <v>8</v>
      </c>
      <c r="AE20" s="604">
        <v>3</v>
      </c>
      <c r="AF20" s="605"/>
      <c r="AG20" s="605"/>
      <c r="AH20" s="605"/>
      <c r="AI20" s="605"/>
      <c r="AJ20" s="604">
        <v>8</v>
      </c>
      <c r="AK20" s="604">
        <v>3</v>
      </c>
      <c r="AL20" s="605"/>
      <c r="AM20" s="605"/>
      <c r="AN20" s="605"/>
      <c r="AO20" s="605"/>
      <c r="AP20" s="603">
        <v>8</v>
      </c>
      <c r="AQ20" s="603">
        <v>3</v>
      </c>
      <c r="AR20" s="622"/>
      <c r="AS20" s="622"/>
      <c r="AT20" s="136"/>
      <c r="AU20" s="136"/>
      <c r="AV20" s="135">
        <v>8</v>
      </c>
      <c r="AW20" s="135">
        <v>3</v>
      </c>
      <c r="AX20" s="606"/>
      <c r="AY20" s="606"/>
      <c r="AZ20" s="136"/>
      <c r="BA20" s="136"/>
      <c r="BB20" s="135">
        <v>8</v>
      </c>
      <c r="BC20" s="135">
        <v>0</v>
      </c>
      <c r="BD20" s="606"/>
      <c r="BE20" s="606"/>
      <c r="BF20" s="135">
        <v>8</v>
      </c>
      <c r="BG20" s="135">
        <v>0</v>
      </c>
      <c r="BH20" s="606"/>
      <c r="BI20" s="606"/>
      <c r="BJ20" s="136"/>
      <c r="BK20" s="136"/>
      <c r="BL20" s="135">
        <v>8</v>
      </c>
      <c r="BM20" s="135">
        <v>0</v>
      </c>
      <c r="BN20" s="606"/>
      <c r="BO20" s="606"/>
      <c r="BP20" s="136"/>
      <c r="BQ20" s="136"/>
      <c r="BR20" s="130">
        <v>8</v>
      </c>
      <c r="BS20" s="129">
        <v>3</v>
      </c>
      <c r="BT20" s="606"/>
      <c r="BU20" s="606"/>
      <c r="BV20" s="136"/>
      <c r="BW20" s="136"/>
      <c r="BX20" s="607">
        <v>8</v>
      </c>
      <c r="BY20" s="607">
        <v>0</v>
      </c>
      <c r="BZ20" s="608"/>
      <c r="CA20" s="608"/>
      <c r="CB20" s="609"/>
      <c r="CC20" s="609"/>
      <c r="CD20" s="138">
        <v>8</v>
      </c>
      <c r="CE20" s="138">
        <v>3</v>
      </c>
      <c r="CF20" s="606"/>
      <c r="CG20" s="606"/>
      <c r="CH20" s="136"/>
      <c r="CI20" s="136"/>
      <c r="CJ20" s="138">
        <v>8</v>
      </c>
      <c r="CK20" s="138">
        <v>5</v>
      </c>
      <c r="CL20" s="606"/>
      <c r="CM20" s="606"/>
      <c r="CN20" s="136"/>
      <c r="CO20" s="136"/>
      <c r="CP20" s="138">
        <v>8</v>
      </c>
      <c r="CQ20" s="138">
        <v>5</v>
      </c>
      <c r="CR20" s="606"/>
      <c r="CS20" s="606"/>
      <c r="CT20" s="138">
        <v>8</v>
      </c>
      <c r="CU20" s="138">
        <v>5</v>
      </c>
      <c r="CV20" s="606"/>
      <c r="CW20" s="606"/>
      <c r="CX20" s="136"/>
      <c r="CY20" s="136"/>
      <c r="CZ20" s="130">
        <v>8</v>
      </c>
      <c r="DA20" s="138">
        <v>5</v>
      </c>
      <c r="DB20" s="606"/>
      <c r="DC20" s="606"/>
      <c r="DD20" s="136"/>
      <c r="DE20" s="136"/>
      <c r="DF20" s="607">
        <v>8</v>
      </c>
      <c r="DG20" s="607">
        <v>5</v>
      </c>
      <c r="DH20" s="608"/>
      <c r="DI20" s="608"/>
      <c r="DJ20" s="609"/>
      <c r="DK20" s="609"/>
      <c r="DL20" s="607">
        <v>8</v>
      </c>
      <c r="DM20" s="607">
        <v>3</v>
      </c>
      <c r="DN20" s="607"/>
      <c r="DO20" s="607"/>
      <c r="DP20" s="138"/>
      <c r="DQ20" s="138"/>
      <c r="DR20" s="138"/>
      <c r="DS20" s="138"/>
      <c r="DT20" s="621">
        <v>8</v>
      </c>
      <c r="DU20" s="621">
        <v>2</v>
      </c>
      <c r="DV20" s="138"/>
      <c r="DW20" s="138"/>
      <c r="DX20" s="138"/>
      <c r="DY20" s="138"/>
      <c r="DZ20" s="621">
        <v>8</v>
      </c>
      <c r="EA20" s="621">
        <v>2</v>
      </c>
      <c r="EB20" s="138"/>
      <c r="EC20" s="138"/>
      <c r="ED20" s="138"/>
      <c r="EE20" s="138"/>
      <c r="EF20" s="621">
        <v>8</v>
      </c>
      <c r="EG20" s="621">
        <v>2</v>
      </c>
      <c r="EH20" s="138"/>
      <c r="EI20" s="138"/>
      <c r="EJ20" s="138"/>
      <c r="EK20" s="138"/>
      <c r="EL20" s="621">
        <v>8</v>
      </c>
      <c r="EM20" s="621">
        <v>2</v>
      </c>
      <c r="EN20" s="138"/>
      <c r="EO20" s="138"/>
      <c r="EP20" s="138"/>
      <c r="EQ20" s="138"/>
      <c r="ER20" s="621">
        <v>8</v>
      </c>
      <c r="ES20" s="621">
        <v>2</v>
      </c>
      <c r="ET20" s="138"/>
      <c r="EU20" s="138"/>
      <c r="EV20" s="138"/>
      <c r="EW20" s="138"/>
      <c r="EX20" s="621">
        <v>8</v>
      </c>
      <c r="EY20" s="621">
        <v>2</v>
      </c>
      <c r="EZ20" s="138"/>
      <c r="FA20" s="138"/>
      <c r="FB20" s="123"/>
      <c r="FC20" s="123"/>
      <c r="FD20" s="123">
        <v>8</v>
      </c>
      <c r="FE20" s="123">
        <v>2</v>
      </c>
      <c r="FF20" s="138"/>
      <c r="FG20" s="138"/>
      <c r="FH20" s="138"/>
      <c r="FI20" s="138"/>
      <c r="FJ20" s="621">
        <v>8</v>
      </c>
      <c r="FK20" s="621">
        <v>2</v>
      </c>
      <c r="FL20" s="138"/>
      <c r="FM20" s="138"/>
      <c r="FN20" s="138"/>
      <c r="FO20" s="138"/>
      <c r="FP20" s="621">
        <v>8</v>
      </c>
      <c r="FQ20" s="621">
        <v>2</v>
      </c>
      <c r="FR20" s="138"/>
      <c r="FS20" s="138"/>
      <c r="FT20" s="138"/>
      <c r="FU20" s="138"/>
      <c r="FV20" s="621">
        <v>8</v>
      </c>
      <c r="FW20" s="621">
        <v>2</v>
      </c>
      <c r="FX20" s="130"/>
      <c r="FY20" s="136"/>
      <c r="FZ20" s="130"/>
      <c r="GA20" s="130"/>
      <c r="GB20" s="613"/>
      <c r="GC20" s="613"/>
      <c r="GD20" s="122"/>
      <c r="GE20" s="124"/>
      <c r="GF20" s="125">
        <f>SUM(COUNTIFS(N20:GE20,"&gt;0",$N$9:$GE$9,"GC"),COUNTIFS(N20:GE20,"&gt;0",$N$9:$GE$9,"GC1"),COUNTIFS(N20:GE20,"&gt;0",$N$9:$GE$9,"GC2"))</f>
        <v>23</v>
      </c>
      <c r="GG20" s="126">
        <f>SUMIF($N$9:$GE$9,"GC",$N20:$GE20)</f>
        <v>112</v>
      </c>
      <c r="GH20" s="126">
        <f>SUMIF($N$9:$GE$9,"GC1",$N20:$GE20)</f>
        <v>72</v>
      </c>
      <c r="GI20" s="126">
        <f>SUMIF($N$9:$GE$9,"GC2",$N20:$GE20)</f>
        <v>0</v>
      </c>
      <c r="GJ20" s="126">
        <f>SUMIF($N$9:$GE$9,"TC",$N20:$GE20)</f>
        <v>47</v>
      </c>
      <c r="GK20" s="126">
        <f>SUMIF($N$9:$GE$9,"TC1",$N20:$GE20)</f>
        <v>18</v>
      </c>
      <c r="GL20" s="126">
        <f>SUMIF($N$9:$GE$9,"TC2",$N20:$GE20)</f>
        <v>0</v>
      </c>
      <c r="GM20" s="126">
        <f>SUMIF($N$9:$GE$9,"WK-D",$N20:$GE20)+SUMIF($N$9:$GE$9,"WK-TC",$N20:$GE20)</f>
        <v>54</v>
      </c>
      <c r="GN20" s="126">
        <f>SUMIF($N$9:$GE$9,"WK-D1",$N20:$GE20)+SUMIF($N$9:$GE$9,"WK-TC1",$N20:$GE20)</f>
        <v>10</v>
      </c>
      <c r="GO20" s="126">
        <f>SUMIF($N$9:$GE$9,"WK-D2",$N20:$GE20)+SUMIF($N$9:$GE$9,"WK-TC2",$N20:$GE20)</f>
        <v>0</v>
      </c>
      <c r="GP20" s="126">
        <f>SUMIF($N$9:$GE$9,"HOD",$N20:$GE20)</f>
        <v>0</v>
      </c>
      <c r="GQ20" s="126">
        <f>SUMIF($N$9:$GE$9,"HOD1",$N20:$GE20)</f>
        <v>0</v>
      </c>
      <c r="GR20" s="126">
        <f>SUMIF($N$9:$GE$9,"HOD2",$N20:$GE20)</f>
        <v>0</v>
      </c>
      <c r="GS20" s="162">
        <f t="shared" si="30"/>
        <v>9719000</v>
      </c>
      <c r="GT20" s="97" t="str">
        <f>IF(SUM(COUNTIFS(N20:GC20,"&gt;0",$N$9:$GC$9,"GC"),COUNTIFS(N20:GC20,"&gt;0",$N$9:$GC$9,"GC1"),COUNTIFS(N20:GC20,"&gt;0",$N$9:$GC$9,"GC2"),COUNTIFS(N20:GC20,"&gt;0",$N$9:$GC$9,"WK-D"),COUNTIFS(N20:GC20,"&gt;0",$N$9:$GC$9,"WK-D1"),COUNTIFS(N20:GC20,"&gt;0",$N$9:$GC$9,"WK-D2"))&gt;3,"Đ","K")</f>
        <v>Đ</v>
      </c>
      <c r="GU20" s="97">
        <f t="shared" si="31"/>
        <v>9719000</v>
      </c>
      <c r="GV20" s="97">
        <f>SUM(COUNTIFS(N20:GC20,"&gt;2",$N$9:$GC$9,"GC"),COUNTIFS(N20:GC20,"&gt;2",$N$9:$GC$9,"GC1"),COUNTIFS(N20:GC20,"&gt;2",$N$9:$GC$9,"GC2"))</f>
        <v>23</v>
      </c>
      <c r="GW20" s="162">
        <f t="shared" si="32"/>
        <v>200000</v>
      </c>
      <c r="GX20" s="162">
        <f>SUM(COUNTIFS(N20:GC20,"&gt;2",$N$9:$GC$9,"GC"),COUNTIFS(N20:GC20,"&gt;2",$N$9:$GC$9,"GC1"),COUNTIFS(N20:GC20,"&gt;2",$N$9:$GC$9,"GC2"),COUNTIFS(N20:GC20,"&gt;2",$N$9:$GC$9,"WK-D"),COUNTIFS(N20:GC20,"&gt;2",$N$9:$GC$9,"WK-D1"),COUNTIFS(N20:GC20,"&gt;2",$N$9:$GC$9,"WK-D2"))*$GX$10</f>
        <v>300000</v>
      </c>
      <c r="GY20" s="162">
        <f t="shared" si="33"/>
        <v>240000</v>
      </c>
      <c r="GZ20" s="162">
        <f>COUNTIF($N20:$GC20,"CP")</f>
        <v>0</v>
      </c>
      <c r="HA20" s="162">
        <f>COUNTIF($N20:$GC20,"KP")</f>
        <v>0</v>
      </c>
      <c r="HB20" s="162">
        <f>COUNTIF($N20:$GC20,"ĐP")</f>
        <v>0</v>
      </c>
      <c r="HC20" s="162">
        <f>COUNTIF($N20:$GC20,"ĐD")</f>
        <v>0</v>
      </c>
      <c r="HD20" s="162">
        <f>COUNTIF($N20:$GC20,"TPL")</f>
        <v>0</v>
      </c>
      <c r="HE20" s="162">
        <f>COUNTIF($N20:$GC20,"ĐPL")</f>
        <v>0</v>
      </c>
      <c r="HF20" s="162">
        <f t="shared" si="35"/>
        <v>0</v>
      </c>
      <c r="HG20" s="156" t="str">
        <f>VLOOKUP(B20,'data nguồn'!B:N,13,0)</f>
        <v>1013359622</v>
      </c>
      <c r="HH20" s="159" t="str">
        <f>VLOOKUP(B20,'data nguồn'!B:P,15,0)</f>
        <v>Nguyễn Thị Thương</v>
      </c>
      <c r="HI20" s="163" t="str">
        <f>VLOOKUP(B20,'data nguồn'!B:P,14,0)</f>
        <v>VCB Hải Phòng</v>
      </c>
    </row>
    <row r="21" spans="1:218" s="95" customFormat="1" ht="15">
      <c r="A21" s="73">
        <v>11</v>
      </c>
      <c r="B21" s="599" t="s">
        <v>37</v>
      </c>
      <c r="C21" s="851" t="s">
        <v>451</v>
      </c>
      <c r="D21" s="164">
        <v>40673</v>
      </c>
      <c r="E21" s="164" t="s">
        <v>485</v>
      </c>
      <c r="F21" s="164" t="s">
        <v>81</v>
      </c>
      <c r="G21" s="164"/>
      <c r="H21" s="164">
        <v>200415</v>
      </c>
      <c r="I21" s="164" t="s">
        <v>127</v>
      </c>
      <c r="J21" s="136" t="s">
        <v>124</v>
      </c>
      <c r="K21" s="165">
        <v>210</v>
      </c>
      <c r="L21" s="166" t="s">
        <v>549</v>
      </c>
      <c r="M21" s="166"/>
      <c r="N21" s="601">
        <v>8</v>
      </c>
      <c r="O21" s="601">
        <v>5</v>
      </c>
      <c r="P21" s="602"/>
      <c r="Q21" s="602"/>
      <c r="R21" s="601"/>
      <c r="S21" s="601"/>
      <c r="T21" s="602"/>
      <c r="U21" s="602"/>
      <c r="V21" s="603">
        <v>8</v>
      </c>
      <c r="W21" s="603">
        <v>5</v>
      </c>
      <c r="X21" s="602"/>
      <c r="Y21" s="602"/>
      <c r="Z21" s="603">
        <v>8</v>
      </c>
      <c r="AA21" s="603">
        <v>5</v>
      </c>
      <c r="AB21" s="602"/>
      <c r="AC21" s="602"/>
      <c r="AD21" s="604">
        <v>8</v>
      </c>
      <c r="AE21" s="604">
        <v>3</v>
      </c>
      <c r="AF21" s="605"/>
      <c r="AG21" s="605"/>
      <c r="AH21" s="605"/>
      <c r="AI21" s="605"/>
      <c r="AJ21" s="604">
        <v>8</v>
      </c>
      <c r="AK21" s="604">
        <v>0</v>
      </c>
      <c r="AL21" s="605"/>
      <c r="AM21" s="605"/>
      <c r="AN21" s="605"/>
      <c r="AO21" s="605"/>
      <c r="AP21" s="603">
        <v>8</v>
      </c>
      <c r="AQ21" s="603">
        <v>3</v>
      </c>
      <c r="AR21" s="622"/>
      <c r="AS21" s="622"/>
      <c r="AT21" s="136"/>
      <c r="AU21" s="136"/>
      <c r="AV21" s="135">
        <v>8</v>
      </c>
      <c r="AW21" s="135">
        <v>3</v>
      </c>
      <c r="AX21" s="606"/>
      <c r="AY21" s="606"/>
      <c r="AZ21" s="136"/>
      <c r="BA21" s="136"/>
      <c r="BB21" s="135">
        <v>8</v>
      </c>
      <c r="BC21" s="135">
        <v>3</v>
      </c>
      <c r="BD21" s="606"/>
      <c r="BE21" s="606"/>
      <c r="BF21" s="135">
        <v>8</v>
      </c>
      <c r="BG21" s="135">
        <v>3</v>
      </c>
      <c r="BH21" s="606"/>
      <c r="BI21" s="606"/>
      <c r="BJ21" s="136"/>
      <c r="BK21" s="136"/>
      <c r="BL21" s="129">
        <v>8</v>
      </c>
      <c r="BM21" s="129">
        <v>3</v>
      </c>
      <c r="BN21" s="606"/>
      <c r="BO21" s="606"/>
      <c r="BP21" s="136"/>
      <c r="BQ21" s="136"/>
      <c r="BR21" s="130">
        <v>8</v>
      </c>
      <c r="BS21" s="129">
        <v>3</v>
      </c>
      <c r="BT21" s="606"/>
      <c r="BU21" s="606"/>
      <c r="BV21" s="136"/>
      <c r="BW21" s="136"/>
      <c r="BX21" s="624">
        <v>8</v>
      </c>
      <c r="BY21" s="624">
        <v>0</v>
      </c>
      <c r="BZ21" s="608"/>
      <c r="CA21" s="608"/>
      <c r="CB21" s="609"/>
      <c r="CC21" s="609"/>
      <c r="CD21" s="137">
        <v>8</v>
      </c>
      <c r="CE21" s="137">
        <v>3</v>
      </c>
      <c r="CF21" s="606"/>
      <c r="CG21" s="606"/>
      <c r="CH21" s="136"/>
      <c r="CI21" s="136"/>
      <c r="CJ21" s="138">
        <v>8</v>
      </c>
      <c r="CK21" s="138">
        <v>5</v>
      </c>
      <c r="CL21" s="606"/>
      <c r="CM21" s="606"/>
      <c r="CN21" s="136"/>
      <c r="CO21" s="136"/>
      <c r="CP21" s="138">
        <v>8</v>
      </c>
      <c r="CQ21" s="138">
        <v>5</v>
      </c>
      <c r="CR21" s="606"/>
      <c r="CS21" s="606"/>
      <c r="CT21" s="138">
        <v>8</v>
      </c>
      <c r="CU21" s="138">
        <v>5</v>
      </c>
      <c r="CV21" s="606"/>
      <c r="CW21" s="606"/>
      <c r="CX21" s="136"/>
      <c r="CY21" s="136"/>
      <c r="CZ21" s="130">
        <v>8</v>
      </c>
      <c r="DA21" s="138">
        <v>5</v>
      </c>
      <c r="DB21" s="606"/>
      <c r="DC21" s="606"/>
      <c r="DD21" s="136"/>
      <c r="DE21" s="136"/>
      <c r="DF21" s="607">
        <v>8</v>
      </c>
      <c r="DG21" s="607">
        <v>5</v>
      </c>
      <c r="DH21" s="608"/>
      <c r="DI21" s="608"/>
      <c r="DJ21" s="609"/>
      <c r="DK21" s="609"/>
      <c r="DL21" s="607">
        <v>8</v>
      </c>
      <c r="DM21" s="607">
        <v>3</v>
      </c>
      <c r="DN21" s="607"/>
      <c r="DO21" s="607"/>
      <c r="DP21" s="138"/>
      <c r="DQ21" s="138"/>
      <c r="DR21" s="138">
        <v>8</v>
      </c>
      <c r="DS21" s="138">
        <v>5</v>
      </c>
      <c r="DT21" s="621"/>
      <c r="DU21" s="621"/>
      <c r="DV21" s="138"/>
      <c r="DW21" s="138"/>
      <c r="DX21" s="138">
        <v>8</v>
      </c>
      <c r="DY21" s="138">
        <v>3</v>
      </c>
      <c r="DZ21" s="621"/>
      <c r="EA21" s="621"/>
      <c r="EB21" s="138"/>
      <c r="EC21" s="138"/>
      <c r="ED21" s="138">
        <v>8</v>
      </c>
      <c r="EE21" s="138">
        <v>5</v>
      </c>
      <c r="EF21" s="621"/>
      <c r="EG21" s="621"/>
      <c r="EH21" s="138"/>
      <c r="EI21" s="138"/>
      <c r="EJ21" s="138">
        <v>8</v>
      </c>
      <c r="EK21" s="138">
        <v>5</v>
      </c>
      <c r="EL21" s="621"/>
      <c r="EM21" s="621"/>
      <c r="EN21" s="138"/>
      <c r="EO21" s="138"/>
      <c r="EP21" s="138">
        <v>8</v>
      </c>
      <c r="EQ21" s="138">
        <v>5</v>
      </c>
      <c r="ER21" s="621"/>
      <c r="ES21" s="621"/>
      <c r="ET21" s="138"/>
      <c r="EU21" s="138"/>
      <c r="EV21" s="138">
        <v>8</v>
      </c>
      <c r="EW21" s="138">
        <v>5</v>
      </c>
      <c r="EX21" s="621"/>
      <c r="EY21" s="621"/>
      <c r="EZ21" s="138"/>
      <c r="FA21" s="138"/>
      <c r="FB21" s="123">
        <v>8</v>
      </c>
      <c r="FC21" s="123">
        <v>3</v>
      </c>
      <c r="FD21" s="123"/>
      <c r="FE21" s="123"/>
      <c r="FF21" s="138"/>
      <c r="FG21" s="138"/>
      <c r="FH21" s="138">
        <v>8</v>
      </c>
      <c r="FI21" s="138">
        <v>5</v>
      </c>
      <c r="FJ21" s="621"/>
      <c r="FK21" s="621"/>
      <c r="FL21" s="138"/>
      <c r="FM21" s="138"/>
      <c r="FN21" s="138">
        <v>8</v>
      </c>
      <c r="FO21" s="138">
        <v>5</v>
      </c>
      <c r="FP21" s="621"/>
      <c r="FQ21" s="621"/>
      <c r="FR21" s="138"/>
      <c r="FS21" s="138"/>
      <c r="FT21" s="138">
        <v>8</v>
      </c>
      <c r="FU21" s="138">
        <v>3</v>
      </c>
      <c r="FV21" s="621"/>
      <c r="FW21" s="621"/>
      <c r="FX21" s="130"/>
      <c r="FY21" s="136"/>
      <c r="FZ21" s="130"/>
      <c r="GA21" s="130"/>
      <c r="GB21" s="613"/>
      <c r="GC21" s="613"/>
      <c r="GD21" s="122"/>
      <c r="GE21" s="124"/>
      <c r="GF21" s="125">
        <f>SUM(COUNTIFS(N21:GE21,"&gt;0",$N$9:$GE$9,"GC"),COUNTIFS(N21:GE21,"&gt;0",$N$9:$GE$9,"GC1"),COUNTIFS(N21:GE21,"&gt;0",$N$9:$GE$9,"GC2"))</f>
        <v>23</v>
      </c>
      <c r="GG21" s="126">
        <f>SUMIF($N$9:$GE$9,"GC",$N21:$GE21)</f>
        <v>184</v>
      </c>
      <c r="GH21" s="126">
        <f>SUMIF($N$9:$GE$9,"GC1",$N21:$GE21)</f>
        <v>0</v>
      </c>
      <c r="GI21" s="126">
        <f>SUMIF($N$9:$GE$9,"GC2",$N21:$GE21)</f>
        <v>0</v>
      </c>
      <c r="GJ21" s="126">
        <f>SUMIF($N$9:$GE$9,"TC",$N21:$GE21)</f>
        <v>97</v>
      </c>
      <c r="GK21" s="126">
        <f>SUMIF($N$9:$GE$9,"TC1",$N21:$GE21)</f>
        <v>0</v>
      </c>
      <c r="GL21" s="126">
        <f>SUMIF($N$9:$GE$9,"TC2",$N21:$GE21)</f>
        <v>0</v>
      </c>
      <c r="GM21" s="126">
        <f>SUMIF($N$9:$GE$9,"WK-D",$N21:$GE21)+SUMIF($N$9:$GE$9,"WK-TC",$N21:$GE21)</f>
        <v>62</v>
      </c>
      <c r="GN21" s="126">
        <f>SUMIF($N$9:$GE$9,"WK-D1",$N21:$GE21)+SUMIF($N$9:$GE$9,"WK-TC1",$N21:$GE21)</f>
        <v>0</v>
      </c>
      <c r="GO21" s="126">
        <f>SUMIF($N$9:$GE$9,"WK-D2",$N21:$GE21)+SUMIF($N$9:$GE$9,"WK-TC2",$N21:$GE21)</f>
        <v>0</v>
      </c>
      <c r="GP21" s="126">
        <f>SUMIF($N$9:$GE$9,"HOD",$N21:$GE21)</f>
        <v>0</v>
      </c>
      <c r="GQ21" s="126">
        <f>SUMIF($N$9:$GE$9,"HOD1",$N21:$GE21)</f>
        <v>0</v>
      </c>
      <c r="GR21" s="126">
        <f>SUMIF($N$9:$GE$9,"HOD2",$N21:$GE21)</f>
        <v>0</v>
      </c>
      <c r="GS21" s="162">
        <f t="shared" si="30"/>
        <v>10264500</v>
      </c>
      <c r="GT21" s="97" t="str">
        <f>IF(SUM(COUNTIFS(N21:GC21,"&gt;0",$N$9:$GC$9,"GC"),COUNTIFS(N21:GC21,"&gt;0",$N$9:$GC$9,"GC1"),COUNTIFS(N21:GC21,"&gt;0",$N$9:$GC$9,"GC2"),COUNTIFS(N21:GC21,"&gt;0",$N$9:$GC$9,"WK-D"),COUNTIFS(N21:GC21,"&gt;0",$N$9:$GC$9,"WK-D1"),COUNTIFS(N21:GC21,"&gt;0",$N$9:$GC$9,"WK-D2"))&gt;3,"Đ","K")</f>
        <v>Đ</v>
      </c>
      <c r="GU21" s="97">
        <f t="shared" si="31"/>
        <v>10264500</v>
      </c>
      <c r="GV21" s="97">
        <f>SUM(COUNTIFS(N21:GC21,"&gt;2",$N$9:$GC$9,"GC"),COUNTIFS(N21:GC21,"&gt;2",$N$9:$GC$9,"GC1"),COUNTIFS(N21:GC21,"&gt;2",$N$9:$GC$9,"GC2"))</f>
        <v>23</v>
      </c>
      <c r="GW21" s="162">
        <f t="shared" si="32"/>
        <v>200000</v>
      </c>
      <c r="GX21" s="162">
        <f>SUM(COUNTIFS(N21:GC21,"&gt;2",$N$9:$GC$9,"GC"),COUNTIFS(N21:GC21,"&gt;2",$N$9:$GC$9,"GC1"),COUNTIFS(N21:GC21,"&gt;2",$N$9:$GC$9,"GC2"),COUNTIFS(N21:GC21,"&gt;2",$N$9:$GC$9,"WK-D"),COUNTIFS(N21:GC21,"&gt;2",$N$9:$GC$9,"WK-D1"),COUNTIFS(N21:GC21,"&gt;2",$N$9:$GC$9,"WK-D2"))*$GX$10</f>
        <v>300000</v>
      </c>
      <c r="GY21" s="162">
        <f t="shared" si="33"/>
        <v>240000</v>
      </c>
      <c r="GZ21" s="162">
        <f>COUNTIF($N21:$GC21,"CP")</f>
        <v>0</v>
      </c>
      <c r="HA21" s="162">
        <f>COUNTIF($N21:$GC21,"KP")</f>
        <v>0</v>
      </c>
      <c r="HB21" s="162">
        <f>COUNTIF($N21:$GC21,"ĐP")</f>
        <v>0</v>
      </c>
      <c r="HC21" s="162">
        <f>COUNTIF($N21:$GC21,"ĐD")</f>
        <v>0</v>
      </c>
      <c r="HD21" s="162">
        <f>COUNTIF($N21:$GC21,"TPL")</f>
        <v>0</v>
      </c>
      <c r="HE21" s="162">
        <f>COUNTIF($N21:$GC21,"ĐPL")</f>
        <v>0</v>
      </c>
      <c r="HF21" s="162">
        <f t="shared" si="35"/>
        <v>0</v>
      </c>
      <c r="HG21" s="156" t="str">
        <f>VLOOKUP(B21,'data nguồn'!B:N,13,0)</f>
        <v>1015422678</v>
      </c>
      <c r="HH21" s="159" t="str">
        <f>VLOOKUP(B21,'data nguồn'!B:P,15,0)</f>
        <v>Phạm Hồng Phong</v>
      </c>
      <c r="HI21" s="163" t="str">
        <f>VLOOKUP(B21,'data nguồn'!B:P,14,0)</f>
        <v>VCB Hải Phòng</v>
      </c>
    </row>
    <row r="22" spans="1:218" s="95" customFormat="1" ht="15">
      <c r="A22" s="73">
        <v>12</v>
      </c>
      <c r="B22" s="599" t="s">
        <v>39</v>
      </c>
      <c r="C22" s="851" t="s">
        <v>452</v>
      </c>
      <c r="D22" s="164" t="s">
        <v>479</v>
      </c>
      <c r="E22" s="164" t="s">
        <v>480</v>
      </c>
      <c r="F22" s="164" t="s">
        <v>83</v>
      </c>
      <c r="G22" s="164"/>
      <c r="H22" s="164">
        <v>200507</v>
      </c>
      <c r="I22" s="164" t="s">
        <v>123</v>
      </c>
      <c r="J22" s="136" t="s">
        <v>124</v>
      </c>
      <c r="K22" s="165">
        <v>60</v>
      </c>
      <c r="L22" s="166" t="s">
        <v>550</v>
      </c>
      <c r="M22" s="166"/>
      <c r="N22" s="601">
        <v>8</v>
      </c>
      <c r="O22" s="601">
        <v>5</v>
      </c>
      <c r="P22" s="602"/>
      <c r="Q22" s="602"/>
      <c r="R22" s="601"/>
      <c r="S22" s="601"/>
      <c r="T22" s="602"/>
      <c r="U22" s="602"/>
      <c r="V22" s="603">
        <v>8</v>
      </c>
      <c r="W22" s="603">
        <v>5</v>
      </c>
      <c r="X22" s="602"/>
      <c r="Y22" s="602"/>
      <c r="Z22" s="603">
        <v>8</v>
      </c>
      <c r="AA22" s="603">
        <v>5</v>
      </c>
      <c r="AB22" s="602"/>
      <c r="AC22" s="602"/>
      <c r="AD22" s="604">
        <v>8</v>
      </c>
      <c r="AE22" s="604">
        <v>3</v>
      </c>
      <c r="AF22" s="605"/>
      <c r="AG22" s="605"/>
      <c r="AH22" s="605"/>
      <c r="AI22" s="605"/>
      <c r="AJ22" s="604">
        <v>8</v>
      </c>
      <c r="AK22" s="604">
        <v>3</v>
      </c>
      <c r="AL22" s="605"/>
      <c r="AM22" s="605"/>
      <c r="AN22" s="605"/>
      <c r="AO22" s="605"/>
      <c r="AP22" s="603">
        <v>8</v>
      </c>
      <c r="AQ22" s="603">
        <v>3</v>
      </c>
      <c r="AR22" s="622"/>
      <c r="AS22" s="622"/>
      <c r="AT22" s="136"/>
      <c r="AU22" s="136"/>
      <c r="AV22" s="135">
        <v>8</v>
      </c>
      <c r="AW22" s="135">
        <v>3</v>
      </c>
      <c r="AX22" s="606"/>
      <c r="AY22" s="606"/>
      <c r="AZ22" s="136"/>
      <c r="BA22" s="136"/>
      <c r="BB22" s="135">
        <v>8</v>
      </c>
      <c r="BC22" s="135">
        <v>0</v>
      </c>
      <c r="BD22" s="606"/>
      <c r="BE22" s="606"/>
      <c r="BF22" s="135">
        <v>8</v>
      </c>
      <c r="BG22" s="135">
        <v>0</v>
      </c>
      <c r="BH22" s="606"/>
      <c r="BI22" s="606"/>
      <c r="BJ22" s="136"/>
      <c r="BK22" s="136"/>
      <c r="BL22" s="129">
        <v>8</v>
      </c>
      <c r="BM22" s="129">
        <v>0</v>
      </c>
      <c r="BN22" s="606"/>
      <c r="BO22" s="606"/>
      <c r="BP22" s="136"/>
      <c r="BQ22" s="136"/>
      <c r="BR22" s="130">
        <v>8</v>
      </c>
      <c r="BS22" s="129">
        <v>3</v>
      </c>
      <c r="BT22" s="606"/>
      <c r="BU22" s="606"/>
      <c r="BV22" s="136"/>
      <c r="BW22" s="136"/>
      <c r="BX22" s="624">
        <v>8</v>
      </c>
      <c r="BY22" s="624">
        <v>0</v>
      </c>
      <c r="BZ22" s="608"/>
      <c r="CA22" s="608"/>
      <c r="CB22" s="609"/>
      <c r="CC22" s="609"/>
      <c r="CD22" s="137">
        <v>8</v>
      </c>
      <c r="CE22" s="137">
        <v>3</v>
      </c>
      <c r="CF22" s="606"/>
      <c r="CG22" s="606"/>
      <c r="CH22" s="136"/>
      <c r="CI22" s="136"/>
      <c r="CJ22" s="138">
        <v>8</v>
      </c>
      <c r="CK22" s="138">
        <v>5</v>
      </c>
      <c r="CL22" s="606"/>
      <c r="CM22" s="606"/>
      <c r="CN22" s="136"/>
      <c r="CO22" s="136"/>
      <c r="CP22" s="138">
        <v>8</v>
      </c>
      <c r="CQ22" s="138">
        <v>5</v>
      </c>
      <c r="CR22" s="606"/>
      <c r="CS22" s="606"/>
      <c r="CT22" s="138">
        <v>8</v>
      </c>
      <c r="CU22" s="138">
        <v>5</v>
      </c>
      <c r="CV22" s="606"/>
      <c r="CW22" s="606"/>
      <c r="CX22" s="136"/>
      <c r="CY22" s="136"/>
      <c r="CZ22" s="130">
        <v>8</v>
      </c>
      <c r="DA22" s="138">
        <v>5</v>
      </c>
      <c r="DB22" s="606"/>
      <c r="DC22" s="606"/>
      <c r="DD22" s="136"/>
      <c r="DE22" s="136"/>
      <c r="DF22" s="607">
        <v>8</v>
      </c>
      <c r="DG22" s="607">
        <v>5</v>
      </c>
      <c r="DH22" s="608"/>
      <c r="DI22" s="608"/>
      <c r="DJ22" s="609"/>
      <c r="DK22" s="609"/>
      <c r="DL22" s="607">
        <v>8</v>
      </c>
      <c r="DM22" s="607">
        <v>3</v>
      </c>
      <c r="DN22" s="607"/>
      <c r="DO22" s="607"/>
      <c r="DP22" s="138"/>
      <c r="DQ22" s="138"/>
      <c r="DR22" s="138"/>
      <c r="DS22" s="138"/>
      <c r="DT22" s="621">
        <v>8</v>
      </c>
      <c r="DU22" s="621">
        <v>2</v>
      </c>
      <c r="DV22" s="138"/>
      <c r="DW22" s="138"/>
      <c r="DX22" s="138"/>
      <c r="DY22" s="138"/>
      <c r="DZ22" s="621">
        <v>8</v>
      </c>
      <c r="EA22" s="621">
        <v>2</v>
      </c>
      <c r="EB22" s="138"/>
      <c r="EC22" s="138"/>
      <c r="ED22" s="138"/>
      <c r="EE22" s="138"/>
      <c r="EF22" s="621">
        <v>8</v>
      </c>
      <c r="EG22" s="621">
        <v>2</v>
      </c>
      <c r="EH22" s="138"/>
      <c r="EI22" s="138"/>
      <c r="EJ22" s="138"/>
      <c r="EK22" s="138"/>
      <c r="EL22" s="621">
        <v>8</v>
      </c>
      <c r="EM22" s="621">
        <v>2</v>
      </c>
      <c r="EN22" s="138"/>
      <c r="EO22" s="138"/>
      <c r="EP22" s="138"/>
      <c r="EQ22" s="138"/>
      <c r="ER22" s="621">
        <v>8</v>
      </c>
      <c r="ES22" s="621">
        <v>2</v>
      </c>
      <c r="ET22" s="138"/>
      <c r="EU22" s="138"/>
      <c r="EV22" s="138"/>
      <c r="EW22" s="138"/>
      <c r="EX22" s="621">
        <v>8</v>
      </c>
      <c r="EY22" s="621">
        <v>2</v>
      </c>
      <c r="EZ22" s="138"/>
      <c r="FA22" s="138"/>
      <c r="FB22" s="123"/>
      <c r="FC22" s="123"/>
      <c r="FD22" s="123">
        <v>8</v>
      </c>
      <c r="FE22" s="123">
        <v>2</v>
      </c>
      <c r="FF22" s="138"/>
      <c r="FG22" s="138"/>
      <c r="FH22" s="138"/>
      <c r="FI22" s="138"/>
      <c r="FJ22" s="621">
        <v>8</v>
      </c>
      <c r="FK22" s="621">
        <v>2</v>
      </c>
      <c r="FL22" s="138"/>
      <c r="FM22" s="138"/>
      <c r="FN22" s="138"/>
      <c r="FO22" s="138"/>
      <c r="FP22" s="621">
        <v>8</v>
      </c>
      <c r="FQ22" s="621">
        <v>2</v>
      </c>
      <c r="FR22" s="138"/>
      <c r="FS22" s="138"/>
      <c r="FT22" s="138"/>
      <c r="FU22" s="138"/>
      <c r="FV22" s="621">
        <v>8</v>
      </c>
      <c r="FW22" s="621">
        <v>2</v>
      </c>
      <c r="FX22" s="130"/>
      <c r="FY22" s="136"/>
      <c r="FZ22" s="130"/>
      <c r="GA22" s="130"/>
      <c r="GB22" s="613"/>
      <c r="GC22" s="613"/>
      <c r="GD22" s="122"/>
      <c r="GE22" s="124"/>
      <c r="GF22" s="125">
        <f>SUM(COUNTIFS(N22:GE22,"&gt;0",$N$9:$GE$9,"GC"),COUNTIFS(N22:GE22,"&gt;0",$N$9:$GE$9,"GC1"),COUNTIFS(N22:GE22,"&gt;0",$N$9:$GE$9,"GC2"))</f>
        <v>23</v>
      </c>
      <c r="GG22" s="126">
        <f>SUMIF($N$9:$GE$9,"GC",$N22:$GE22)</f>
        <v>112</v>
      </c>
      <c r="GH22" s="126">
        <f>SUMIF($N$9:$GE$9,"GC1",$N22:$GE22)</f>
        <v>72</v>
      </c>
      <c r="GI22" s="126">
        <f>SUMIF($N$9:$GE$9,"GC2",$N22:$GE22)</f>
        <v>0</v>
      </c>
      <c r="GJ22" s="126">
        <f>SUMIF($N$9:$GE$9,"TC",$N22:$GE22)</f>
        <v>47</v>
      </c>
      <c r="GK22" s="126">
        <f>SUMIF($N$9:$GE$9,"TC1",$N22:$GE22)</f>
        <v>18</v>
      </c>
      <c r="GL22" s="126">
        <f>SUMIF($N$9:$GE$9,"TC2",$N22:$GE22)</f>
        <v>0</v>
      </c>
      <c r="GM22" s="126">
        <f>SUMIF($N$9:$GE$9,"WK-D",$N22:$GE22)+SUMIF($N$9:$GE$9,"WK-TC",$N22:$GE22)</f>
        <v>54</v>
      </c>
      <c r="GN22" s="126">
        <f>SUMIF($N$9:$GE$9,"WK-D1",$N22:$GE22)+SUMIF($N$9:$GE$9,"WK-TC1",$N22:$GE22)</f>
        <v>10</v>
      </c>
      <c r="GO22" s="126">
        <f>SUMIF($N$9:$GE$9,"WK-D2",$N22:$GE22)+SUMIF($N$9:$GE$9,"WK-TC2",$N22:$GE22)</f>
        <v>0</v>
      </c>
      <c r="GP22" s="126">
        <f>SUMIF($N$9:$GE$9,"HOD",$N22:$GE22)</f>
        <v>0</v>
      </c>
      <c r="GQ22" s="126">
        <f>SUMIF($N$9:$GE$9,"HOD1",$N22:$GE22)</f>
        <v>0</v>
      </c>
      <c r="GR22" s="126">
        <f>SUMIF($N$9:$GE$9,"HOD2",$N22:$GE22)</f>
        <v>0</v>
      </c>
      <c r="GS22" s="162">
        <f t="shared" si="30"/>
        <v>9719000</v>
      </c>
      <c r="GT22" s="97" t="str">
        <f>IF(SUM(COUNTIFS(N22:GC22,"&gt;0",$N$9:$GC$9,"GC"),COUNTIFS(N22:GC22,"&gt;0",$N$9:$GC$9,"GC1"),COUNTIFS(N22:GC22,"&gt;0",$N$9:$GC$9,"GC2"),COUNTIFS(N22:GC22,"&gt;0",$N$9:$GC$9,"WK-D"),COUNTIFS(N22:GC22,"&gt;0",$N$9:$GC$9,"WK-D1"),COUNTIFS(N22:GC22,"&gt;0",$N$9:$GC$9,"WK-D2"))&gt;3,"Đ","K")</f>
        <v>Đ</v>
      </c>
      <c r="GU22" s="97">
        <f t="shared" si="31"/>
        <v>9719000</v>
      </c>
      <c r="GV22" s="97">
        <f>SUM(COUNTIFS(N22:GC22,"&gt;2",$N$9:$GC$9,"GC"),COUNTIFS(N22:GC22,"&gt;2",$N$9:$GC$9,"GC1"),COUNTIFS(N22:GC22,"&gt;2",$N$9:$GC$9,"GC2"))</f>
        <v>23</v>
      </c>
      <c r="GW22" s="162">
        <f t="shared" si="32"/>
        <v>200000</v>
      </c>
      <c r="GX22" s="162">
        <f>SUM(COUNTIFS(N22:GC22,"&gt;2",$N$9:$GC$9,"GC"),COUNTIFS(N22:GC22,"&gt;2",$N$9:$GC$9,"GC1"),COUNTIFS(N22:GC22,"&gt;2",$N$9:$GC$9,"GC2"),COUNTIFS(N22:GC22,"&gt;2",$N$9:$GC$9,"WK-D"),COUNTIFS(N22:GC22,"&gt;2",$N$9:$GC$9,"WK-D1"),COUNTIFS(N22:GC22,"&gt;2",$N$9:$GC$9,"WK-D2"))*$GX$10</f>
        <v>300000</v>
      </c>
      <c r="GY22" s="162">
        <f t="shared" si="33"/>
        <v>240000</v>
      </c>
      <c r="GZ22" s="162">
        <f>COUNTIF($N22:$GC22,"CP")</f>
        <v>0</v>
      </c>
      <c r="HA22" s="162">
        <f>COUNTIF($N22:$GC22,"KP")</f>
        <v>0</v>
      </c>
      <c r="HB22" s="162">
        <f>COUNTIF($N22:$GC22,"ĐP")</f>
        <v>0</v>
      </c>
      <c r="HC22" s="162">
        <f>COUNTIF($N22:$GC22,"ĐD")</f>
        <v>0</v>
      </c>
      <c r="HD22" s="162">
        <f>COUNTIF($N22:$GC22,"TPL")</f>
        <v>0</v>
      </c>
      <c r="HE22" s="162">
        <f>COUNTIF($N22:$GC22,"ĐPL")</f>
        <v>0</v>
      </c>
      <c r="HF22" s="162">
        <f t="shared" si="35"/>
        <v>0</v>
      </c>
      <c r="HG22" s="156" t="str">
        <f>VLOOKUP(B22,'data nguồn'!B:N,13,0)</f>
        <v>1015403380</v>
      </c>
      <c r="HH22" s="159" t="str">
        <f>VLOOKUP(B22,'data nguồn'!B:P,15,0)</f>
        <v>Ngô Văn Chung</v>
      </c>
      <c r="HI22" s="163" t="str">
        <f>VLOOKUP(B22,'data nguồn'!B:P,14,0)</f>
        <v>VCB Hải Phòng</v>
      </c>
    </row>
    <row r="23" spans="1:218" s="95" customFormat="1" ht="15">
      <c r="A23" s="73">
        <v>13</v>
      </c>
      <c r="B23" s="623" t="s">
        <v>40</v>
      </c>
      <c r="C23" s="853" t="s">
        <v>760</v>
      </c>
      <c r="D23" s="452" t="s">
        <v>511</v>
      </c>
      <c r="E23" s="452" t="s">
        <v>132</v>
      </c>
      <c r="F23" s="452" t="s">
        <v>84</v>
      </c>
      <c r="G23" s="452"/>
      <c r="H23" s="164">
        <v>200518</v>
      </c>
      <c r="I23" s="164" t="s">
        <v>123</v>
      </c>
      <c r="J23" s="136" t="s">
        <v>124</v>
      </c>
      <c r="K23" s="165">
        <v>60</v>
      </c>
      <c r="L23" s="166" t="s">
        <v>551</v>
      </c>
      <c r="M23" s="166"/>
      <c r="N23" s="601">
        <v>8</v>
      </c>
      <c r="O23" s="601">
        <v>5</v>
      </c>
      <c r="P23" s="602"/>
      <c r="Q23" s="602"/>
      <c r="R23" s="601"/>
      <c r="S23" s="601"/>
      <c r="T23" s="602"/>
      <c r="U23" s="602"/>
      <c r="V23" s="603">
        <v>8</v>
      </c>
      <c r="W23" s="603">
        <v>5</v>
      </c>
      <c r="X23" s="602"/>
      <c r="Y23" s="602"/>
      <c r="Z23" s="603">
        <v>8</v>
      </c>
      <c r="AA23" s="603">
        <v>5</v>
      </c>
      <c r="AB23" s="602"/>
      <c r="AC23" s="602"/>
      <c r="AD23" s="604">
        <v>8</v>
      </c>
      <c r="AE23" s="604">
        <v>3</v>
      </c>
      <c r="AF23" s="605"/>
      <c r="AG23" s="605"/>
      <c r="AH23" s="605"/>
      <c r="AI23" s="605"/>
      <c r="AJ23" s="604">
        <v>8</v>
      </c>
      <c r="AK23" s="604">
        <v>3</v>
      </c>
      <c r="AL23" s="605"/>
      <c r="AM23" s="605"/>
      <c r="AN23" s="605"/>
      <c r="AO23" s="605"/>
      <c r="AP23" s="603">
        <v>8</v>
      </c>
      <c r="AQ23" s="603">
        <v>3</v>
      </c>
      <c r="AR23" s="622"/>
      <c r="AS23" s="622"/>
      <c r="AT23" s="136"/>
      <c r="AU23" s="136"/>
      <c r="AV23" s="135">
        <v>8</v>
      </c>
      <c r="AW23" s="135">
        <v>3</v>
      </c>
      <c r="AX23" s="606"/>
      <c r="AY23" s="606"/>
      <c r="AZ23" s="136"/>
      <c r="BA23" s="136"/>
      <c r="BB23" s="135">
        <v>8</v>
      </c>
      <c r="BC23" s="135">
        <v>0</v>
      </c>
      <c r="BD23" s="606"/>
      <c r="BE23" s="606"/>
      <c r="BF23" s="135">
        <v>8</v>
      </c>
      <c r="BG23" s="135">
        <v>0</v>
      </c>
      <c r="BH23" s="606"/>
      <c r="BI23" s="606"/>
      <c r="BJ23" s="136"/>
      <c r="BK23" s="136"/>
      <c r="BL23" s="129">
        <v>8</v>
      </c>
      <c r="BM23" s="129">
        <v>0</v>
      </c>
      <c r="BN23" s="606"/>
      <c r="BO23" s="606"/>
      <c r="BP23" s="136"/>
      <c r="BQ23" s="136"/>
      <c r="BR23" s="130">
        <v>8</v>
      </c>
      <c r="BS23" s="129">
        <v>3</v>
      </c>
      <c r="BT23" s="606"/>
      <c r="BU23" s="606"/>
      <c r="BV23" s="136"/>
      <c r="BW23" s="136"/>
      <c r="BX23" s="624">
        <v>8</v>
      </c>
      <c r="BY23" s="624">
        <v>0</v>
      </c>
      <c r="BZ23" s="608"/>
      <c r="CA23" s="608"/>
      <c r="CB23" s="609"/>
      <c r="CC23" s="609"/>
      <c r="CD23" s="137">
        <v>8</v>
      </c>
      <c r="CE23" s="137">
        <v>3</v>
      </c>
      <c r="CF23" s="606"/>
      <c r="CG23" s="606"/>
      <c r="CH23" s="136"/>
      <c r="CI23" s="136"/>
      <c r="CJ23" s="138">
        <v>8</v>
      </c>
      <c r="CK23" s="138">
        <v>5</v>
      </c>
      <c r="CL23" s="606"/>
      <c r="CM23" s="606"/>
      <c r="CN23" s="136"/>
      <c r="CO23" s="136"/>
      <c r="CP23" s="138">
        <v>8</v>
      </c>
      <c r="CQ23" s="138">
        <v>5</v>
      </c>
      <c r="CR23" s="606"/>
      <c r="CS23" s="606"/>
      <c r="CT23" s="138">
        <v>8</v>
      </c>
      <c r="CU23" s="138">
        <v>5</v>
      </c>
      <c r="CV23" s="606"/>
      <c r="CW23" s="606"/>
      <c r="CX23" s="136"/>
      <c r="CY23" s="136"/>
      <c r="CZ23" s="130">
        <v>8</v>
      </c>
      <c r="DA23" s="138">
        <v>5</v>
      </c>
      <c r="DB23" s="606"/>
      <c r="DC23" s="606"/>
      <c r="DD23" s="136"/>
      <c r="DE23" s="136"/>
      <c r="DF23" s="607">
        <v>8</v>
      </c>
      <c r="DG23" s="607">
        <v>5</v>
      </c>
      <c r="DH23" s="608"/>
      <c r="DI23" s="608"/>
      <c r="DJ23" s="609"/>
      <c r="DK23" s="609"/>
      <c r="DL23" s="607">
        <v>8</v>
      </c>
      <c r="DM23" s="607">
        <v>3</v>
      </c>
      <c r="DN23" s="607"/>
      <c r="DO23" s="607"/>
      <c r="DP23" s="138"/>
      <c r="DQ23" s="138"/>
      <c r="DR23" s="138"/>
      <c r="DS23" s="138"/>
      <c r="DT23" s="621">
        <v>8</v>
      </c>
      <c r="DU23" s="621">
        <v>2</v>
      </c>
      <c r="DV23" s="138"/>
      <c r="DW23" s="138"/>
      <c r="DX23" s="138"/>
      <c r="DY23" s="138"/>
      <c r="DZ23" s="621">
        <v>8</v>
      </c>
      <c r="EA23" s="621">
        <v>2</v>
      </c>
      <c r="EB23" s="138"/>
      <c r="EC23" s="138"/>
      <c r="ED23" s="138"/>
      <c r="EE23" s="138"/>
      <c r="EF23" s="621">
        <v>8</v>
      </c>
      <c r="EG23" s="621">
        <v>2</v>
      </c>
      <c r="EH23" s="138"/>
      <c r="EI23" s="138"/>
      <c r="EJ23" s="138"/>
      <c r="EK23" s="138"/>
      <c r="EL23" s="621">
        <v>8</v>
      </c>
      <c r="EM23" s="621">
        <v>2</v>
      </c>
      <c r="EN23" s="138"/>
      <c r="EO23" s="138"/>
      <c r="EP23" s="138"/>
      <c r="EQ23" s="138"/>
      <c r="ER23" s="621">
        <v>8</v>
      </c>
      <c r="ES23" s="621">
        <v>2</v>
      </c>
      <c r="ET23" s="138"/>
      <c r="EU23" s="138"/>
      <c r="EV23" s="138"/>
      <c r="EW23" s="138"/>
      <c r="EX23" s="621">
        <v>8</v>
      </c>
      <c r="EY23" s="621">
        <v>2</v>
      </c>
      <c r="EZ23" s="138"/>
      <c r="FA23" s="138"/>
      <c r="FB23" s="123"/>
      <c r="FC23" s="123"/>
      <c r="FD23" s="123">
        <v>8</v>
      </c>
      <c r="FE23" s="123">
        <v>2</v>
      </c>
      <c r="FF23" s="138"/>
      <c r="FG23" s="138"/>
      <c r="FH23" s="138"/>
      <c r="FI23" s="138"/>
      <c r="FJ23" s="621">
        <v>8</v>
      </c>
      <c r="FK23" s="621">
        <v>2</v>
      </c>
      <c r="FL23" s="138"/>
      <c r="FM23" s="138"/>
      <c r="FN23" s="138"/>
      <c r="FO23" s="138"/>
      <c r="FP23" s="621">
        <v>8</v>
      </c>
      <c r="FQ23" s="621">
        <v>2</v>
      </c>
      <c r="FR23" s="138"/>
      <c r="FS23" s="138"/>
      <c r="FT23" s="138"/>
      <c r="FU23" s="138"/>
      <c r="FV23" s="621">
        <v>8</v>
      </c>
      <c r="FW23" s="621">
        <v>2</v>
      </c>
      <c r="FX23" s="130"/>
      <c r="FY23" s="136"/>
      <c r="FZ23" s="130"/>
      <c r="GA23" s="130"/>
      <c r="GB23" s="613"/>
      <c r="GC23" s="613"/>
      <c r="GD23" s="122"/>
      <c r="GE23" s="124"/>
      <c r="GF23" s="125">
        <f>SUM(COUNTIFS(N23:GE23,"&gt;0",$N$9:$GE$9,"GC"),COUNTIFS(N23:GE23,"&gt;0",$N$9:$GE$9,"GC1"),COUNTIFS(N23:GE23,"&gt;0",$N$9:$GE$9,"GC2"))</f>
        <v>23</v>
      </c>
      <c r="GG23" s="126">
        <f>SUMIF($N$9:$GE$9,"GC",$N23:$GE23)</f>
        <v>112</v>
      </c>
      <c r="GH23" s="126">
        <f>SUMIF($N$9:$GE$9,"GC1",$N23:$GE23)</f>
        <v>72</v>
      </c>
      <c r="GI23" s="126">
        <f>SUMIF($N$9:$GE$9,"GC2",$N23:$GE23)</f>
        <v>0</v>
      </c>
      <c r="GJ23" s="126">
        <f>SUMIF($N$9:$GE$9,"TC",$N23:$GE23)</f>
        <v>47</v>
      </c>
      <c r="GK23" s="126">
        <f>SUMIF($N$9:$GE$9,"TC1",$N23:$GE23)</f>
        <v>18</v>
      </c>
      <c r="GL23" s="126">
        <f>SUMIF($N$9:$GE$9,"TC2",$N23:$GE23)</f>
        <v>0</v>
      </c>
      <c r="GM23" s="126">
        <f>SUMIF($N$9:$GE$9,"WK-D",$N23:$GE23)+SUMIF($N$9:$GE$9,"WK-TC",$N23:$GE23)</f>
        <v>54</v>
      </c>
      <c r="GN23" s="126">
        <f>SUMIF($N$9:$GE$9,"WK-D1",$N23:$GE23)+SUMIF($N$9:$GE$9,"WK-TC1",$N23:$GE23)</f>
        <v>10</v>
      </c>
      <c r="GO23" s="126">
        <f>SUMIF($N$9:$GE$9,"WK-D2",$N23:$GE23)+SUMIF($N$9:$GE$9,"WK-TC2",$N23:$GE23)</f>
        <v>0</v>
      </c>
      <c r="GP23" s="126">
        <f>SUMIF($N$9:$GE$9,"HOD",$N23:$GE23)</f>
        <v>0</v>
      </c>
      <c r="GQ23" s="126">
        <f>SUMIF($N$9:$GE$9,"HOD1",$N23:$GE23)</f>
        <v>0</v>
      </c>
      <c r="GR23" s="126">
        <f>SUMIF($N$9:$GE$9,"HOD2",$N23:$GE23)</f>
        <v>0</v>
      </c>
      <c r="GS23" s="162">
        <f t="shared" si="30"/>
        <v>9719000</v>
      </c>
      <c r="GT23" s="97" t="str">
        <f>IF(SUM(COUNTIFS(N23:GC23,"&gt;0",$N$9:$GC$9,"GC"),COUNTIFS(N23:GC23,"&gt;0",$N$9:$GC$9,"GC1"),COUNTIFS(N23:GC23,"&gt;0",$N$9:$GC$9,"GC2"),COUNTIFS(N23:GC23,"&gt;0",$N$9:$GC$9,"WK-D"),COUNTIFS(N23:GC23,"&gt;0",$N$9:$GC$9,"WK-D1"),COUNTIFS(N23:GC23,"&gt;0",$N$9:$GC$9,"WK-D2"))&gt;3,"Đ","K")</f>
        <v>Đ</v>
      </c>
      <c r="GU23" s="97">
        <f t="shared" si="31"/>
        <v>9719000</v>
      </c>
      <c r="GV23" s="97">
        <f>SUM(COUNTIFS(N23:GC23,"&gt;2",$N$9:$GC$9,"GC"),COUNTIFS(N23:GC23,"&gt;2",$N$9:$GC$9,"GC1"),COUNTIFS(N23:GC23,"&gt;2",$N$9:$GC$9,"GC2"))</f>
        <v>23</v>
      </c>
      <c r="GW23" s="162">
        <f t="shared" si="32"/>
        <v>200000</v>
      </c>
      <c r="GX23" s="162">
        <f>SUM(COUNTIFS(N23:GC23,"&gt;2",$N$9:$GC$9,"GC"),COUNTIFS(N23:GC23,"&gt;2",$N$9:$GC$9,"GC1"),COUNTIFS(N23:GC23,"&gt;2",$N$9:$GC$9,"GC2"),COUNTIFS(N23:GC23,"&gt;2",$N$9:$GC$9,"WK-D"),COUNTIFS(N23:GC23,"&gt;2",$N$9:$GC$9,"WK-D1"),COUNTIFS(N23:GC23,"&gt;2",$N$9:$GC$9,"WK-D2"))*$GX$10</f>
        <v>300000</v>
      </c>
      <c r="GY23" s="162">
        <f t="shared" si="33"/>
        <v>240000</v>
      </c>
      <c r="GZ23" s="162">
        <f>COUNTIF($N23:$GC23,"CP")</f>
        <v>0</v>
      </c>
      <c r="HA23" s="162">
        <f>COUNTIF($N23:$GC23,"KP")</f>
        <v>0</v>
      </c>
      <c r="HB23" s="162">
        <f>COUNTIF($N23:$GC23,"ĐP")</f>
        <v>0</v>
      </c>
      <c r="HC23" s="162">
        <f>COUNTIF($N23:$GC23,"ĐD")</f>
        <v>0</v>
      </c>
      <c r="HD23" s="162">
        <f>COUNTIF($N23:$GC23,"TPL")</f>
        <v>0</v>
      </c>
      <c r="HE23" s="162">
        <f>COUNTIF($N23:$GC23,"ĐPL")</f>
        <v>0</v>
      </c>
      <c r="HF23" s="162">
        <f t="shared" si="35"/>
        <v>0</v>
      </c>
      <c r="HG23" s="156" t="str">
        <f>VLOOKUP(B23,'data nguồn'!B:N,13,0)</f>
        <v>1015410828</v>
      </c>
      <c r="HH23" s="159" t="str">
        <f>VLOOKUP(B23,'data nguồn'!B:P,15,0)</f>
        <v>Lương Xuân Điệp</v>
      </c>
      <c r="HI23" s="163" t="str">
        <f>VLOOKUP(B23,'data nguồn'!B:P,14,0)</f>
        <v>VCB Hải Phòng</v>
      </c>
    </row>
    <row r="24" spans="1:218" s="95" customFormat="1" ht="15">
      <c r="A24" s="73">
        <v>14</v>
      </c>
      <c r="B24" s="623" t="s">
        <v>41</v>
      </c>
      <c r="C24" s="853" t="s">
        <v>453</v>
      </c>
      <c r="D24" s="452" t="s">
        <v>506</v>
      </c>
      <c r="E24" s="452" t="s">
        <v>135</v>
      </c>
      <c r="F24" s="452" t="s">
        <v>85</v>
      </c>
      <c r="G24" s="452"/>
      <c r="H24" s="164">
        <v>200519</v>
      </c>
      <c r="I24" s="164" t="s">
        <v>127</v>
      </c>
      <c r="J24" s="136" t="s">
        <v>124</v>
      </c>
      <c r="K24" s="165">
        <v>60</v>
      </c>
      <c r="L24" s="166" t="s">
        <v>548</v>
      </c>
      <c r="M24" s="166"/>
      <c r="N24" s="601">
        <v>8</v>
      </c>
      <c r="O24" s="601">
        <v>5</v>
      </c>
      <c r="P24" s="602"/>
      <c r="Q24" s="602"/>
      <c r="R24" s="601"/>
      <c r="S24" s="601"/>
      <c r="T24" s="602"/>
      <c r="U24" s="602"/>
      <c r="V24" s="603">
        <v>8</v>
      </c>
      <c r="W24" s="603">
        <v>5</v>
      </c>
      <c r="X24" s="602"/>
      <c r="Y24" s="602"/>
      <c r="Z24" s="603">
        <v>8</v>
      </c>
      <c r="AA24" s="603">
        <v>5</v>
      </c>
      <c r="AB24" s="602"/>
      <c r="AC24" s="602"/>
      <c r="AD24" s="604">
        <v>8</v>
      </c>
      <c r="AE24" s="604">
        <v>3</v>
      </c>
      <c r="AF24" s="605"/>
      <c r="AG24" s="605"/>
      <c r="AH24" s="605"/>
      <c r="AI24" s="605"/>
      <c r="AJ24" s="604">
        <v>8</v>
      </c>
      <c r="AK24" s="604">
        <v>0</v>
      </c>
      <c r="AL24" s="605"/>
      <c r="AM24" s="605"/>
      <c r="AN24" s="605"/>
      <c r="AO24" s="605"/>
      <c r="AP24" s="603">
        <v>8</v>
      </c>
      <c r="AQ24" s="603">
        <v>3</v>
      </c>
      <c r="AR24" s="622"/>
      <c r="AS24" s="622"/>
      <c r="AT24" s="136"/>
      <c r="AU24" s="136"/>
      <c r="AV24" s="135">
        <v>8</v>
      </c>
      <c r="AW24" s="135">
        <v>3</v>
      </c>
      <c r="AX24" s="606"/>
      <c r="AY24" s="606"/>
      <c r="AZ24" s="136"/>
      <c r="BA24" s="136"/>
      <c r="BB24" s="135">
        <v>8</v>
      </c>
      <c r="BC24" s="135">
        <v>3</v>
      </c>
      <c r="BD24" s="606"/>
      <c r="BE24" s="606"/>
      <c r="BF24" s="135">
        <v>8</v>
      </c>
      <c r="BG24" s="135">
        <v>3</v>
      </c>
      <c r="BH24" s="606"/>
      <c r="BI24" s="606"/>
      <c r="BJ24" s="136"/>
      <c r="BK24" s="136"/>
      <c r="BL24" s="129">
        <v>8</v>
      </c>
      <c r="BM24" s="129">
        <v>3</v>
      </c>
      <c r="BN24" s="606"/>
      <c r="BO24" s="606"/>
      <c r="BP24" s="136"/>
      <c r="BQ24" s="136"/>
      <c r="BR24" s="130">
        <v>8</v>
      </c>
      <c r="BS24" s="129">
        <v>3</v>
      </c>
      <c r="BT24" s="606"/>
      <c r="BU24" s="606"/>
      <c r="BV24" s="136"/>
      <c r="BW24" s="136"/>
      <c r="BX24" s="624">
        <v>8</v>
      </c>
      <c r="BY24" s="624">
        <v>0</v>
      </c>
      <c r="BZ24" s="608"/>
      <c r="CA24" s="608"/>
      <c r="CB24" s="609"/>
      <c r="CC24" s="609"/>
      <c r="CD24" s="137">
        <v>8</v>
      </c>
      <c r="CE24" s="137">
        <v>3</v>
      </c>
      <c r="CF24" s="606"/>
      <c r="CG24" s="606"/>
      <c r="CH24" s="136"/>
      <c r="CI24" s="136"/>
      <c r="CJ24" s="138">
        <v>8</v>
      </c>
      <c r="CK24" s="138">
        <v>5</v>
      </c>
      <c r="CL24" s="606"/>
      <c r="CM24" s="606"/>
      <c r="CN24" s="136"/>
      <c r="CO24" s="136"/>
      <c r="CP24" s="138">
        <v>8</v>
      </c>
      <c r="CQ24" s="138">
        <v>5</v>
      </c>
      <c r="CR24" s="606"/>
      <c r="CS24" s="606"/>
      <c r="CT24" s="138">
        <v>8</v>
      </c>
      <c r="CU24" s="138">
        <v>5</v>
      </c>
      <c r="CV24" s="606"/>
      <c r="CW24" s="606"/>
      <c r="CX24" s="136"/>
      <c r="CY24" s="136"/>
      <c r="CZ24" s="130">
        <v>8</v>
      </c>
      <c r="DA24" s="138">
        <v>5</v>
      </c>
      <c r="DB24" s="606"/>
      <c r="DC24" s="606"/>
      <c r="DD24" s="136"/>
      <c r="DE24" s="136"/>
      <c r="DF24" s="607">
        <v>8</v>
      </c>
      <c r="DG24" s="607">
        <v>5</v>
      </c>
      <c r="DH24" s="608"/>
      <c r="DI24" s="608"/>
      <c r="DJ24" s="609"/>
      <c r="DK24" s="609"/>
      <c r="DL24" s="607">
        <v>8</v>
      </c>
      <c r="DM24" s="607">
        <v>3</v>
      </c>
      <c r="DN24" s="607"/>
      <c r="DO24" s="607"/>
      <c r="DP24" s="138"/>
      <c r="DQ24" s="138"/>
      <c r="DR24" s="138">
        <v>8</v>
      </c>
      <c r="DS24" s="138">
        <v>5</v>
      </c>
      <c r="DT24" s="621"/>
      <c r="DU24" s="621"/>
      <c r="DV24" s="138"/>
      <c r="DW24" s="138"/>
      <c r="DX24" s="138">
        <v>8</v>
      </c>
      <c r="DY24" s="138">
        <v>5</v>
      </c>
      <c r="DZ24" s="621"/>
      <c r="EA24" s="621"/>
      <c r="EB24" s="138"/>
      <c r="EC24" s="138"/>
      <c r="ED24" s="138">
        <v>8</v>
      </c>
      <c r="EE24" s="138">
        <v>3</v>
      </c>
      <c r="EF24" s="621"/>
      <c r="EG24" s="621"/>
      <c r="EH24" s="138"/>
      <c r="EI24" s="138"/>
      <c r="EJ24" s="138">
        <v>8</v>
      </c>
      <c r="EK24" s="138">
        <v>5</v>
      </c>
      <c r="EL24" s="621"/>
      <c r="EM24" s="621"/>
      <c r="EN24" s="138"/>
      <c r="EO24" s="138"/>
      <c r="EP24" s="138">
        <v>8</v>
      </c>
      <c r="EQ24" s="138">
        <v>5</v>
      </c>
      <c r="ER24" s="621"/>
      <c r="ES24" s="621"/>
      <c r="ET24" s="138"/>
      <c r="EU24" s="138"/>
      <c r="EV24" s="138">
        <v>8</v>
      </c>
      <c r="EW24" s="138">
        <v>5</v>
      </c>
      <c r="EX24" s="621"/>
      <c r="EY24" s="621"/>
      <c r="EZ24" s="138"/>
      <c r="FA24" s="138"/>
      <c r="FB24" s="123">
        <v>8</v>
      </c>
      <c r="FC24" s="123">
        <v>0</v>
      </c>
      <c r="FD24" s="123"/>
      <c r="FE24" s="123"/>
      <c r="FF24" s="138"/>
      <c r="FG24" s="138"/>
      <c r="FH24" s="138">
        <v>8</v>
      </c>
      <c r="FI24" s="138">
        <v>5</v>
      </c>
      <c r="FJ24" s="621"/>
      <c r="FK24" s="621"/>
      <c r="FL24" s="138"/>
      <c r="FM24" s="138"/>
      <c r="FN24" s="138">
        <v>8</v>
      </c>
      <c r="FO24" s="138">
        <v>5</v>
      </c>
      <c r="FP24" s="621"/>
      <c r="FQ24" s="621"/>
      <c r="FR24" s="138"/>
      <c r="FS24" s="138"/>
      <c r="FT24" s="138">
        <v>8</v>
      </c>
      <c r="FU24" s="138">
        <v>3</v>
      </c>
      <c r="FV24" s="621"/>
      <c r="FW24" s="621"/>
      <c r="FX24" s="130"/>
      <c r="FY24" s="136"/>
      <c r="FZ24" s="130"/>
      <c r="GA24" s="130"/>
      <c r="GB24" s="613"/>
      <c r="GC24" s="613"/>
      <c r="GD24" s="122"/>
      <c r="GE24" s="124"/>
      <c r="GF24" s="125">
        <f>SUM(COUNTIFS(N24:GE24,"&gt;0",$N$9:$GE$9,"GC"),COUNTIFS(N24:GE24,"&gt;0",$N$9:$GE$9,"GC1"),COUNTIFS(N24:GE24,"&gt;0",$N$9:$GE$9,"GC2"))</f>
        <v>23</v>
      </c>
      <c r="GG24" s="126">
        <f>SUMIF($N$9:$GE$9,"GC",$N24:$GE24)</f>
        <v>184</v>
      </c>
      <c r="GH24" s="126">
        <f>SUMIF($N$9:$GE$9,"GC1",$N24:$GE24)</f>
        <v>0</v>
      </c>
      <c r="GI24" s="126">
        <f>SUMIF($N$9:$GE$9,"GC2",$N24:$GE24)</f>
        <v>0</v>
      </c>
      <c r="GJ24" s="126">
        <f>SUMIF($N$9:$GE$9,"TC",$N24:$GE24)</f>
        <v>97</v>
      </c>
      <c r="GK24" s="126">
        <f>SUMIF($N$9:$GE$9,"TC1",$N24:$GE24)</f>
        <v>0</v>
      </c>
      <c r="GL24" s="126">
        <f>SUMIF($N$9:$GE$9,"TC2",$N24:$GE24)</f>
        <v>0</v>
      </c>
      <c r="GM24" s="126">
        <f>SUMIF($N$9:$GE$9,"WK-D",$N24:$GE24)+SUMIF($N$9:$GE$9,"WK-TC",$N24:$GE24)</f>
        <v>59</v>
      </c>
      <c r="GN24" s="126">
        <f>SUMIF($N$9:$GE$9,"WK-D1",$N24:$GE24)+SUMIF($N$9:$GE$9,"WK-TC1",$N24:$GE24)</f>
        <v>0</v>
      </c>
      <c r="GO24" s="126">
        <f>SUMIF($N$9:$GE$9,"WK-D2",$N24:$GE24)+SUMIF($N$9:$GE$9,"WK-TC2",$N24:$GE24)</f>
        <v>0</v>
      </c>
      <c r="GP24" s="126">
        <f>SUMIF($N$9:$GE$9,"HOD",$N24:$GE24)</f>
        <v>0</v>
      </c>
      <c r="GQ24" s="126">
        <f>SUMIF($N$9:$GE$9,"HOD1",$N24:$GE24)</f>
        <v>0</v>
      </c>
      <c r="GR24" s="126">
        <f>SUMIF($N$9:$GE$9,"HOD2",$N24:$GE24)</f>
        <v>0</v>
      </c>
      <c r="GS24" s="162">
        <f t="shared" ref="GS24:GS25" si="36">GG24*$GG$10+GH24*$GH$10+GI24*$GI$10+GJ24*$GJ$10+GK24*$GK$10+GL24*$GL$10+GM24*$GM$10+GN24*$GN$10+GO24*$GO$10+GP24*$GP$10+GQ24*$GQ$10+GR24*$GR$10</f>
        <v>10127250</v>
      </c>
      <c r="GT24" s="97" t="str">
        <f>IF(SUM(COUNTIFS(N24:GC24,"&gt;0",$N$9:$GC$9,"GC"),COUNTIFS(N24:GC24,"&gt;0",$N$9:$GC$9,"GC1"),COUNTIFS(N24:GC24,"&gt;0",$N$9:$GC$9,"GC2"),COUNTIFS(N24:GC24,"&gt;0",$N$9:$GC$9,"WK-D"),COUNTIFS(N24:GC24,"&gt;0",$N$9:$GC$9,"WK-D1"),COUNTIFS(N24:GC24,"&gt;0",$N$9:$GC$9,"WK-D2"))&gt;3,"Đ","K")</f>
        <v>Đ</v>
      </c>
      <c r="GU24" s="97">
        <f t="shared" ref="GU24:GU25" si="37">IF(GT24="Đ",GS24,0)</f>
        <v>10127250</v>
      </c>
      <c r="GV24" s="97">
        <f>SUM(COUNTIFS(N24:GC24,"&gt;0",$N$9:$GC$9,"GC"),COUNTIFS(N24:GC24,"&gt;0",$N$9:$GC$9,"GC1"),COUNTIFS(N24:GC24,"&gt;0",$N$9:$GC$9,"GC2"))</f>
        <v>23</v>
      </c>
      <c r="GW24" s="162">
        <f t="shared" si="32"/>
        <v>200000</v>
      </c>
      <c r="GX24" s="162">
        <f>SUM(COUNTIFS(N24:GC24,"&gt;2",$N$9:$GC$9,"GC"),COUNTIFS(N24:GC24,"&gt;2",$N$9:$GC$9,"GC1"),COUNTIFS(N24:GC24,"&gt;2",$N$9:$GC$9,"GC2"),COUNTIFS(N24:GC24,"&gt;2",$N$9:$GC$9,"WK-D"),COUNTIFS(N24:GC24,"&gt;2",$N$9:$GC$9,"WK-D1"),COUNTIFS(N24:GC24,"&gt;2",$N$9:$GC$9,"WK-D2"))*$GX$10</f>
        <v>300000</v>
      </c>
      <c r="GY24" s="162">
        <f t="shared" si="33"/>
        <v>240000</v>
      </c>
      <c r="GZ24" s="162">
        <f>COUNTIF($N24:$GC24,"CP")</f>
        <v>0</v>
      </c>
      <c r="HA24" s="162">
        <f>COUNTIF($N24:$GC24,"KP")</f>
        <v>0</v>
      </c>
      <c r="HB24" s="162">
        <f>COUNTIF($N24:$GC24,"ĐP")</f>
        <v>0</v>
      </c>
      <c r="HC24" s="162">
        <f>COUNTIF($N24:$GC24,"ĐD")</f>
        <v>0</v>
      </c>
      <c r="HD24" s="162">
        <f>COUNTIF($N24:$GC24,"TPL")</f>
        <v>0</v>
      </c>
      <c r="HE24" s="162">
        <f>COUNTIF($N24:$GC24,"ĐPL")</f>
        <v>0</v>
      </c>
      <c r="HF24" s="162">
        <f t="shared" si="35"/>
        <v>0</v>
      </c>
      <c r="HG24" s="156" t="str">
        <f>VLOOKUP(B24,'data nguồn'!B:N,13,0)</f>
        <v>1015432095</v>
      </c>
      <c r="HH24" s="159" t="str">
        <f>VLOOKUP(B24,'data nguồn'!B:P,15,0)</f>
        <v>Hoàng Trọng Nghĩa</v>
      </c>
      <c r="HI24" s="163" t="str">
        <f>VLOOKUP(B24,'data nguồn'!B:P,14,0)</f>
        <v>VCB Hải Phòng</v>
      </c>
    </row>
    <row r="25" spans="1:218" s="95" customFormat="1" ht="15">
      <c r="A25" s="73">
        <v>15</v>
      </c>
      <c r="B25" s="599" t="s">
        <v>392</v>
      </c>
      <c r="C25" s="851" t="s">
        <v>454</v>
      </c>
      <c r="D25" s="164" t="s">
        <v>501</v>
      </c>
      <c r="E25" s="164" t="s">
        <v>502</v>
      </c>
      <c r="F25" s="164" t="s">
        <v>86</v>
      </c>
      <c r="G25" s="164"/>
      <c r="H25" s="164">
        <v>200520</v>
      </c>
      <c r="I25" s="164" t="s">
        <v>125</v>
      </c>
      <c r="J25" s="136" t="s">
        <v>124</v>
      </c>
      <c r="K25" s="165">
        <v>150</v>
      </c>
      <c r="L25" s="166" t="s">
        <v>552</v>
      </c>
      <c r="M25" s="166"/>
      <c r="N25" s="601">
        <v>8</v>
      </c>
      <c r="O25" s="601">
        <v>5</v>
      </c>
      <c r="P25" s="602"/>
      <c r="Q25" s="602"/>
      <c r="R25" s="601"/>
      <c r="S25" s="601"/>
      <c r="T25" s="602"/>
      <c r="U25" s="602"/>
      <c r="V25" s="603">
        <v>8</v>
      </c>
      <c r="W25" s="603">
        <v>5</v>
      </c>
      <c r="X25" s="602"/>
      <c r="Y25" s="602"/>
      <c r="Z25" s="603">
        <v>8</v>
      </c>
      <c r="AA25" s="603">
        <v>5</v>
      </c>
      <c r="AB25" s="602"/>
      <c r="AC25" s="602"/>
      <c r="AD25" s="604">
        <v>8</v>
      </c>
      <c r="AE25" s="604">
        <v>3</v>
      </c>
      <c r="AF25" s="605"/>
      <c r="AG25" s="605"/>
      <c r="AH25" s="605"/>
      <c r="AI25" s="605"/>
      <c r="AJ25" s="604">
        <v>8</v>
      </c>
      <c r="AK25" s="604">
        <v>3</v>
      </c>
      <c r="AL25" s="605"/>
      <c r="AM25" s="605"/>
      <c r="AN25" s="605"/>
      <c r="AO25" s="605"/>
      <c r="AP25" s="603">
        <v>8</v>
      </c>
      <c r="AQ25" s="603">
        <v>3</v>
      </c>
      <c r="AR25" s="622"/>
      <c r="AS25" s="622"/>
      <c r="AT25" s="136"/>
      <c r="AU25" s="136"/>
      <c r="AV25" s="135">
        <v>8</v>
      </c>
      <c r="AW25" s="135">
        <v>3</v>
      </c>
      <c r="AX25" s="606"/>
      <c r="AY25" s="606"/>
      <c r="AZ25" s="136"/>
      <c r="BA25" s="136"/>
      <c r="BB25" s="135">
        <v>8</v>
      </c>
      <c r="BC25" s="135">
        <v>0</v>
      </c>
      <c r="BD25" s="606"/>
      <c r="BE25" s="606"/>
      <c r="BF25" s="135">
        <v>8</v>
      </c>
      <c r="BG25" s="135">
        <v>0</v>
      </c>
      <c r="BH25" s="606"/>
      <c r="BI25" s="606"/>
      <c r="BJ25" s="136"/>
      <c r="BK25" s="136"/>
      <c r="BL25" s="129">
        <v>8</v>
      </c>
      <c r="BM25" s="129">
        <v>0</v>
      </c>
      <c r="BN25" s="606"/>
      <c r="BO25" s="606"/>
      <c r="BP25" s="136"/>
      <c r="BQ25" s="136"/>
      <c r="BR25" s="130">
        <v>8</v>
      </c>
      <c r="BS25" s="129">
        <v>3</v>
      </c>
      <c r="BT25" s="606"/>
      <c r="BU25" s="606"/>
      <c r="BV25" s="136"/>
      <c r="BW25" s="136"/>
      <c r="BX25" s="624">
        <v>8</v>
      </c>
      <c r="BY25" s="624">
        <v>0</v>
      </c>
      <c r="BZ25" s="608"/>
      <c r="CA25" s="608"/>
      <c r="CB25" s="609"/>
      <c r="CC25" s="609"/>
      <c r="CD25" s="137">
        <v>8</v>
      </c>
      <c r="CE25" s="137">
        <v>3</v>
      </c>
      <c r="CF25" s="606"/>
      <c r="CG25" s="606"/>
      <c r="CH25" s="136"/>
      <c r="CI25" s="136"/>
      <c r="CJ25" s="138" t="s">
        <v>533</v>
      </c>
      <c r="CK25" s="138" t="str">
        <f>F57</f>
        <v>Trần Văn Dương</v>
      </c>
      <c r="CL25" s="606"/>
      <c r="CM25" s="606"/>
      <c r="CN25" s="136"/>
      <c r="CO25" s="136"/>
      <c r="CP25" s="138" t="s">
        <v>533</v>
      </c>
      <c r="CQ25" s="138"/>
      <c r="CR25" s="606"/>
      <c r="CS25" s="606"/>
      <c r="CT25" s="138">
        <v>8</v>
      </c>
      <c r="CU25" s="138">
        <v>5</v>
      </c>
      <c r="CV25" s="606"/>
      <c r="CW25" s="606"/>
      <c r="CX25" s="136"/>
      <c r="CY25" s="136"/>
      <c r="CZ25" s="130">
        <v>8</v>
      </c>
      <c r="DA25" s="138">
        <v>5</v>
      </c>
      <c r="DB25" s="606"/>
      <c r="DC25" s="606"/>
      <c r="DD25" s="136"/>
      <c r="DE25" s="136"/>
      <c r="DF25" s="607">
        <v>8</v>
      </c>
      <c r="DG25" s="607">
        <v>5</v>
      </c>
      <c r="DH25" s="608"/>
      <c r="DI25" s="608"/>
      <c r="DJ25" s="609"/>
      <c r="DK25" s="609"/>
      <c r="DL25" s="607">
        <v>8</v>
      </c>
      <c r="DM25" s="607">
        <v>3</v>
      </c>
      <c r="DN25" s="607"/>
      <c r="DO25" s="607"/>
      <c r="DP25" s="138"/>
      <c r="DQ25" s="138"/>
      <c r="DR25" s="138"/>
      <c r="DS25" s="138"/>
      <c r="DT25" s="621">
        <v>8</v>
      </c>
      <c r="DU25" s="621">
        <v>2</v>
      </c>
      <c r="DV25" s="138"/>
      <c r="DW25" s="138"/>
      <c r="DX25" s="138"/>
      <c r="DY25" s="138"/>
      <c r="DZ25" s="621">
        <v>8</v>
      </c>
      <c r="EA25" s="621">
        <v>2</v>
      </c>
      <c r="EB25" s="138"/>
      <c r="EC25" s="138"/>
      <c r="ED25" s="138"/>
      <c r="EE25" s="138"/>
      <c r="EF25" s="621">
        <v>8</v>
      </c>
      <c r="EG25" s="621">
        <v>2</v>
      </c>
      <c r="EH25" s="138"/>
      <c r="EI25" s="138"/>
      <c r="EJ25" s="138"/>
      <c r="EK25" s="138"/>
      <c r="EL25" s="621">
        <v>8</v>
      </c>
      <c r="EM25" s="621">
        <v>2</v>
      </c>
      <c r="EN25" s="138"/>
      <c r="EO25" s="138"/>
      <c r="EP25" s="138"/>
      <c r="EQ25" s="138"/>
      <c r="ER25" s="621">
        <v>8</v>
      </c>
      <c r="ES25" s="621">
        <v>2</v>
      </c>
      <c r="ET25" s="138"/>
      <c r="EU25" s="138"/>
      <c r="EV25" s="138"/>
      <c r="EW25" s="138"/>
      <c r="EX25" s="621">
        <v>8</v>
      </c>
      <c r="EY25" s="621">
        <v>2</v>
      </c>
      <c r="EZ25" s="138"/>
      <c r="FA25" s="138"/>
      <c r="FB25" s="123"/>
      <c r="FC25" s="123"/>
      <c r="FD25" s="123">
        <v>8</v>
      </c>
      <c r="FE25" s="123">
        <v>2</v>
      </c>
      <c r="FF25" s="138"/>
      <c r="FG25" s="138"/>
      <c r="FH25" s="138"/>
      <c r="FI25" s="138"/>
      <c r="FJ25" s="621">
        <v>8</v>
      </c>
      <c r="FK25" s="621">
        <v>2</v>
      </c>
      <c r="FL25" s="138"/>
      <c r="FM25" s="138"/>
      <c r="FN25" s="138"/>
      <c r="FO25" s="138"/>
      <c r="FP25" s="621">
        <v>8</v>
      </c>
      <c r="FQ25" s="621">
        <v>2</v>
      </c>
      <c r="FR25" s="138"/>
      <c r="FS25" s="138"/>
      <c r="FT25" s="138"/>
      <c r="FU25" s="138"/>
      <c r="FV25" s="621">
        <v>8</v>
      </c>
      <c r="FW25" s="621">
        <v>2</v>
      </c>
      <c r="FX25" s="130"/>
      <c r="FY25" s="136"/>
      <c r="FZ25" s="130"/>
      <c r="GA25" s="130"/>
      <c r="GB25" s="613"/>
      <c r="GC25" s="613"/>
      <c r="GD25" s="122"/>
      <c r="GE25" s="124"/>
      <c r="GF25" s="125">
        <f>SUM(COUNTIFS(N25:GE25,"&gt;0",$N$9:$GE$9,"GC"),COUNTIFS(N25:GE25,"&gt;0",$N$9:$GE$9,"GC1"),COUNTIFS(N25:GE25,"&gt;0",$N$9:$GE$9,"GC2"))</f>
        <v>21</v>
      </c>
      <c r="GG25" s="126">
        <f>SUMIF($N$9:$GE$9,"GC",$N25:$GE25)</f>
        <v>96</v>
      </c>
      <c r="GH25" s="126">
        <f>SUMIF($N$9:$GE$9,"GC1",$N25:$GE25)</f>
        <v>72</v>
      </c>
      <c r="GI25" s="126">
        <f>SUMIF($N$9:$GE$9,"GC2",$N25:$GE25)</f>
        <v>0</v>
      </c>
      <c r="GJ25" s="126">
        <f>SUMIF($N$9:$GE$9,"TC",$N25:$GE25)</f>
        <v>37</v>
      </c>
      <c r="GK25" s="126">
        <f>SUMIF($N$9:$GE$9,"TC1",$N25:$GE25)</f>
        <v>18</v>
      </c>
      <c r="GL25" s="126">
        <f>SUMIF($N$9:$GE$9,"TC2",$N25:$GE25)</f>
        <v>0</v>
      </c>
      <c r="GM25" s="126">
        <f>SUMIF($N$9:$GE$9,"WK-D",$N25:$GE25)+SUMIF($N$9:$GE$9,"WK-TC",$N25:$GE25)</f>
        <v>54</v>
      </c>
      <c r="GN25" s="126">
        <f>SUMIF($N$9:$GE$9,"WK-D1",$N25:$GE25)+SUMIF($N$9:$GE$9,"WK-TC1",$N25:$GE25)</f>
        <v>10</v>
      </c>
      <c r="GO25" s="126">
        <f>SUMIF($N$9:$GE$9,"WK-D2",$N25:$GE25)+SUMIF($N$9:$GE$9,"WK-TC2",$N25:$GE25)</f>
        <v>0</v>
      </c>
      <c r="GP25" s="126">
        <f>SUMIF($N$9:$GE$9,"HOD",$N25:$GE25)</f>
        <v>0</v>
      </c>
      <c r="GQ25" s="126">
        <f>SUMIF($N$9:$GE$9,"HOD1",$N25:$GE25)</f>
        <v>0</v>
      </c>
      <c r="GR25" s="126">
        <f>SUMIF($N$9:$GE$9,"HOD2",$N25:$GE25)</f>
        <v>0</v>
      </c>
      <c r="GS25" s="162">
        <f t="shared" si="36"/>
        <v>9023000</v>
      </c>
      <c r="GT25" s="97" t="str">
        <f>IF(SUM(COUNTIFS(N25:GC25,"&gt;0",$N$9:$GC$9,"GC"),COUNTIFS(N25:GC25,"&gt;0",$N$9:$GC$9,"GC1"),COUNTIFS(N25:GC25,"&gt;0",$N$9:$GC$9,"GC2"),COUNTIFS(N25:GC25,"&gt;0",$N$9:$GC$9,"WK-D"),COUNTIFS(N25:GC25,"&gt;0",$N$9:$GC$9,"WK-D1"),COUNTIFS(N25:GC25,"&gt;0",$N$9:$GC$9,"WK-D2"))&gt;3,"Đ","K")</f>
        <v>Đ</v>
      </c>
      <c r="GU25" s="97">
        <f t="shared" si="37"/>
        <v>9023000</v>
      </c>
      <c r="GV25" s="97">
        <f>SUM(COUNTIFS(N25:GC25,"&gt;0",$N$9:$GC$9,"GC"),COUNTIFS(N25:GC25,"&gt;0",$N$9:$GC$9,"GC1"),COUNTIFS(N25:GC25,"&gt;0",$N$9:$GC$9,"GC2"))</f>
        <v>21</v>
      </c>
      <c r="GW25" s="162">
        <f t="shared" si="32"/>
        <v>0</v>
      </c>
      <c r="GX25" s="162">
        <f>SUM(COUNTIFS(N25:GC25,"&gt;2",$N$9:$GC$9,"GC"),COUNTIFS(N25:GC25,"&gt;2",$N$9:$GC$9,"GC1"),COUNTIFS(N25:GC25,"&gt;2",$N$9:$GC$9,"GC2"),COUNTIFS(N25:GC25,"&gt;2",$N$9:$GC$9,"WK-D"),COUNTIFS(N25:GC25,"&gt;2",$N$9:$GC$9,"WK-D1"),COUNTIFS(N25:GC25,"&gt;2",$N$9:$GC$9,"WK-D2"))*$GX$10</f>
        <v>279310.3448275862</v>
      </c>
      <c r="GY25" s="162">
        <f t="shared" si="33"/>
        <v>219130.4347826087</v>
      </c>
      <c r="GZ25" s="162">
        <f>COUNTIF($N25:$GC25,"CP")</f>
        <v>2</v>
      </c>
      <c r="HA25" s="162">
        <f>COUNTIF($N25:$GC25,"KP")</f>
        <v>0</v>
      </c>
      <c r="HB25" s="162">
        <f>COUNTIF($N25:$GC25,"ĐP")</f>
        <v>0</v>
      </c>
      <c r="HC25" s="162">
        <f>COUNTIF($N25:$GC25,"ĐD")</f>
        <v>0</v>
      </c>
      <c r="HD25" s="162">
        <f>COUNTIF($N25:$GC25,"TPL")</f>
        <v>0</v>
      </c>
      <c r="HE25" s="162">
        <f>COUNTIF($N25:$GC25,"ĐPL")</f>
        <v>0</v>
      </c>
      <c r="HF25" s="162">
        <f t="shared" si="35"/>
        <v>0</v>
      </c>
      <c r="HG25" s="156">
        <f>VLOOKUP(B25,'data nguồn'!B:N,13,0)</f>
        <v>0</v>
      </c>
      <c r="HH25" s="159">
        <f>VLOOKUP(B25,'data nguồn'!B:P,15,0)</f>
        <v>0</v>
      </c>
      <c r="HI25" s="163">
        <f>VLOOKUP(B25,'data nguồn'!B:P,14,0)</f>
        <v>0</v>
      </c>
      <c r="HJ25" s="95" t="s">
        <v>979</v>
      </c>
    </row>
    <row r="26" spans="1:218" s="95" customFormat="1" ht="15">
      <c r="A26" s="73">
        <v>16</v>
      </c>
      <c r="B26" s="599" t="s">
        <v>402</v>
      </c>
      <c r="C26" s="851" t="s">
        <v>456</v>
      </c>
      <c r="D26" s="164" t="s">
        <v>508</v>
      </c>
      <c r="E26" s="164" t="s">
        <v>483</v>
      </c>
      <c r="F26" s="164" t="s">
        <v>828</v>
      </c>
      <c r="G26" s="164"/>
      <c r="H26" s="164">
        <v>200602</v>
      </c>
      <c r="I26" s="164" t="s">
        <v>126</v>
      </c>
      <c r="J26" s="136" t="s">
        <v>124</v>
      </c>
      <c r="K26" s="165"/>
      <c r="L26" s="166"/>
      <c r="M26" s="166"/>
      <c r="N26" s="601">
        <v>8</v>
      </c>
      <c r="O26" s="601">
        <v>3</v>
      </c>
      <c r="P26" s="602"/>
      <c r="Q26" s="602"/>
      <c r="R26" s="601"/>
      <c r="S26" s="601"/>
      <c r="T26" s="602"/>
      <c r="U26" s="602"/>
      <c r="V26" s="603">
        <v>8</v>
      </c>
      <c r="W26" s="603">
        <v>3</v>
      </c>
      <c r="X26" s="602"/>
      <c r="Y26" s="602"/>
      <c r="Z26" s="603">
        <v>8</v>
      </c>
      <c r="AA26" s="603">
        <v>3</v>
      </c>
      <c r="AB26" s="602"/>
      <c r="AC26" s="602"/>
      <c r="AD26" s="604">
        <v>8</v>
      </c>
      <c r="AE26" s="604">
        <v>3</v>
      </c>
      <c r="AF26" s="605"/>
      <c r="AG26" s="605"/>
      <c r="AH26" s="605"/>
      <c r="AI26" s="605"/>
      <c r="AJ26" s="604">
        <v>8</v>
      </c>
      <c r="AK26" s="604">
        <v>3</v>
      </c>
      <c r="AL26" s="605"/>
      <c r="AM26" s="605"/>
      <c r="AN26" s="605"/>
      <c r="AO26" s="605"/>
      <c r="AP26" s="603">
        <v>8</v>
      </c>
      <c r="AQ26" s="603">
        <v>3</v>
      </c>
      <c r="AR26" s="622"/>
      <c r="AS26" s="622"/>
      <c r="AT26" s="136"/>
      <c r="AU26" s="136"/>
      <c r="AV26" s="135">
        <v>8</v>
      </c>
      <c r="AW26" s="135">
        <v>3</v>
      </c>
      <c r="AX26" s="606"/>
      <c r="AY26" s="606"/>
      <c r="AZ26" s="136"/>
      <c r="BA26" s="136"/>
      <c r="BB26" s="135">
        <v>8</v>
      </c>
      <c r="BC26" s="135">
        <v>3</v>
      </c>
      <c r="BD26" s="606"/>
      <c r="BE26" s="606"/>
      <c r="BF26" s="135">
        <v>8</v>
      </c>
      <c r="BG26" s="135">
        <v>3</v>
      </c>
      <c r="BH26" s="606"/>
      <c r="BI26" s="606"/>
      <c r="BJ26" s="136"/>
      <c r="BK26" s="136"/>
      <c r="BL26" s="129">
        <v>8</v>
      </c>
      <c r="BM26" s="129">
        <v>3</v>
      </c>
      <c r="BN26" s="606"/>
      <c r="BO26" s="606"/>
      <c r="BP26" s="136"/>
      <c r="BQ26" s="136"/>
      <c r="BR26" s="130">
        <v>8</v>
      </c>
      <c r="BS26" s="129">
        <v>3</v>
      </c>
      <c r="BT26" s="606"/>
      <c r="BU26" s="606"/>
      <c r="BV26" s="136"/>
      <c r="BW26" s="136"/>
      <c r="BX26" s="624">
        <v>8</v>
      </c>
      <c r="BY26" s="624">
        <v>3</v>
      </c>
      <c r="BZ26" s="608"/>
      <c r="CA26" s="608"/>
      <c r="CB26" s="609"/>
      <c r="CC26" s="609"/>
      <c r="CD26" s="137">
        <v>8</v>
      </c>
      <c r="CE26" s="137">
        <v>3</v>
      </c>
      <c r="CF26" s="606"/>
      <c r="CG26" s="606"/>
      <c r="CH26" s="136"/>
      <c r="CI26" s="136"/>
      <c r="CJ26" s="138">
        <v>8</v>
      </c>
      <c r="CK26" s="138">
        <v>3</v>
      </c>
      <c r="CL26" s="606"/>
      <c r="CM26" s="606"/>
      <c r="CN26" s="136"/>
      <c r="CO26" s="136"/>
      <c r="CP26" s="138">
        <v>8</v>
      </c>
      <c r="CQ26" s="138">
        <v>3</v>
      </c>
      <c r="CR26" s="606"/>
      <c r="CS26" s="606"/>
      <c r="CT26" s="138">
        <v>8</v>
      </c>
      <c r="CU26" s="138">
        <v>3</v>
      </c>
      <c r="CV26" s="606"/>
      <c r="CW26" s="606"/>
      <c r="CX26" s="136"/>
      <c r="CY26" s="136"/>
      <c r="CZ26" s="130">
        <v>8</v>
      </c>
      <c r="DA26" s="138">
        <v>3</v>
      </c>
      <c r="DB26" s="606"/>
      <c r="DC26" s="606"/>
      <c r="DD26" s="136"/>
      <c r="DE26" s="136"/>
      <c r="DF26" s="607">
        <v>8</v>
      </c>
      <c r="DG26" s="607">
        <v>3</v>
      </c>
      <c r="DH26" s="608"/>
      <c r="DI26" s="608"/>
      <c r="DJ26" s="609"/>
      <c r="DK26" s="609"/>
      <c r="DL26" s="607">
        <v>8</v>
      </c>
      <c r="DM26" s="607">
        <v>3</v>
      </c>
      <c r="DN26" s="607"/>
      <c r="DO26" s="607"/>
      <c r="DP26" s="138"/>
      <c r="DQ26" s="138"/>
      <c r="DR26" s="138">
        <v>8</v>
      </c>
      <c r="DS26" s="138">
        <v>3</v>
      </c>
      <c r="DT26" s="621"/>
      <c r="DU26" s="621"/>
      <c r="DV26" s="138"/>
      <c r="DW26" s="138"/>
      <c r="DX26" s="138">
        <v>8</v>
      </c>
      <c r="DY26" s="138">
        <v>3</v>
      </c>
      <c r="DZ26" s="621"/>
      <c r="EA26" s="621"/>
      <c r="EB26" s="138"/>
      <c r="EC26" s="138"/>
      <c r="ED26" s="138">
        <v>8</v>
      </c>
      <c r="EE26" s="138">
        <v>3</v>
      </c>
      <c r="EF26" s="621"/>
      <c r="EG26" s="621"/>
      <c r="EH26" s="138"/>
      <c r="EI26" s="138"/>
      <c r="EJ26" s="138">
        <v>8</v>
      </c>
      <c r="EK26" s="138">
        <v>3</v>
      </c>
      <c r="EL26" s="621"/>
      <c r="EM26" s="621"/>
      <c r="EN26" s="138"/>
      <c r="EO26" s="138"/>
      <c r="EP26" s="138">
        <v>8</v>
      </c>
      <c r="EQ26" s="138">
        <v>3</v>
      </c>
      <c r="ER26" s="621"/>
      <c r="ES26" s="621"/>
      <c r="ET26" s="138"/>
      <c r="EU26" s="138"/>
      <c r="EV26" s="138">
        <v>8</v>
      </c>
      <c r="EW26" s="138">
        <v>3</v>
      </c>
      <c r="EX26" s="621"/>
      <c r="EY26" s="621"/>
      <c r="EZ26" s="138"/>
      <c r="FA26" s="138"/>
      <c r="FB26" s="123">
        <v>8</v>
      </c>
      <c r="FC26" s="123">
        <v>3</v>
      </c>
      <c r="FD26" s="123"/>
      <c r="FE26" s="123"/>
      <c r="FF26" s="138"/>
      <c r="FG26" s="138"/>
      <c r="FH26" s="138">
        <v>8</v>
      </c>
      <c r="FI26" s="138">
        <v>3</v>
      </c>
      <c r="FJ26" s="621"/>
      <c r="FK26" s="621"/>
      <c r="FL26" s="138"/>
      <c r="FM26" s="138"/>
      <c r="FN26" s="138">
        <v>8</v>
      </c>
      <c r="FO26" s="138">
        <v>3</v>
      </c>
      <c r="FP26" s="621"/>
      <c r="FQ26" s="621"/>
      <c r="FR26" s="138"/>
      <c r="FS26" s="138"/>
      <c r="FT26" s="138">
        <v>8</v>
      </c>
      <c r="FU26" s="138">
        <v>3</v>
      </c>
      <c r="FV26" s="621"/>
      <c r="FW26" s="621"/>
      <c r="FX26" s="130"/>
      <c r="FY26" s="136"/>
      <c r="FZ26" s="130"/>
      <c r="GA26" s="130"/>
      <c r="GB26" s="613"/>
      <c r="GC26" s="613"/>
      <c r="GD26" s="122"/>
      <c r="GE26" s="124"/>
      <c r="GF26" s="125">
        <f>SUM(COUNTIFS(N26:GE26,"&gt;0",$N$9:$GE$9,"GC"),COUNTIFS(N26:GE26,"&gt;0",$N$9:$GE$9,"GC1"),COUNTIFS(N26:GE26,"&gt;0",$N$9:$GE$9,"GC2"))</f>
        <v>23</v>
      </c>
      <c r="GG26" s="126">
        <f>SUMIF($N$9:$GE$9,"GC",$N26:$GE26)</f>
        <v>184</v>
      </c>
      <c r="GH26" s="126">
        <f>SUMIF($N$9:$GE$9,"GC1",$N26:$GE26)</f>
        <v>0</v>
      </c>
      <c r="GI26" s="126">
        <f>SUMIF($N$9:$GE$9,"GC2",$N26:$GE26)</f>
        <v>0</v>
      </c>
      <c r="GJ26" s="126">
        <f>SUMIF($N$9:$GE$9,"TC",$N26:$GE26)</f>
        <v>69</v>
      </c>
      <c r="GK26" s="126">
        <f>SUMIF($N$9:$GE$9,"TC1",$N26:$GE26)</f>
        <v>0</v>
      </c>
      <c r="GL26" s="126">
        <f>SUMIF($N$9:$GE$9,"TC2",$N26:$GE26)</f>
        <v>0</v>
      </c>
      <c r="GM26" s="126">
        <f>SUMIF($N$9:$GE$9,"WK-D",$N26:$GE26)+SUMIF($N$9:$GE$9,"WK-TC",$N26:$GE26)</f>
        <v>66</v>
      </c>
      <c r="GN26" s="126">
        <f>SUMIF($N$9:$GE$9,"WK-D1",$N26:$GE26)+SUMIF($N$9:$GE$9,"WK-TC1",$N26:$GE26)</f>
        <v>0</v>
      </c>
      <c r="GO26" s="126">
        <f>SUMIF($N$9:$GE$9,"WK-D2",$N26:$GE26)+SUMIF($N$9:$GE$9,"WK-TC2",$N26:$GE26)</f>
        <v>0</v>
      </c>
      <c r="GP26" s="126">
        <f>SUMIF($N$9:$GE$9,"HOD",$N26:$GE26)</f>
        <v>0</v>
      </c>
      <c r="GQ26" s="126">
        <f>SUMIF($N$9:$GE$9,"HOD1",$N26:$GE26)</f>
        <v>0</v>
      </c>
      <c r="GR26" s="126">
        <f>SUMIF($N$9:$GE$9,"HOD2",$N26:$GE26)</f>
        <v>0</v>
      </c>
      <c r="GS26" s="162">
        <f>GG26*$GG$10+GH26*$GH$10+GI26*$GI$10+GJ26*$GJ$10+GK26*$GK$10+GL26*$GL$10+GM26*$GM$10+GN26*$GN$10+GO26*$GO$10+GP26*$GP$10+GQ26*$GQ$10+GR26*$GR$10</f>
        <v>9551500</v>
      </c>
      <c r="GT26" s="97" t="str">
        <f>IF(SUM(COUNTIFS(N26:GC26,"&gt;0",$N$9:$GC$9,"GC"),COUNTIFS(N26:GC26,"&gt;0",$N$9:$GC$9,"GC1"),COUNTIFS(N26:GC26,"&gt;0",$N$9:$GC$9,"GC2"),COUNTIFS(N26:GC26,"&gt;0",$N$9:$GC$9,"WK-D"),COUNTIFS(N26:GC26,"&gt;0",$N$9:$GC$9,"WK-D1"),COUNTIFS(N26:GC26,"&gt;0",$N$9:$GC$9,"WK-D2"))&gt;3,"Đ","K")</f>
        <v>Đ</v>
      </c>
      <c r="GU26" s="97">
        <f t="shared" si="31"/>
        <v>9551500</v>
      </c>
      <c r="GV26" s="97">
        <f>SUM(COUNTIFS(N26:GC26,"&gt;2",$N$9:$GC$9,"GC"),COUNTIFS(N26:GC26,"&gt;2",$N$9:$GC$9,"GC1"),COUNTIFS(N26:GC26,"&gt;2",$N$9:$GC$9,"GC2"))</f>
        <v>23</v>
      </c>
      <c r="GW26" s="162">
        <f t="shared" si="32"/>
        <v>200000</v>
      </c>
      <c r="GX26" s="162">
        <f>SUM(COUNTIFS(N26:GC26,"&gt;2",$N$9:$GC$9,"GC"),COUNTIFS(N26:GC26,"&gt;2",$N$9:$GC$9,"GC1"),COUNTIFS(N26:GC26,"&gt;2",$N$9:$GC$9,"GC2"),COUNTIFS(N26:GC26,"&gt;2",$N$9:$GC$9,"WK-D"),COUNTIFS(N26:GC26,"&gt;2",$N$9:$GC$9,"WK-D1"),COUNTIFS(N26:GC26,"&gt;2",$N$9:$GC$9,"WK-D2"))*$GX$10</f>
        <v>300000</v>
      </c>
      <c r="GY26" s="162">
        <f t="shared" si="33"/>
        <v>240000</v>
      </c>
      <c r="GZ26" s="162">
        <f>COUNTIF($N26:$GC26,"CP")</f>
        <v>0</v>
      </c>
      <c r="HA26" s="162">
        <f>COUNTIF($N26:$GC26,"KP")</f>
        <v>0</v>
      </c>
      <c r="HB26" s="162">
        <f>COUNTIF($N26:$GC26,"ĐP")</f>
        <v>0</v>
      </c>
      <c r="HC26" s="162">
        <f>COUNTIF($N26:$GC26,"ĐD")</f>
        <v>0</v>
      </c>
      <c r="HD26" s="162">
        <f>COUNTIF($N26:$GC26,"TPL")</f>
        <v>0</v>
      </c>
      <c r="HE26" s="162">
        <f>COUNTIF($N26:$GC26,"ĐPL")</f>
        <v>0</v>
      </c>
      <c r="HF26" s="162">
        <f t="shared" si="35"/>
        <v>0</v>
      </c>
      <c r="HG26" s="156" t="str">
        <f>VLOOKUP(B26,'data nguồn'!B:N,13,0)</f>
        <v>1015421793</v>
      </c>
      <c r="HH26" s="159" t="str">
        <f>VLOOKUP(B26,'data nguồn'!B:P,15,0)</f>
        <v>Hoàng Thị Thu Hiền</v>
      </c>
      <c r="HI26" s="163" t="str">
        <f>VLOOKUP(B26,'data nguồn'!B:P,14,0)</f>
        <v>VCB Hải Phòng</v>
      </c>
    </row>
    <row r="27" spans="1:218" s="95" customFormat="1" ht="15">
      <c r="A27" s="73">
        <v>17</v>
      </c>
      <c r="B27" s="136" t="s">
        <v>44</v>
      </c>
      <c r="C27" s="851" t="s">
        <v>761</v>
      </c>
      <c r="D27" s="164" t="s">
        <v>513</v>
      </c>
      <c r="E27" s="164" t="s">
        <v>514</v>
      </c>
      <c r="F27" s="164" t="s">
        <v>92</v>
      </c>
      <c r="G27" s="164"/>
      <c r="H27" s="164">
        <v>200609</v>
      </c>
      <c r="I27" s="164" t="s">
        <v>123</v>
      </c>
      <c r="J27" s="136" t="s">
        <v>124</v>
      </c>
      <c r="K27" s="165">
        <v>150</v>
      </c>
      <c r="L27" s="166" t="s">
        <v>553</v>
      </c>
      <c r="M27" s="166"/>
      <c r="N27" s="601">
        <v>8</v>
      </c>
      <c r="O27" s="601">
        <v>5</v>
      </c>
      <c r="P27" s="602"/>
      <c r="Q27" s="602"/>
      <c r="R27" s="601"/>
      <c r="S27" s="601"/>
      <c r="T27" s="602"/>
      <c r="U27" s="602"/>
      <c r="V27" s="603">
        <v>8</v>
      </c>
      <c r="W27" s="603">
        <v>3</v>
      </c>
      <c r="X27" s="602"/>
      <c r="Y27" s="602"/>
      <c r="Z27" s="603">
        <v>8</v>
      </c>
      <c r="AA27" s="603">
        <v>5</v>
      </c>
      <c r="AB27" s="602"/>
      <c r="AC27" s="602"/>
      <c r="AD27" s="604">
        <v>8</v>
      </c>
      <c r="AE27" s="604">
        <v>3</v>
      </c>
      <c r="AF27" s="605"/>
      <c r="AG27" s="605"/>
      <c r="AH27" s="605"/>
      <c r="AI27" s="605"/>
      <c r="AJ27" s="604">
        <v>8</v>
      </c>
      <c r="AK27" s="604">
        <v>3</v>
      </c>
      <c r="AL27" s="605"/>
      <c r="AM27" s="605"/>
      <c r="AN27" s="605"/>
      <c r="AO27" s="605"/>
      <c r="AP27" s="603">
        <v>8</v>
      </c>
      <c r="AQ27" s="603">
        <v>3</v>
      </c>
      <c r="AR27" s="622"/>
      <c r="AS27" s="622"/>
      <c r="AT27" s="136"/>
      <c r="AU27" s="136"/>
      <c r="AV27" s="135">
        <v>8</v>
      </c>
      <c r="AW27" s="135">
        <v>3</v>
      </c>
      <c r="AX27" s="606"/>
      <c r="AY27" s="606"/>
      <c r="AZ27" s="136"/>
      <c r="BA27" s="136"/>
      <c r="BB27" s="135">
        <v>8</v>
      </c>
      <c r="BC27" s="135">
        <v>0</v>
      </c>
      <c r="BD27" s="606"/>
      <c r="BE27" s="606"/>
      <c r="BF27" s="135">
        <v>8</v>
      </c>
      <c r="BG27" s="135">
        <v>0</v>
      </c>
      <c r="BH27" s="606"/>
      <c r="BI27" s="606"/>
      <c r="BJ27" s="136"/>
      <c r="BK27" s="136"/>
      <c r="BL27" s="129">
        <v>8</v>
      </c>
      <c r="BM27" s="129">
        <v>0</v>
      </c>
      <c r="BN27" s="606"/>
      <c r="BO27" s="606"/>
      <c r="BP27" s="136"/>
      <c r="BQ27" s="136"/>
      <c r="BR27" s="130">
        <v>8</v>
      </c>
      <c r="BS27" s="129">
        <v>3</v>
      </c>
      <c r="BT27" s="606"/>
      <c r="BU27" s="606"/>
      <c r="BV27" s="136"/>
      <c r="BW27" s="136"/>
      <c r="BX27" s="624">
        <v>8</v>
      </c>
      <c r="BY27" s="624">
        <v>0</v>
      </c>
      <c r="BZ27" s="608"/>
      <c r="CA27" s="608"/>
      <c r="CB27" s="609"/>
      <c r="CC27" s="609"/>
      <c r="CD27" s="137">
        <v>8</v>
      </c>
      <c r="CE27" s="137">
        <v>5</v>
      </c>
      <c r="CF27" s="606"/>
      <c r="CG27" s="606"/>
      <c r="CH27" s="136"/>
      <c r="CI27" s="136"/>
      <c r="CJ27" s="138">
        <v>8</v>
      </c>
      <c r="CK27" s="138">
        <v>5</v>
      </c>
      <c r="CL27" s="606"/>
      <c r="CM27" s="606"/>
      <c r="CN27" s="136"/>
      <c r="CO27" s="136"/>
      <c r="CP27" s="138">
        <v>8</v>
      </c>
      <c r="CQ27" s="138">
        <v>5</v>
      </c>
      <c r="CR27" s="606"/>
      <c r="CS27" s="606"/>
      <c r="CT27" s="138">
        <v>8</v>
      </c>
      <c r="CU27" s="138">
        <v>5</v>
      </c>
      <c r="CV27" s="606"/>
      <c r="CW27" s="606"/>
      <c r="CX27" s="136"/>
      <c r="CY27" s="136"/>
      <c r="CZ27" s="130">
        <v>8</v>
      </c>
      <c r="DA27" s="138">
        <v>5</v>
      </c>
      <c r="DB27" s="606"/>
      <c r="DC27" s="606"/>
      <c r="DD27" s="136"/>
      <c r="DE27" s="136"/>
      <c r="DF27" s="607">
        <v>8</v>
      </c>
      <c r="DG27" s="607">
        <v>5</v>
      </c>
      <c r="DH27" s="608"/>
      <c r="DI27" s="608"/>
      <c r="DJ27" s="609"/>
      <c r="DK27" s="609"/>
      <c r="DL27" s="607">
        <v>8</v>
      </c>
      <c r="DM27" s="607">
        <v>3</v>
      </c>
      <c r="DN27" s="607"/>
      <c r="DO27" s="607"/>
      <c r="DP27" s="138"/>
      <c r="DQ27" s="138"/>
      <c r="DR27" s="138"/>
      <c r="DS27" s="138"/>
      <c r="DT27" s="621">
        <v>8</v>
      </c>
      <c r="DU27" s="621">
        <v>2</v>
      </c>
      <c r="DV27" s="138"/>
      <c r="DW27" s="138"/>
      <c r="DX27" s="138"/>
      <c r="DY27" s="138"/>
      <c r="DZ27" s="621">
        <v>8</v>
      </c>
      <c r="EA27" s="621">
        <v>2</v>
      </c>
      <c r="EB27" s="138"/>
      <c r="EC27" s="138"/>
      <c r="ED27" s="138"/>
      <c r="EE27" s="138"/>
      <c r="EF27" s="621">
        <v>8</v>
      </c>
      <c r="EG27" s="621">
        <v>2</v>
      </c>
      <c r="EH27" s="138"/>
      <c r="EI27" s="138"/>
      <c r="EJ27" s="138"/>
      <c r="EK27" s="138"/>
      <c r="EL27" s="621">
        <v>8</v>
      </c>
      <c r="EM27" s="621">
        <v>2</v>
      </c>
      <c r="EN27" s="138"/>
      <c r="EO27" s="138"/>
      <c r="EP27" s="138"/>
      <c r="EQ27" s="138"/>
      <c r="ER27" s="621">
        <v>8</v>
      </c>
      <c r="ES27" s="621">
        <v>2</v>
      </c>
      <c r="ET27" s="138"/>
      <c r="EU27" s="138"/>
      <c r="EV27" s="138"/>
      <c r="EW27" s="138"/>
      <c r="EX27" s="621">
        <v>8</v>
      </c>
      <c r="EY27" s="621">
        <v>5</v>
      </c>
      <c r="EZ27" s="138"/>
      <c r="FA27" s="138"/>
      <c r="FB27" s="123"/>
      <c r="FC27" s="123"/>
      <c r="FD27" s="123">
        <v>8</v>
      </c>
      <c r="FE27" s="123">
        <v>2</v>
      </c>
      <c r="FF27" s="138"/>
      <c r="FG27" s="138"/>
      <c r="FH27" s="138"/>
      <c r="FI27" s="138"/>
      <c r="FJ27" s="621">
        <v>8</v>
      </c>
      <c r="FK27" s="621">
        <v>3</v>
      </c>
      <c r="FL27" s="138"/>
      <c r="FM27" s="138"/>
      <c r="FN27" s="138"/>
      <c r="FO27" s="138"/>
      <c r="FP27" s="621">
        <v>8</v>
      </c>
      <c r="FQ27" s="621">
        <v>3</v>
      </c>
      <c r="FR27" s="138"/>
      <c r="FS27" s="138"/>
      <c r="FT27" s="138"/>
      <c r="FU27" s="138"/>
      <c r="FV27" s="621">
        <v>8</v>
      </c>
      <c r="FW27" s="621">
        <v>3</v>
      </c>
      <c r="FX27" s="130"/>
      <c r="FY27" s="136"/>
      <c r="FZ27" s="130"/>
      <c r="GA27" s="130"/>
      <c r="GB27" s="613"/>
      <c r="GC27" s="613"/>
      <c r="GD27" s="122"/>
      <c r="GE27" s="124"/>
      <c r="GF27" s="125">
        <f>SUM(COUNTIFS(N27:GE27,"&gt;0",$N$9:$GE$9,"GC"),COUNTIFS(N27:GE27,"&gt;0",$N$9:$GE$9,"GC1"),COUNTIFS(N27:GE27,"&gt;0",$N$9:$GE$9,"GC2"))</f>
        <v>23</v>
      </c>
      <c r="GG27" s="126">
        <f>SUMIF($N$9:$GE$9,"GC",$N27:$GE27)</f>
        <v>112</v>
      </c>
      <c r="GH27" s="126">
        <f>SUMIF($N$9:$GE$9,"GC1",$N27:$GE27)</f>
        <v>72</v>
      </c>
      <c r="GI27" s="126">
        <f>SUMIF($N$9:$GE$9,"GC2",$N27:$GE27)</f>
        <v>0</v>
      </c>
      <c r="GJ27" s="126">
        <f>SUMIF($N$9:$GE$9,"TC",$N27:$GE27)</f>
        <v>47</v>
      </c>
      <c r="GK27" s="126">
        <f>SUMIF($N$9:$GE$9,"TC1",$N27:$GE27)</f>
        <v>24</v>
      </c>
      <c r="GL27" s="126">
        <f>SUMIF($N$9:$GE$9,"TC2",$N27:$GE27)</f>
        <v>0</v>
      </c>
      <c r="GM27" s="126">
        <f>SUMIF($N$9:$GE$9,"WK-D",$N27:$GE27)+SUMIF($N$9:$GE$9,"WK-TC",$N27:$GE27)</f>
        <v>54</v>
      </c>
      <c r="GN27" s="126">
        <f>SUMIF($N$9:$GE$9,"WK-D1",$N27:$GE27)+SUMIF($N$9:$GE$9,"WK-TC1",$N27:$GE27)</f>
        <v>10</v>
      </c>
      <c r="GO27" s="126">
        <f>SUMIF($N$9:$GE$9,"WK-D2",$N27:$GE27)+SUMIF($N$9:$GE$9,"WK-TC2",$N27:$GE27)</f>
        <v>0</v>
      </c>
      <c r="GP27" s="126">
        <f>SUMIF($N$9:$GE$9,"HOD",$N27:$GE27)</f>
        <v>0</v>
      </c>
      <c r="GQ27" s="126">
        <f>SUMIF($N$9:$GE$9,"HOD1",$N27:$GE27)</f>
        <v>0</v>
      </c>
      <c r="GR27" s="126">
        <f>SUMIF($N$9:$GE$9,"HOD2",$N27:$GE27)</f>
        <v>0</v>
      </c>
      <c r="GS27" s="162">
        <f t="shared" si="30"/>
        <v>9923000</v>
      </c>
      <c r="GT27" s="97" t="str">
        <f>IF(SUM(COUNTIFS(N27:GC27,"&gt;0",$N$9:$GC$9,"GC"),COUNTIFS(N27:GC27,"&gt;0",$N$9:$GC$9,"GC1"),COUNTIFS(N27:GC27,"&gt;0",$N$9:$GC$9,"GC2"),COUNTIFS(N27:GC27,"&gt;0",$N$9:$GC$9,"WK-D"),COUNTIFS(N27:GC27,"&gt;0",$N$9:$GC$9,"WK-D1"),COUNTIFS(N27:GC27,"&gt;0",$N$9:$GC$9,"WK-D2"))&gt;3,"Đ","K")</f>
        <v>Đ</v>
      </c>
      <c r="GU27" s="97">
        <f t="shared" si="31"/>
        <v>9923000</v>
      </c>
      <c r="GV27" s="97">
        <f>SUM(COUNTIFS(N27:GC27,"&gt;2",$N$9:$GC$9,"GC"),COUNTIFS(N27:GC27,"&gt;2",$N$9:$GC$9,"GC1"),COUNTIFS(N27:GC27,"&gt;2",$N$9:$GC$9,"GC2"))</f>
        <v>23</v>
      </c>
      <c r="GW27" s="162">
        <f t="shared" si="32"/>
        <v>200000</v>
      </c>
      <c r="GX27" s="162">
        <f>SUM(COUNTIFS(N27:GC27,"&gt;2",$N$9:$GC$9,"GC"),COUNTIFS(N27:GC27,"&gt;2",$N$9:$GC$9,"GC1"),COUNTIFS(N27:GC27,"&gt;2",$N$9:$GC$9,"GC2"),COUNTIFS(N27:GC27,"&gt;2",$N$9:$GC$9,"WK-D"),COUNTIFS(N27:GC27,"&gt;2",$N$9:$GC$9,"WK-D1"),COUNTIFS(N27:GC27,"&gt;2",$N$9:$GC$9,"WK-D2"))*$GX$10</f>
        <v>300000</v>
      </c>
      <c r="GY27" s="162">
        <f t="shared" si="33"/>
        <v>240000</v>
      </c>
      <c r="GZ27" s="162">
        <f>COUNTIF($N27:$GC27,"CP")</f>
        <v>0</v>
      </c>
      <c r="HA27" s="162">
        <f>COUNTIF($N27:$GC27,"KP")</f>
        <v>0</v>
      </c>
      <c r="HB27" s="162">
        <v>1</v>
      </c>
      <c r="HC27" s="162">
        <f>COUNTIF($N27:$GC27,"ĐD")</f>
        <v>0</v>
      </c>
      <c r="HD27" s="162">
        <f>COUNTIF($N27:$GC27,"TPL")</f>
        <v>0</v>
      </c>
      <c r="HE27" s="162">
        <f>COUNTIF($N27:$GC27,"ĐPL")</f>
        <v>0</v>
      </c>
      <c r="HF27" s="162">
        <f t="shared" si="35"/>
        <v>150000</v>
      </c>
      <c r="HG27" s="156" t="str">
        <f>VLOOKUP(B27,'data nguồn'!B:N,13,0)</f>
        <v>1015418563</v>
      </c>
      <c r="HH27" s="159" t="str">
        <f>VLOOKUP(B27,'data nguồn'!B:P,15,0)</f>
        <v>Trình Văn Sơn</v>
      </c>
      <c r="HI27" s="163" t="str">
        <f>VLOOKUP(B27,'data nguồn'!B:P,14,0)</f>
        <v>VCB Hải Phòng</v>
      </c>
    </row>
    <row r="28" spans="1:218" s="95" customFormat="1" ht="14.25" customHeight="1">
      <c r="A28" s="73">
        <v>18</v>
      </c>
      <c r="B28" s="625" t="s">
        <v>390</v>
      </c>
      <c r="C28" s="852" t="s">
        <v>755</v>
      </c>
      <c r="D28" s="618" t="s">
        <v>500</v>
      </c>
      <c r="E28" s="618" t="s">
        <v>133</v>
      </c>
      <c r="F28" s="618" t="s">
        <v>95</v>
      </c>
      <c r="G28" s="618"/>
      <c r="H28" s="164">
        <v>200617</v>
      </c>
      <c r="I28" s="164" t="s">
        <v>128</v>
      </c>
      <c r="J28" s="136" t="s">
        <v>124</v>
      </c>
      <c r="K28" s="165"/>
      <c r="L28" s="132"/>
      <c r="M28" s="619">
        <v>44085</v>
      </c>
      <c r="N28" s="626">
        <v>8</v>
      </c>
      <c r="O28" s="626">
        <v>5</v>
      </c>
      <c r="P28" s="602"/>
      <c r="Q28" s="602"/>
      <c r="R28" s="626"/>
      <c r="S28" s="626"/>
      <c r="T28" s="602"/>
      <c r="U28" s="602"/>
      <c r="V28" s="627">
        <v>8</v>
      </c>
      <c r="W28" s="627">
        <v>5</v>
      </c>
      <c r="X28" s="602"/>
      <c r="Y28" s="602"/>
      <c r="Z28" s="627">
        <v>8</v>
      </c>
      <c r="AA28" s="627">
        <v>5</v>
      </c>
      <c r="AB28" s="602"/>
      <c r="AC28" s="602"/>
      <c r="AD28" s="604">
        <v>8</v>
      </c>
      <c r="AE28" s="604">
        <v>3</v>
      </c>
      <c r="AF28" s="605"/>
      <c r="AG28" s="605"/>
      <c r="AH28" s="605"/>
      <c r="AI28" s="605"/>
      <c r="AJ28" s="604">
        <v>8</v>
      </c>
      <c r="AK28" s="604">
        <v>0</v>
      </c>
      <c r="AL28" s="605"/>
      <c r="AM28" s="605"/>
      <c r="AN28" s="605"/>
      <c r="AO28" s="605"/>
      <c r="AP28" s="627">
        <v>8</v>
      </c>
      <c r="AQ28" s="627">
        <v>3</v>
      </c>
      <c r="AR28" s="622"/>
      <c r="AS28" s="622"/>
      <c r="AT28" s="136"/>
      <c r="AU28" s="136"/>
      <c r="AV28" s="135">
        <v>8</v>
      </c>
      <c r="AW28" s="135">
        <v>3</v>
      </c>
      <c r="AX28" s="606"/>
      <c r="AY28" s="606"/>
      <c r="AZ28" s="136"/>
      <c r="BA28" s="136"/>
      <c r="BB28" s="135">
        <v>8</v>
      </c>
      <c r="BC28" s="135">
        <v>3</v>
      </c>
      <c r="BD28" s="606"/>
      <c r="BE28" s="606"/>
      <c r="BF28" s="135">
        <v>8</v>
      </c>
      <c r="BG28" s="135">
        <v>0</v>
      </c>
      <c r="BH28" s="606"/>
      <c r="BI28" s="606"/>
      <c r="BJ28" s="136"/>
      <c r="BK28" s="136"/>
      <c r="BL28" s="135" t="s">
        <v>827</v>
      </c>
      <c r="BM28" s="135" t="str">
        <f>F49</f>
        <v>Hoàng Trọng Phú</v>
      </c>
      <c r="BN28" s="606"/>
      <c r="BO28" s="606"/>
      <c r="BP28" s="136"/>
      <c r="BQ28" s="136"/>
      <c r="BR28" s="130"/>
      <c r="BS28" s="129"/>
      <c r="BT28" s="606"/>
      <c r="BU28" s="606"/>
      <c r="BV28" s="136"/>
      <c r="BW28" s="136"/>
      <c r="BX28" s="624"/>
      <c r="BY28" s="624"/>
      <c r="BZ28" s="608"/>
      <c r="CA28" s="608"/>
      <c r="CB28" s="136"/>
      <c r="CC28" s="136"/>
      <c r="CD28" s="137"/>
      <c r="CE28" s="137"/>
      <c r="CF28" s="606"/>
      <c r="CG28" s="606"/>
      <c r="CH28" s="136"/>
      <c r="CI28" s="136"/>
      <c r="CJ28" s="138"/>
      <c r="CK28" s="138"/>
      <c r="CL28" s="606"/>
      <c r="CM28" s="606"/>
      <c r="CN28" s="136"/>
      <c r="CO28" s="136"/>
      <c r="CP28" s="138"/>
      <c r="CQ28" s="138"/>
      <c r="CR28" s="606"/>
      <c r="CS28" s="606"/>
      <c r="CT28" s="138"/>
      <c r="CU28" s="138"/>
      <c r="CV28" s="606"/>
      <c r="CW28" s="606"/>
      <c r="CX28" s="136"/>
      <c r="CY28" s="136"/>
      <c r="CZ28" s="130"/>
      <c r="DA28" s="138"/>
      <c r="DB28" s="606"/>
      <c r="DC28" s="606"/>
      <c r="DD28" s="136"/>
      <c r="DE28" s="136"/>
      <c r="DF28" s="607"/>
      <c r="DG28" s="607"/>
      <c r="DH28" s="608"/>
      <c r="DI28" s="608"/>
      <c r="DJ28" s="609"/>
      <c r="DK28" s="609"/>
      <c r="DL28" s="607"/>
      <c r="DM28" s="607"/>
      <c r="DN28" s="607"/>
      <c r="DO28" s="607"/>
      <c r="DP28" s="138"/>
      <c r="DQ28" s="138"/>
      <c r="DR28" s="138"/>
      <c r="DS28" s="138"/>
      <c r="DT28" s="621"/>
      <c r="DU28" s="621"/>
      <c r="DV28" s="138"/>
      <c r="DW28" s="138"/>
      <c r="DX28" s="138"/>
      <c r="DY28" s="138"/>
      <c r="DZ28" s="621"/>
      <c r="EA28" s="621"/>
      <c r="EB28" s="138"/>
      <c r="EC28" s="138"/>
      <c r="ED28" s="138"/>
      <c r="EE28" s="138"/>
      <c r="EF28" s="621"/>
      <c r="EG28" s="621"/>
      <c r="EH28" s="138"/>
      <c r="EI28" s="138"/>
      <c r="EJ28" s="138"/>
      <c r="EK28" s="138"/>
      <c r="EL28" s="621"/>
      <c r="EM28" s="621"/>
      <c r="EN28" s="138"/>
      <c r="EO28" s="138"/>
      <c r="EP28" s="138"/>
      <c r="EQ28" s="138"/>
      <c r="ER28" s="621"/>
      <c r="ES28" s="621"/>
      <c r="ET28" s="138"/>
      <c r="EU28" s="138"/>
      <c r="EV28" s="138"/>
      <c r="EW28" s="138"/>
      <c r="EX28" s="621"/>
      <c r="EY28" s="621"/>
      <c r="EZ28" s="138"/>
      <c r="FA28" s="138"/>
      <c r="FB28" s="123"/>
      <c r="FC28" s="123"/>
      <c r="FD28" s="123"/>
      <c r="FE28" s="123"/>
      <c r="FF28" s="138"/>
      <c r="FG28" s="138"/>
      <c r="FH28" s="138"/>
      <c r="FI28" s="138"/>
      <c r="FJ28" s="621"/>
      <c r="FK28" s="621"/>
      <c r="FL28" s="138"/>
      <c r="FM28" s="138"/>
      <c r="FN28" s="138"/>
      <c r="FO28" s="138"/>
      <c r="FP28" s="621"/>
      <c r="FQ28" s="621"/>
      <c r="FR28" s="138"/>
      <c r="FS28" s="138"/>
      <c r="FT28" s="138"/>
      <c r="FU28" s="138"/>
      <c r="FV28" s="621"/>
      <c r="FW28" s="621"/>
      <c r="FX28" s="136"/>
      <c r="FY28" s="136"/>
      <c r="FZ28" s="130"/>
      <c r="GA28" s="130"/>
      <c r="GB28" s="613"/>
      <c r="GC28" s="613"/>
      <c r="GD28" s="122"/>
      <c r="GE28" s="124"/>
      <c r="GF28" s="125">
        <f>SUM(COUNTIFS(N28:GE28,"&gt;0",$N$9:$GE$9,"GC"),COUNTIFS(N28:GE28,"&gt;0",$N$9:$GE$9,"GC1"),COUNTIFS(N28:GE28,"&gt;0",$N$9:$GE$9,"GC2"))</f>
        <v>7</v>
      </c>
      <c r="GG28" s="126">
        <f>SUMIF($N$9:$GE$9,"GC",$N28:$GE28)</f>
        <v>56</v>
      </c>
      <c r="GH28" s="126">
        <f>SUMIF($N$9:$GE$9,"GC1",$N28:$GE28)</f>
        <v>0</v>
      </c>
      <c r="GI28" s="126">
        <f>SUMIF($N$9:$GE$9,"GC2",$N28:$GE28)</f>
        <v>0</v>
      </c>
      <c r="GJ28" s="126">
        <f>SUMIF($N$9:$GE$9,"TC",$N28:$GE28)</f>
        <v>24</v>
      </c>
      <c r="GK28" s="126">
        <f>SUMIF($N$9:$GE$9,"TC1",$N28:$GE28)</f>
        <v>0</v>
      </c>
      <c r="GL28" s="126">
        <f>SUMIF($N$9:$GE$9,"TC2",$N28:$GE28)</f>
        <v>0</v>
      </c>
      <c r="GM28" s="126">
        <f>SUMIF($N$9:$GE$9,"WK-D",$N28:$GE28)+SUMIF($N$9:$GE$9,"WK-TC",$N28:$GE28)</f>
        <v>19</v>
      </c>
      <c r="GN28" s="126">
        <f>SUMIF($N$9:$GE$9,"WK-D1",$N28:$GE28)+SUMIF($N$9:$GE$9,"WK-TC1",$N28:$GE28)</f>
        <v>0</v>
      </c>
      <c r="GO28" s="126">
        <f>SUMIF($N$9:$GE$9,"WK-D2",$N28:$GE28)+SUMIF($N$9:$GE$9,"WK-TC2",$N28:$GE28)</f>
        <v>0</v>
      </c>
      <c r="GP28" s="126">
        <f>SUMIF($N$9:$GE$9,"HOD",$N28:$GE28)</f>
        <v>0</v>
      </c>
      <c r="GQ28" s="126">
        <f>SUMIF($N$9:$GE$9,"HOD1",$N28:$GE28)</f>
        <v>0</v>
      </c>
      <c r="GR28" s="126">
        <f>SUMIF($N$9:$GE$9,"HOD2",$N28:$GE28)</f>
        <v>0</v>
      </c>
      <c r="GS28" s="162">
        <f>GG28*$GG$10+GH28*$GH$10+GI28*$GI$10+GJ28*$GJ$10+GK28*$GK$10+GL28*$GL$10+GM28*$GM$10+GN28*$GN$10+GO28*$GO$10+GP28*$GP$10+GQ28*$GQ$10+GR28*$GR$10</f>
        <v>2953250</v>
      </c>
      <c r="GT28" s="97" t="str">
        <f>IF(SUM(COUNTIFS(N28:GC28,"&gt;0",$N$9:$GC$9,"GC"),COUNTIFS(N28:GC28,"&gt;0",$N$9:$GC$9,"GC1"),COUNTIFS(N28:GC28,"&gt;0",$N$9:$GC$9,"GC2"),COUNTIFS(N28:GC28,"&gt;0",$N$9:$GC$9,"WK-D"),COUNTIFS(N28:GC28,"&gt;0",$N$9:$GC$9,"WK-D1"),COUNTIFS(N28:GC28,"&gt;0",$N$9:$GC$9,"WK-D2"))&gt;3,"Đ","K")</f>
        <v>Đ</v>
      </c>
      <c r="GU28" s="97">
        <f t="shared" si="31"/>
        <v>2953250</v>
      </c>
      <c r="GV28" s="97">
        <f>SUM(COUNTIFS(N28:GC28,"&gt;2",$N$9:$GC$9,"GC"),COUNTIFS(N28:GC28,"&gt;2",$N$9:$GC$9,"GC1"),COUNTIFS(N28:GC28,"&gt;2",$N$9:$GC$9,"GC2"))</f>
        <v>7</v>
      </c>
      <c r="GW28" s="162">
        <f t="shared" si="32"/>
        <v>0</v>
      </c>
      <c r="GX28" s="162">
        <f>SUM(COUNTIFS(N28:GC28,"&gt;2",$N$9:$GC$9,"GC"),COUNTIFS(N28:GC28,"&gt;2",$N$9:$GC$9,"GC1"),COUNTIFS(N28:GC28,"&gt;2",$N$9:$GC$9,"GC2"),COUNTIFS(N28:GC28,"&gt;2",$N$9:$GC$9,"WK-D"),COUNTIFS(N28:GC28,"&gt;2",$N$9:$GC$9,"WK-D1"),COUNTIFS(N28:GC28,"&gt;2",$N$9:$GC$9,"WK-D2"))*$GX$10</f>
        <v>93103.448275862072</v>
      </c>
      <c r="GY28" s="162">
        <f t="shared" si="33"/>
        <v>73043.478260869568</v>
      </c>
      <c r="GZ28" s="162">
        <f>COUNTIF($N28:$GC28,"CP")</f>
        <v>0</v>
      </c>
      <c r="HA28" s="162">
        <f>COUNTIF($N28:$GC28,"KP")</f>
        <v>0</v>
      </c>
      <c r="HB28" s="162">
        <f>COUNTIF($N28:$GC28,"ĐP")</f>
        <v>0</v>
      </c>
      <c r="HC28" s="162">
        <f>COUNTIF($N28:$GC28,"ĐD")</f>
        <v>0</v>
      </c>
      <c r="HD28" s="162">
        <f>COUNTIF($N28:$GC28,"TPL")</f>
        <v>0</v>
      </c>
      <c r="HE28" s="162">
        <f>COUNTIF($N28:$GC28,"ĐPL")</f>
        <v>0</v>
      </c>
      <c r="HF28" s="162">
        <f t="shared" si="35"/>
        <v>0</v>
      </c>
      <c r="HG28" s="156" t="str">
        <f>VLOOKUP(B28,'data nguồn'!B:N,13,0)</f>
        <v>1015423549</v>
      </c>
      <c r="HH28" s="159" t="str">
        <f>VLOOKUP(B28,'data nguồn'!B:P,15,0)</f>
        <v>Trương Văn Thơm</v>
      </c>
      <c r="HI28" s="163" t="str">
        <f>VLOOKUP(B28,'data nguồn'!B:P,14,0)</f>
        <v>VCB Hải Phòng</v>
      </c>
    </row>
    <row r="29" spans="1:218" s="95" customFormat="1" ht="15">
      <c r="A29" s="73">
        <v>19</v>
      </c>
      <c r="B29" s="628" t="s">
        <v>413</v>
      </c>
      <c r="C29" s="852" t="s">
        <v>457</v>
      </c>
      <c r="D29" s="618" t="s">
        <v>512</v>
      </c>
      <c r="E29" s="618" t="s">
        <v>131</v>
      </c>
      <c r="F29" s="618" t="s">
        <v>96</v>
      </c>
      <c r="G29" s="618"/>
      <c r="H29" s="164">
        <v>200618</v>
      </c>
      <c r="I29" s="164" t="s">
        <v>127</v>
      </c>
      <c r="J29" s="136" t="s">
        <v>124</v>
      </c>
      <c r="K29" s="165"/>
      <c r="L29" s="132" t="s">
        <v>829</v>
      </c>
      <c r="M29" s="619">
        <v>44093</v>
      </c>
      <c r="N29" s="601">
        <v>8</v>
      </c>
      <c r="O29" s="601">
        <v>5</v>
      </c>
      <c r="P29" s="602"/>
      <c r="Q29" s="602"/>
      <c r="R29" s="601"/>
      <c r="S29" s="601"/>
      <c r="T29" s="602"/>
      <c r="U29" s="602"/>
      <c r="V29" s="603">
        <v>8</v>
      </c>
      <c r="W29" s="603">
        <v>5</v>
      </c>
      <c r="X29" s="602"/>
      <c r="Y29" s="602"/>
      <c r="Z29" s="603">
        <v>8</v>
      </c>
      <c r="AA29" s="603">
        <v>5</v>
      </c>
      <c r="AB29" s="602"/>
      <c r="AC29" s="602"/>
      <c r="AD29" s="604">
        <v>8</v>
      </c>
      <c r="AE29" s="604">
        <v>3</v>
      </c>
      <c r="AF29" s="605"/>
      <c r="AG29" s="605"/>
      <c r="AH29" s="605"/>
      <c r="AI29" s="605"/>
      <c r="AJ29" s="604">
        <v>8</v>
      </c>
      <c r="AK29" s="604">
        <v>0</v>
      </c>
      <c r="AL29" s="605"/>
      <c r="AM29" s="605"/>
      <c r="AN29" s="605"/>
      <c r="AO29" s="605"/>
      <c r="AP29" s="603">
        <v>8</v>
      </c>
      <c r="AQ29" s="603">
        <v>3</v>
      </c>
      <c r="AR29" s="622"/>
      <c r="AS29" s="622"/>
      <c r="AT29" s="136"/>
      <c r="AU29" s="136"/>
      <c r="AV29" s="135">
        <v>8</v>
      </c>
      <c r="AW29" s="135">
        <v>3</v>
      </c>
      <c r="AX29" s="606"/>
      <c r="AY29" s="606"/>
      <c r="AZ29" s="136"/>
      <c r="BA29" s="136"/>
      <c r="BB29" s="135">
        <v>8</v>
      </c>
      <c r="BC29" s="135">
        <v>3</v>
      </c>
      <c r="BD29" s="606"/>
      <c r="BE29" s="606"/>
      <c r="BF29" s="135">
        <v>8</v>
      </c>
      <c r="BG29" s="135">
        <v>3</v>
      </c>
      <c r="BH29" s="606"/>
      <c r="BI29" s="606"/>
      <c r="BJ29" s="136"/>
      <c r="BK29" s="136"/>
      <c r="BL29" s="135">
        <v>8</v>
      </c>
      <c r="BM29" s="135">
        <v>3</v>
      </c>
      <c r="BN29" s="606"/>
      <c r="BO29" s="606"/>
      <c r="BP29" s="136"/>
      <c r="BQ29" s="136"/>
      <c r="BR29" s="130">
        <v>8</v>
      </c>
      <c r="BS29" s="129">
        <v>3</v>
      </c>
      <c r="BT29" s="606"/>
      <c r="BU29" s="606"/>
      <c r="BV29" s="136"/>
      <c r="BW29" s="136"/>
      <c r="BX29" s="624">
        <v>8</v>
      </c>
      <c r="BY29" s="624">
        <v>0</v>
      </c>
      <c r="BZ29" s="608"/>
      <c r="CA29" s="608"/>
      <c r="CB29" s="609"/>
      <c r="CC29" s="609"/>
      <c r="CD29" s="137">
        <v>8</v>
      </c>
      <c r="CE29" s="137">
        <v>3</v>
      </c>
      <c r="CF29" s="606"/>
      <c r="CG29" s="606"/>
      <c r="CH29" s="136"/>
      <c r="CI29" s="136"/>
      <c r="CJ29" s="138">
        <v>8</v>
      </c>
      <c r="CK29" s="138">
        <v>5</v>
      </c>
      <c r="CL29" s="606"/>
      <c r="CM29" s="606"/>
      <c r="CN29" s="136"/>
      <c r="CO29" s="136"/>
      <c r="CP29" s="138">
        <v>8</v>
      </c>
      <c r="CQ29" s="138">
        <v>5</v>
      </c>
      <c r="CR29" s="606"/>
      <c r="CS29" s="606"/>
      <c r="CT29" s="138">
        <v>8</v>
      </c>
      <c r="CU29" s="138">
        <v>5</v>
      </c>
      <c r="CV29" s="606"/>
      <c r="CW29" s="606"/>
      <c r="CX29" s="136"/>
      <c r="CY29" s="136"/>
      <c r="CZ29" s="130">
        <v>8</v>
      </c>
      <c r="DA29" s="138">
        <v>5</v>
      </c>
      <c r="DB29" s="606"/>
      <c r="DC29" s="606"/>
      <c r="DD29" s="136"/>
      <c r="DE29" s="136"/>
      <c r="DF29" s="607" t="s">
        <v>827</v>
      </c>
      <c r="DG29" s="607" t="str">
        <f>F60</f>
        <v>Dương Văn Phương</v>
      </c>
      <c r="DH29" s="608"/>
      <c r="DI29" s="608"/>
      <c r="DJ29" s="609"/>
      <c r="DK29" s="609"/>
      <c r="DL29" s="607"/>
      <c r="DM29" s="607"/>
      <c r="DN29" s="607"/>
      <c r="DO29" s="607"/>
      <c r="DP29" s="138"/>
      <c r="DQ29" s="138"/>
      <c r="DR29" s="138"/>
      <c r="DS29" s="138"/>
      <c r="DT29" s="621"/>
      <c r="DU29" s="621"/>
      <c r="DV29" s="138"/>
      <c r="DW29" s="138"/>
      <c r="DX29" s="138"/>
      <c r="DY29" s="138"/>
      <c r="DZ29" s="621"/>
      <c r="EA29" s="621"/>
      <c r="EB29" s="138"/>
      <c r="EC29" s="138"/>
      <c r="ED29" s="138"/>
      <c r="EE29" s="138"/>
      <c r="EF29" s="621"/>
      <c r="EG29" s="621"/>
      <c r="EH29" s="138"/>
      <c r="EI29" s="138"/>
      <c r="EJ29" s="138"/>
      <c r="EK29" s="138"/>
      <c r="EL29" s="621"/>
      <c r="EM29" s="621"/>
      <c r="EN29" s="138"/>
      <c r="EO29" s="138"/>
      <c r="EP29" s="138"/>
      <c r="EQ29" s="138"/>
      <c r="ER29" s="621"/>
      <c r="ES29" s="621"/>
      <c r="ET29" s="138"/>
      <c r="EU29" s="138"/>
      <c r="EV29" s="138"/>
      <c r="EW29" s="138"/>
      <c r="EX29" s="621"/>
      <c r="EY29" s="621"/>
      <c r="EZ29" s="138"/>
      <c r="FA29" s="138"/>
      <c r="FB29" s="123"/>
      <c r="FC29" s="123"/>
      <c r="FD29" s="123"/>
      <c r="FE29" s="123"/>
      <c r="FF29" s="138"/>
      <c r="FG29" s="138"/>
      <c r="FH29" s="138"/>
      <c r="FI29" s="138"/>
      <c r="FJ29" s="621"/>
      <c r="FK29" s="621"/>
      <c r="FL29" s="138"/>
      <c r="FM29" s="138"/>
      <c r="FN29" s="138"/>
      <c r="FO29" s="138"/>
      <c r="FP29" s="621"/>
      <c r="FQ29" s="621"/>
      <c r="FR29" s="138"/>
      <c r="FS29" s="138"/>
      <c r="FT29" s="138"/>
      <c r="FU29" s="138"/>
      <c r="FV29" s="621"/>
      <c r="FW29" s="621"/>
      <c r="FX29" s="136"/>
      <c r="FY29" s="136"/>
      <c r="FZ29" s="130"/>
      <c r="GA29" s="130"/>
      <c r="GB29" s="613"/>
      <c r="GC29" s="613"/>
      <c r="GD29" s="122"/>
      <c r="GE29" s="124"/>
      <c r="GF29" s="125">
        <f>SUM(COUNTIFS(N29:GE29,"&gt;0",$N$9:$GE$9,"GC"),COUNTIFS(N29:GE29,"&gt;0",$N$9:$GE$9,"GC1"),COUNTIFS(N29:GE29,"&gt;0",$N$9:$GE$9,"GC2"))</f>
        <v>14</v>
      </c>
      <c r="GG29" s="126">
        <f>SUMIF($N$9:$GE$9,"GC",$N29:$GE29)</f>
        <v>112</v>
      </c>
      <c r="GH29" s="126">
        <f>SUMIF($N$9:$GE$9,"GC1",$N29:$GE29)</f>
        <v>0</v>
      </c>
      <c r="GI29" s="126">
        <f>SUMIF($N$9:$GE$9,"GC2",$N29:$GE29)</f>
        <v>0</v>
      </c>
      <c r="GJ29" s="126">
        <f>SUMIF($N$9:$GE$9,"TC",$N29:$GE29)</f>
        <v>56</v>
      </c>
      <c r="GK29" s="126">
        <f>SUMIF($N$9:$GE$9,"TC1",$N29:$GE29)</f>
        <v>0</v>
      </c>
      <c r="GL29" s="126">
        <f>SUMIF($N$9:$GE$9,"TC2",$N29:$GE29)</f>
        <v>0</v>
      </c>
      <c r="GM29" s="126">
        <f>SUMIF($N$9:$GE$9,"WK-D",$N29:$GE29)+SUMIF($N$9:$GE$9,"WK-TC",$N29:$GE29)</f>
        <v>27</v>
      </c>
      <c r="GN29" s="126">
        <f>SUMIF($N$9:$GE$9,"WK-D1",$N29:$GE29)+SUMIF($N$9:$GE$9,"WK-TC1",$N29:$GE29)</f>
        <v>0</v>
      </c>
      <c r="GO29" s="126">
        <f>SUMIF($N$9:$GE$9,"WK-D2",$N29:$GE29)+SUMIF($N$9:$GE$9,"WK-TC2",$N29:$GE29)</f>
        <v>0</v>
      </c>
      <c r="GP29" s="126">
        <f>SUMIF($N$9:$GE$9,"HOD",$N29:$GE29)</f>
        <v>0</v>
      </c>
      <c r="GQ29" s="126">
        <f>SUMIF($N$9:$GE$9,"HOD1",$N29:$GE29)</f>
        <v>0</v>
      </c>
      <c r="GR29" s="126">
        <f>SUMIF($N$9:$GE$9,"HOD2",$N29:$GE29)</f>
        <v>0</v>
      </c>
      <c r="GS29" s="162">
        <f t="shared" si="30"/>
        <v>5659250</v>
      </c>
      <c r="GT29" s="97" t="str">
        <f>IF(SUM(COUNTIFS(N29:GC29,"&gt;0",$N$9:$GC$9,"GC"),COUNTIFS(N29:GC29,"&gt;0",$N$9:$GC$9,"GC1"),COUNTIFS(N29:GC29,"&gt;0",$N$9:$GC$9,"GC2"),COUNTIFS(N29:GC29,"&gt;0",$N$9:$GC$9,"WK-D"),COUNTIFS(N29:GC29,"&gt;0",$N$9:$GC$9,"WK-D1"),COUNTIFS(N29:GC29,"&gt;0",$N$9:$GC$9,"WK-D2"))&gt;3,"Đ","K")</f>
        <v>Đ</v>
      </c>
      <c r="GU29" s="97">
        <f t="shared" si="31"/>
        <v>5659250</v>
      </c>
      <c r="GV29" s="97">
        <f>SUM(COUNTIFS(N29:GC29,"&gt;2",$N$9:$GC$9,"GC"),COUNTIFS(N29:GC29,"&gt;2",$N$9:$GC$9,"GC1"),COUNTIFS(N29:GC29,"&gt;2",$N$9:$GC$9,"GC2"))</f>
        <v>14</v>
      </c>
      <c r="GW29" s="162">
        <f t="shared" si="32"/>
        <v>0</v>
      </c>
      <c r="GX29" s="162">
        <f>SUM(COUNTIFS(N29:GC29,"&gt;2",$N$9:$GC$9,"GC"),COUNTIFS(N29:GC29,"&gt;2",$N$9:$GC$9,"GC1"),COUNTIFS(N29:GC29,"&gt;2",$N$9:$GC$9,"GC2"),COUNTIFS(N29:GC29,"&gt;2",$N$9:$GC$9,"WK-D"),COUNTIFS(N29:GC29,"&gt;2",$N$9:$GC$9,"WK-D1"),COUNTIFS(N29:GC29,"&gt;2",$N$9:$GC$9,"WK-D2"))*$GX$10</f>
        <v>175862.06896551725</v>
      </c>
      <c r="GY29" s="162">
        <f t="shared" si="33"/>
        <v>146086.95652173914</v>
      </c>
      <c r="GZ29" s="162">
        <f>COUNTIF($N29:$GC29,"CP")</f>
        <v>0</v>
      </c>
      <c r="HA29" s="162">
        <f>COUNTIF($N29:$GC29,"KP")</f>
        <v>0</v>
      </c>
      <c r="HB29" s="162">
        <f>COUNTIF($N29:$GC29,"ĐP")</f>
        <v>0</v>
      </c>
      <c r="HC29" s="162">
        <f>COUNTIF($N29:$GC29,"ĐD")</f>
        <v>0</v>
      </c>
      <c r="HD29" s="162">
        <f>COUNTIF($N29:$GC29,"TPL")</f>
        <v>0</v>
      </c>
      <c r="HE29" s="162">
        <f>COUNTIF($N29:$GC29,"ĐPL")</f>
        <v>0</v>
      </c>
      <c r="HF29" s="162">
        <f t="shared" si="35"/>
        <v>0</v>
      </c>
      <c r="HG29" s="156" t="str">
        <f>VLOOKUP(B29,'data nguồn'!B:N,13,0)</f>
        <v>0031000381490</v>
      </c>
      <c r="HH29" s="159" t="str">
        <f>VLOOKUP(B29,'data nguồn'!B:P,15,0)</f>
        <v>Vũ Thị Trang</v>
      </c>
      <c r="HI29" s="163" t="str">
        <f>VLOOKUP(B29,'data nguồn'!B:P,14,0)</f>
        <v>VCB Hải Phòng</v>
      </c>
    </row>
    <row r="30" spans="1:218" s="95" customFormat="1" ht="14.25" customHeight="1">
      <c r="A30" s="73">
        <v>20</v>
      </c>
      <c r="B30" s="599" t="s">
        <v>50</v>
      </c>
      <c r="C30" s="851" t="s">
        <v>757</v>
      </c>
      <c r="D30" s="164" t="s">
        <v>507</v>
      </c>
      <c r="E30" s="164" t="s">
        <v>139</v>
      </c>
      <c r="F30" s="164" t="s">
        <v>100</v>
      </c>
      <c r="G30" s="164"/>
      <c r="H30" s="164">
        <v>200627</v>
      </c>
      <c r="I30" s="164" t="s">
        <v>126</v>
      </c>
      <c r="J30" s="136" t="s">
        <v>124</v>
      </c>
      <c r="K30" s="165">
        <v>120</v>
      </c>
      <c r="L30" s="166" t="s">
        <v>554</v>
      </c>
      <c r="M30" s="166"/>
      <c r="N30" s="601">
        <v>8</v>
      </c>
      <c r="O30" s="601">
        <v>3</v>
      </c>
      <c r="P30" s="602"/>
      <c r="Q30" s="602"/>
      <c r="R30" s="601"/>
      <c r="S30" s="601"/>
      <c r="T30" s="602"/>
      <c r="U30" s="602"/>
      <c r="V30" s="603">
        <v>8</v>
      </c>
      <c r="W30" s="603">
        <v>3</v>
      </c>
      <c r="X30" s="602"/>
      <c r="Y30" s="602"/>
      <c r="Z30" s="603">
        <v>8</v>
      </c>
      <c r="AA30" s="603">
        <v>3</v>
      </c>
      <c r="AB30" s="602"/>
      <c r="AC30" s="602"/>
      <c r="AD30" s="604">
        <v>8</v>
      </c>
      <c r="AE30" s="604">
        <v>3</v>
      </c>
      <c r="AF30" s="605"/>
      <c r="AG30" s="605"/>
      <c r="AH30" s="605"/>
      <c r="AI30" s="605"/>
      <c r="AJ30" s="604">
        <v>8</v>
      </c>
      <c r="AK30" s="604">
        <v>3</v>
      </c>
      <c r="AL30" s="605"/>
      <c r="AM30" s="605"/>
      <c r="AN30" s="605"/>
      <c r="AO30" s="605"/>
      <c r="AP30" s="603">
        <v>8</v>
      </c>
      <c r="AQ30" s="603">
        <v>3</v>
      </c>
      <c r="AR30" s="622"/>
      <c r="AS30" s="622"/>
      <c r="AT30" s="136"/>
      <c r="AU30" s="136"/>
      <c r="AV30" s="135" t="s">
        <v>533</v>
      </c>
      <c r="AW30" s="135"/>
      <c r="AX30" s="606"/>
      <c r="AY30" s="606"/>
      <c r="AZ30" s="136"/>
      <c r="BA30" s="136"/>
      <c r="BB30" s="135">
        <v>8</v>
      </c>
      <c r="BC30" s="135">
        <v>3</v>
      </c>
      <c r="BD30" s="606"/>
      <c r="BE30" s="606"/>
      <c r="BF30" s="135">
        <v>8</v>
      </c>
      <c r="BG30" s="135">
        <v>0</v>
      </c>
      <c r="BH30" s="606"/>
      <c r="BI30" s="606"/>
      <c r="BJ30" s="136"/>
      <c r="BK30" s="136"/>
      <c r="BL30" s="135">
        <v>8</v>
      </c>
      <c r="BM30" s="135">
        <v>3</v>
      </c>
      <c r="BN30" s="606"/>
      <c r="BO30" s="606"/>
      <c r="BP30" s="136"/>
      <c r="BQ30" s="136"/>
      <c r="BR30" s="130" t="s">
        <v>533</v>
      </c>
      <c r="BS30" s="129"/>
      <c r="BT30" s="606"/>
      <c r="BU30" s="606"/>
      <c r="BV30" s="136"/>
      <c r="BW30" s="136"/>
      <c r="BX30" s="624" t="s">
        <v>533</v>
      </c>
      <c r="BY30" s="624"/>
      <c r="BZ30" s="608"/>
      <c r="CA30" s="608"/>
      <c r="CB30" s="609"/>
      <c r="CC30" s="609"/>
      <c r="CD30" s="137">
        <v>8</v>
      </c>
      <c r="CE30" s="137">
        <v>3</v>
      </c>
      <c r="CF30" s="606"/>
      <c r="CG30" s="606"/>
      <c r="CH30" s="136"/>
      <c r="CI30" s="136"/>
      <c r="CJ30" s="138">
        <v>8</v>
      </c>
      <c r="CK30" s="138">
        <v>3</v>
      </c>
      <c r="CL30" s="606"/>
      <c r="CM30" s="606"/>
      <c r="CN30" s="136"/>
      <c r="CO30" s="136"/>
      <c r="CP30" s="138">
        <v>8</v>
      </c>
      <c r="CQ30" s="138">
        <v>3</v>
      </c>
      <c r="CR30" s="606"/>
      <c r="CS30" s="606"/>
      <c r="CT30" s="138">
        <v>8</v>
      </c>
      <c r="CU30" s="138">
        <v>3</v>
      </c>
      <c r="CV30" s="606"/>
      <c r="CW30" s="606"/>
      <c r="CX30" s="136"/>
      <c r="CY30" s="136"/>
      <c r="CZ30" s="130">
        <v>8</v>
      </c>
      <c r="DA30" s="138">
        <v>3</v>
      </c>
      <c r="DB30" s="606"/>
      <c r="DC30" s="606"/>
      <c r="DD30" s="136"/>
      <c r="DE30" s="136"/>
      <c r="DF30" s="607">
        <v>8</v>
      </c>
      <c r="DG30" s="607">
        <v>3</v>
      </c>
      <c r="DH30" s="608"/>
      <c r="DI30" s="608"/>
      <c r="DJ30" s="609"/>
      <c r="DK30" s="609"/>
      <c r="DL30" s="607">
        <v>8</v>
      </c>
      <c r="DM30" s="607">
        <v>3</v>
      </c>
      <c r="DN30" s="607"/>
      <c r="DO30" s="607"/>
      <c r="DP30" s="138"/>
      <c r="DQ30" s="138"/>
      <c r="DR30" s="138">
        <v>8</v>
      </c>
      <c r="DS30" s="138">
        <v>3</v>
      </c>
      <c r="DT30" s="621"/>
      <c r="DU30" s="621"/>
      <c r="DV30" s="138"/>
      <c r="DW30" s="138"/>
      <c r="DX30" s="138">
        <v>8</v>
      </c>
      <c r="DY30" s="138">
        <v>3</v>
      </c>
      <c r="DZ30" s="621"/>
      <c r="EA30" s="621"/>
      <c r="EB30" s="138"/>
      <c r="EC30" s="138"/>
      <c r="ED30" s="138">
        <v>8</v>
      </c>
      <c r="EE30" s="138">
        <v>2</v>
      </c>
      <c r="EF30" s="621"/>
      <c r="EG30" s="621"/>
      <c r="EH30" s="138"/>
      <c r="EI30" s="138"/>
      <c r="EJ30" s="138">
        <v>2.5</v>
      </c>
      <c r="EK30" s="138">
        <v>3</v>
      </c>
      <c r="EL30" s="621"/>
      <c r="EM30" s="621"/>
      <c r="EN30" s="138"/>
      <c r="EO30" s="138"/>
      <c r="EP30" s="138">
        <v>8</v>
      </c>
      <c r="EQ30" s="138">
        <v>3</v>
      </c>
      <c r="ER30" s="621"/>
      <c r="ES30" s="621"/>
      <c r="ET30" s="138"/>
      <c r="EU30" s="138"/>
      <c r="EV30" s="138">
        <v>8</v>
      </c>
      <c r="EW30" s="138">
        <v>3</v>
      </c>
      <c r="EX30" s="621"/>
      <c r="EY30" s="621"/>
      <c r="EZ30" s="138"/>
      <c r="FA30" s="138"/>
      <c r="FB30" s="123">
        <v>8</v>
      </c>
      <c r="FC30" s="123">
        <v>3</v>
      </c>
      <c r="FD30" s="123"/>
      <c r="FE30" s="123"/>
      <c r="FF30" s="138"/>
      <c r="FG30" s="138"/>
      <c r="FH30" s="138">
        <v>8</v>
      </c>
      <c r="FI30" s="138">
        <v>3</v>
      </c>
      <c r="FJ30" s="621"/>
      <c r="FK30" s="621"/>
      <c r="FL30" s="138"/>
      <c r="FM30" s="138"/>
      <c r="FN30" s="138">
        <v>8</v>
      </c>
      <c r="FO30" s="138">
        <v>3</v>
      </c>
      <c r="FP30" s="621"/>
      <c r="FQ30" s="621"/>
      <c r="FR30" s="138"/>
      <c r="FS30" s="138"/>
      <c r="FT30" s="138">
        <v>8</v>
      </c>
      <c r="FU30" s="138">
        <v>0</v>
      </c>
      <c r="FV30" s="621"/>
      <c r="FW30" s="621"/>
      <c r="FX30" s="136"/>
      <c r="FY30" s="136"/>
      <c r="FZ30" s="130"/>
      <c r="GA30" s="130"/>
      <c r="GB30" s="613"/>
      <c r="GC30" s="613"/>
      <c r="GD30" s="74"/>
      <c r="GE30" s="124"/>
      <c r="GF30" s="125">
        <f>SUM(COUNTIFS(N30:GE30,"&gt;0",$N$9:$GE$9,"GC"),COUNTIFS(N30:GE30,"&gt;0",$N$9:$GE$9,"GC1"),COUNTIFS(N30:GE30,"&gt;0",$N$9:$GE$9,"GC2"))</f>
        <v>21</v>
      </c>
      <c r="GG30" s="126">
        <f>SUMIF($N$9:$GE$9,"GC",$N30:$GE30)</f>
        <v>162.5</v>
      </c>
      <c r="GH30" s="126">
        <f>SUMIF($N$9:$GE$9,"GC1",$N30:$GE30)</f>
        <v>0</v>
      </c>
      <c r="GI30" s="126">
        <f>SUMIF($N$9:$GE$9,"GC2",$N30:$GE30)</f>
        <v>0</v>
      </c>
      <c r="GJ30" s="126">
        <f>SUMIF($N$9:$GE$9,"TC",$N30:$GE30)</f>
        <v>56</v>
      </c>
      <c r="GK30" s="126">
        <f>SUMIF($N$9:$GE$9,"TC1",$N30:$GE30)</f>
        <v>0</v>
      </c>
      <c r="GL30" s="126">
        <f>SUMIF($N$9:$GE$9,"TC2",$N30:$GE30)</f>
        <v>0</v>
      </c>
      <c r="GM30" s="126">
        <f>SUMIF($N$9:$GE$9,"WK-D",$N30:$GE30)+SUMIF($N$9:$GE$9,"WK-TC",$N30:$GE30)</f>
        <v>55</v>
      </c>
      <c r="GN30" s="126">
        <f>SUMIF($N$9:$GE$9,"WK-D1",$N30:$GE30)+SUMIF($N$9:$GE$9,"WK-TC1",$N30:$GE30)</f>
        <v>0</v>
      </c>
      <c r="GO30" s="126">
        <f>SUMIF($N$9:$GE$9,"WK-D2",$N30:$GE30)+SUMIF($N$9:$GE$9,"WK-TC2",$N30:$GE30)</f>
        <v>0</v>
      </c>
      <c r="GP30" s="126">
        <f>SUMIF($N$9:$GE$9,"HOD",$N30:$GE30)</f>
        <v>0</v>
      </c>
      <c r="GQ30" s="126">
        <f>SUMIF($N$9:$GE$9,"HOD1",$N30:$GE30)</f>
        <v>0</v>
      </c>
      <c r="GR30" s="126">
        <f>SUMIF($N$9:$GE$9,"HOD2",$N30:$GE30)</f>
        <v>0</v>
      </c>
      <c r="GS30" s="162">
        <f t="shared" si="30"/>
        <v>8127000</v>
      </c>
      <c r="GT30" s="97" t="str">
        <f>IF(SUM(COUNTIFS(N30:GC30,"&gt;0",$N$9:$GC$9,"GC"),COUNTIFS(N30:GC30,"&gt;0",$N$9:$GC$9,"GC1"),COUNTIFS(N30:GC30,"&gt;0",$N$9:$GC$9,"GC2"),COUNTIFS(N30:GC30,"&gt;0",$N$9:$GC$9,"WK-D"),COUNTIFS(N30:GC30,"&gt;0",$N$9:$GC$9,"WK-D1"),COUNTIFS(N30:GC30,"&gt;0",$N$9:$GC$9,"WK-D2"))&gt;3,"Đ","K")</f>
        <v>Đ</v>
      </c>
      <c r="GU30" s="97">
        <f t="shared" si="31"/>
        <v>8127000</v>
      </c>
      <c r="GV30" s="97">
        <f>SUM(COUNTIFS(N30:GC30,"&gt;2",$N$9:$GC$9,"GC"),COUNTIFS(N30:GC30,"&gt;2",$N$9:$GC$9,"GC1"),COUNTIFS(N30:GC30,"&gt;2",$N$9:$GC$9,"GC2"))</f>
        <v>21</v>
      </c>
      <c r="GW30" s="162">
        <f t="shared" si="32"/>
        <v>0</v>
      </c>
      <c r="GX30" s="162">
        <f>SUM(COUNTIFS(N30:GC30,"&gt;2",$N$9:$GC$9,"GC"),COUNTIFS(N30:GC30,"&gt;2",$N$9:$GC$9,"GC1"),COUNTIFS(N30:GC30,"&gt;2",$N$9:$GC$9,"GC2"),COUNTIFS(N30:GC30,"&gt;2",$N$9:$GC$9,"WK-D"),COUNTIFS(N30:GC30,"&gt;2",$N$9:$GC$9,"WK-D1"),COUNTIFS(N30:GC30,"&gt;2",$N$9:$GC$9,"WK-D2"))*$GX$10</f>
        <v>268965.5172413793</v>
      </c>
      <c r="GY30" s="162">
        <f t="shared" si="33"/>
        <v>219130.4347826087</v>
      </c>
      <c r="GZ30" s="162">
        <f>COUNTIF($N30:$GC30,"CP")</f>
        <v>3</v>
      </c>
      <c r="HA30" s="162">
        <f>COUNTIF($N30:$GC30,"KP")</f>
        <v>0</v>
      </c>
      <c r="HB30" s="162">
        <f>COUNTIF($N30:$GC30,"ĐP")</f>
        <v>0</v>
      </c>
      <c r="HC30" s="162">
        <f>COUNTIF($N30:$GC30,"ĐD")</f>
        <v>0</v>
      </c>
      <c r="HD30" s="162">
        <f>COUNTIF($N30:$GC30,"TPL")</f>
        <v>0</v>
      </c>
      <c r="HE30" s="162">
        <f>COUNTIF($N30:$GC30,"ĐPL")</f>
        <v>0</v>
      </c>
      <c r="HF30" s="162">
        <f t="shared" si="35"/>
        <v>0</v>
      </c>
      <c r="HG30" s="156" t="str">
        <f>VLOOKUP(B30,'data nguồn'!B:N,13,0)</f>
        <v>1015421873</v>
      </c>
      <c r="HH30" s="159" t="str">
        <f>VLOOKUP(B30,'data nguồn'!B:P,15,0)</f>
        <v>Vương Tiến Sắc</v>
      </c>
      <c r="HI30" s="163" t="str">
        <f>VLOOKUP(B30,'data nguồn'!B:P,14,0)</f>
        <v>VCB Hải Phòng</v>
      </c>
    </row>
    <row r="31" spans="1:218" s="95" customFormat="1" ht="15.75" customHeight="1">
      <c r="A31" s="73">
        <v>21</v>
      </c>
      <c r="B31" s="623" t="s">
        <v>53</v>
      </c>
      <c r="C31" s="853" t="s">
        <v>759</v>
      </c>
      <c r="D31" s="452" t="s">
        <v>519</v>
      </c>
      <c r="E31" s="452" t="s">
        <v>135</v>
      </c>
      <c r="F31" s="452" t="s">
        <v>103</v>
      </c>
      <c r="G31" s="452"/>
      <c r="H31" s="164">
        <v>200629</v>
      </c>
      <c r="I31" s="164" t="s">
        <v>123</v>
      </c>
      <c r="J31" s="136" t="s">
        <v>124</v>
      </c>
      <c r="K31" s="165">
        <v>60</v>
      </c>
      <c r="L31" s="166" t="s">
        <v>555</v>
      </c>
      <c r="M31" s="166"/>
      <c r="N31" s="601">
        <v>8</v>
      </c>
      <c r="O31" s="601">
        <v>3</v>
      </c>
      <c r="P31" s="602"/>
      <c r="Q31" s="602"/>
      <c r="R31" s="601"/>
      <c r="S31" s="601"/>
      <c r="T31" s="602"/>
      <c r="U31" s="602"/>
      <c r="V31" s="603">
        <v>8</v>
      </c>
      <c r="W31" s="603">
        <v>5</v>
      </c>
      <c r="X31" s="602"/>
      <c r="Y31" s="602"/>
      <c r="Z31" s="603">
        <v>8</v>
      </c>
      <c r="AA31" s="603">
        <v>5</v>
      </c>
      <c r="AB31" s="602"/>
      <c r="AC31" s="602"/>
      <c r="AD31" s="604">
        <v>8</v>
      </c>
      <c r="AE31" s="604">
        <v>3</v>
      </c>
      <c r="AF31" s="605"/>
      <c r="AG31" s="605"/>
      <c r="AH31" s="605"/>
      <c r="AI31" s="605"/>
      <c r="AJ31" s="604">
        <v>8</v>
      </c>
      <c r="AK31" s="604">
        <v>3</v>
      </c>
      <c r="AL31" s="605"/>
      <c r="AM31" s="605"/>
      <c r="AN31" s="605"/>
      <c r="AO31" s="605"/>
      <c r="AP31" s="603">
        <v>8</v>
      </c>
      <c r="AQ31" s="603">
        <v>3</v>
      </c>
      <c r="AR31" s="622"/>
      <c r="AS31" s="622"/>
      <c r="AT31" s="136"/>
      <c r="AU31" s="136"/>
      <c r="AV31" s="135">
        <v>8</v>
      </c>
      <c r="AW31" s="135">
        <v>3</v>
      </c>
      <c r="AX31" s="606"/>
      <c r="AY31" s="606"/>
      <c r="AZ31" s="136"/>
      <c r="BA31" s="136"/>
      <c r="BB31" s="135">
        <v>8</v>
      </c>
      <c r="BC31" s="135">
        <v>0</v>
      </c>
      <c r="BD31" s="606"/>
      <c r="BE31" s="606"/>
      <c r="BF31" s="135">
        <v>8</v>
      </c>
      <c r="BG31" s="135">
        <v>0</v>
      </c>
      <c r="BH31" s="606"/>
      <c r="BI31" s="606"/>
      <c r="BJ31" s="136"/>
      <c r="BK31" s="136"/>
      <c r="BL31" s="135">
        <v>8</v>
      </c>
      <c r="BM31" s="135">
        <v>0</v>
      </c>
      <c r="BN31" s="606"/>
      <c r="BO31" s="606"/>
      <c r="BP31" s="136"/>
      <c r="BQ31" s="136"/>
      <c r="BR31" s="130">
        <v>8</v>
      </c>
      <c r="BS31" s="129">
        <v>3</v>
      </c>
      <c r="BT31" s="606"/>
      <c r="BU31" s="606"/>
      <c r="BV31" s="136"/>
      <c r="BW31" s="136"/>
      <c r="BX31" s="624">
        <v>8</v>
      </c>
      <c r="BY31" s="624">
        <v>0</v>
      </c>
      <c r="BZ31" s="608"/>
      <c r="CA31" s="608"/>
      <c r="CB31" s="609"/>
      <c r="CC31" s="609"/>
      <c r="CD31" s="137">
        <v>8</v>
      </c>
      <c r="CE31" s="137">
        <v>3</v>
      </c>
      <c r="CF31" s="606"/>
      <c r="CG31" s="606"/>
      <c r="CH31" s="136"/>
      <c r="CI31" s="136"/>
      <c r="CJ31" s="138">
        <v>8</v>
      </c>
      <c r="CK31" s="138">
        <v>5</v>
      </c>
      <c r="CL31" s="606"/>
      <c r="CM31" s="606"/>
      <c r="CN31" s="136"/>
      <c r="CO31" s="136"/>
      <c r="CP31" s="138">
        <v>8</v>
      </c>
      <c r="CQ31" s="138">
        <v>5</v>
      </c>
      <c r="CR31" s="606"/>
      <c r="CS31" s="606"/>
      <c r="CT31" s="138">
        <v>8</v>
      </c>
      <c r="CU31" s="138">
        <v>5</v>
      </c>
      <c r="CV31" s="606"/>
      <c r="CW31" s="606"/>
      <c r="CX31" s="136"/>
      <c r="CY31" s="136"/>
      <c r="CZ31" s="130">
        <v>8</v>
      </c>
      <c r="DA31" s="138">
        <v>5</v>
      </c>
      <c r="DB31" s="606"/>
      <c r="DC31" s="606"/>
      <c r="DD31" s="136"/>
      <c r="DE31" s="136"/>
      <c r="DF31" s="607">
        <v>8</v>
      </c>
      <c r="DG31" s="607">
        <v>5</v>
      </c>
      <c r="DH31" s="608"/>
      <c r="DI31" s="608"/>
      <c r="DJ31" s="609"/>
      <c r="DK31" s="609"/>
      <c r="DL31" s="607">
        <v>8</v>
      </c>
      <c r="DM31" s="607">
        <v>3</v>
      </c>
      <c r="DN31" s="607"/>
      <c r="DO31" s="607"/>
      <c r="DP31" s="138"/>
      <c r="DQ31" s="138"/>
      <c r="DR31" s="138"/>
      <c r="DS31" s="138"/>
      <c r="DT31" s="621">
        <v>8</v>
      </c>
      <c r="DU31" s="621">
        <v>2</v>
      </c>
      <c r="DV31" s="138"/>
      <c r="DW31" s="138"/>
      <c r="DX31" s="138"/>
      <c r="DY31" s="138"/>
      <c r="DZ31" s="621">
        <v>8</v>
      </c>
      <c r="EA31" s="621">
        <v>2</v>
      </c>
      <c r="EB31" s="138"/>
      <c r="EC31" s="138"/>
      <c r="ED31" s="138"/>
      <c r="EE31" s="138"/>
      <c r="EF31" s="621">
        <v>8</v>
      </c>
      <c r="EG31" s="621">
        <v>2</v>
      </c>
      <c r="EH31" s="138"/>
      <c r="EI31" s="138"/>
      <c r="EJ31" s="138"/>
      <c r="EK31" s="138"/>
      <c r="EL31" s="621">
        <v>8</v>
      </c>
      <c r="EM31" s="621">
        <v>2</v>
      </c>
      <c r="EN31" s="138"/>
      <c r="EO31" s="138"/>
      <c r="EP31" s="138"/>
      <c r="EQ31" s="138"/>
      <c r="ER31" s="621">
        <v>8</v>
      </c>
      <c r="ES31" s="621">
        <v>2</v>
      </c>
      <c r="ET31" s="138"/>
      <c r="EU31" s="138"/>
      <c r="EV31" s="138"/>
      <c r="EW31" s="138"/>
      <c r="EX31" s="621">
        <v>8</v>
      </c>
      <c r="EY31" s="621">
        <v>2</v>
      </c>
      <c r="EZ31" s="138"/>
      <c r="FA31" s="138"/>
      <c r="FB31" s="123"/>
      <c r="FC31" s="123"/>
      <c r="FD31" s="123">
        <v>8</v>
      </c>
      <c r="FE31" s="123">
        <v>2</v>
      </c>
      <c r="FF31" s="138"/>
      <c r="FG31" s="138"/>
      <c r="FH31" s="138"/>
      <c r="FI31" s="138"/>
      <c r="FJ31" s="621">
        <v>8</v>
      </c>
      <c r="FK31" s="621">
        <v>2</v>
      </c>
      <c r="FL31" s="138"/>
      <c r="FM31" s="138"/>
      <c r="FN31" s="138"/>
      <c r="FO31" s="138"/>
      <c r="FP31" s="621">
        <v>8</v>
      </c>
      <c r="FQ31" s="621">
        <v>2</v>
      </c>
      <c r="FR31" s="138"/>
      <c r="FS31" s="138"/>
      <c r="FT31" s="138"/>
      <c r="FU31" s="138"/>
      <c r="FV31" s="621">
        <v>8</v>
      </c>
      <c r="FW31" s="621">
        <v>2</v>
      </c>
      <c r="FX31" s="136"/>
      <c r="FY31" s="136"/>
      <c r="FZ31" s="130"/>
      <c r="GA31" s="130"/>
      <c r="GB31" s="613"/>
      <c r="GC31" s="613"/>
      <c r="GD31" s="74"/>
      <c r="GE31" s="124"/>
      <c r="GF31" s="125">
        <f>SUM(COUNTIFS(N31:GE31,"&gt;0",$N$9:$GE$9,"GC"),COUNTIFS(N31:GE31,"&gt;0",$N$9:$GE$9,"GC1"),COUNTIFS(N31:GE31,"&gt;0",$N$9:$GE$9,"GC2"))</f>
        <v>23</v>
      </c>
      <c r="GG31" s="126">
        <f>SUMIF($N$9:$GE$9,"GC",$N31:$GE31)</f>
        <v>112</v>
      </c>
      <c r="GH31" s="126">
        <f>SUMIF($N$9:$GE$9,"GC1",$N31:$GE31)</f>
        <v>72</v>
      </c>
      <c r="GI31" s="126">
        <f>SUMIF($N$9:$GE$9,"GC2",$N31:$GE31)</f>
        <v>0</v>
      </c>
      <c r="GJ31" s="126">
        <f>SUMIF($N$9:$GE$9,"TC",$N31:$GE31)</f>
        <v>45</v>
      </c>
      <c r="GK31" s="126">
        <f>SUMIF($N$9:$GE$9,"TC1",$N31:$GE31)</f>
        <v>18</v>
      </c>
      <c r="GL31" s="126">
        <f>SUMIF($N$9:$GE$9,"TC2",$N31:$GE31)</f>
        <v>0</v>
      </c>
      <c r="GM31" s="126">
        <f>SUMIF($N$9:$GE$9,"WK-D",$N31:$GE31)+SUMIF($N$9:$GE$9,"WK-TC",$N31:$GE31)</f>
        <v>54</v>
      </c>
      <c r="GN31" s="126">
        <f>SUMIF($N$9:$GE$9,"WK-D1",$N31:$GE31)+SUMIF($N$9:$GE$9,"WK-TC1",$N31:$GE31)</f>
        <v>10</v>
      </c>
      <c r="GO31" s="126">
        <f>SUMIF($N$9:$GE$9,"WK-D2",$N31:$GE31)+SUMIF($N$9:$GE$9,"WK-TC2",$N31:$GE31)</f>
        <v>0</v>
      </c>
      <c r="GP31" s="126">
        <f>SUMIF($N$9:$GE$9,"HOD",$N31:$GE31)</f>
        <v>0</v>
      </c>
      <c r="GQ31" s="126">
        <f>SUMIF($N$9:$GE$9,"HOD1",$N31:$GE31)</f>
        <v>0</v>
      </c>
      <c r="GR31" s="126">
        <f>SUMIF($N$9:$GE$9,"HOD2",$N31:$GE31)</f>
        <v>0</v>
      </c>
      <c r="GS31" s="162">
        <f t="shared" si="30"/>
        <v>9655000</v>
      </c>
      <c r="GT31" s="97" t="str">
        <f>IF(SUM(COUNTIFS(N31:GC31,"&gt;0",$N$9:$GC$9,"GC"),COUNTIFS(N31:GC31,"&gt;0",$N$9:$GC$9,"GC1"),COUNTIFS(N31:GC31,"&gt;0",$N$9:$GC$9,"GC2"),COUNTIFS(N31:GC31,"&gt;0",$N$9:$GC$9,"WK-D"),COUNTIFS(N31:GC31,"&gt;0",$N$9:$GC$9,"WK-D1"),COUNTIFS(N31:GC31,"&gt;0",$N$9:$GC$9,"WK-D2"))&gt;3,"Đ","K")</f>
        <v>Đ</v>
      </c>
      <c r="GU31" s="97">
        <f t="shared" si="31"/>
        <v>9655000</v>
      </c>
      <c r="GV31" s="97">
        <f>SUM(COUNTIFS(N31:GC31,"&gt;2",$N$9:$GC$9,"GC"),COUNTIFS(N31:GC31,"&gt;2",$N$9:$GC$9,"GC1"),COUNTIFS(N31:GC31,"&gt;2",$N$9:$GC$9,"GC2"))</f>
        <v>23</v>
      </c>
      <c r="GW31" s="162">
        <f t="shared" si="32"/>
        <v>200000</v>
      </c>
      <c r="GX31" s="162">
        <f>SUM(COUNTIFS(N31:GC31,"&gt;2",$N$9:$GC$9,"GC"),COUNTIFS(N31:GC31,"&gt;2",$N$9:$GC$9,"GC1"),COUNTIFS(N31:GC31,"&gt;2",$N$9:$GC$9,"GC2"),COUNTIFS(N31:GC31,"&gt;2",$N$9:$GC$9,"WK-D"),COUNTIFS(N31:GC31,"&gt;2",$N$9:$GC$9,"WK-D1"),COUNTIFS(N31:GC31,"&gt;2",$N$9:$GC$9,"WK-D2"))*$GX$10</f>
        <v>300000</v>
      </c>
      <c r="GY31" s="162">
        <f t="shared" si="33"/>
        <v>240000</v>
      </c>
      <c r="GZ31" s="162">
        <f>COUNTIF($N31:$GC31,"CP")</f>
        <v>0</v>
      </c>
      <c r="HA31" s="162">
        <f>COUNTIF($N31:$GC31,"KP")</f>
        <v>0</v>
      </c>
      <c r="HB31" s="162">
        <f>COUNTIF($N31:$GC31,"ĐP")</f>
        <v>0</v>
      </c>
      <c r="HC31" s="162">
        <f>COUNTIF($N31:$GC31,"ĐD")</f>
        <v>0</v>
      </c>
      <c r="HD31" s="162">
        <f>COUNTIF($N31:$GC31,"TPL")</f>
        <v>0</v>
      </c>
      <c r="HE31" s="162">
        <f>COUNTIF($N31:$GC31,"ĐPL")</f>
        <v>0</v>
      </c>
      <c r="HF31" s="162">
        <f t="shared" si="35"/>
        <v>0</v>
      </c>
      <c r="HG31" s="156" t="str">
        <f>VLOOKUP(B31,'data nguồn'!B:N,13,0)</f>
        <v>1015421720</v>
      </c>
      <c r="HH31" s="159" t="str">
        <f>VLOOKUP(B31,'data nguồn'!B:P,15,0)</f>
        <v>Nguyễn Thị Bướm</v>
      </c>
      <c r="HI31" s="163" t="str">
        <f>VLOOKUP(B31,'data nguồn'!B:P,14,0)</f>
        <v>VCB Hải Phòng</v>
      </c>
    </row>
    <row r="32" spans="1:218" s="95" customFormat="1" ht="15.75" customHeight="1">
      <c r="A32" s="73">
        <v>22</v>
      </c>
      <c r="B32" s="136" t="s">
        <v>56</v>
      </c>
      <c r="C32" s="851" t="s">
        <v>461</v>
      </c>
      <c r="D32" s="164">
        <v>41889</v>
      </c>
      <c r="E32" s="164" t="s">
        <v>135</v>
      </c>
      <c r="F32" s="164" t="s">
        <v>106</v>
      </c>
      <c r="G32" s="164"/>
      <c r="H32" s="164">
        <v>200703</v>
      </c>
      <c r="I32" s="164" t="s">
        <v>126</v>
      </c>
      <c r="J32" s="136" t="s">
        <v>124</v>
      </c>
      <c r="K32" s="165"/>
      <c r="L32" s="166"/>
      <c r="M32" s="166"/>
      <c r="N32" s="601">
        <v>8</v>
      </c>
      <c r="O32" s="601">
        <v>3</v>
      </c>
      <c r="P32" s="602"/>
      <c r="Q32" s="602"/>
      <c r="R32" s="601"/>
      <c r="S32" s="601"/>
      <c r="T32" s="602"/>
      <c r="U32" s="602"/>
      <c r="V32" s="603">
        <v>8</v>
      </c>
      <c r="W32" s="603">
        <v>3</v>
      </c>
      <c r="X32" s="602"/>
      <c r="Y32" s="602"/>
      <c r="Z32" s="603">
        <v>8</v>
      </c>
      <c r="AA32" s="603">
        <v>3</v>
      </c>
      <c r="AB32" s="602"/>
      <c r="AC32" s="602"/>
      <c r="AD32" s="604">
        <v>8</v>
      </c>
      <c r="AE32" s="604">
        <v>3</v>
      </c>
      <c r="AF32" s="605"/>
      <c r="AG32" s="605"/>
      <c r="AH32" s="605"/>
      <c r="AI32" s="605"/>
      <c r="AJ32" s="604">
        <v>8</v>
      </c>
      <c r="AK32" s="604">
        <v>3</v>
      </c>
      <c r="AL32" s="605"/>
      <c r="AM32" s="605"/>
      <c r="AN32" s="605"/>
      <c r="AO32" s="605"/>
      <c r="AP32" s="603">
        <v>8</v>
      </c>
      <c r="AQ32" s="603">
        <v>3</v>
      </c>
      <c r="AR32" s="622"/>
      <c r="AS32" s="622"/>
      <c r="AT32" s="136"/>
      <c r="AU32" s="136"/>
      <c r="AV32" s="135">
        <v>8</v>
      </c>
      <c r="AW32" s="135">
        <v>3</v>
      </c>
      <c r="AX32" s="606"/>
      <c r="AY32" s="606"/>
      <c r="AZ32" s="136"/>
      <c r="BA32" s="136"/>
      <c r="BB32" s="135">
        <v>8</v>
      </c>
      <c r="BC32" s="135">
        <v>3</v>
      </c>
      <c r="BD32" s="606"/>
      <c r="BE32" s="606"/>
      <c r="BF32" s="135">
        <v>8</v>
      </c>
      <c r="BG32" s="135">
        <v>3</v>
      </c>
      <c r="BH32" s="606"/>
      <c r="BI32" s="606"/>
      <c r="BJ32" s="136"/>
      <c r="BK32" s="136"/>
      <c r="BL32" s="135">
        <v>8</v>
      </c>
      <c r="BM32" s="135">
        <v>3</v>
      </c>
      <c r="BN32" s="606"/>
      <c r="BO32" s="606"/>
      <c r="BP32" s="136"/>
      <c r="BQ32" s="136"/>
      <c r="BR32" s="130" t="s">
        <v>533</v>
      </c>
      <c r="BS32" s="129"/>
      <c r="BT32" s="606"/>
      <c r="BU32" s="606"/>
      <c r="BV32" s="136"/>
      <c r="BW32" s="136"/>
      <c r="BX32" s="624">
        <v>8</v>
      </c>
      <c r="BY32" s="624">
        <v>3</v>
      </c>
      <c r="BZ32" s="608"/>
      <c r="CA32" s="608"/>
      <c r="CB32" s="609"/>
      <c r="CC32" s="609"/>
      <c r="CD32" s="137">
        <v>8</v>
      </c>
      <c r="CE32" s="137">
        <v>3</v>
      </c>
      <c r="CF32" s="606"/>
      <c r="CG32" s="606"/>
      <c r="CH32" s="136"/>
      <c r="CI32" s="136"/>
      <c r="CJ32" s="138">
        <v>8</v>
      </c>
      <c r="CK32" s="138">
        <v>0</v>
      </c>
      <c r="CL32" s="606"/>
      <c r="CM32" s="606"/>
      <c r="CN32" s="136"/>
      <c r="CO32" s="136"/>
      <c r="CP32" s="138" t="s">
        <v>533</v>
      </c>
      <c r="CQ32" s="138"/>
      <c r="CR32" s="606"/>
      <c r="CS32" s="606"/>
      <c r="CT32" s="138">
        <v>8</v>
      </c>
      <c r="CU32" s="138">
        <v>5</v>
      </c>
      <c r="CV32" s="606"/>
      <c r="CW32" s="606"/>
      <c r="CX32" s="136"/>
      <c r="CY32" s="136"/>
      <c r="CZ32" s="130">
        <v>8</v>
      </c>
      <c r="DA32" s="138">
        <v>5</v>
      </c>
      <c r="DB32" s="606"/>
      <c r="DC32" s="606"/>
      <c r="DD32" s="136"/>
      <c r="DE32" s="136"/>
      <c r="DF32" s="607">
        <v>8</v>
      </c>
      <c r="DG32" s="607">
        <v>3</v>
      </c>
      <c r="DH32" s="608"/>
      <c r="DI32" s="608"/>
      <c r="DJ32" s="609"/>
      <c r="DK32" s="609"/>
      <c r="DL32" s="607">
        <v>8</v>
      </c>
      <c r="DM32" s="607">
        <v>3</v>
      </c>
      <c r="DN32" s="607"/>
      <c r="DO32" s="607"/>
      <c r="DP32" s="138"/>
      <c r="DQ32" s="138"/>
      <c r="DR32" s="138">
        <v>8</v>
      </c>
      <c r="DS32" s="138">
        <v>3</v>
      </c>
      <c r="DT32" s="621"/>
      <c r="DU32" s="621"/>
      <c r="DV32" s="138"/>
      <c r="DW32" s="138"/>
      <c r="DX32" s="138">
        <v>8</v>
      </c>
      <c r="DY32" s="138">
        <v>3</v>
      </c>
      <c r="DZ32" s="621"/>
      <c r="EA32" s="621"/>
      <c r="EB32" s="138"/>
      <c r="EC32" s="138"/>
      <c r="ED32" s="138">
        <v>8</v>
      </c>
      <c r="EE32" s="138">
        <v>3</v>
      </c>
      <c r="EF32" s="621"/>
      <c r="EG32" s="621"/>
      <c r="EH32" s="138"/>
      <c r="EI32" s="138"/>
      <c r="EJ32" s="138">
        <v>8</v>
      </c>
      <c r="EK32" s="138">
        <v>3</v>
      </c>
      <c r="EL32" s="621"/>
      <c r="EM32" s="621"/>
      <c r="EN32" s="138"/>
      <c r="EO32" s="138"/>
      <c r="EP32" s="138">
        <v>8</v>
      </c>
      <c r="EQ32" s="138">
        <v>3</v>
      </c>
      <c r="ER32" s="621"/>
      <c r="ES32" s="621"/>
      <c r="ET32" s="138"/>
      <c r="EU32" s="138"/>
      <c r="EV32" s="138">
        <v>8</v>
      </c>
      <c r="EW32" s="138">
        <v>3</v>
      </c>
      <c r="EX32" s="621"/>
      <c r="EY32" s="621"/>
      <c r="EZ32" s="138"/>
      <c r="FA32" s="138"/>
      <c r="FB32" s="123">
        <v>8</v>
      </c>
      <c r="FC32" s="123">
        <v>0</v>
      </c>
      <c r="FD32" s="123"/>
      <c r="FE32" s="123"/>
      <c r="FF32" s="138"/>
      <c r="FG32" s="138"/>
      <c r="FH32" s="138">
        <v>8</v>
      </c>
      <c r="FI32" s="138">
        <v>3</v>
      </c>
      <c r="FJ32" s="621"/>
      <c r="FK32" s="621"/>
      <c r="FL32" s="138"/>
      <c r="FM32" s="138"/>
      <c r="FN32" s="138">
        <v>8</v>
      </c>
      <c r="FO32" s="138">
        <v>3</v>
      </c>
      <c r="FP32" s="621"/>
      <c r="FQ32" s="621"/>
      <c r="FR32" s="138"/>
      <c r="FS32" s="138"/>
      <c r="FT32" s="138">
        <v>8</v>
      </c>
      <c r="FU32" s="138">
        <v>3</v>
      </c>
      <c r="FV32" s="621"/>
      <c r="FW32" s="621"/>
      <c r="FX32" s="136"/>
      <c r="FY32" s="136"/>
      <c r="FZ32" s="130"/>
      <c r="GA32" s="130"/>
      <c r="GB32" s="613"/>
      <c r="GC32" s="613"/>
      <c r="GD32" s="74"/>
      <c r="GE32" s="124"/>
      <c r="GF32" s="125">
        <f>SUM(COUNTIFS(N32:GE32,"&gt;0",$N$9:$GE$9,"GC"),COUNTIFS(N32:GE32,"&gt;0",$N$9:$GE$9,"GC1"),COUNTIFS(N32:GE32,"&gt;0",$N$9:$GE$9,"GC2"))</f>
        <v>21</v>
      </c>
      <c r="GG32" s="126">
        <f>SUMIF($N$9:$GE$9,"GC",$N32:$GE32)</f>
        <v>168</v>
      </c>
      <c r="GH32" s="126">
        <f>SUMIF($N$9:$GE$9,"GC1",$N32:$GE32)</f>
        <v>0</v>
      </c>
      <c r="GI32" s="126">
        <f>SUMIF($N$9:$GE$9,"GC2",$N32:$GE32)</f>
        <v>0</v>
      </c>
      <c r="GJ32" s="126">
        <f>SUMIF($N$9:$GE$9,"TC",$N32:$GE32)</f>
        <v>64</v>
      </c>
      <c r="GK32" s="126">
        <f>SUMIF($N$9:$GE$9,"TC1",$N32:$GE32)</f>
        <v>0</v>
      </c>
      <c r="GL32" s="126">
        <f>SUMIF($N$9:$GE$9,"TC2",$N32:$GE32)</f>
        <v>0</v>
      </c>
      <c r="GM32" s="126">
        <f>SUMIF($N$9:$GE$9,"WK-D",$N32:$GE32)+SUMIF($N$9:$GE$9,"WK-TC",$N32:$GE32)</f>
        <v>63</v>
      </c>
      <c r="GN32" s="126">
        <f>SUMIF($N$9:$GE$9,"WK-D1",$N32:$GE32)+SUMIF($N$9:$GE$9,"WK-TC1",$N32:$GE32)</f>
        <v>0</v>
      </c>
      <c r="GO32" s="126">
        <f>SUMIF($N$9:$GE$9,"WK-D2",$N32:$GE32)+SUMIF($N$9:$GE$9,"WK-TC2",$N32:$GE32)</f>
        <v>0</v>
      </c>
      <c r="GP32" s="126">
        <f>SUMIF($N$9:$GE$9,"HOD",$N32:$GE32)</f>
        <v>0</v>
      </c>
      <c r="GQ32" s="126">
        <f>SUMIF($N$9:$GE$9,"HOD1",$N32:$GE32)</f>
        <v>0</v>
      </c>
      <c r="GR32" s="126">
        <f>SUMIF($N$9:$GE$9,"HOD2",$N32:$GE32)</f>
        <v>0</v>
      </c>
      <c r="GS32" s="162">
        <f t="shared" si="30"/>
        <v>8878250</v>
      </c>
      <c r="GT32" s="97" t="str">
        <f>IF(SUM(COUNTIFS(N32:GC32,"&gt;0",$N$9:$GC$9,"GC"),COUNTIFS(N32:GC32,"&gt;0",$N$9:$GC$9,"GC1"),COUNTIFS(N32:GC32,"&gt;0",$N$9:$GC$9,"GC2"),COUNTIFS(N32:GC32,"&gt;0",$N$9:$GC$9,"WK-D"),COUNTIFS(N32:GC32,"&gt;0",$N$9:$GC$9,"WK-D1"),COUNTIFS(N32:GC32,"&gt;0",$N$9:$GC$9,"WK-D2"))&gt;3,"Đ","K")</f>
        <v>Đ</v>
      </c>
      <c r="GU32" s="97">
        <f t="shared" si="31"/>
        <v>8878250</v>
      </c>
      <c r="GV32" s="97">
        <f>SUM(COUNTIFS(N32:GC32,"&gt;2",$N$9:$GC$9,"GC"),COUNTIFS(N32:GC32,"&gt;2",$N$9:$GC$9,"GC1"),COUNTIFS(N32:GC32,"&gt;2",$N$9:$GC$9,"GC2"))</f>
        <v>21</v>
      </c>
      <c r="GW32" s="162">
        <f t="shared" si="32"/>
        <v>0</v>
      </c>
      <c r="GX32" s="162">
        <f>SUM(COUNTIFS(N32:GC32,"&gt;2",$N$9:$GC$9,"GC"),COUNTIFS(N32:GC32,"&gt;2",$N$9:$GC$9,"GC1"),COUNTIFS(N32:GC32,"&gt;2",$N$9:$GC$9,"GC2"),COUNTIFS(N32:GC32,"&gt;2",$N$9:$GC$9,"WK-D"),COUNTIFS(N32:GC32,"&gt;2",$N$9:$GC$9,"WK-D1"),COUNTIFS(N32:GC32,"&gt;2",$N$9:$GC$9,"WK-D2"))*$GX$10</f>
        <v>279310.3448275862</v>
      </c>
      <c r="GY32" s="162">
        <f t="shared" si="33"/>
        <v>219130.4347826087</v>
      </c>
      <c r="GZ32" s="162">
        <f>COUNTIF($N32:$GC32,"CP")</f>
        <v>2</v>
      </c>
      <c r="HA32" s="162">
        <f>COUNTIF($N32:$GC32,"KP")</f>
        <v>0</v>
      </c>
      <c r="HB32" s="162">
        <f>COUNTIF($N32:$GC32,"ĐP")</f>
        <v>0</v>
      </c>
      <c r="HC32" s="162">
        <f>COUNTIF($N32:$GC32,"ĐD")</f>
        <v>0</v>
      </c>
      <c r="HD32" s="162">
        <f>COUNTIF($N32:$GC32,"TPL")</f>
        <v>0</v>
      </c>
      <c r="HE32" s="162">
        <f>COUNTIF($N32:$GC32,"ĐPL")</f>
        <v>0</v>
      </c>
      <c r="HF32" s="162">
        <f t="shared" si="35"/>
        <v>0</v>
      </c>
      <c r="HG32" s="156">
        <f>VLOOKUP(B32,'data nguồn'!B:N,13,0)</f>
        <v>0</v>
      </c>
      <c r="HH32" s="159">
        <f>VLOOKUP(B32,'data nguồn'!B:P,15,0)</f>
        <v>0</v>
      </c>
      <c r="HI32" s="163">
        <f>VLOOKUP(B32,'data nguồn'!B:P,14,0)</f>
        <v>0</v>
      </c>
      <c r="HJ32" s="95" t="s">
        <v>980</v>
      </c>
    </row>
    <row r="33" spans="1:217" s="95" customFormat="1" ht="15">
      <c r="A33" s="73">
        <v>23</v>
      </c>
      <c r="B33" s="136" t="s">
        <v>58</v>
      </c>
      <c r="C33" s="851" t="s">
        <v>758</v>
      </c>
      <c r="D33" s="164" t="s">
        <v>158</v>
      </c>
      <c r="E33" s="164" t="s">
        <v>135</v>
      </c>
      <c r="F33" s="164" t="s">
        <v>108</v>
      </c>
      <c r="G33" s="164"/>
      <c r="H33" s="164">
        <v>200704</v>
      </c>
      <c r="I33" s="164" t="s">
        <v>123</v>
      </c>
      <c r="J33" s="136" t="s">
        <v>124</v>
      </c>
      <c r="K33" s="165">
        <v>90</v>
      </c>
      <c r="L33" s="166" t="s">
        <v>556</v>
      </c>
      <c r="M33" s="166"/>
      <c r="N33" s="601">
        <v>8</v>
      </c>
      <c r="O33" s="601">
        <v>5</v>
      </c>
      <c r="P33" s="602"/>
      <c r="Q33" s="602"/>
      <c r="R33" s="601"/>
      <c r="S33" s="601"/>
      <c r="T33" s="602"/>
      <c r="U33" s="602"/>
      <c r="V33" s="603">
        <v>8</v>
      </c>
      <c r="W33" s="603">
        <v>5</v>
      </c>
      <c r="X33" s="602"/>
      <c r="Y33" s="602"/>
      <c r="Z33" s="603">
        <v>8</v>
      </c>
      <c r="AA33" s="603">
        <v>5</v>
      </c>
      <c r="AB33" s="602"/>
      <c r="AC33" s="602"/>
      <c r="AD33" s="604">
        <v>8</v>
      </c>
      <c r="AE33" s="604">
        <v>3</v>
      </c>
      <c r="AF33" s="605"/>
      <c r="AG33" s="605"/>
      <c r="AH33" s="605"/>
      <c r="AI33" s="605"/>
      <c r="AJ33" s="604">
        <v>8</v>
      </c>
      <c r="AK33" s="604">
        <v>3</v>
      </c>
      <c r="AL33" s="605"/>
      <c r="AM33" s="605"/>
      <c r="AN33" s="605"/>
      <c r="AO33" s="605"/>
      <c r="AP33" s="603">
        <v>8</v>
      </c>
      <c r="AQ33" s="603">
        <v>3</v>
      </c>
      <c r="AR33" s="622"/>
      <c r="AS33" s="622"/>
      <c r="AT33" s="136"/>
      <c r="AU33" s="136"/>
      <c r="AV33" s="135">
        <v>8</v>
      </c>
      <c r="AW33" s="135">
        <v>3</v>
      </c>
      <c r="AX33" s="606"/>
      <c r="AY33" s="606"/>
      <c r="AZ33" s="136"/>
      <c r="BA33" s="136"/>
      <c r="BB33" s="135">
        <v>8</v>
      </c>
      <c r="BC33" s="135">
        <v>0</v>
      </c>
      <c r="BD33" s="606"/>
      <c r="BE33" s="606"/>
      <c r="BF33" s="135">
        <v>8</v>
      </c>
      <c r="BG33" s="135">
        <v>0</v>
      </c>
      <c r="BH33" s="606"/>
      <c r="BI33" s="606"/>
      <c r="BJ33" s="136"/>
      <c r="BK33" s="136"/>
      <c r="BL33" s="135">
        <v>8</v>
      </c>
      <c r="BM33" s="135">
        <v>0</v>
      </c>
      <c r="BN33" s="606"/>
      <c r="BO33" s="606"/>
      <c r="BP33" s="136"/>
      <c r="BQ33" s="136"/>
      <c r="BR33" s="130">
        <v>8</v>
      </c>
      <c r="BS33" s="129">
        <v>3</v>
      </c>
      <c r="BT33" s="606"/>
      <c r="BU33" s="606"/>
      <c r="BV33" s="136"/>
      <c r="BW33" s="136"/>
      <c r="BX33" s="624">
        <v>8</v>
      </c>
      <c r="BY33" s="624">
        <v>0</v>
      </c>
      <c r="BZ33" s="608"/>
      <c r="CA33" s="608"/>
      <c r="CB33" s="609"/>
      <c r="CC33" s="609"/>
      <c r="CD33" s="137">
        <v>8</v>
      </c>
      <c r="CE33" s="137">
        <v>3</v>
      </c>
      <c r="CF33" s="606"/>
      <c r="CG33" s="606"/>
      <c r="CH33" s="136"/>
      <c r="CI33" s="136"/>
      <c r="CJ33" s="138">
        <v>8</v>
      </c>
      <c r="CK33" s="138">
        <v>5</v>
      </c>
      <c r="CL33" s="606"/>
      <c r="CM33" s="606"/>
      <c r="CN33" s="136"/>
      <c r="CO33" s="136"/>
      <c r="CP33" s="138">
        <v>8</v>
      </c>
      <c r="CQ33" s="138">
        <v>5</v>
      </c>
      <c r="CR33" s="606"/>
      <c r="CS33" s="606"/>
      <c r="CT33" s="138">
        <v>8</v>
      </c>
      <c r="CU33" s="138">
        <v>5</v>
      </c>
      <c r="CV33" s="606"/>
      <c r="CW33" s="606"/>
      <c r="CX33" s="136"/>
      <c r="CY33" s="136"/>
      <c r="CZ33" s="130">
        <v>8</v>
      </c>
      <c r="DA33" s="138">
        <v>5</v>
      </c>
      <c r="DB33" s="606"/>
      <c r="DC33" s="606"/>
      <c r="DD33" s="136"/>
      <c r="DE33" s="136"/>
      <c r="DF33" s="607">
        <v>8</v>
      </c>
      <c r="DG33" s="607">
        <v>5</v>
      </c>
      <c r="DH33" s="608"/>
      <c r="DI33" s="608"/>
      <c r="DJ33" s="609"/>
      <c r="DK33" s="609"/>
      <c r="DL33" s="607">
        <v>8</v>
      </c>
      <c r="DM33" s="607">
        <v>3</v>
      </c>
      <c r="DN33" s="607"/>
      <c r="DO33" s="607"/>
      <c r="DP33" s="138"/>
      <c r="DQ33" s="138"/>
      <c r="DR33" s="138" t="s">
        <v>533</v>
      </c>
      <c r="DS33" s="138" t="str">
        <f>F63</f>
        <v>Phạm Văn Nghĩa</v>
      </c>
      <c r="DT33" s="621"/>
      <c r="DU33" s="621"/>
      <c r="DV33" s="138"/>
      <c r="DW33" s="138"/>
      <c r="DX33" s="138" t="s">
        <v>533</v>
      </c>
      <c r="DY33" s="138" t="str">
        <f>F63</f>
        <v>Phạm Văn Nghĩa</v>
      </c>
      <c r="DZ33" s="621"/>
      <c r="EA33" s="621"/>
      <c r="EB33" s="138"/>
      <c r="EC33" s="138"/>
      <c r="ED33" s="138"/>
      <c r="EE33" s="138"/>
      <c r="EF33" s="621">
        <v>8</v>
      </c>
      <c r="EG33" s="621">
        <v>2</v>
      </c>
      <c r="EH33" s="138"/>
      <c r="EI33" s="138"/>
      <c r="EJ33" s="138"/>
      <c r="EK33" s="138"/>
      <c r="EL33" s="621">
        <v>8</v>
      </c>
      <c r="EM33" s="621">
        <v>2</v>
      </c>
      <c r="EN33" s="138"/>
      <c r="EO33" s="138"/>
      <c r="EP33" s="138"/>
      <c r="EQ33" s="138"/>
      <c r="ER33" s="621">
        <v>8</v>
      </c>
      <c r="ES33" s="621">
        <v>2</v>
      </c>
      <c r="ET33" s="138"/>
      <c r="EU33" s="138"/>
      <c r="EV33" s="138"/>
      <c r="EW33" s="138"/>
      <c r="EX33" s="621">
        <v>8</v>
      </c>
      <c r="EY33" s="621">
        <v>2</v>
      </c>
      <c r="EZ33" s="138"/>
      <c r="FA33" s="138"/>
      <c r="FB33" s="123"/>
      <c r="FC33" s="123"/>
      <c r="FD33" s="123">
        <v>8</v>
      </c>
      <c r="FE33" s="123">
        <v>2</v>
      </c>
      <c r="FF33" s="138"/>
      <c r="FG33" s="138"/>
      <c r="FH33" s="138"/>
      <c r="FI33" s="138"/>
      <c r="FJ33" s="621">
        <v>8</v>
      </c>
      <c r="FK33" s="621">
        <v>2</v>
      </c>
      <c r="FL33" s="138"/>
      <c r="FM33" s="138"/>
      <c r="FN33" s="138"/>
      <c r="FO33" s="138"/>
      <c r="FP33" s="621">
        <v>8</v>
      </c>
      <c r="FQ33" s="621">
        <v>2</v>
      </c>
      <c r="FR33" s="138"/>
      <c r="FS33" s="138"/>
      <c r="FT33" s="138"/>
      <c r="FU33" s="138"/>
      <c r="FV33" s="621">
        <v>8</v>
      </c>
      <c r="FW33" s="621">
        <v>2</v>
      </c>
      <c r="FX33" s="136"/>
      <c r="FY33" s="136"/>
      <c r="FZ33" s="130"/>
      <c r="GA33" s="130"/>
      <c r="GB33" s="613"/>
      <c r="GC33" s="613"/>
      <c r="GD33" s="74"/>
      <c r="GE33" s="124"/>
      <c r="GF33" s="125">
        <f>SUM(COUNTIFS(N33:GE33,"&gt;0",$N$9:$GE$9,"GC"),COUNTIFS(N33:GE33,"&gt;0",$N$9:$GE$9,"GC1"),COUNTIFS(N33:GE33,"&gt;0",$N$9:$GE$9,"GC2"))</f>
        <v>21</v>
      </c>
      <c r="GG33" s="126">
        <f>SUMIF($N$9:$GE$9,"GC",$N33:$GE33)</f>
        <v>112</v>
      </c>
      <c r="GH33" s="126">
        <f>SUMIF($N$9:$GE$9,"GC1",$N33:$GE33)</f>
        <v>56</v>
      </c>
      <c r="GI33" s="126">
        <f>SUMIF($N$9:$GE$9,"GC2",$N33:$GE33)</f>
        <v>0</v>
      </c>
      <c r="GJ33" s="126">
        <f>SUMIF($N$9:$GE$9,"TC",$N33:$GE33)</f>
        <v>47</v>
      </c>
      <c r="GK33" s="126">
        <f>SUMIF($N$9:$GE$9,"TC1",$N33:$GE33)</f>
        <v>14</v>
      </c>
      <c r="GL33" s="126">
        <f>SUMIF($N$9:$GE$9,"TC2",$N33:$GE33)</f>
        <v>0</v>
      </c>
      <c r="GM33" s="126">
        <f>SUMIF($N$9:$GE$9,"WK-D",$N33:$GE33)+SUMIF($N$9:$GE$9,"WK-TC",$N33:$GE33)</f>
        <v>54</v>
      </c>
      <c r="GN33" s="126">
        <f>SUMIF($N$9:$GE$9,"WK-D1",$N33:$GE33)+SUMIF($N$9:$GE$9,"WK-TC1",$N33:$GE33)</f>
        <v>10</v>
      </c>
      <c r="GO33" s="126">
        <f>SUMIF($N$9:$GE$9,"WK-D2",$N33:$GE33)+SUMIF($N$9:$GE$9,"WK-TC2",$N33:$GE33)</f>
        <v>0</v>
      </c>
      <c r="GP33" s="126">
        <f>SUMIF($N$9:$GE$9,"HOD",$N33:$GE33)</f>
        <v>0</v>
      </c>
      <c r="GQ33" s="126">
        <f>SUMIF($N$9:$GE$9,"HOD1",$N33:$GE33)</f>
        <v>0</v>
      </c>
      <c r="GR33" s="126">
        <f>SUMIF($N$9:$GE$9,"HOD2",$N33:$GE33)</f>
        <v>0</v>
      </c>
      <c r="GS33" s="162">
        <f t="shared" si="30"/>
        <v>9129000</v>
      </c>
      <c r="GT33" s="97" t="str">
        <f>IF(SUM(COUNTIFS(N33:GC33,"&gt;0",$N$9:$GC$9,"GC"),COUNTIFS(N33:GC33,"&gt;0",$N$9:$GC$9,"GC1"),COUNTIFS(N33:GC33,"&gt;0",$N$9:$GC$9,"GC2"),COUNTIFS(N33:GC33,"&gt;0",$N$9:$GC$9,"WK-D"),COUNTIFS(N33:GC33,"&gt;0",$N$9:$GC$9,"WK-D1"),COUNTIFS(N33:GC33,"&gt;0",$N$9:$GC$9,"WK-D2"))&gt;3,"Đ","K")</f>
        <v>Đ</v>
      </c>
      <c r="GU33" s="97">
        <f t="shared" si="31"/>
        <v>9129000</v>
      </c>
      <c r="GV33" s="97">
        <f>SUM(COUNTIFS(N33:GC33,"&gt;2",$N$9:$GC$9,"GC"),COUNTIFS(N33:GC33,"&gt;2",$N$9:$GC$9,"GC1"),COUNTIFS(N33:GC33,"&gt;2",$N$9:$GC$9,"GC2"))</f>
        <v>21</v>
      </c>
      <c r="GW33" s="162">
        <f t="shared" si="32"/>
        <v>0</v>
      </c>
      <c r="GX33" s="162">
        <f>SUM(COUNTIFS(N33:GC33,"&gt;2",$N$9:$GC$9,"GC"),COUNTIFS(N33:GC33,"&gt;2",$N$9:$GC$9,"GC1"),COUNTIFS(N33:GC33,"&gt;2",$N$9:$GC$9,"GC2"),COUNTIFS(N33:GC33,"&gt;2",$N$9:$GC$9,"WK-D"),COUNTIFS(N33:GC33,"&gt;2",$N$9:$GC$9,"WK-D1"),COUNTIFS(N33:GC33,"&gt;2",$N$9:$GC$9,"WK-D2"))*$GX$10</f>
        <v>279310.3448275862</v>
      </c>
      <c r="GY33" s="162">
        <f t="shared" si="33"/>
        <v>219130.4347826087</v>
      </c>
      <c r="GZ33" s="162">
        <f>COUNTIF($N33:$GC33,"CP")</f>
        <v>2</v>
      </c>
      <c r="HA33" s="162">
        <f>COUNTIF($N33:$GC33,"KP")</f>
        <v>0</v>
      </c>
      <c r="HB33" s="162">
        <f>COUNTIF($N33:$GC33,"ĐP")</f>
        <v>0</v>
      </c>
      <c r="HC33" s="162">
        <f>COUNTIF($N33:$GC33,"ĐD")</f>
        <v>0</v>
      </c>
      <c r="HD33" s="162">
        <f>COUNTIF($N33:$GC33,"TPL")</f>
        <v>0</v>
      </c>
      <c r="HE33" s="162">
        <f>COUNTIF($N33:$GC33,"ĐPL")</f>
        <v>0</v>
      </c>
      <c r="HF33" s="162">
        <f t="shared" si="35"/>
        <v>0</v>
      </c>
      <c r="HG33" s="156" t="str">
        <f>VLOOKUP(B33,'data nguồn'!B:N,13,0)</f>
        <v>1015421840</v>
      </c>
      <c r="HH33" s="159" t="str">
        <f>VLOOKUP(B33,'data nguồn'!B:P,15,0)</f>
        <v>Nguyễn Văn Hồng Hải</v>
      </c>
      <c r="HI33" s="163" t="str">
        <f>VLOOKUP(B33,'data nguồn'!B:P,14,0)</f>
        <v>VCB Hải Phòng</v>
      </c>
    </row>
    <row r="34" spans="1:217" s="95" customFormat="1" ht="15">
      <c r="A34" s="73">
        <v>24</v>
      </c>
      <c r="B34" s="136" t="s">
        <v>432</v>
      </c>
      <c r="C34" s="851" t="s">
        <v>159</v>
      </c>
      <c r="D34" s="164" t="s">
        <v>160</v>
      </c>
      <c r="E34" s="164" t="s">
        <v>140</v>
      </c>
      <c r="F34" s="164" t="s">
        <v>109</v>
      </c>
      <c r="G34" s="164"/>
      <c r="H34" s="164">
        <v>200709</v>
      </c>
      <c r="I34" s="164" t="s">
        <v>123</v>
      </c>
      <c r="J34" s="136" t="s">
        <v>124</v>
      </c>
      <c r="K34" s="165">
        <v>200</v>
      </c>
      <c r="L34" s="166" t="s">
        <v>557</v>
      </c>
      <c r="M34" s="166"/>
      <c r="N34" s="601">
        <v>8</v>
      </c>
      <c r="O34" s="601">
        <v>5</v>
      </c>
      <c r="P34" s="602"/>
      <c r="Q34" s="602"/>
      <c r="R34" s="601"/>
      <c r="S34" s="601"/>
      <c r="T34" s="602"/>
      <c r="U34" s="602"/>
      <c r="V34" s="603">
        <v>8</v>
      </c>
      <c r="W34" s="603">
        <v>5</v>
      </c>
      <c r="X34" s="602"/>
      <c r="Y34" s="602"/>
      <c r="Z34" s="603">
        <v>8</v>
      </c>
      <c r="AA34" s="603">
        <v>5</v>
      </c>
      <c r="AB34" s="602"/>
      <c r="AC34" s="602"/>
      <c r="AD34" s="604">
        <v>8</v>
      </c>
      <c r="AE34" s="604">
        <v>3</v>
      </c>
      <c r="AF34" s="605"/>
      <c r="AG34" s="605"/>
      <c r="AH34" s="605"/>
      <c r="AI34" s="605"/>
      <c r="AJ34" s="604">
        <v>8</v>
      </c>
      <c r="AK34" s="604">
        <v>3</v>
      </c>
      <c r="AL34" s="605"/>
      <c r="AM34" s="605"/>
      <c r="AN34" s="605"/>
      <c r="AO34" s="605"/>
      <c r="AP34" s="603">
        <v>8</v>
      </c>
      <c r="AQ34" s="603">
        <v>3</v>
      </c>
      <c r="AR34" s="622"/>
      <c r="AS34" s="622"/>
      <c r="AT34" s="136"/>
      <c r="AU34" s="136"/>
      <c r="AV34" s="135">
        <v>8</v>
      </c>
      <c r="AW34" s="135">
        <v>3</v>
      </c>
      <c r="AX34" s="606"/>
      <c r="AY34" s="606"/>
      <c r="AZ34" s="136"/>
      <c r="BA34" s="136"/>
      <c r="BB34" s="135">
        <v>8</v>
      </c>
      <c r="BC34" s="135">
        <v>0</v>
      </c>
      <c r="BD34" s="606"/>
      <c r="BE34" s="606"/>
      <c r="BF34" s="135">
        <v>8</v>
      </c>
      <c r="BG34" s="135">
        <v>3</v>
      </c>
      <c r="BH34" s="606"/>
      <c r="BI34" s="606"/>
      <c r="BJ34" s="136"/>
      <c r="BK34" s="136"/>
      <c r="BL34" s="135">
        <v>8</v>
      </c>
      <c r="BM34" s="135">
        <v>0</v>
      </c>
      <c r="BN34" s="606"/>
      <c r="BO34" s="606"/>
      <c r="BP34" s="136"/>
      <c r="BQ34" s="136"/>
      <c r="BR34" s="130">
        <v>8</v>
      </c>
      <c r="BS34" s="129">
        <v>3</v>
      </c>
      <c r="BT34" s="606"/>
      <c r="BU34" s="606"/>
      <c r="BV34" s="136"/>
      <c r="BW34" s="136"/>
      <c r="BX34" s="624">
        <v>8</v>
      </c>
      <c r="BY34" s="624">
        <v>0</v>
      </c>
      <c r="BZ34" s="608"/>
      <c r="CA34" s="608"/>
      <c r="CB34" s="609"/>
      <c r="CC34" s="609"/>
      <c r="CD34" s="137">
        <v>8</v>
      </c>
      <c r="CE34" s="137">
        <v>3</v>
      </c>
      <c r="CF34" s="606"/>
      <c r="CG34" s="606"/>
      <c r="CH34" s="136"/>
      <c r="CI34" s="136"/>
      <c r="CJ34" s="138">
        <v>8</v>
      </c>
      <c r="CK34" s="138">
        <v>5</v>
      </c>
      <c r="CL34" s="606"/>
      <c r="CM34" s="606"/>
      <c r="CN34" s="136"/>
      <c r="CO34" s="136"/>
      <c r="CP34" s="138">
        <v>8</v>
      </c>
      <c r="CQ34" s="138">
        <v>5</v>
      </c>
      <c r="CR34" s="606"/>
      <c r="CS34" s="606"/>
      <c r="CT34" s="138">
        <v>8</v>
      </c>
      <c r="CU34" s="138">
        <v>5</v>
      </c>
      <c r="CV34" s="606"/>
      <c r="CW34" s="606"/>
      <c r="CX34" s="136"/>
      <c r="CY34" s="136"/>
      <c r="CZ34" s="130">
        <v>8</v>
      </c>
      <c r="DA34" s="138">
        <v>5</v>
      </c>
      <c r="DB34" s="606"/>
      <c r="DC34" s="606"/>
      <c r="DD34" s="136"/>
      <c r="DE34" s="136"/>
      <c r="DF34" s="607">
        <v>8</v>
      </c>
      <c r="DG34" s="607">
        <v>5</v>
      </c>
      <c r="DH34" s="608"/>
      <c r="DI34" s="608"/>
      <c r="DJ34" s="609"/>
      <c r="DK34" s="609"/>
      <c r="DL34" s="607">
        <v>8</v>
      </c>
      <c r="DM34" s="607">
        <v>3</v>
      </c>
      <c r="DN34" s="607"/>
      <c r="DO34" s="607"/>
      <c r="DP34" s="138"/>
      <c r="DQ34" s="138"/>
      <c r="DR34" s="138"/>
      <c r="DS34" s="138"/>
      <c r="DT34" s="621">
        <v>8</v>
      </c>
      <c r="DU34" s="621">
        <v>2</v>
      </c>
      <c r="DV34" s="138"/>
      <c r="DW34" s="138"/>
      <c r="DX34" s="138"/>
      <c r="DY34" s="138"/>
      <c r="DZ34" s="621">
        <v>8</v>
      </c>
      <c r="EA34" s="621">
        <v>2</v>
      </c>
      <c r="EB34" s="138"/>
      <c r="EC34" s="138"/>
      <c r="ED34" s="138"/>
      <c r="EE34" s="138"/>
      <c r="EF34" s="621">
        <v>8</v>
      </c>
      <c r="EG34" s="621">
        <v>2</v>
      </c>
      <c r="EH34" s="138"/>
      <c r="EI34" s="138"/>
      <c r="EJ34" s="138"/>
      <c r="EK34" s="138"/>
      <c r="EL34" s="621">
        <v>8</v>
      </c>
      <c r="EM34" s="621">
        <v>2</v>
      </c>
      <c r="EN34" s="138"/>
      <c r="EO34" s="138"/>
      <c r="EP34" s="138"/>
      <c r="EQ34" s="138"/>
      <c r="ER34" s="621">
        <v>8</v>
      </c>
      <c r="ES34" s="621">
        <v>2</v>
      </c>
      <c r="ET34" s="138"/>
      <c r="EU34" s="138"/>
      <c r="EV34" s="138"/>
      <c r="EW34" s="138"/>
      <c r="EX34" s="621">
        <v>8</v>
      </c>
      <c r="EY34" s="621">
        <v>2</v>
      </c>
      <c r="EZ34" s="138"/>
      <c r="FA34" s="138"/>
      <c r="FB34" s="123"/>
      <c r="FC34" s="123"/>
      <c r="FD34" s="123">
        <v>8</v>
      </c>
      <c r="FE34" s="123">
        <v>2</v>
      </c>
      <c r="FF34" s="138"/>
      <c r="FG34" s="138"/>
      <c r="FH34" s="138"/>
      <c r="FI34" s="138"/>
      <c r="FJ34" s="621">
        <v>8</v>
      </c>
      <c r="FK34" s="621">
        <v>2</v>
      </c>
      <c r="FL34" s="138"/>
      <c r="FM34" s="138"/>
      <c r="FN34" s="138"/>
      <c r="FO34" s="138"/>
      <c r="FP34" s="621">
        <v>8</v>
      </c>
      <c r="FQ34" s="621">
        <v>2</v>
      </c>
      <c r="FR34" s="138"/>
      <c r="FS34" s="138"/>
      <c r="FT34" s="138"/>
      <c r="FU34" s="138"/>
      <c r="FV34" s="621">
        <v>8</v>
      </c>
      <c r="FW34" s="621">
        <v>2</v>
      </c>
      <c r="FX34" s="136"/>
      <c r="FY34" s="136"/>
      <c r="FZ34" s="130"/>
      <c r="GA34" s="130"/>
      <c r="GB34" s="613"/>
      <c r="GC34" s="613"/>
      <c r="GD34" s="74"/>
      <c r="GE34" s="124"/>
      <c r="GF34" s="125">
        <f>SUM(COUNTIFS(N34:GE34,"&gt;0",$N$9:$GE$9,"GC"),COUNTIFS(N34:GE34,"&gt;0",$N$9:$GE$9,"GC1"),COUNTIFS(N34:GE34,"&gt;0",$N$9:$GE$9,"GC2"))</f>
        <v>23</v>
      </c>
      <c r="GG34" s="126">
        <f>SUMIF($N$9:$GE$9,"GC",$N34:$GE34)</f>
        <v>112</v>
      </c>
      <c r="GH34" s="126">
        <f>SUMIF($N$9:$GE$9,"GC1",$N34:$GE34)</f>
        <v>72</v>
      </c>
      <c r="GI34" s="126">
        <f>SUMIF($N$9:$GE$9,"GC2",$N34:$GE34)</f>
        <v>0</v>
      </c>
      <c r="GJ34" s="126">
        <f>SUMIF($N$9:$GE$9,"TC",$N34:$GE34)</f>
        <v>50</v>
      </c>
      <c r="GK34" s="126">
        <f>SUMIF($N$9:$GE$9,"TC1",$N34:$GE34)</f>
        <v>18</v>
      </c>
      <c r="GL34" s="126">
        <f>SUMIF($N$9:$GE$9,"TC2",$N34:$GE34)</f>
        <v>0</v>
      </c>
      <c r="GM34" s="126">
        <f>SUMIF($N$9:$GE$9,"WK-D",$N34:$GE34)+SUMIF($N$9:$GE$9,"WK-TC",$N34:$GE34)</f>
        <v>54</v>
      </c>
      <c r="GN34" s="126">
        <f>SUMIF($N$9:$GE$9,"WK-D1",$N34:$GE34)+SUMIF($N$9:$GE$9,"WK-TC1",$N34:$GE34)</f>
        <v>10</v>
      </c>
      <c r="GO34" s="126">
        <f>SUMIF($N$9:$GE$9,"WK-D2",$N34:$GE34)+SUMIF($N$9:$GE$9,"WK-TC2",$N34:$GE34)</f>
        <v>0</v>
      </c>
      <c r="GP34" s="126">
        <f>SUMIF($N$9:$GE$9,"HOD",$N34:$GE34)</f>
        <v>0</v>
      </c>
      <c r="GQ34" s="126">
        <f>SUMIF($N$9:$GE$9,"HOD1",$N34:$GE34)</f>
        <v>0</v>
      </c>
      <c r="GR34" s="126">
        <f>SUMIF($N$9:$GE$9,"HOD2",$N34:$GE34)</f>
        <v>0</v>
      </c>
      <c r="GS34" s="162">
        <f t="shared" si="30"/>
        <v>9815000</v>
      </c>
      <c r="GT34" s="97" t="str">
        <f>IF(SUM(COUNTIFS(N34:GC34,"&gt;0",$N$9:$GC$9,"GC"),COUNTIFS(N34:GC34,"&gt;0",$N$9:$GC$9,"GC1"),COUNTIFS(N34:GC34,"&gt;0",$N$9:$GC$9,"GC2"),COUNTIFS(N34:GC34,"&gt;0",$N$9:$GC$9,"WK-D"),COUNTIFS(N34:GC34,"&gt;0",$N$9:$GC$9,"WK-D1"),COUNTIFS(N34:GC34,"&gt;0",$N$9:$GC$9,"WK-D2"))&gt;3,"Đ","K")</f>
        <v>Đ</v>
      </c>
      <c r="GU34" s="97">
        <f t="shared" si="31"/>
        <v>9815000</v>
      </c>
      <c r="GV34" s="97">
        <f>SUM(COUNTIFS(N34:GC34,"&gt;2",$N$9:$GC$9,"GC"),COUNTIFS(N34:GC34,"&gt;2",$N$9:$GC$9,"GC1"),COUNTIFS(N34:GC34,"&gt;2",$N$9:$GC$9,"GC2"))</f>
        <v>23</v>
      </c>
      <c r="GW34" s="162">
        <f t="shared" si="32"/>
        <v>200000</v>
      </c>
      <c r="GX34" s="162">
        <f>SUM(COUNTIFS(N34:GC34,"&gt;2",$N$9:$GC$9,"GC"),COUNTIFS(N34:GC34,"&gt;2",$N$9:$GC$9,"GC1"),COUNTIFS(N34:GC34,"&gt;2",$N$9:$GC$9,"GC2"),COUNTIFS(N34:GC34,"&gt;2",$N$9:$GC$9,"WK-D"),COUNTIFS(N34:GC34,"&gt;2",$N$9:$GC$9,"WK-D1"),COUNTIFS(N34:GC34,"&gt;2",$N$9:$GC$9,"WK-D2"))*$GX$10</f>
        <v>300000</v>
      </c>
      <c r="GY34" s="162">
        <f t="shared" si="33"/>
        <v>240000</v>
      </c>
      <c r="GZ34" s="162">
        <f>COUNTIF($N34:$GC34,"CP")</f>
        <v>0</v>
      </c>
      <c r="HA34" s="162">
        <f>COUNTIF($N34:$GC34,"KP")</f>
        <v>0</v>
      </c>
      <c r="HB34" s="162">
        <f>COUNTIF($N34:$GC34,"ĐP")</f>
        <v>0</v>
      </c>
      <c r="HC34" s="162">
        <f>COUNTIF($N34:$GC34,"ĐD")</f>
        <v>0</v>
      </c>
      <c r="HD34" s="162">
        <f>COUNTIF($N34:$GC34,"TPL")</f>
        <v>0</v>
      </c>
      <c r="HE34" s="162">
        <f>COUNTIF($N34:$GC34,"ĐPL")</f>
        <v>0</v>
      </c>
      <c r="HF34" s="162">
        <f t="shared" si="35"/>
        <v>0</v>
      </c>
      <c r="HG34" s="156" t="str">
        <f>VLOOKUP(B34,'data nguồn'!B:N,13,0)</f>
        <v>1015427075</v>
      </c>
      <c r="HH34" s="159" t="str">
        <f>VLOOKUP(B34,'data nguồn'!B:P,15,0)</f>
        <v>Trần Thanh Hường</v>
      </c>
      <c r="HI34" s="163" t="str">
        <f>VLOOKUP(B34,'data nguồn'!B:P,14,0)</f>
        <v>VCB Hải Phòng</v>
      </c>
    </row>
    <row r="35" spans="1:217" s="95" customFormat="1" ht="14.25" customHeight="1">
      <c r="A35" s="73">
        <v>25</v>
      </c>
      <c r="B35" s="136" t="s">
        <v>64</v>
      </c>
      <c r="C35" s="851" t="s">
        <v>756</v>
      </c>
      <c r="D35" s="164" t="s">
        <v>164</v>
      </c>
      <c r="E35" s="164" t="s">
        <v>504</v>
      </c>
      <c r="F35" s="164" t="s">
        <v>116</v>
      </c>
      <c r="G35" s="164"/>
      <c r="H35" s="164">
        <v>200712</v>
      </c>
      <c r="I35" s="164" t="s">
        <v>123</v>
      </c>
      <c r="J35" s="136" t="s">
        <v>124</v>
      </c>
      <c r="K35" s="165">
        <v>90</v>
      </c>
      <c r="L35" s="166">
        <v>44175</v>
      </c>
      <c r="M35" s="166"/>
      <c r="N35" s="601">
        <v>8</v>
      </c>
      <c r="O35" s="601">
        <v>5</v>
      </c>
      <c r="P35" s="602"/>
      <c r="Q35" s="602"/>
      <c r="R35" s="601"/>
      <c r="S35" s="601"/>
      <c r="T35" s="602"/>
      <c r="U35" s="602"/>
      <c r="V35" s="603">
        <v>8</v>
      </c>
      <c r="W35" s="603">
        <v>5</v>
      </c>
      <c r="X35" s="602"/>
      <c r="Y35" s="602"/>
      <c r="Z35" s="603">
        <v>8</v>
      </c>
      <c r="AA35" s="603">
        <v>5</v>
      </c>
      <c r="AB35" s="602"/>
      <c r="AC35" s="602"/>
      <c r="AD35" s="604">
        <v>8</v>
      </c>
      <c r="AE35" s="604">
        <v>3</v>
      </c>
      <c r="AF35" s="605"/>
      <c r="AG35" s="605"/>
      <c r="AH35" s="605"/>
      <c r="AI35" s="605"/>
      <c r="AJ35" s="604">
        <v>8</v>
      </c>
      <c r="AK35" s="604">
        <v>3</v>
      </c>
      <c r="AL35" s="605"/>
      <c r="AM35" s="605"/>
      <c r="AN35" s="605"/>
      <c r="AO35" s="605"/>
      <c r="AP35" s="603">
        <v>8</v>
      </c>
      <c r="AQ35" s="603">
        <v>3</v>
      </c>
      <c r="AR35" s="622"/>
      <c r="AS35" s="622"/>
      <c r="AT35" s="136"/>
      <c r="AU35" s="136"/>
      <c r="AV35" s="135">
        <v>8</v>
      </c>
      <c r="AW35" s="135">
        <v>3</v>
      </c>
      <c r="AX35" s="606"/>
      <c r="AY35" s="606"/>
      <c r="AZ35" s="136"/>
      <c r="BA35" s="136"/>
      <c r="BB35" s="135">
        <v>8</v>
      </c>
      <c r="BC35" s="135">
        <v>0</v>
      </c>
      <c r="BD35" s="606"/>
      <c r="BE35" s="606"/>
      <c r="BF35" s="135">
        <v>8</v>
      </c>
      <c r="BG35" s="135">
        <v>0</v>
      </c>
      <c r="BH35" s="606"/>
      <c r="BI35" s="606"/>
      <c r="BJ35" s="136"/>
      <c r="BK35" s="136"/>
      <c r="BL35" s="135">
        <v>8</v>
      </c>
      <c r="BM35" s="135">
        <v>0</v>
      </c>
      <c r="BN35" s="606"/>
      <c r="BO35" s="606"/>
      <c r="BP35" s="136"/>
      <c r="BQ35" s="136"/>
      <c r="BR35" s="130">
        <v>8</v>
      </c>
      <c r="BS35" s="129">
        <v>3</v>
      </c>
      <c r="BT35" s="606"/>
      <c r="BU35" s="606"/>
      <c r="BV35" s="136"/>
      <c r="BW35" s="136"/>
      <c r="BX35" s="624">
        <v>8</v>
      </c>
      <c r="BY35" s="624">
        <v>0</v>
      </c>
      <c r="BZ35" s="608"/>
      <c r="CA35" s="608"/>
      <c r="CB35" s="609"/>
      <c r="CC35" s="609"/>
      <c r="CD35" s="137">
        <v>8</v>
      </c>
      <c r="CE35" s="137">
        <v>3</v>
      </c>
      <c r="CF35" s="606"/>
      <c r="CG35" s="606"/>
      <c r="CH35" s="136"/>
      <c r="CI35" s="136"/>
      <c r="CJ35" s="138">
        <v>8</v>
      </c>
      <c r="CK35" s="138">
        <v>5</v>
      </c>
      <c r="CL35" s="606"/>
      <c r="CM35" s="606"/>
      <c r="CN35" s="136"/>
      <c r="CO35" s="136"/>
      <c r="CP35" s="138">
        <v>8</v>
      </c>
      <c r="CQ35" s="138">
        <v>5</v>
      </c>
      <c r="CR35" s="606"/>
      <c r="CS35" s="606"/>
      <c r="CT35" s="138">
        <v>8</v>
      </c>
      <c r="CU35" s="138">
        <v>5</v>
      </c>
      <c r="CV35" s="606"/>
      <c r="CW35" s="606"/>
      <c r="CX35" s="136"/>
      <c r="CY35" s="136"/>
      <c r="CZ35" s="130">
        <v>8</v>
      </c>
      <c r="DA35" s="138">
        <v>5</v>
      </c>
      <c r="DB35" s="606"/>
      <c r="DC35" s="606"/>
      <c r="DD35" s="136"/>
      <c r="DE35" s="136"/>
      <c r="DF35" s="607">
        <v>8</v>
      </c>
      <c r="DG35" s="607">
        <v>5</v>
      </c>
      <c r="DH35" s="608"/>
      <c r="DI35" s="608"/>
      <c r="DJ35" s="609"/>
      <c r="DK35" s="609"/>
      <c r="DL35" s="607">
        <v>8</v>
      </c>
      <c r="DM35" s="607">
        <v>3</v>
      </c>
      <c r="DN35" s="607"/>
      <c r="DO35" s="607"/>
      <c r="DP35" s="138"/>
      <c r="DQ35" s="138"/>
      <c r="DR35" s="138"/>
      <c r="DS35" s="138"/>
      <c r="DT35" s="621">
        <v>8</v>
      </c>
      <c r="DU35" s="621">
        <v>2</v>
      </c>
      <c r="DV35" s="138"/>
      <c r="DW35" s="138"/>
      <c r="DX35" s="138"/>
      <c r="DY35" s="138"/>
      <c r="DZ35" s="621">
        <v>8</v>
      </c>
      <c r="EA35" s="621">
        <v>2</v>
      </c>
      <c r="EB35" s="138"/>
      <c r="EC35" s="138"/>
      <c r="ED35" s="138"/>
      <c r="EE35" s="138"/>
      <c r="EF35" s="621">
        <v>8</v>
      </c>
      <c r="EG35" s="621">
        <v>2</v>
      </c>
      <c r="EH35" s="138"/>
      <c r="EI35" s="138"/>
      <c r="EJ35" s="138"/>
      <c r="EK35" s="138"/>
      <c r="EL35" s="621">
        <v>8</v>
      </c>
      <c r="EM35" s="621">
        <v>2</v>
      </c>
      <c r="EN35" s="138"/>
      <c r="EO35" s="138"/>
      <c r="EP35" s="138"/>
      <c r="EQ35" s="138"/>
      <c r="ER35" s="621">
        <v>8</v>
      </c>
      <c r="ES35" s="621">
        <v>2</v>
      </c>
      <c r="ET35" s="138"/>
      <c r="EU35" s="138"/>
      <c r="EV35" s="138"/>
      <c r="EW35" s="138"/>
      <c r="EX35" s="621">
        <v>8</v>
      </c>
      <c r="EY35" s="621">
        <v>2</v>
      </c>
      <c r="EZ35" s="138"/>
      <c r="FA35" s="138"/>
      <c r="FB35" s="123"/>
      <c r="FC35" s="123"/>
      <c r="FD35" s="123">
        <v>8</v>
      </c>
      <c r="FE35" s="123">
        <v>2</v>
      </c>
      <c r="FF35" s="138"/>
      <c r="FG35" s="138"/>
      <c r="FH35" s="138"/>
      <c r="FI35" s="138"/>
      <c r="FJ35" s="621">
        <v>8</v>
      </c>
      <c r="FK35" s="621">
        <v>2</v>
      </c>
      <c r="FL35" s="138"/>
      <c r="FM35" s="138"/>
      <c r="FN35" s="138"/>
      <c r="FO35" s="138"/>
      <c r="FP35" s="621">
        <v>8</v>
      </c>
      <c r="FQ35" s="621">
        <v>2</v>
      </c>
      <c r="FR35" s="138"/>
      <c r="FS35" s="138"/>
      <c r="FT35" s="138"/>
      <c r="FU35" s="138"/>
      <c r="FV35" s="621">
        <v>8</v>
      </c>
      <c r="FW35" s="621">
        <v>2</v>
      </c>
      <c r="FX35" s="136"/>
      <c r="FY35" s="136"/>
      <c r="FZ35" s="130"/>
      <c r="GA35" s="130"/>
      <c r="GB35" s="613"/>
      <c r="GC35" s="613"/>
      <c r="GD35" s="74"/>
      <c r="GE35" s="124"/>
      <c r="GF35" s="125">
        <f>SUM(COUNTIFS(N35:GE35,"&gt;0",$N$9:$GE$9,"GC"),COUNTIFS(N35:GE35,"&gt;0",$N$9:$GE$9,"GC1"),COUNTIFS(N35:GE35,"&gt;0",$N$9:$GE$9,"GC2"))</f>
        <v>23</v>
      </c>
      <c r="GG35" s="126">
        <f>SUMIF($N$9:$GE$9,"GC",$N35:$GE35)</f>
        <v>112</v>
      </c>
      <c r="GH35" s="126">
        <f>SUMIF($N$9:$GE$9,"GC1",$N35:$GE35)</f>
        <v>72</v>
      </c>
      <c r="GI35" s="126">
        <f>SUMIF($N$9:$GE$9,"GC2",$N35:$GE35)</f>
        <v>0</v>
      </c>
      <c r="GJ35" s="126">
        <f>SUMIF($N$9:$GE$9,"TC",$N35:$GE35)</f>
        <v>47</v>
      </c>
      <c r="GK35" s="126">
        <f>SUMIF($N$9:$GE$9,"TC1",$N35:$GE35)</f>
        <v>18</v>
      </c>
      <c r="GL35" s="126">
        <f>SUMIF($N$9:$GE$9,"TC2",$N35:$GE35)</f>
        <v>0</v>
      </c>
      <c r="GM35" s="126">
        <f>SUMIF($N$9:$GE$9,"WK-D",$N35:$GE35)+SUMIF($N$9:$GE$9,"WK-TC",$N35:$GE35)</f>
        <v>54</v>
      </c>
      <c r="GN35" s="126">
        <f>SUMIF($N$9:$GE$9,"WK-D1",$N35:$GE35)+SUMIF($N$9:$GE$9,"WK-TC1",$N35:$GE35)</f>
        <v>10</v>
      </c>
      <c r="GO35" s="126">
        <f>SUMIF($N$9:$GE$9,"WK-D2",$N35:$GE35)+SUMIF($N$9:$GE$9,"WK-TC2",$N35:$GE35)</f>
        <v>0</v>
      </c>
      <c r="GP35" s="126">
        <f>SUMIF($N$9:$GE$9,"HOD",$N35:$GE35)</f>
        <v>0</v>
      </c>
      <c r="GQ35" s="126">
        <f>SUMIF($N$9:$GE$9,"HOD1",$N35:$GE35)</f>
        <v>0</v>
      </c>
      <c r="GR35" s="126">
        <f>SUMIF($N$9:$GE$9,"HOD2",$N35:$GE35)</f>
        <v>0</v>
      </c>
      <c r="GS35" s="162">
        <f t="shared" si="30"/>
        <v>9719000</v>
      </c>
      <c r="GT35" s="97" t="str">
        <f>IF(SUM(COUNTIFS(N35:GC35,"&gt;0",$N$9:$GC$9,"GC"),COUNTIFS(N35:GC35,"&gt;0",$N$9:$GC$9,"GC1"),COUNTIFS(N35:GC35,"&gt;0",$N$9:$GC$9,"GC2"),COUNTIFS(N35:GC35,"&gt;0",$N$9:$GC$9,"WK-D"),COUNTIFS(N35:GC35,"&gt;0",$N$9:$GC$9,"WK-D1"),COUNTIFS(N35:GC35,"&gt;0",$N$9:$GC$9,"WK-D2"))&gt;3,"Đ","K")</f>
        <v>Đ</v>
      </c>
      <c r="GU35" s="97">
        <f t="shared" si="31"/>
        <v>9719000</v>
      </c>
      <c r="GV35" s="97">
        <f>SUM(COUNTIFS(N35:GC35,"&gt;2",$N$9:$GC$9,"GC"),COUNTIFS(N35:GC35,"&gt;2",$N$9:$GC$9,"GC1"),COUNTIFS(N35:GC35,"&gt;2",$N$9:$GC$9,"GC2"))</f>
        <v>23</v>
      </c>
      <c r="GW35" s="162">
        <f t="shared" si="32"/>
        <v>200000</v>
      </c>
      <c r="GX35" s="162">
        <f>SUM(COUNTIFS(N35:GC35,"&gt;2",$N$9:$GC$9,"GC"),COUNTIFS(N35:GC35,"&gt;2",$N$9:$GC$9,"GC1"),COUNTIFS(N35:GC35,"&gt;2",$N$9:$GC$9,"GC2"),COUNTIFS(N35:GC35,"&gt;2",$N$9:$GC$9,"WK-D"),COUNTIFS(N35:GC35,"&gt;2",$N$9:$GC$9,"WK-D1"),COUNTIFS(N35:GC35,"&gt;2",$N$9:$GC$9,"WK-D2"))*$GX$10</f>
        <v>300000</v>
      </c>
      <c r="GY35" s="162">
        <f t="shared" si="33"/>
        <v>240000</v>
      </c>
      <c r="GZ35" s="162">
        <f>COUNTIF($N35:$GC35,"CP")</f>
        <v>0</v>
      </c>
      <c r="HA35" s="162">
        <f>COUNTIF($N35:$GC35,"KP")</f>
        <v>0</v>
      </c>
      <c r="HB35" s="162">
        <f>COUNTIF($N35:$GC35,"ĐP")</f>
        <v>0</v>
      </c>
      <c r="HC35" s="162">
        <f>COUNTIF($N35:$GC35,"ĐD")</f>
        <v>0</v>
      </c>
      <c r="HD35" s="162">
        <f>COUNTIF($N35:$GC35,"TPL")</f>
        <v>0</v>
      </c>
      <c r="HE35" s="162">
        <f>COUNTIF($N35:$GC35,"ĐPL")</f>
        <v>0</v>
      </c>
      <c r="HF35" s="162">
        <f t="shared" si="35"/>
        <v>0</v>
      </c>
      <c r="HG35" s="156" t="str">
        <f>VLOOKUP(B35,'data nguồn'!B:N,13,0)</f>
        <v>1015429133</v>
      </c>
      <c r="HH35" s="159" t="str">
        <f>VLOOKUP(B35,'data nguồn'!B:P,15,0)</f>
        <v>Lương Văn Hài</v>
      </c>
      <c r="HI35" s="163" t="str">
        <f>VLOOKUP(B35,'data nguồn'!B:P,14,0)</f>
        <v>VCB Hải Phòng</v>
      </c>
    </row>
    <row r="36" spans="1:217" s="95" customFormat="1" ht="15">
      <c r="A36" s="73">
        <v>26</v>
      </c>
      <c r="B36" s="136" t="s">
        <v>62</v>
      </c>
      <c r="C36" s="854" t="s">
        <v>750</v>
      </c>
      <c r="D36" s="164" t="s">
        <v>162</v>
      </c>
      <c r="E36" s="164" t="s">
        <v>136</v>
      </c>
      <c r="F36" s="164" t="s">
        <v>113</v>
      </c>
      <c r="G36" s="164"/>
      <c r="H36" s="164">
        <v>200714</v>
      </c>
      <c r="I36" s="164" t="s">
        <v>478</v>
      </c>
      <c r="J36" s="136" t="s">
        <v>124</v>
      </c>
      <c r="K36" s="165"/>
      <c r="L36" s="166"/>
      <c r="M36" s="166">
        <v>44098</v>
      </c>
      <c r="N36" s="601">
        <v>8</v>
      </c>
      <c r="O36" s="601">
        <v>3</v>
      </c>
      <c r="P36" s="602"/>
      <c r="Q36" s="602"/>
      <c r="R36" s="601"/>
      <c r="S36" s="601"/>
      <c r="T36" s="602"/>
      <c r="U36" s="602"/>
      <c r="V36" s="603">
        <v>8</v>
      </c>
      <c r="W36" s="603">
        <v>3</v>
      </c>
      <c r="X36" s="602"/>
      <c r="Y36" s="602"/>
      <c r="Z36" s="603">
        <v>8</v>
      </c>
      <c r="AA36" s="603">
        <v>3</v>
      </c>
      <c r="AB36" s="602"/>
      <c r="AC36" s="602"/>
      <c r="AD36" s="604">
        <v>8</v>
      </c>
      <c r="AE36" s="604">
        <v>3</v>
      </c>
      <c r="AF36" s="605"/>
      <c r="AG36" s="605"/>
      <c r="AH36" s="605"/>
      <c r="AI36" s="605"/>
      <c r="AJ36" s="604" t="s">
        <v>533</v>
      </c>
      <c r="AK36" s="604"/>
      <c r="AL36" s="605"/>
      <c r="AM36" s="605"/>
      <c r="AN36" s="605"/>
      <c r="AO36" s="605"/>
      <c r="AP36" s="603" t="s">
        <v>533</v>
      </c>
      <c r="AQ36" s="603"/>
      <c r="AR36" s="622"/>
      <c r="AS36" s="622"/>
      <c r="AT36" s="136"/>
      <c r="AU36" s="136"/>
      <c r="AV36" s="135">
        <v>8</v>
      </c>
      <c r="AW36" s="135">
        <v>0</v>
      </c>
      <c r="AX36" s="606"/>
      <c r="AY36" s="606"/>
      <c r="AZ36" s="136"/>
      <c r="BA36" s="136"/>
      <c r="BB36" s="135" t="s">
        <v>533</v>
      </c>
      <c r="BC36" s="135"/>
      <c r="BD36" s="606"/>
      <c r="BE36" s="606"/>
      <c r="BF36" s="135" t="s">
        <v>533</v>
      </c>
      <c r="BG36" s="135" t="str">
        <f>F50</f>
        <v>Nguyễn Khắc Hiệp</v>
      </c>
      <c r="BH36" s="606"/>
      <c r="BI36" s="606"/>
      <c r="BJ36" s="136"/>
      <c r="BK36" s="136"/>
      <c r="BL36" s="135" t="s">
        <v>533</v>
      </c>
      <c r="BM36" s="135" t="str">
        <f>F50</f>
        <v>Nguyễn Khắc Hiệp</v>
      </c>
      <c r="BN36" s="606"/>
      <c r="BO36" s="606"/>
      <c r="BP36" s="136"/>
      <c r="BQ36" s="136"/>
      <c r="BR36" s="130" t="s">
        <v>533</v>
      </c>
      <c r="BS36" s="129" t="str">
        <f>F50</f>
        <v>Nguyễn Khắc Hiệp</v>
      </c>
      <c r="BT36" s="606"/>
      <c r="BU36" s="606"/>
      <c r="BV36" s="136"/>
      <c r="BW36" s="136"/>
      <c r="BX36" s="624" t="s">
        <v>533</v>
      </c>
      <c r="BY36" s="624" t="str">
        <f>F50</f>
        <v>Nguyễn Khắc Hiệp</v>
      </c>
      <c r="BZ36" s="608"/>
      <c r="CA36" s="608"/>
      <c r="CB36" s="609"/>
      <c r="CC36" s="609"/>
      <c r="CD36" s="137" t="s">
        <v>533</v>
      </c>
      <c r="CE36" s="137" t="str">
        <f>F50</f>
        <v>Nguyễn Khắc Hiệp</v>
      </c>
      <c r="CF36" s="606"/>
      <c r="CG36" s="606"/>
      <c r="CH36" s="136"/>
      <c r="CI36" s="136"/>
      <c r="CJ36" s="138" t="s">
        <v>533</v>
      </c>
      <c r="CK36" s="138" t="str">
        <f>F50</f>
        <v>Nguyễn Khắc Hiệp</v>
      </c>
      <c r="CL36" s="606"/>
      <c r="CM36" s="606"/>
      <c r="CN36" s="136"/>
      <c r="CO36" s="136"/>
      <c r="CP36" s="138" t="s">
        <v>533</v>
      </c>
      <c r="CQ36" s="138" t="str">
        <f>F50</f>
        <v>Nguyễn Khắc Hiệp</v>
      </c>
      <c r="CR36" s="606"/>
      <c r="CS36" s="606"/>
      <c r="CT36" s="138" t="s">
        <v>533</v>
      </c>
      <c r="CU36" s="138" t="str">
        <f>F50</f>
        <v>Nguyễn Khắc Hiệp</v>
      </c>
      <c r="CV36" s="606"/>
      <c r="CW36" s="606"/>
      <c r="CX36" s="136"/>
      <c r="CY36" s="136"/>
      <c r="CZ36" s="130" t="s">
        <v>533</v>
      </c>
      <c r="DA36" s="138" t="str">
        <f>F50</f>
        <v>Nguyễn Khắc Hiệp</v>
      </c>
      <c r="DB36" s="606"/>
      <c r="DC36" s="606"/>
      <c r="DD36" s="136"/>
      <c r="DE36" s="136"/>
      <c r="DF36" s="607" t="s">
        <v>533</v>
      </c>
      <c r="DG36" s="607" t="str">
        <f>F50</f>
        <v>Nguyễn Khắc Hiệp</v>
      </c>
      <c r="DH36" s="608"/>
      <c r="DI36" s="608"/>
      <c r="DJ36" s="609"/>
      <c r="DK36" s="609"/>
      <c r="DL36" s="607"/>
      <c r="DM36" s="607"/>
      <c r="DN36" s="607"/>
      <c r="DO36" s="607"/>
      <c r="DP36" s="138"/>
      <c r="DQ36" s="138"/>
      <c r="DR36" s="138">
        <v>8</v>
      </c>
      <c r="DS36" s="138">
        <v>3</v>
      </c>
      <c r="DT36" s="621"/>
      <c r="DU36" s="621"/>
      <c r="DV36" s="138"/>
      <c r="DW36" s="138"/>
      <c r="DX36" s="138">
        <v>8</v>
      </c>
      <c r="DY36" s="138">
        <v>3</v>
      </c>
      <c r="DZ36" s="621"/>
      <c r="EA36" s="621"/>
      <c r="EB36" s="138"/>
      <c r="EC36" s="138"/>
      <c r="ED36" s="138">
        <v>8</v>
      </c>
      <c r="EE36" s="138">
        <v>0</v>
      </c>
      <c r="EF36" s="621"/>
      <c r="EG36" s="621"/>
      <c r="EH36" s="138"/>
      <c r="EI36" s="138"/>
      <c r="EJ36" s="138" t="s">
        <v>827</v>
      </c>
      <c r="EK36" s="138"/>
      <c r="EL36" s="621" t="str">
        <f>F65</f>
        <v>Hoàng Xuân Vững</v>
      </c>
      <c r="EM36" s="621"/>
      <c r="EN36" s="138"/>
      <c r="EO36" s="138"/>
      <c r="EP36" s="138"/>
      <c r="EQ36" s="138"/>
      <c r="ER36" s="621"/>
      <c r="ES36" s="621"/>
      <c r="ET36" s="138"/>
      <c r="EU36" s="138"/>
      <c r="EV36" s="138"/>
      <c r="EW36" s="138"/>
      <c r="EX36" s="621"/>
      <c r="EY36" s="621"/>
      <c r="EZ36" s="138"/>
      <c r="FA36" s="138"/>
      <c r="FB36" s="123"/>
      <c r="FC36" s="123"/>
      <c r="FD36" s="123"/>
      <c r="FE36" s="123"/>
      <c r="FF36" s="138"/>
      <c r="FG36" s="138"/>
      <c r="FH36" s="138"/>
      <c r="FI36" s="138"/>
      <c r="FJ36" s="621"/>
      <c r="FK36" s="621"/>
      <c r="FL36" s="138"/>
      <c r="FM36" s="138"/>
      <c r="FN36" s="138"/>
      <c r="FO36" s="138"/>
      <c r="FP36" s="621"/>
      <c r="FQ36" s="621"/>
      <c r="FR36" s="138"/>
      <c r="FS36" s="138"/>
      <c r="FT36" s="138"/>
      <c r="FU36" s="138"/>
      <c r="FV36" s="621"/>
      <c r="FW36" s="621"/>
      <c r="FX36" s="136"/>
      <c r="FY36" s="136"/>
      <c r="FZ36" s="130"/>
      <c r="GA36" s="130"/>
      <c r="GB36" s="613"/>
      <c r="GC36" s="613"/>
      <c r="GD36" s="74"/>
      <c r="GE36" s="124"/>
      <c r="GF36" s="125">
        <f>SUM(COUNTIFS(N36:GE36,"&gt;0",$N$9:$GE$9,"GC"),COUNTIFS(N36:GE36,"&gt;0",$N$9:$GE$9,"GC1"),COUNTIFS(N36:GE36,"&gt;0",$N$9:$GE$9,"GC2"))</f>
        <v>7</v>
      </c>
      <c r="GG36" s="126">
        <f>SUMIF($N$9:$GE$9,"GC",$N36:$GE36)</f>
        <v>56</v>
      </c>
      <c r="GH36" s="126">
        <f>SUMIF($N$9:$GE$9,"GC1",$N36:$GE36)</f>
        <v>0</v>
      </c>
      <c r="GI36" s="126">
        <f>SUMIF($N$9:$GE$9,"GC2",$N36:$GE36)</f>
        <v>0</v>
      </c>
      <c r="GJ36" s="126">
        <f>SUMIF($N$9:$GE$9,"TC",$N36:$GE36)</f>
        <v>15</v>
      </c>
      <c r="GK36" s="126">
        <f>SUMIF($N$9:$GE$9,"TC1",$N36:$GE36)</f>
        <v>0</v>
      </c>
      <c r="GL36" s="126">
        <f>SUMIF($N$9:$GE$9,"TC2",$N36:$GE36)</f>
        <v>0</v>
      </c>
      <c r="GM36" s="126">
        <f>SUMIF($N$9:$GE$9,"WK-D",$N36:$GE36)+SUMIF($N$9:$GE$9,"WK-TC",$N36:$GE36)</f>
        <v>11</v>
      </c>
      <c r="GN36" s="126">
        <f>SUMIF($N$9:$GE$9,"WK-D1",$N36:$GE36)+SUMIF($N$9:$GE$9,"WK-TC1",$N36:$GE36)</f>
        <v>0</v>
      </c>
      <c r="GO36" s="126">
        <f>SUMIF($N$9:$GE$9,"WK-D2",$N36:$GE36)+SUMIF($N$9:$GE$9,"WK-TC2",$N36:$GE36)</f>
        <v>0</v>
      </c>
      <c r="GP36" s="126">
        <f>SUMIF($N$9:$GE$9,"HOD",$N36:$GE36)</f>
        <v>0</v>
      </c>
      <c r="GQ36" s="126">
        <f>SUMIF($N$9:$GE$9,"HOD1",$N36:$GE36)</f>
        <v>0</v>
      </c>
      <c r="GR36" s="126">
        <f>SUMIF($N$9:$GE$9,"HOD2",$N36:$GE36)</f>
        <v>0</v>
      </c>
      <c r="GS36" s="162">
        <f t="shared" si="30"/>
        <v>2299250</v>
      </c>
      <c r="GT36" s="97" t="str">
        <f>IF(SUM(COUNTIFS(N36:GC36,"&gt;0",$N$9:$GC$9,"GC"),COUNTIFS(N36:GC36,"&gt;0",$N$9:$GC$9,"GC1"),COUNTIFS(N36:GC36,"&gt;0",$N$9:$GC$9,"GC2"),COUNTIFS(N36:GC36,"&gt;0",$N$9:$GC$9,"WK-D"),COUNTIFS(N36:GC36,"&gt;0",$N$9:$GC$9,"WK-D1"),COUNTIFS(N36:GC36,"&gt;0",$N$9:$GC$9,"WK-D2"))&gt;3,"Đ","K")</f>
        <v>Đ</v>
      </c>
      <c r="GU36" s="97">
        <f t="shared" si="31"/>
        <v>2299250</v>
      </c>
      <c r="GV36" s="97">
        <f>SUM(COUNTIFS(N36:GC36,"&gt;2",$N$9:$GC$9,"GC"),COUNTIFS(N36:GC36,"&gt;2",$N$9:$GC$9,"GC1"),COUNTIFS(N36:GC36,"&gt;2",$N$9:$GC$9,"GC2"))</f>
        <v>7</v>
      </c>
      <c r="GW36" s="162">
        <f t="shared" si="32"/>
        <v>0</v>
      </c>
      <c r="GX36" s="162">
        <f>SUM(COUNTIFS(N36:GC36,"&gt;2",$N$9:$GC$9,"GC"),COUNTIFS(N36:GC36,"&gt;2",$N$9:$GC$9,"GC1"),COUNTIFS(N36:GC36,"&gt;2",$N$9:$GC$9,"GC2"),COUNTIFS(N36:GC36,"&gt;2",$N$9:$GC$9,"WK-D"),COUNTIFS(N36:GC36,"&gt;2",$N$9:$GC$9,"WK-D1"),COUNTIFS(N36:GC36,"&gt;2",$N$9:$GC$9,"WK-D2"))*$GX$10</f>
        <v>82758.620689655174</v>
      </c>
      <c r="GY36" s="162">
        <f t="shared" si="33"/>
        <v>73043.478260869568</v>
      </c>
      <c r="GZ36" s="162">
        <f>COUNTIF($N36:$GC36,"CP")</f>
        <v>13</v>
      </c>
      <c r="HA36" s="162">
        <f>COUNTIF($N36:$GC36,"KP")</f>
        <v>0</v>
      </c>
      <c r="HB36" s="162">
        <f>COUNTIF($N36:$GC36,"ĐP")</f>
        <v>0</v>
      </c>
      <c r="HC36" s="162">
        <f>COUNTIF($N36:$GC36,"ĐD")</f>
        <v>0</v>
      </c>
      <c r="HD36" s="162">
        <f>COUNTIF($N36:$GC36,"TPL")</f>
        <v>0</v>
      </c>
      <c r="HE36" s="162">
        <f>COUNTIF($N36:$GC36,"ĐPL")</f>
        <v>0</v>
      </c>
      <c r="HF36" s="162">
        <f t="shared" si="35"/>
        <v>0</v>
      </c>
      <c r="HG36" s="156" t="str">
        <f>VLOOKUP(B36,'data nguồn'!B:N,13,0)</f>
        <v>1016123514</v>
      </c>
      <c r="HH36" s="159" t="str">
        <f>VLOOKUP(B36,'data nguồn'!B:P,15,0)</f>
        <v>Đỗ Văn Thái</v>
      </c>
      <c r="HI36" s="163" t="str">
        <f>VLOOKUP(B36,'data nguồn'!B:P,14,0)</f>
        <v>VCB Hải Phòng</v>
      </c>
    </row>
    <row r="37" spans="1:217" s="95" customFormat="1" ht="15">
      <c r="A37" s="73">
        <v>27</v>
      </c>
      <c r="B37" s="628" t="s">
        <v>63</v>
      </c>
      <c r="C37" s="852" t="s">
        <v>763</v>
      </c>
      <c r="D37" s="618" t="s">
        <v>163</v>
      </c>
      <c r="E37" s="618" t="s">
        <v>141</v>
      </c>
      <c r="F37" s="618" t="s">
        <v>115</v>
      </c>
      <c r="G37" s="618"/>
      <c r="H37" s="164">
        <v>200715</v>
      </c>
      <c r="I37" s="164" t="s">
        <v>123</v>
      </c>
      <c r="J37" s="136" t="s">
        <v>124</v>
      </c>
      <c r="K37" s="165"/>
      <c r="L37" s="132"/>
      <c r="M37" s="619">
        <v>44086</v>
      </c>
      <c r="N37" s="601">
        <v>8</v>
      </c>
      <c r="O37" s="601">
        <v>5</v>
      </c>
      <c r="P37" s="602"/>
      <c r="Q37" s="602"/>
      <c r="R37" s="601"/>
      <c r="S37" s="601"/>
      <c r="T37" s="602"/>
      <c r="U37" s="602"/>
      <c r="V37" s="603">
        <v>8</v>
      </c>
      <c r="W37" s="603">
        <v>5</v>
      </c>
      <c r="X37" s="602"/>
      <c r="Y37" s="602"/>
      <c r="Z37" s="603">
        <v>8</v>
      </c>
      <c r="AA37" s="603">
        <v>5</v>
      </c>
      <c r="AB37" s="602"/>
      <c r="AC37" s="602"/>
      <c r="AD37" s="604">
        <v>8</v>
      </c>
      <c r="AE37" s="604">
        <v>3</v>
      </c>
      <c r="AF37" s="605"/>
      <c r="AG37" s="605"/>
      <c r="AH37" s="605"/>
      <c r="AI37" s="605"/>
      <c r="AJ37" s="604">
        <v>8</v>
      </c>
      <c r="AK37" s="604">
        <v>3</v>
      </c>
      <c r="AL37" s="605"/>
      <c r="AM37" s="605"/>
      <c r="AN37" s="605"/>
      <c r="AO37" s="605"/>
      <c r="AP37" s="603">
        <v>8</v>
      </c>
      <c r="AQ37" s="603">
        <v>3</v>
      </c>
      <c r="AR37" s="622"/>
      <c r="AS37" s="622"/>
      <c r="AT37" s="136"/>
      <c r="AU37" s="136"/>
      <c r="AV37" s="135">
        <v>8</v>
      </c>
      <c r="AW37" s="135">
        <v>3</v>
      </c>
      <c r="AX37" s="606"/>
      <c r="AY37" s="606"/>
      <c r="AZ37" s="136"/>
      <c r="BA37" s="136"/>
      <c r="BB37" s="135">
        <v>8</v>
      </c>
      <c r="BC37" s="135">
        <v>0</v>
      </c>
      <c r="BD37" s="606"/>
      <c r="BE37" s="606"/>
      <c r="BF37" s="135">
        <v>8</v>
      </c>
      <c r="BG37" s="135">
        <v>0</v>
      </c>
      <c r="BH37" s="606"/>
      <c r="BI37" s="606"/>
      <c r="BJ37" s="136"/>
      <c r="BK37" s="136"/>
      <c r="BL37" s="135">
        <v>8</v>
      </c>
      <c r="BM37" s="135">
        <v>0</v>
      </c>
      <c r="BN37" s="606"/>
      <c r="BO37" s="606"/>
      <c r="BP37" s="136"/>
      <c r="BQ37" s="136"/>
      <c r="BR37" s="130" t="s">
        <v>827</v>
      </c>
      <c r="BS37" s="129" t="str">
        <f>F54</f>
        <v>Nguyễn Thị Linh Chi</v>
      </c>
      <c r="BT37" s="606"/>
      <c r="BU37" s="606"/>
      <c r="BV37" s="136"/>
      <c r="BW37" s="136"/>
      <c r="BX37" s="624"/>
      <c r="BY37" s="624"/>
      <c r="BZ37" s="608"/>
      <c r="CA37" s="608"/>
      <c r="CB37" s="609"/>
      <c r="CC37" s="609"/>
      <c r="CD37" s="137"/>
      <c r="CE37" s="137"/>
      <c r="CF37" s="606"/>
      <c r="CG37" s="606"/>
      <c r="CH37" s="136"/>
      <c r="CI37" s="136"/>
      <c r="CJ37" s="138"/>
      <c r="CK37" s="138"/>
      <c r="CL37" s="606"/>
      <c r="CM37" s="606"/>
      <c r="CN37" s="136"/>
      <c r="CO37" s="136"/>
      <c r="CP37" s="138"/>
      <c r="CQ37" s="138"/>
      <c r="CR37" s="606"/>
      <c r="CS37" s="606"/>
      <c r="CT37" s="138"/>
      <c r="CU37" s="138"/>
      <c r="CV37" s="606"/>
      <c r="CW37" s="606"/>
      <c r="CX37" s="136"/>
      <c r="CY37" s="136"/>
      <c r="CZ37" s="130"/>
      <c r="DA37" s="138"/>
      <c r="DB37" s="606"/>
      <c r="DC37" s="606"/>
      <c r="DD37" s="136"/>
      <c r="DE37" s="136"/>
      <c r="DF37" s="607"/>
      <c r="DG37" s="607"/>
      <c r="DH37" s="608"/>
      <c r="DI37" s="608"/>
      <c r="DJ37" s="609"/>
      <c r="DK37" s="609"/>
      <c r="DL37" s="607"/>
      <c r="DM37" s="607"/>
      <c r="DN37" s="607"/>
      <c r="DO37" s="607"/>
      <c r="DP37" s="138"/>
      <c r="DQ37" s="138"/>
      <c r="DR37" s="138"/>
      <c r="DS37" s="138"/>
      <c r="DT37" s="621"/>
      <c r="DU37" s="621"/>
      <c r="DV37" s="138"/>
      <c r="DW37" s="138"/>
      <c r="DX37" s="138"/>
      <c r="DY37" s="138"/>
      <c r="DZ37" s="621"/>
      <c r="EA37" s="621"/>
      <c r="EB37" s="138"/>
      <c r="EC37" s="138"/>
      <c r="ED37" s="138"/>
      <c r="EE37" s="138"/>
      <c r="EF37" s="621"/>
      <c r="EG37" s="621"/>
      <c r="EH37" s="138"/>
      <c r="EI37" s="138"/>
      <c r="EJ37" s="138"/>
      <c r="EK37" s="138"/>
      <c r="EL37" s="621"/>
      <c r="EM37" s="621"/>
      <c r="EN37" s="138"/>
      <c r="EO37" s="138"/>
      <c r="EP37" s="138"/>
      <c r="EQ37" s="138"/>
      <c r="ER37" s="621"/>
      <c r="ES37" s="621"/>
      <c r="ET37" s="138"/>
      <c r="EU37" s="138"/>
      <c r="EV37" s="138"/>
      <c r="EW37" s="138"/>
      <c r="EX37" s="621"/>
      <c r="EY37" s="621"/>
      <c r="EZ37" s="138"/>
      <c r="FA37" s="138"/>
      <c r="FB37" s="123"/>
      <c r="FC37" s="123"/>
      <c r="FD37" s="123"/>
      <c r="FE37" s="123"/>
      <c r="FF37" s="138"/>
      <c r="FG37" s="138"/>
      <c r="FH37" s="138"/>
      <c r="FI37" s="138"/>
      <c r="FJ37" s="621"/>
      <c r="FK37" s="621"/>
      <c r="FL37" s="138"/>
      <c r="FM37" s="138"/>
      <c r="FN37" s="138"/>
      <c r="FO37" s="138"/>
      <c r="FP37" s="621"/>
      <c r="FQ37" s="621"/>
      <c r="FR37" s="138"/>
      <c r="FS37" s="138"/>
      <c r="FT37" s="138"/>
      <c r="FU37" s="138"/>
      <c r="FV37" s="621"/>
      <c r="FW37" s="621"/>
      <c r="FX37" s="136"/>
      <c r="FY37" s="136"/>
      <c r="FZ37" s="130"/>
      <c r="GA37" s="130"/>
      <c r="GB37" s="613"/>
      <c r="GC37" s="613"/>
      <c r="GD37" s="74"/>
      <c r="GE37" s="124"/>
      <c r="GF37" s="125">
        <f>SUM(COUNTIFS(N37:GE37,"&gt;0",$N$9:$GE$9,"GC"),COUNTIFS(N37:GE37,"&gt;0",$N$9:$GE$9,"GC1"),COUNTIFS(N37:GE37,"&gt;0",$N$9:$GE$9,"GC2"))</f>
        <v>8</v>
      </c>
      <c r="GG37" s="126">
        <f>SUMIF($N$9:$GE$9,"GC",$N37:$GE37)</f>
        <v>64</v>
      </c>
      <c r="GH37" s="126">
        <f>SUMIF($N$9:$GE$9,"GC1",$N37:$GE37)</f>
        <v>0</v>
      </c>
      <c r="GI37" s="126">
        <f>SUMIF($N$9:$GE$9,"GC2",$N37:$GE37)</f>
        <v>0</v>
      </c>
      <c r="GJ37" s="126">
        <f>SUMIF($N$9:$GE$9,"TC",$N37:$GE37)</f>
        <v>21</v>
      </c>
      <c r="GK37" s="126">
        <f>SUMIF($N$9:$GE$9,"TC1",$N37:$GE37)</f>
        <v>0</v>
      </c>
      <c r="GL37" s="126">
        <f>SUMIF($N$9:$GE$9,"TC2",$N37:$GE37)</f>
        <v>0</v>
      </c>
      <c r="GM37" s="126">
        <f>SUMIF($N$9:$GE$9,"WK-D",$N37:$GE37)+SUMIF($N$9:$GE$9,"WK-TC",$N37:$GE37)</f>
        <v>22</v>
      </c>
      <c r="GN37" s="126">
        <f>SUMIF($N$9:$GE$9,"WK-D1",$N37:$GE37)+SUMIF($N$9:$GE$9,"WK-TC1",$N37:$GE37)</f>
        <v>0</v>
      </c>
      <c r="GO37" s="126">
        <f>SUMIF($N$9:$GE$9,"WK-D2",$N37:$GE37)+SUMIF($N$9:$GE$9,"WK-TC2",$N37:$GE37)</f>
        <v>0</v>
      </c>
      <c r="GP37" s="126">
        <f>SUMIF($N$9:$GE$9,"HOD",$N37:$GE37)</f>
        <v>0</v>
      </c>
      <c r="GQ37" s="126">
        <f>SUMIF($N$9:$GE$9,"HOD1",$N37:$GE37)</f>
        <v>0</v>
      </c>
      <c r="GR37" s="126">
        <f>SUMIF($N$9:$GE$9,"HOD2",$N37:$GE37)</f>
        <v>0</v>
      </c>
      <c r="GS37" s="162">
        <f t="shared" si="30"/>
        <v>3182500</v>
      </c>
      <c r="GT37" s="97" t="str">
        <f>IF(SUM(COUNTIFS(N37:GC37,"&gt;0",$N$9:$GC$9,"GC"),COUNTIFS(N37:GC37,"&gt;0",$N$9:$GC$9,"GC1"),COUNTIFS(N37:GC37,"&gt;0",$N$9:$GC$9,"GC2"),COUNTIFS(N37:GC37,"&gt;0",$N$9:$GC$9,"WK-D"),COUNTIFS(N37:GC37,"&gt;0",$N$9:$GC$9,"WK-D1"),COUNTIFS(N37:GC37,"&gt;0",$N$9:$GC$9,"WK-D2"))&gt;3,"Đ","K")</f>
        <v>Đ</v>
      </c>
      <c r="GU37" s="97">
        <f t="shared" si="31"/>
        <v>3182500</v>
      </c>
      <c r="GV37" s="97">
        <f>SUM(COUNTIFS(N37:GC37,"&gt;2",$N$9:$GC$9,"GC"),COUNTIFS(N37:GC37,"&gt;2",$N$9:$GC$9,"GC1"),COUNTIFS(N37:GC37,"&gt;2",$N$9:$GC$9,"GC2"))</f>
        <v>8</v>
      </c>
      <c r="GW37" s="162">
        <f t="shared" si="32"/>
        <v>0</v>
      </c>
      <c r="GX37" s="162">
        <f>SUM(COUNTIFS(N37:GC37,"&gt;2",$N$9:$GC$9,"GC"),COUNTIFS(N37:GC37,"&gt;2",$N$9:$GC$9,"GC1"),COUNTIFS(N37:GC37,"&gt;2",$N$9:$GC$9,"GC2"),COUNTIFS(N37:GC37,"&gt;2",$N$9:$GC$9,"WK-D"),COUNTIFS(N37:GC37,"&gt;2",$N$9:$GC$9,"WK-D1"),COUNTIFS(N37:GC37,"&gt;2",$N$9:$GC$9,"WK-D2"))*$GX$10</f>
        <v>103448.27586206897</v>
      </c>
      <c r="GY37" s="162">
        <f t="shared" si="33"/>
        <v>83478.260869565216</v>
      </c>
      <c r="GZ37" s="162">
        <f>COUNTIF($N37:$GC37,"CP")</f>
        <v>0</v>
      </c>
      <c r="HA37" s="162">
        <f>COUNTIF($N37:$GC37,"KP")</f>
        <v>0</v>
      </c>
      <c r="HB37" s="162">
        <f>COUNTIF($N37:$GC37,"ĐP")</f>
        <v>0</v>
      </c>
      <c r="HC37" s="162">
        <f>COUNTIF($N37:$GC37,"ĐD")</f>
        <v>0</v>
      </c>
      <c r="HD37" s="162">
        <f>COUNTIF($N37:$GC37,"TPL")</f>
        <v>0</v>
      </c>
      <c r="HE37" s="162">
        <f>COUNTIF($N37:$GC37,"ĐPL")</f>
        <v>0</v>
      </c>
      <c r="HF37" s="162">
        <f t="shared" si="35"/>
        <v>0</v>
      </c>
      <c r="HG37" s="156" t="str">
        <f>VLOOKUP(B37,'data nguồn'!B:N,13,0)</f>
        <v>1015421876</v>
      </c>
      <c r="HH37" s="159" t="str">
        <f>VLOOKUP(B37,'data nguồn'!B:P,15,0)</f>
        <v>Dương Văn Nhật</v>
      </c>
      <c r="HI37" s="163" t="str">
        <f>VLOOKUP(B37,'data nguồn'!B:P,14,0)</f>
        <v>VCB Hải Phòng</v>
      </c>
    </row>
    <row r="38" spans="1:217" s="95" customFormat="1" ht="15">
      <c r="A38" s="73">
        <v>28</v>
      </c>
      <c r="B38" s="618" t="s">
        <v>427</v>
      </c>
      <c r="C38" s="852" t="s">
        <v>764</v>
      </c>
      <c r="D38" s="618" t="s">
        <v>516</v>
      </c>
      <c r="E38" s="618" t="s">
        <v>141</v>
      </c>
      <c r="F38" s="618" t="s">
        <v>114</v>
      </c>
      <c r="G38" s="618"/>
      <c r="H38" s="164">
        <v>200715</v>
      </c>
      <c r="I38" s="164" t="s">
        <v>123</v>
      </c>
      <c r="J38" s="164" t="s">
        <v>124</v>
      </c>
      <c r="K38" s="165"/>
      <c r="L38" s="132"/>
      <c r="M38" s="619">
        <v>44086</v>
      </c>
      <c r="N38" s="601">
        <v>8</v>
      </c>
      <c r="O38" s="601">
        <v>5</v>
      </c>
      <c r="P38" s="602"/>
      <c r="Q38" s="602"/>
      <c r="R38" s="601"/>
      <c r="S38" s="601"/>
      <c r="T38" s="602"/>
      <c r="U38" s="602"/>
      <c r="V38" s="603">
        <v>8</v>
      </c>
      <c r="W38" s="603">
        <v>0</v>
      </c>
      <c r="X38" s="602"/>
      <c r="Y38" s="602"/>
      <c r="Z38" s="603">
        <v>8</v>
      </c>
      <c r="AA38" s="603">
        <v>5</v>
      </c>
      <c r="AB38" s="602"/>
      <c r="AC38" s="602"/>
      <c r="AD38" s="604">
        <v>8</v>
      </c>
      <c r="AE38" s="604">
        <v>3</v>
      </c>
      <c r="AF38" s="605"/>
      <c r="AG38" s="605"/>
      <c r="AH38" s="605"/>
      <c r="AI38" s="605"/>
      <c r="AJ38" s="604">
        <v>8</v>
      </c>
      <c r="AK38" s="604">
        <v>3</v>
      </c>
      <c r="AL38" s="605"/>
      <c r="AM38" s="605"/>
      <c r="AN38" s="605"/>
      <c r="AO38" s="605"/>
      <c r="AP38" s="603">
        <v>8</v>
      </c>
      <c r="AQ38" s="603">
        <v>3</v>
      </c>
      <c r="AR38" s="622"/>
      <c r="AS38" s="622"/>
      <c r="AT38" s="136"/>
      <c r="AU38" s="136"/>
      <c r="AV38" s="135">
        <v>8</v>
      </c>
      <c r="AW38" s="135">
        <v>3</v>
      </c>
      <c r="AX38" s="606"/>
      <c r="AY38" s="606"/>
      <c r="AZ38" s="136"/>
      <c r="BA38" s="136"/>
      <c r="BB38" s="135">
        <v>8</v>
      </c>
      <c r="BC38" s="135">
        <v>0</v>
      </c>
      <c r="BD38" s="606"/>
      <c r="BE38" s="606"/>
      <c r="BF38" s="135">
        <v>8</v>
      </c>
      <c r="BG38" s="135">
        <v>0</v>
      </c>
      <c r="BH38" s="606"/>
      <c r="BI38" s="606"/>
      <c r="BJ38" s="136"/>
      <c r="BK38" s="136"/>
      <c r="BL38" s="135">
        <v>8</v>
      </c>
      <c r="BM38" s="135">
        <v>0</v>
      </c>
      <c r="BN38" s="606"/>
      <c r="BO38" s="606"/>
      <c r="BP38" s="136"/>
      <c r="BQ38" s="136"/>
      <c r="BR38" s="130" t="s">
        <v>566</v>
      </c>
      <c r="BS38" s="129" t="str">
        <f>F52</f>
        <v>Trình Thị Hạnh</v>
      </c>
      <c r="BT38" s="606"/>
      <c r="BU38" s="606"/>
      <c r="BV38" s="136"/>
      <c r="BW38" s="136"/>
      <c r="BX38" s="624"/>
      <c r="BY38" s="624"/>
      <c r="BZ38" s="608"/>
      <c r="CA38" s="608"/>
      <c r="CB38" s="609"/>
      <c r="CC38" s="609"/>
      <c r="CD38" s="137"/>
      <c r="CE38" s="137"/>
      <c r="CF38" s="606"/>
      <c r="CG38" s="606"/>
      <c r="CH38" s="136"/>
      <c r="CI38" s="136"/>
      <c r="CJ38" s="138"/>
      <c r="CK38" s="138"/>
      <c r="CL38" s="606"/>
      <c r="CM38" s="606"/>
      <c r="CN38" s="136"/>
      <c r="CO38" s="136"/>
      <c r="CP38" s="138"/>
      <c r="CQ38" s="138"/>
      <c r="CR38" s="606"/>
      <c r="CS38" s="606"/>
      <c r="CT38" s="138"/>
      <c r="CU38" s="138"/>
      <c r="CV38" s="606"/>
      <c r="CW38" s="606"/>
      <c r="CX38" s="136"/>
      <c r="CY38" s="136"/>
      <c r="CZ38" s="130"/>
      <c r="DA38" s="138"/>
      <c r="DB38" s="606"/>
      <c r="DC38" s="606"/>
      <c r="DD38" s="136"/>
      <c r="DE38" s="136"/>
      <c r="DF38" s="607"/>
      <c r="DG38" s="607"/>
      <c r="DH38" s="608"/>
      <c r="DI38" s="608"/>
      <c r="DJ38" s="609"/>
      <c r="DK38" s="609"/>
      <c r="DL38" s="607"/>
      <c r="DM38" s="607"/>
      <c r="DN38" s="607"/>
      <c r="DO38" s="607"/>
      <c r="DP38" s="138"/>
      <c r="DQ38" s="138"/>
      <c r="DR38" s="138"/>
      <c r="DS38" s="138"/>
      <c r="DT38" s="621"/>
      <c r="DU38" s="621"/>
      <c r="DV38" s="138"/>
      <c r="DW38" s="138"/>
      <c r="DX38" s="138"/>
      <c r="DY38" s="138"/>
      <c r="DZ38" s="621"/>
      <c r="EA38" s="621"/>
      <c r="EB38" s="138"/>
      <c r="EC38" s="138"/>
      <c r="ED38" s="138"/>
      <c r="EE38" s="138"/>
      <c r="EF38" s="621"/>
      <c r="EG38" s="621"/>
      <c r="EH38" s="138"/>
      <c r="EI38" s="138"/>
      <c r="EJ38" s="138"/>
      <c r="EK38" s="138"/>
      <c r="EL38" s="621"/>
      <c r="EM38" s="621"/>
      <c r="EN38" s="138"/>
      <c r="EO38" s="138"/>
      <c r="EP38" s="138"/>
      <c r="EQ38" s="138"/>
      <c r="ER38" s="621"/>
      <c r="ES38" s="621"/>
      <c r="ET38" s="138"/>
      <c r="EU38" s="138"/>
      <c r="EV38" s="138"/>
      <c r="EW38" s="138"/>
      <c r="EX38" s="621"/>
      <c r="EY38" s="621"/>
      <c r="EZ38" s="138"/>
      <c r="FA38" s="138"/>
      <c r="FB38" s="123"/>
      <c r="FC38" s="123"/>
      <c r="FD38" s="123"/>
      <c r="FE38" s="123"/>
      <c r="FF38" s="138"/>
      <c r="FG38" s="138"/>
      <c r="FH38" s="138"/>
      <c r="FI38" s="138"/>
      <c r="FJ38" s="621"/>
      <c r="FK38" s="621"/>
      <c r="FL38" s="138"/>
      <c r="FM38" s="138"/>
      <c r="FN38" s="138"/>
      <c r="FO38" s="138"/>
      <c r="FP38" s="621"/>
      <c r="FQ38" s="621"/>
      <c r="FR38" s="138"/>
      <c r="FS38" s="138"/>
      <c r="FT38" s="138"/>
      <c r="FU38" s="138"/>
      <c r="FV38" s="621"/>
      <c r="FW38" s="621"/>
      <c r="FX38" s="136"/>
      <c r="FY38" s="136"/>
      <c r="FZ38" s="130"/>
      <c r="GA38" s="130"/>
      <c r="GB38" s="613"/>
      <c r="GC38" s="613"/>
      <c r="GD38" s="74"/>
      <c r="GE38" s="124"/>
      <c r="GF38" s="125">
        <f>SUM(COUNTIFS(N38:GE38,"&gt;0",$N$9:$GE$9,"GC"),COUNTIFS(N38:GE38,"&gt;0",$N$9:$GE$9,"GC1"),COUNTIFS(N38:GE38,"&gt;0",$N$9:$GE$9,"GC2"))</f>
        <v>8</v>
      </c>
      <c r="GG38" s="126">
        <f>SUMIF($N$9:$GE$9,"GC",$N38:$GE38)</f>
        <v>64</v>
      </c>
      <c r="GH38" s="126">
        <f>SUMIF($N$9:$GE$9,"GC1",$N38:$GE38)</f>
        <v>0</v>
      </c>
      <c r="GI38" s="126">
        <f>SUMIF($N$9:$GE$9,"GC2",$N38:$GE38)</f>
        <v>0</v>
      </c>
      <c r="GJ38" s="126">
        <f>SUMIF($N$9:$GE$9,"TC",$N38:$GE38)</f>
        <v>16</v>
      </c>
      <c r="GK38" s="126">
        <f>SUMIF($N$9:$GE$9,"TC1",$N38:$GE38)</f>
        <v>0</v>
      </c>
      <c r="GL38" s="126">
        <f>SUMIF($N$9:$GE$9,"TC2",$N38:$GE38)</f>
        <v>0</v>
      </c>
      <c r="GM38" s="126">
        <f>SUMIF($N$9:$GE$9,"WK-D",$N38:$GE38)+SUMIF($N$9:$GE$9,"WK-TC",$N38:$GE38)</f>
        <v>22</v>
      </c>
      <c r="GN38" s="126">
        <f>SUMIF($N$9:$GE$9,"WK-D1",$N38:$GE38)+SUMIF($N$9:$GE$9,"WK-TC1",$N38:$GE38)</f>
        <v>0</v>
      </c>
      <c r="GO38" s="126">
        <f>SUMIF($N$9:$GE$9,"WK-D2",$N38:$GE38)+SUMIF($N$9:$GE$9,"WK-TC2",$N38:$GE38)</f>
        <v>0</v>
      </c>
      <c r="GP38" s="126">
        <f>SUMIF($N$9:$GE$9,"HOD",$N38:$GE38)</f>
        <v>0</v>
      </c>
      <c r="GQ38" s="126">
        <f>SUMIF($N$9:$GE$9,"HOD1",$N38:$GE38)</f>
        <v>0</v>
      </c>
      <c r="GR38" s="126">
        <f>SUMIF($N$9:$GE$9,"HOD2",$N38:$GE38)</f>
        <v>0</v>
      </c>
      <c r="GS38" s="162">
        <f t="shared" si="30"/>
        <v>3022500</v>
      </c>
      <c r="GT38" s="97" t="str">
        <f>IF(SUM(COUNTIFS(N38:GC38,"&gt;0",$N$9:$GC$9,"GC"),COUNTIFS(N38:GC38,"&gt;0",$N$9:$GC$9,"GC1"),COUNTIFS(N38:GC38,"&gt;0",$N$9:$GC$9,"GC2"),COUNTIFS(N38:GC38,"&gt;0",$N$9:$GC$9,"WK-D"),COUNTIFS(N38:GC38,"&gt;0",$N$9:$GC$9,"WK-D1"),COUNTIFS(N38:GC38,"&gt;0",$N$9:$GC$9,"WK-D2"))&gt;3,"Đ","K")</f>
        <v>Đ</v>
      </c>
      <c r="GU38" s="97">
        <f t="shared" si="31"/>
        <v>3022500</v>
      </c>
      <c r="GV38" s="97">
        <f>SUM(COUNTIFS(N38:GC38,"&gt;2",$N$9:$GC$9,"GC"),COUNTIFS(N38:GC38,"&gt;2",$N$9:$GC$9,"GC1"),COUNTIFS(N38:GC38,"&gt;2",$N$9:$GC$9,"GC2"))</f>
        <v>8</v>
      </c>
      <c r="GW38" s="162">
        <f t="shared" si="32"/>
        <v>0</v>
      </c>
      <c r="GX38" s="162">
        <f>SUM(COUNTIFS(N38:GC38,"&gt;2",$N$9:$GC$9,"GC"),COUNTIFS(N38:GC38,"&gt;2",$N$9:$GC$9,"GC1"),COUNTIFS(N38:GC38,"&gt;2",$N$9:$GC$9,"GC2"),COUNTIFS(N38:GC38,"&gt;2",$N$9:$GC$9,"WK-D"),COUNTIFS(N38:GC38,"&gt;2",$N$9:$GC$9,"WK-D1"),COUNTIFS(N38:GC38,"&gt;2",$N$9:$GC$9,"WK-D2"))*$GX$10</f>
        <v>103448.27586206897</v>
      </c>
      <c r="GY38" s="162">
        <f t="shared" si="33"/>
        <v>83478.260869565216</v>
      </c>
      <c r="GZ38" s="162">
        <f>COUNTIF($N38:$GC38,"CP")</f>
        <v>0</v>
      </c>
      <c r="HA38" s="162">
        <f>COUNTIF($N38:$GC38,"KP")</f>
        <v>0</v>
      </c>
      <c r="HB38" s="162">
        <f>COUNTIF($N38:$GC38,"ĐP")</f>
        <v>0</v>
      </c>
      <c r="HC38" s="162">
        <f>COUNTIF($N38:$GC38,"ĐD")</f>
        <v>0</v>
      </c>
      <c r="HD38" s="162">
        <f>COUNTIF($N38:$GC38,"TPL")</f>
        <v>0</v>
      </c>
      <c r="HE38" s="162">
        <f>COUNTIF($N38:$GC38,"ĐPL")</f>
        <v>0</v>
      </c>
      <c r="HF38" s="162">
        <f t="shared" si="35"/>
        <v>0</v>
      </c>
      <c r="HG38" s="156" t="str">
        <f>VLOOKUP(B38,'data nguồn'!B:N,13,0)</f>
        <v>1015421901</v>
      </c>
      <c r="HH38" s="159" t="str">
        <f>VLOOKUP(B38,'data nguồn'!B:P,15,0)</f>
        <v>Nguyễn Ngọc Ánh</v>
      </c>
      <c r="HI38" s="163" t="str">
        <f>VLOOKUP(B38,'data nguồn'!B:P,14,0)</f>
        <v>VCB Hải Phòng</v>
      </c>
    </row>
    <row r="39" spans="1:217" s="95" customFormat="1" ht="15">
      <c r="A39" s="73">
        <v>29</v>
      </c>
      <c r="B39" s="136" t="s">
        <v>65</v>
      </c>
      <c r="C39" s="851" t="s">
        <v>165</v>
      </c>
      <c r="D39" s="164" t="s">
        <v>166</v>
      </c>
      <c r="E39" s="164" t="s">
        <v>142</v>
      </c>
      <c r="F39" s="164" t="s">
        <v>475</v>
      </c>
      <c r="G39" s="164"/>
      <c r="H39" s="164">
        <v>200720</v>
      </c>
      <c r="I39" s="164" t="s">
        <v>123</v>
      </c>
      <c r="J39" s="136" t="s">
        <v>124</v>
      </c>
      <c r="K39" s="165"/>
      <c r="L39" s="166"/>
      <c r="M39" s="166"/>
      <c r="N39" s="601">
        <v>8</v>
      </c>
      <c r="O39" s="601">
        <v>5</v>
      </c>
      <c r="P39" s="602"/>
      <c r="Q39" s="602"/>
      <c r="R39" s="601"/>
      <c r="S39" s="601"/>
      <c r="T39" s="602"/>
      <c r="U39" s="602"/>
      <c r="V39" s="603">
        <v>8</v>
      </c>
      <c r="W39" s="603">
        <v>5</v>
      </c>
      <c r="X39" s="602"/>
      <c r="Y39" s="602"/>
      <c r="Z39" s="603">
        <v>8</v>
      </c>
      <c r="AA39" s="603">
        <v>5</v>
      </c>
      <c r="AB39" s="602"/>
      <c r="AC39" s="602"/>
      <c r="AD39" s="604">
        <v>8</v>
      </c>
      <c r="AE39" s="604">
        <v>3</v>
      </c>
      <c r="AF39" s="605"/>
      <c r="AG39" s="605"/>
      <c r="AH39" s="605"/>
      <c r="AI39" s="605"/>
      <c r="AJ39" s="604">
        <v>8</v>
      </c>
      <c r="AK39" s="604">
        <v>3</v>
      </c>
      <c r="AL39" s="605"/>
      <c r="AM39" s="605"/>
      <c r="AN39" s="605"/>
      <c r="AO39" s="605"/>
      <c r="AP39" s="603">
        <v>8</v>
      </c>
      <c r="AQ39" s="603">
        <v>3</v>
      </c>
      <c r="AR39" s="622"/>
      <c r="AS39" s="622"/>
      <c r="AT39" s="136"/>
      <c r="AU39" s="136"/>
      <c r="AV39" s="135">
        <v>8</v>
      </c>
      <c r="AW39" s="135">
        <v>3</v>
      </c>
      <c r="AX39" s="606"/>
      <c r="AY39" s="606"/>
      <c r="AZ39" s="136"/>
      <c r="BA39" s="136"/>
      <c r="BB39" s="135">
        <v>8</v>
      </c>
      <c r="BC39" s="135">
        <v>0</v>
      </c>
      <c r="BD39" s="606"/>
      <c r="BE39" s="606"/>
      <c r="BF39" s="135">
        <v>8</v>
      </c>
      <c r="BG39" s="135">
        <v>0</v>
      </c>
      <c r="BH39" s="606"/>
      <c r="BI39" s="606"/>
      <c r="BJ39" s="136"/>
      <c r="BK39" s="136"/>
      <c r="BL39" s="135">
        <v>8</v>
      </c>
      <c r="BM39" s="135">
        <v>0</v>
      </c>
      <c r="BN39" s="606"/>
      <c r="BO39" s="606"/>
      <c r="BP39" s="136"/>
      <c r="BQ39" s="136"/>
      <c r="BR39" s="130">
        <v>8</v>
      </c>
      <c r="BS39" s="129">
        <v>3</v>
      </c>
      <c r="BT39" s="606"/>
      <c r="BU39" s="606"/>
      <c r="BV39" s="136"/>
      <c r="BW39" s="136"/>
      <c r="BX39" s="624">
        <v>8</v>
      </c>
      <c r="BY39" s="624">
        <v>0</v>
      </c>
      <c r="BZ39" s="608"/>
      <c r="CA39" s="608"/>
      <c r="CB39" s="609"/>
      <c r="CC39" s="609"/>
      <c r="CD39" s="137">
        <v>8</v>
      </c>
      <c r="CE39" s="137">
        <v>3</v>
      </c>
      <c r="CF39" s="606"/>
      <c r="CG39" s="606"/>
      <c r="CH39" s="136"/>
      <c r="CI39" s="136"/>
      <c r="CJ39" s="138">
        <v>8</v>
      </c>
      <c r="CK39" s="138">
        <v>5</v>
      </c>
      <c r="CL39" s="606"/>
      <c r="CM39" s="606"/>
      <c r="CN39" s="136"/>
      <c r="CO39" s="136"/>
      <c r="CP39" s="138">
        <v>8</v>
      </c>
      <c r="CQ39" s="138">
        <v>5</v>
      </c>
      <c r="CR39" s="606"/>
      <c r="CS39" s="606"/>
      <c r="CT39" s="138">
        <v>8</v>
      </c>
      <c r="CU39" s="138">
        <v>5</v>
      </c>
      <c r="CV39" s="606"/>
      <c r="CW39" s="606"/>
      <c r="CX39" s="136"/>
      <c r="CY39" s="136"/>
      <c r="CZ39" s="130">
        <v>8</v>
      </c>
      <c r="DA39" s="138">
        <v>5</v>
      </c>
      <c r="DB39" s="606"/>
      <c r="DC39" s="606"/>
      <c r="DD39" s="136"/>
      <c r="DE39" s="136"/>
      <c r="DF39" s="607">
        <v>8</v>
      </c>
      <c r="DG39" s="607">
        <v>5</v>
      </c>
      <c r="DH39" s="608"/>
      <c r="DI39" s="608"/>
      <c r="DJ39" s="609"/>
      <c r="DK39" s="609"/>
      <c r="DL39" s="607">
        <v>8</v>
      </c>
      <c r="DM39" s="607">
        <v>3</v>
      </c>
      <c r="DN39" s="607"/>
      <c r="DO39" s="607"/>
      <c r="DP39" s="138"/>
      <c r="DQ39" s="138"/>
      <c r="DR39" s="138"/>
      <c r="DS39" s="138"/>
      <c r="DT39" s="621">
        <v>8</v>
      </c>
      <c r="DU39" s="621">
        <v>2</v>
      </c>
      <c r="DV39" s="138"/>
      <c r="DW39" s="138"/>
      <c r="DX39" s="138"/>
      <c r="DY39" s="138"/>
      <c r="DZ39" s="621">
        <v>8</v>
      </c>
      <c r="EA39" s="621">
        <v>2</v>
      </c>
      <c r="EB39" s="138"/>
      <c r="EC39" s="138"/>
      <c r="ED39" s="138"/>
      <c r="EE39" s="138"/>
      <c r="EF39" s="621">
        <v>8</v>
      </c>
      <c r="EG39" s="621">
        <v>2</v>
      </c>
      <c r="EH39" s="138"/>
      <c r="EI39" s="138"/>
      <c r="EJ39" s="138"/>
      <c r="EK39" s="138"/>
      <c r="EL39" s="621">
        <v>8</v>
      </c>
      <c r="EM39" s="621">
        <v>2</v>
      </c>
      <c r="EN39" s="138"/>
      <c r="EO39" s="138"/>
      <c r="EP39" s="138"/>
      <c r="EQ39" s="138"/>
      <c r="ER39" s="621">
        <v>8</v>
      </c>
      <c r="ES39" s="621">
        <v>2</v>
      </c>
      <c r="ET39" s="138"/>
      <c r="EU39" s="138"/>
      <c r="EV39" s="138"/>
      <c r="EW39" s="138"/>
      <c r="EX39" s="621">
        <v>8</v>
      </c>
      <c r="EY39" s="621">
        <v>2</v>
      </c>
      <c r="EZ39" s="138"/>
      <c r="FA39" s="138"/>
      <c r="FB39" s="123"/>
      <c r="FC39" s="123"/>
      <c r="FD39" s="123">
        <v>8</v>
      </c>
      <c r="FE39" s="123">
        <v>2</v>
      </c>
      <c r="FF39" s="138"/>
      <c r="FG39" s="138"/>
      <c r="FH39" s="138"/>
      <c r="FI39" s="138"/>
      <c r="FJ39" s="621">
        <v>8</v>
      </c>
      <c r="FK39" s="621">
        <v>2</v>
      </c>
      <c r="FL39" s="138"/>
      <c r="FM39" s="138"/>
      <c r="FN39" s="138"/>
      <c r="FO39" s="138"/>
      <c r="FP39" s="621">
        <v>8</v>
      </c>
      <c r="FQ39" s="621">
        <v>2</v>
      </c>
      <c r="FR39" s="138"/>
      <c r="FS39" s="138"/>
      <c r="FT39" s="138"/>
      <c r="FU39" s="138"/>
      <c r="FV39" s="621">
        <v>8</v>
      </c>
      <c r="FW39" s="621">
        <v>2</v>
      </c>
      <c r="FX39" s="136"/>
      <c r="FY39" s="136"/>
      <c r="FZ39" s="130"/>
      <c r="GA39" s="130"/>
      <c r="GB39" s="613"/>
      <c r="GC39" s="613"/>
      <c r="GD39" s="74"/>
      <c r="GE39" s="124"/>
      <c r="GF39" s="125">
        <f>SUM(COUNTIFS(N39:GE39,"&gt;0",$N$9:$GE$9,"GC"),COUNTIFS(N39:GE39,"&gt;0",$N$9:$GE$9,"GC1"),COUNTIFS(N39:GE39,"&gt;0",$N$9:$GE$9,"GC2"))</f>
        <v>23</v>
      </c>
      <c r="GG39" s="126">
        <f>SUMIF($N$9:$GE$9,"GC",$N39:$GE39)</f>
        <v>112</v>
      </c>
      <c r="GH39" s="126">
        <f>SUMIF($N$9:$GE$9,"GC1",$N39:$GE39)</f>
        <v>72</v>
      </c>
      <c r="GI39" s="126">
        <f>SUMIF($N$9:$GE$9,"GC2",$N39:$GE39)</f>
        <v>0</v>
      </c>
      <c r="GJ39" s="126">
        <f>SUMIF($N$9:$GE$9,"TC",$N39:$GE39)</f>
        <v>47</v>
      </c>
      <c r="GK39" s="126">
        <f>SUMIF($N$9:$GE$9,"TC1",$N39:$GE39)</f>
        <v>18</v>
      </c>
      <c r="GL39" s="126">
        <f>SUMIF($N$9:$GE$9,"TC2",$N39:$GE39)</f>
        <v>0</v>
      </c>
      <c r="GM39" s="126">
        <f>SUMIF($N$9:$GE$9,"WK-D",$N39:$GE39)+SUMIF($N$9:$GE$9,"WK-TC",$N39:$GE39)</f>
        <v>54</v>
      </c>
      <c r="GN39" s="126">
        <f>SUMIF($N$9:$GE$9,"WK-D1",$N39:$GE39)+SUMIF($N$9:$GE$9,"WK-TC1",$N39:$GE39)</f>
        <v>10</v>
      </c>
      <c r="GO39" s="126">
        <f>SUMIF($N$9:$GE$9,"WK-D2",$N39:$GE39)+SUMIF($N$9:$GE$9,"WK-TC2",$N39:$GE39)</f>
        <v>0</v>
      </c>
      <c r="GP39" s="126">
        <f>SUMIF($N$9:$GE$9,"HOD",$N39:$GE39)</f>
        <v>0</v>
      </c>
      <c r="GQ39" s="126">
        <f>SUMIF($N$9:$GE$9,"HOD1",$N39:$GE39)</f>
        <v>0</v>
      </c>
      <c r="GR39" s="126">
        <f>SUMIF($N$9:$GE$9,"HOD2",$N39:$GE39)</f>
        <v>0</v>
      </c>
      <c r="GS39" s="162">
        <f t="shared" si="30"/>
        <v>9719000</v>
      </c>
      <c r="GT39" s="97" t="str">
        <f>IF(SUM(COUNTIFS(N39:GC39,"&gt;0",$N$9:$GC$9,"GC"),COUNTIFS(N39:GC39,"&gt;0",$N$9:$GC$9,"GC1"),COUNTIFS(N39:GC39,"&gt;0",$N$9:$GC$9,"GC2"),COUNTIFS(N39:GC39,"&gt;0",$N$9:$GC$9,"WK-D"),COUNTIFS(N39:GC39,"&gt;0",$N$9:$GC$9,"WK-D1"),COUNTIFS(N39:GC39,"&gt;0",$N$9:$GC$9,"WK-D2"))&gt;3,"Đ","K")</f>
        <v>Đ</v>
      </c>
      <c r="GU39" s="97">
        <f t="shared" si="31"/>
        <v>9719000</v>
      </c>
      <c r="GV39" s="97">
        <f>SUM(COUNTIFS(N39:GC39,"&gt;2",$N$9:$GC$9,"GC"),COUNTIFS(N39:GC39,"&gt;2",$N$9:$GC$9,"GC1"),COUNTIFS(N39:GC39,"&gt;2",$N$9:$GC$9,"GC2"))</f>
        <v>23</v>
      </c>
      <c r="GW39" s="162">
        <f t="shared" si="32"/>
        <v>200000</v>
      </c>
      <c r="GX39" s="162">
        <f>SUM(COUNTIFS(N39:GC39,"&gt;2",$N$9:$GC$9,"GC"),COUNTIFS(N39:GC39,"&gt;2",$N$9:$GC$9,"GC1"),COUNTIFS(N39:GC39,"&gt;2",$N$9:$GC$9,"GC2"),COUNTIFS(N39:GC39,"&gt;2",$N$9:$GC$9,"WK-D"),COUNTIFS(N39:GC39,"&gt;2",$N$9:$GC$9,"WK-D1"),COUNTIFS(N39:GC39,"&gt;2",$N$9:$GC$9,"WK-D2"))*$GX$10</f>
        <v>300000</v>
      </c>
      <c r="GY39" s="162">
        <f t="shared" si="33"/>
        <v>240000</v>
      </c>
      <c r="GZ39" s="162">
        <f>COUNTIF($N39:$GC39,"CP")</f>
        <v>0</v>
      </c>
      <c r="HA39" s="162">
        <f>COUNTIF($N39:$GC39,"KP")</f>
        <v>0</v>
      </c>
      <c r="HB39" s="162">
        <f>COUNTIF($N39:$GC39,"ĐP")</f>
        <v>0</v>
      </c>
      <c r="HC39" s="162">
        <f>COUNTIF($N39:$GC39,"ĐD")</f>
        <v>0</v>
      </c>
      <c r="HD39" s="162">
        <f>COUNTIF($N39:$GC39,"TPL")</f>
        <v>0</v>
      </c>
      <c r="HE39" s="162">
        <f>COUNTIF($N39:$GC39,"ĐPL")</f>
        <v>0</v>
      </c>
      <c r="HF39" s="162">
        <f t="shared" si="35"/>
        <v>0</v>
      </c>
      <c r="HG39" s="156">
        <f>VLOOKUP(B39,'data nguồn'!B:N,13,0)</f>
        <v>1016612736</v>
      </c>
      <c r="HH39" s="159" t="str">
        <f>VLOOKUP(B39,'data nguồn'!B:P,15,0)</f>
        <v>Lò Văn Trường</v>
      </c>
      <c r="HI39" s="163" t="str">
        <f>VLOOKUP(B39,'data nguồn'!B:P,14,0)</f>
        <v>VCB Hải Phòng</v>
      </c>
    </row>
    <row r="40" spans="1:217" s="95" customFormat="1" ht="15">
      <c r="A40" s="73">
        <v>30</v>
      </c>
      <c r="B40" s="136" t="s">
        <v>66</v>
      </c>
      <c r="C40" s="851" t="s">
        <v>771</v>
      </c>
      <c r="D40" s="164" t="s">
        <v>531</v>
      </c>
      <c r="E40" s="164" t="s">
        <v>135</v>
      </c>
      <c r="F40" s="164" t="s">
        <v>117</v>
      </c>
      <c r="G40" s="164"/>
      <c r="H40" s="164">
        <v>200722</v>
      </c>
      <c r="I40" s="164" t="s">
        <v>126</v>
      </c>
      <c r="J40" s="136" t="s">
        <v>124</v>
      </c>
      <c r="K40" s="165"/>
      <c r="L40" s="166"/>
      <c r="M40" s="166"/>
      <c r="N40" s="601">
        <v>8</v>
      </c>
      <c r="O40" s="601">
        <v>3</v>
      </c>
      <c r="P40" s="602"/>
      <c r="Q40" s="602"/>
      <c r="R40" s="601"/>
      <c r="S40" s="601"/>
      <c r="T40" s="602"/>
      <c r="U40" s="602"/>
      <c r="V40" s="603">
        <v>8</v>
      </c>
      <c r="W40" s="603">
        <v>3</v>
      </c>
      <c r="X40" s="602"/>
      <c r="Y40" s="602"/>
      <c r="Z40" s="603">
        <v>8</v>
      </c>
      <c r="AA40" s="603">
        <v>3</v>
      </c>
      <c r="AB40" s="602"/>
      <c r="AC40" s="602"/>
      <c r="AD40" s="604">
        <v>8</v>
      </c>
      <c r="AE40" s="604">
        <v>3</v>
      </c>
      <c r="AF40" s="605"/>
      <c r="AG40" s="605"/>
      <c r="AH40" s="605"/>
      <c r="AI40" s="605"/>
      <c r="AJ40" s="604">
        <v>8</v>
      </c>
      <c r="AK40" s="604">
        <v>3</v>
      </c>
      <c r="AL40" s="605"/>
      <c r="AM40" s="605"/>
      <c r="AN40" s="605"/>
      <c r="AO40" s="605"/>
      <c r="AP40" s="603">
        <v>8</v>
      </c>
      <c r="AQ40" s="603">
        <v>3.5</v>
      </c>
      <c r="AR40" s="622"/>
      <c r="AS40" s="622"/>
      <c r="AT40" s="136"/>
      <c r="AU40" s="136"/>
      <c r="AV40" s="135">
        <v>8</v>
      </c>
      <c r="AW40" s="135">
        <v>3</v>
      </c>
      <c r="AX40" s="606"/>
      <c r="AY40" s="606"/>
      <c r="AZ40" s="136"/>
      <c r="BA40" s="136"/>
      <c r="BB40" s="135">
        <v>8</v>
      </c>
      <c r="BC40" s="135">
        <v>3</v>
      </c>
      <c r="BD40" s="606"/>
      <c r="BE40" s="606"/>
      <c r="BF40" s="135">
        <v>8</v>
      </c>
      <c r="BG40" s="135">
        <v>3</v>
      </c>
      <c r="BH40" s="606"/>
      <c r="BI40" s="606"/>
      <c r="BJ40" s="136"/>
      <c r="BK40" s="136"/>
      <c r="BL40" s="135">
        <v>8</v>
      </c>
      <c r="BM40" s="135">
        <v>3</v>
      </c>
      <c r="BN40" s="606"/>
      <c r="BO40" s="606"/>
      <c r="BP40" s="136"/>
      <c r="BQ40" s="136"/>
      <c r="BR40" s="130">
        <v>8</v>
      </c>
      <c r="BS40" s="129">
        <v>3</v>
      </c>
      <c r="BT40" s="606"/>
      <c r="BU40" s="606"/>
      <c r="BV40" s="136"/>
      <c r="BW40" s="136"/>
      <c r="BX40" s="624">
        <v>8</v>
      </c>
      <c r="BY40" s="624">
        <v>3</v>
      </c>
      <c r="BZ40" s="608"/>
      <c r="CA40" s="608"/>
      <c r="CB40" s="609"/>
      <c r="CC40" s="609"/>
      <c r="CD40" s="137">
        <v>8</v>
      </c>
      <c r="CE40" s="137">
        <v>3</v>
      </c>
      <c r="CF40" s="606"/>
      <c r="CG40" s="606"/>
      <c r="CH40" s="136"/>
      <c r="CI40" s="136"/>
      <c r="CJ40" s="138">
        <v>8</v>
      </c>
      <c r="CK40" s="138">
        <v>3</v>
      </c>
      <c r="CL40" s="606"/>
      <c r="CM40" s="606"/>
      <c r="CN40" s="136"/>
      <c r="CO40" s="136"/>
      <c r="CP40" s="138">
        <v>8</v>
      </c>
      <c r="CQ40" s="138">
        <v>3</v>
      </c>
      <c r="CR40" s="606"/>
      <c r="CS40" s="606"/>
      <c r="CT40" s="138">
        <v>8</v>
      </c>
      <c r="CU40" s="138">
        <v>5</v>
      </c>
      <c r="CV40" s="606"/>
      <c r="CW40" s="606"/>
      <c r="CX40" s="136"/>
      <c r="CY40" s="136"/>
      <c r="CZ40" s="130">
        <v>8</v>
      </c>
      <c r="DA40" s="138">
        <v>5</v>
      </c>
      <c r="DB40" s="606"/>
      <c r="DC40" s="606"/>
      <c r="DD40" s="136"/>
      <c r="DE40" s="136"/>
      <c r="DF40" s="607">
        <v>8</v>
      </c>
      <c r="DG40" s="607">
        <v>3</v>
      </c>
      <c r="DH40" s="608"/>
      <c r="DI40" s="608"/>
      <c r="DJ40" s="609"/>
      <c r="DK40" s="609"/>
      <c r="DL40" s="607">
        <v>8</v>
      </c>
      <c r="DM40" s="607">
        <v>3</v>
      </c>
      <c r="DN40" s="607"/>
      <c r="DO40" s="607"/>
      <c r="DP40" s="138"/>
      <c r="DQ40" s="138"/>
      <c r="DR40" s="138">
        <v>4</v>
      </c>
      <c r="DS40" s="138">
        <v>3</v>
      </c>
      <c r="DT40" s="621"/>
      <c r="DU40" s="621"/>
      <c r="DV40" s="138"/>
      <c r="DW40" s="138"/>
      <c r="DX40" s="138">
        <v>8</v>
      </c>
      <c r="DY40" s="138">
        <v>3</v>
      </c>
      <c r="DZ40" s="621"/>
      <c r="EA40" s="621"/>
      <c r="EB40" s="138"/>
      <c r="EC40" s="138"/>
      <c r="ED40" s="138">
        <v>8</v>
      </c>
      <c r="EE40" s="138">
        <v>3</v>
      </c>
      <c r="EF40" s="621"/>
      <c r="EG40" s="621"/>
      <c r="EH40" s="138"/>
      <c r="EI40" s="138"/>
      <c r="EJ40" s="138">
        <v>8</v>
      </c>
      <c r="EK40" s="138">
        <v>3</v>
      </c>
      <c r="EL40" s="621"/>
      <c r="EM40" s="621"/>
      <c r="EN40" s="138"/>
      <c r="EO40" s="138"/>
      <c r="EP40" s="138">
        <v>8</v>
      </c>
      <c r="EQ40" s="138">
        <v>3</v>
      </c>
      <c r="ER40" s="621"/>
      <c r="ES40" s="621"/>
      <c r="ET40" s="138"/>
      <c r="EU40" s="138"/>
      <c r="EV40" s="138">
        <v>8</v>
      </c>
      <c r="EW40" s="138">
        <v>3</v>
      </c>
      <c r="EX40" s="621"/>
      <c r="EY40" s="621"/>
      <c r="EZ40" s="138"/>
      <c r="FA40" s="138"/>
      <c r="FB40" s="123">
        <v>8</v>
      </c>
      <c r="FC40" s="123">
        <v>3</v>
      </c>
      <c r="FD40" s="123"/>
      <c r="FE40" s="123"/>
      <c r="FF40" s="138"/>
      <c r="FG40" s="138"/>
      <c r="FH40" s="138">
        <v>2</v>
      </c>
      <c r="FI40" s="138"/>
      <c r="FJ40" s="621"/>
      <c r="FK40" s="621"/>
      <c r="FL40" s="138"/>
      <c r="FM40" s="138"/>
      <c r="FN40" s="138">
        <v>8</v>
      </c>
      <c r="FO40" s="138">
        <v>3</v>
      </c>
      <c r="FP40" s="621"/>
      <c r="FQ40" s="621"/>
      <c r="FR40" s="138"/>
      <c r="FS40" s="138"/>
      <c r="FT40" s="138" t="s">
        <v>533</v>
      </c>
      <c r="FU40" s="138"/>
      <c r="FV40" s="621"/>
      <c r="FW40" s="621"/>
      <c r="FX40" s="136"/>
      <c r="FY40" s="136"/>
      <c r="FZ40" s="130"/>
      <c r="GA40" s="130"/>
      <c r="GB40" s="613"/>
      <c r="GC40" s="613"/>
      <c r="GD40" s="74"/>
      <c r="GE40" s="124"/>
      <c r="GF40" s="125">
        <f>SUM(COUNTIFS(N40:GE40,"&gt;0",$N$9:$GE$9,"GC"),COUNTIFS(N40:GE40,"&gt;0",$N$9:$GE$9,"GC1"),COUNTIFS(N40:GE40,"&gt;0",$N$9:$GE$9,"GC2"))</f>
        <v>22</v>
      </c>
      <c r="GG40" s="126">
        <f>SUMIF($N$9:$GE$9,"GC",$N40:$GE40)</f>
        <v>166</v>
      </c>
      <c r="GH40" s="126">
        <f>SUMIF($N$9:$GE$9,"GC1",$N40:$GE40)</f>
        <v>0</v>
      </c>
      <c r="GI40" s="126">
        <f>SUMIF($N$9:$GE$9,"GC2",$N40:$GE40)</f>
        <v>0</v>
      </c>
      <c r="GJ40" s="126">
        <f>SUMIF($N$9:$GE$9,"TC",$N40:$GE40)</f>
        <v>67.5</v>
      </c>
      <c r="GK40" s="126">
        <f>SUMIF($N$9:$GE$9,"TC1",$N40:$GE40)</f>
        <v>0</v>
      </c>
      <c r="GL40" s="126">
        <f>SUMIF($N$9:$GE$9,"TC2",$N40:$GE40)</f>
        <v>0</v>
      </c>
      <c r="GM40" s="126">
        <f>SUMIF($N$9:$GE$9,"WK-D",$N40:$GE40)+SUMIF($N$9:$GE$9,"WK-TC",$N40:$GE40)</f>
        <v>66</v>
      </c>
      <c r="GN40" s="126">
        <f>SUMIF($N$9:$GE$9,"WK-D1",$N40:$GE40)+SUMIF($N$9:$GE$9,"WK-TC1",$N40:$GE40)</f>
        <v>0</v>
      </c>
      <c r="GO40" s="126">
        <f>SUMIF($N$9:$GE$9,"WK-D2",$N40:$GE40)+SUMIF($N$9:$GE$9,"WK-TC2",$N40:$GE40)</f>
        <v>0</v>
      </c>
      <c r="GP40" s="126">
        <f>SUMIF($N$9:$GE$9,"HOD",$N40:$GE40)</f>
        <v>0</v>
      </c>
      <c r="GQ40" s="126">
        <f>SUMIF($N$9:$GE$9,"HOD1",$N40:$GE40)</f>
        <v>0</v>
      </c>
      <c r="GR40" s="126">
        <f>SUMIF($N$9:$GE$9,"HOD2",$N40:$GE40)</f>
        <v>0</v>
      </c>
      <c r="GS40" s="162">
        <f t="shared" si="30"/>
        <v>9080500</v>
      </c>
      <c r="GT40" s="97" t="str">
        <f>IF(SUM(COUNTIFS(N40:GC40,"&gt;0",$N$9:$GC$9,"GC"),COUNTIFS(N40:GC40,"&gt;0",$N$9:$GC$9,"GC1"),COUNTIFS(N40:GC40,"&gt;0",$N$9:$GC$9,"GC2"),COUNTIFS(N40:GC40,"&gt;0",$N$9:$GC$9,"WK-D"),COUNTIFS(N40:GC40,"&gt;0",$N$9:$GC$9,"WK-D1"),COUNTIFS(N40:GC40,"&gt;0",$N$9:$GC$9,"WK-D2"))&gt;3,"Đ","K")</f>
        <v>Đ</v>
      </c>
      <c r="GU40" s="97">
        <f t="shared" si="31"/>
        <v>9080500</v>
      </c>
      <c r="GV40" s="97">
        <f>SUM(COUNTIFS(N40:GC40,"&gt;2",$N$9:$GC$9,"GC"),COUNTIFS(N40:GC40,"&gt;2",$N$9:$GC$9,"GC1"),COUNTIFS(N40:GC40,"&gt;2",$N$9:$GC$9,"GC2"))</f>
        <v>21</v>
      </c>
      <c r="GW40" s="162">
        <f t="shared" si="32"/>
        <v>0</v>
      </c>
      <c r="GX40" s="162">
        <f>SUM(COUNTIFS(N40:GC40,"&gt;2",$N$9:$GC$9,"GC"),COUNTIFS(N40:GC40,"&gt;2",$N$9:$GC$9,"GC1"),COUNTIFS(N40:GC40,"&gt;2",$N$9:$GC$9,"GC2"),COUNTIFS(N40:GC40,"&gt;2",$N$9:$GC$9,"WK-D"),COUNTIFS(N40:GC40,"&gt;2",$N$9:$GC$9,"WK-D1"),COUNTIFS(N40:GC40,"&gt;2",$N$9:$GC$9,"WK-D2"))*$GX$10</f>
        <v>279310.3448275862</v>
      </c>
      <c r="GY40" s="162">
        <f t="shared" si="33"/>
        <v>219130.4347826087</v>
      </c>
      <c r="GZ40" s="162">
        <f>COUNTIF($N40:$GC40,"CP")</f>
        <v>1</v>
      </c>
      <c r="HA40" s="162">
        <f>COUNTIF($N40:$GC40,"KP")</f>
        <v>0</v>
      </c>
      <c r="HB40" s="162">
        <f>COUNTIF($N40:$GC40,"ĐP")</f>
        <v>0</v>
      </c>
      <c r="HC40" s="162">
        <f>COUNTIF($N40:$GC40,"ĐD")</f>
        <v>0</v>
      </c>
      <c r="HD40" s="162">
        <f>COUNTIF($N40:$GC40,"TPL")</f>
        <v>0</v>
      </c>
      <c r="HE40" s="162">
        <f>COUNTIF($N40:$GC40,"ĐPL")</f>
        <v>0</v>
      </c>
      <c r="HF40" s="162">
        <f t="shared" si="35"/>
        <v>0</v>
      </c>
      <c r="HG40" s="156" t="str">
        <f>VLOOKUP(B40,'data nguồn'!B:N,13,0)</f>
        <v>1016270372</v>
      </c>
      <c r="HH40" s="159" t="str">
        <f>VLOOKUP(B40,'data nguồn'!B:P,15,0)</f>
        <v>Phan Thị Ngân</v>
      </c>
      <c r="HI40" s="163" t="str">
        <f>VLOOKUP(B40,'data nguồn'!B:P,14,0)</f>
        <v>VCB Hải Phòng</v>
      </c>
    </row>
    <row r="41" spans="1:217" s="95" customFormat="1" ht="15">
      <c r="A41" s="73">
        <v>31</v>
      </c>
      <c r="B41" s="136" t="s">
        <v>67</v>
      </c>
      <c r="C41" s="851" t="s">
        <v>772</v>
      </c>
      <c r="D41" s="164" t="s">
        <v>532</v>
      </c>
      <c r="E41" s="164" t="s">
        <v>135</v>
      </c>
      <c r="F41" s="629" t="s">
        <v>118</v>
      </c>
      <c r="G41" s="629"/>
      <c r="H41" s="164">
        <v>200722</v>
      </c>
      <c r="I41" s="164" t="s">
        <v>126</v>
      </c>
      <c r="J41" s="136" t="s">
        <v>124</v>
      </c>
      <c r="K41" s="165"/>
      <c r="L41" s="166"/>
      <c r="M41" s="166"/>
      <c r="N41" s="601">
        <v>8</v>
      </c>
      <c r="O41" s="601">
        <v>3</v>
      </c>
      <c r="P41" s="602"/>
      <c r="Q41" s="602"/>
      <c r="R41" s="601"/>
      <c r="S41" s="601"/>
      <c r="T41" s="602"/>
      <c r="U41" s="602"/>
      <c r="V41" s="603">
        <v>8</v>
      </c>
      <c r="W41" s="603">
        <v>3</v>
      </c>
      <c r="X41" s="602"/>
      <c r="Y41" s="602"/>
      <c r="Z41" s="603">
        <v>8</v>
      </c>
      <c r="AA41" s="603">
        <v>3</v>
      </c>
      <c r="AB41" s="602"/>
      <c r="AC41" s="602"/>
      <c r="AD41" s="604">
        <v>8</v>
      </c>
      <c r="AE41" s="604">
        <v>3</v>
      </c>
      <c r="AF41" s="605"/>
      <c r="AG41" s="605"/>
      <c r="AH41" s="605"/>
      <c r="AI41" s="605"/>
      <c r="AJ41" s="604">
        <v>8</v>
      </c>
      <c r="AK41" s="604">
        <v>3</v>
      </c>
      <c r="AL41" s="605"/>
      <c r="AM41" s="605"/>
      <c r="AN41" s="605"/>
      <c r="AO41" s="605"/>
      <c r="AP41" s="603">
        <v>8</v>
      </c>
      <c r="AQ41" s="603">
        <v>3.5</v>
      </c>
      <c r="AR41" s="622"/>
      <c r="AS41" s="622"/>
      <c r="AT41" s="136"/>
      <c r="AU41" s="136"/>
      <c r="AV41" s="135">
        <v>8</v>
      </c>
      <c r="AW41" s="135">
        <v>3</v>
      </c>
      <c r="AX41" s="606"/>
      <c r="AY41" s="606"/>
      <c r="AZ41" s="136"/>
      <c r="BA41" s="136"/>
      <c r="BB41" s="135">
        <v>8</v>
      </c>
      <c r="BC41" s="135">
        <v>3</v>
      </c>
      <c r="BD41" s="606"/>
      <c r="BE41" s="606"/>
      <c r="BF41" s="135">
        <v>8</v>
      </c>
      <c r="BG41" s="135">
        <v>3</v>
      </c>
      <c r="BH41" s="606"/>
      <c r="BI41" s="606"/>
      <c r="BJ41" s="136"/>
      <c r="BK41" s="136"/>
      <c r="BL41" s="135">
        <v>8</v>
      </c>
      <c r="BM41" s="135">
        <v>3</v>
      </c>
      <c r="BN41" s="606"/>
      <c r="BO41" s="606"/>
      <c r="BP41" s="136"/>
      <c r="BQ41" s="136"/>
      <c r="BR41" s="130">
        <v>8</v>
      </c>
      <c r="BS41" s="129">
        <v>3</v>
      </c>
      <c r="BT41" s="606"/>
      <c r="BU41" s="606"/>
      <c r="BV41" s="136"/>
      <c r="BW41" s="136"/>
      <c r="BX41" s="624">
        <v>8</v>
      </c>
      <c r="BY41" s="624">
        <v>3</v>
      </c>
      <c r="BZ41" s="608"/>
      <c r="CA41" s="608"/>
      <c r="CB41" s="609"/>
      <c r="CC41" s="609"/>
      <c r="CD41" s="137">
        <v>8</v>
      </c>
      <c r="CE41" s="137">
        <v>3</v>
      </c>
      <c r="CF41" s="606"/>
      <c r="CG41" s="606"/>
      <c r="CH41" s="136"/>
      <c r="CI41" s="136"/>
      <c r="CJ41" s="138">
        <v>8</v>
      </c>
      <c r="CK41" s="138">
        <v>3</v>
      </c>
      <c r="CL41" s="606"/>
      <c r="CM41" s="606"/>
      <c r="CN41" s="136"/>
      <c r="CO41" s="136"/>
      <c r="CP41" s="138">
        <v>8</v>
      </c>
      <c r="CQ41" s="138">
        <v>3</v>
      </c>
      <c r="CR41" s="606"/>
      <c r="CS41" s="606"/>
      <c r="CT41" s="138">
        <v>8</v>
      </c>
      <c r="CU41" s="138">
        <v>5</v>
      </c>
      <c r="CV41" s="606"/>
      <c r="CW41" s="606"/>
      <c r="CX41" s="136"/>
      <c r="CY41" s="136"/>
      <c r="CZ41" s="130">
        <v>8</v>
      </c>
      <c r="DA41" s="138">
        <v>5</v>
      </c>
      <c r="DB41" s="606"/>
      <c r="DC41" s="606"/>
      <c r="DD41" s="136"/>
      <c r="DE41" s="136"/>
      <c r="DF41" s="607">
        <v>8</v>
      </c>
      <c r="DG41" s="607">
        <v>3</v>
      </c>
      <c r="DH41" s="608"/>
      <c r="DI41" s="608"/>
      <c r="DJ41" s="609"/>
      <c r="DK41" s="609"/>
      <c r="DL41" s="607">
        <v>8</v>
      </c>
      <c r="DM41" s="607">
        <v>3</v>
      </c>
      <c r="DN41" s="607"/>
      <c r="DO41" s="607"/>
      <c r="DP41" s="138"/>
      <c r="DQ41" s="138"/>
      <c r="DR41" s="138">
        <v>8</v>
      </c>
      <c r="DS41" s="138">
        <v>3</v>
      </c>
      <c r="DT41" s="621"/>
      <c r="DU41" s="621"/>
      <c r="DV41" s="138"/>
      <c r="DW41" s="138"/>
      <c r="DX41" s="138">
        <v>8</v>
      </c>
      <c r="DY41" s="138">
        <v>3</v>
      </c>
      <c r="DZ41" s="621"/>
      <c r="EA41" s="621"/>
      <c r="EB41" s="138"/>
      <c r="EC41" s="138"/>
      <c r="ED41" s="138">
        <v>8</v>
      </c>
      <c r="EE41" s="138">
        <v>3</v>
      </c>
      <c r="EF41" s="621"/>
      <c r="EG41" s="621"/>
      <c r="EH41" s="138"/>
      <c r="EI41" s="138"/>
      <c r="EJ41" s="138">
        <v>8</v>
      </c>
      <c r="EK41" s="138">
        <v>3</v>
      </c>
      <c r="EL41" s="621"/>
      <c r="EM41" s="621"/>
      <c r="EN41" s="138"/>
      <c r="EO41" s="138"/>
      <c r="EP41" s="138">
        <v>8</v>
      </c>
      <c r="EQ41" s="138">
        <v>3</v>
      </c>
      <c r="ER41" s="621"/>
      <c r="ES41" s="621"/>
      <c r="ET41" s="138"/>
      <c r="EU41" s="138"/>
      <c r="EV41" s="138">
        <v>8</v>
      </c>
      <c r="EW41" s="138">
        <v>3</v>
      </c>
      <c r="EX41" s="621"/>
      <c r="EY41" s="621"/>
      <c r="EZ41" s="138"/>
      <c r="FA41" s="138"/>
      <c r="FB41" s="123">
        <v>8</v>
      </c>
      <c r="FC41" s="123">
        <v>3</v>
      </c>
      <c r="FD41" s="123"/>
      <c r="FE41" s="123"/>
      <c r="FF41" s="138"/>
      <c r="FG41" s="138"/>
      <c r="FH41" s="138">
        <v>8</v>
      </c>
      <c r="FI41" s="138">
        <v>3</v>
      </c>
      <c r="FJ41" s="621"/>
      <c r="FK41" s="621"/>
      <c r="FL41" s="138"/>
      <c r="FM41" s="138"/>
      <c r="FN41" s="138">
        <v>8</v>
      </c>
      <c r="FO41" s="138">
        <v>3</v>
      </c>
      <c r="FP41" s="621"/>
      <c r="FQ41" s="621"/>
      <c r="FR41" s="138"/>
      <c r="FS41" s="138"/>
      <c r="FT41" s="138" t="s">
        <v>533</v>
      </c>
      <c r="FU41" s="138"/>
      <c r="FV41" s="621"/>
      <c r="FW41" s="621"/>
      <c r="FX41" s="136"/>
      <c r="FY41" s="136"/>
      <c r="FZ41" s="130"/>
      <c r="GA41" s="130"/>
      <c r="GB41" s="613"/>
      <c r="GC41" s="613"/>
      <c r="GD41" s="74"/>
      <c r="GE41" s="124"/>
      <c r="GF41" s="125">
        <f>SUM(COUNTIFS(N41:GE41,"&gt;0",$N$9:$GE$9,"GC"),COUNTIFS(N41:GE41,"&gt;0",$N$9:$GE$9,"GC1"),COUNTIFS(N41:GE41,"&gt;0",$N$9:$GE$9,"GC2"))</f>
        <v>22</v>
      </c>
      <c r="GG41" s="126">
        <f>SUMIF($N$9:$GE$9,"GC",$N41:$GE41)</f>
        <v>176</v>
      </c>
      <c r="GH41" s="126">
        <f>SUMIF($N$9:$GE$9,"GC1",$N41:$GE41)</f>
        <v>0</v>
      </c>
      <c r="GI41" s="126">
        <f>SUMIF($N$9:$GE$9,"GC2",$N41:$GE41)</f>
        <v>0</v>
      </c>
      <c r="GJ41" s="126">
        <f>SUMIF($N$9:$GE$9,"TC",$N41:$GE41)</f>
        <v>70.5</v>
      </c>
      <c r="GK41" s="126">
        <f>SUMIF($N$9:$GE$9,"TC1",$N41:$GE41)</f>
        <v>0</v>
      </c>
      <c r="GL41" s="126">
        <f>SUMIF($N$9:$GE$9,"TC2",$N41:$GE41)</f>
        <v>0</v>
      </c>
      <c r="GM41" s="126">
        <f>SUMIF($N$9:$GE$9,"WK-D",$N41:$GE41)+SUMIF($N$9:$GE$9,"WK-TC",$N41:$GE41)</f>
        <v>66</v>
      </c>
      <c r="GN41" s="126">
        <f>SUMIF($N$9:$GE$9,"WK-D1",$N41:$GE41)+SUMIF($N$9:$GE$9,"WK-TC1",$N41:$GE41)</f>
        <v>0</v>
      </c>
      <c r="GO41" s="126">
        <f>SUMIF($N$9:$GE$9,"WK-D2",$N41:$GE41)+SUMIF($N$9:$GE$9,"WK-TC2",$N41:$GE41)</f>
        <v>0</v>
      </c>
      <c r="GP41" s="126">
        <f>SUMIF($N$9:$GE$9,"HOD",$N41:$GE41)</f>
        <v>0</v>
      </c>
      <c r="GQ41" s="126">
        <f>SUMIF($N$9:$GE$9,"HOD1",$N41:$GE41)</f>
        <v>0</v>
      </c>
      <c r="GR41" s="126">
        <f>SUMIF($N$9:$GE$9,"HOD2",$N41:$GE41)</f>
        <v>0</v>
      </c>
      <c r="GS41" s="162">
        <f>GG41*$GG$10+GH41*$GH$10+GI41*$GI$10+GJ41*$GJ$10+GK41*$GK$10+GL41*$GL$10+GM41*$GM$10+GN41*$GN$10+GO41*$GO$10+GP41*$GP$10+GQ41*$GQ$10+GR41*$GR$10</f>
        <v>9411500</v>
      </c>
      <c r="GT41" s="97" t="str">
        <f>IF(SUM(COUNTIFS(N41:GC41,"&gt;0",$N$9:$GC$9,"GC"),COUNTIFS(N41:GC41,"&gt;0",$N$9:$GC$9,"GC1"),COUNTIFS(N41:GC41,"&gt;0",$N$9:$GC$9,"GC2"),COUNTIFS(N41:GC41,"&gt;0",$N$9:$GC$9,"WK-D"),COUNTIFS(N41:GC41,"&gt;0",$N$9:$GC$9,"WK-D1"),COUNTIFS(N41:GC41,"&gt;0",$N$9:$GC$9,"WK-D2"))&gt;3,"Đ","K")</f>
        <v>Đ</v>
      </c>
      <c r="GU41" s="97">
        <f t="shared" si="31"/>
        <v>9411500</v>
      </c>
      <c r="GV41" s="97">
        <f>SUM(COUNTIFS(N41:GC41,"&gt;2",$N$9:$GC$9,"GC"),COUNTIFS(N41:GC41,"&gt;2",$N$9:$GC$9,"GC1"),COUNTIFS(N41:GC41,"&gt;2",$N$9:$GC$9,"GC2"))</f>
        <v>22</v>
      </c>
      <c r="GW41" s="162">
        <f t="shared" si="32"/>
        <v>0</v>
      </c>
      <c r="GX41" s="162">
        <f>SUM(COUNTIFS(N41:GC41,"&gt;2",$N$9:$GC$9,"GC"),COUNTIFS(N41:GC41,"&gt;2",$N$9:$GC$9,"GC1"),COUNTIFS(N41:GC41,"&gt;2",$N$9:$GC$9,"GC2"),COUNTIFS(N41:GC41,"&gt;2",$N$9:$GC$9,"WK-D"),COUNTIFS(N41:GC41,"&gt;2",$N$9:$GC$9,"WK-D1"),COUNTIFS(N41:GC41,"&gt;2",$N$9:$GC$9,"WK-D2"))*$GX$10</f>
        <v>289655.1724137931</v>
      </c>
      <c r="GY41" s="162">
        <f t="shared" si="33"/>
        <v>229565.21739130435</v>
      </c>
      <c r="GZ41" s="162">
        <f>COUNTIF($N41:$GC41,"CP")</f>
        <v>1</v>
      </c>
      <c r="HA41" s="162">
        <f>COUNTIF($N41:$GC41,"KP")</f>
        <v>0</v>
      </c>
      <c r="HB41" s="162">
        <f>COUNTIF($N41:$GC41,"ĐP")</f>
        <v>0</v>
      </c>
      <c r="HC41" s="162">
        <f>COUNTIF($N41:$GC41,"ĐD")</f>
        <v>0</v>
      </c>
      <c r="HD41" s="162">
        <f>COUNTIF($N41:$GC41,"TPL")</f>
        <v>0</v>
      </c>
      <c r="HE41" s="162">
        <f>COUNTIF($N41:$GC41,"ĐPL")</f>
        <v>0</v>
      </c>
      <c r="HF41" s="162">
        <f t="shared" si="35"/>
        <v>0</v>
      </c>
      <c r="HG41" s="156" t="str">
        <f>VLOOKUP(B41,'data nguồn'!B:N,13,0)</f>
        <v>1016216873</v>
      </c>
      <c r="HH41" s="159" t="str">
        <f>VLOOKUP(B41,'data nguồn'!B:P,15,0)</f>
        <v>Phan Thị Mai</v>
      </c>
      <c r="HI41" s="163" t="str">
        <f>VLOOKUP(B41,'data nguồn'!B:P,14,0)</f>
        <v>VCB Hải Phòng</v>
      </c>
    </row>
    <row r="42" spans="1:217" s="95" customFormat="1" ht="16.5" customHeight="1">
      <c r="A42" s="73">
        <v>32</v>
      </c>
      <c r="B42" s="136" t="s">
        <v>68</v>
      </c>
      <c r="C42" s="851" t="s">
        <v>762</v>
      </c>
      <c r="D42" s="164" t="s">
        <v>167</v>
      </c>
      <c r="E42" s="164" t="s">
        <v>521</v>
      </c>
      <c r="F42" s="164" t="s">
        <v>119</v>
      </c>
      <c r="G42" s="164"/>
      <c r="H42" s="164">
        <v>200722</v>
      </c>
      <c r="I42" s="164" t="s">
        <v>126</v>
      </c>
      <c r="J42" s="136" t="s">
        <v>124</v>
      </c>
      <c r="K42" s="165">
        <v>120</v>
      </c>
      <c r="L42" s="166" t="s">
        <v>558</v>
      </c>
      <c r="M42" s="166"/>
      <c r="N42" s="601"/>
      <c r="O42" s="601"/>
      <c r="P42" s="602">
        <v>8</v>
      </c>
      <c r="Q42" s="602">
        <v>3</v>
      </c>
      <c r="R42" s="601"/>
      <c r="S42" s="601"/>
      <c r="T42" s="602"/>
      <c r="U42" s="602"/>
      <c r="V42" s="603"/>
      <c r="W42" s="603"/>
      <c r="X42" s="602">
        <v>8</v>
      </c>
      <c r="Y42" s="602">
        <v>3</v>
      </c>
      <c r="Z42" s="603"/>
      <c r="AA42" s="603"/>
      <c r="AB42" s="602">
        <v>8</v>
      </c>
      <c r="AC42" s="602">
        <v>3</v>
      </c>
      <c r="AD42" s="604"/>
      <c r="AE42" s="604"/>
      <c r="AF42" s="605">
        <v>8</v>
      </c>
      <c r="AG42" s="605">
        <v>3</v>
      </c>
      <c r="AH42" s="605"/>
      <c r="AI42" s="605"/>
      <c r="AJ42" s="604"/>
      <c r="AK42" s="604"/>
      <c r="AL42" s="605">
        <v>8</v>
      </c>
      <c r="AM42" s="605">
        <v>3</v>
      </c>
      <c r="AN42" s="605"/>
      <c r="AO42" s="605"/>
      <c r="AP42" s="603"/>
      <c r="AQ42" s="603"/>
      <c r="AR42" s="630">
        <v>8</v>
      </c>
      <c r="AS42" s="630">
        <v>3</v>
      </c>
      <c r="AT42" s="136"/>
      <c r="AU42" s="136"/>
      <c r="AV42" s="135"/>
      <c r="AW42" s="135"/>
      <c r="AX42" s="615">
        <v>8</v>
      </c>
      <c r="AY42" s="615">
        <v>3</v>
      </c>
      <c r="AZ42" s="136"/>
      <c r="BA42" s="136"/>
      <c r="BB42" s="135"/>
      <c r="BC42" s="135"/>
      <c r="BD42" s="615">
        <v>8</v>
      </c>
      <c r="BE42" s="615">
        <v>3</v>
      </c>
      <c r="BF42" s="135"/>
      <c r="BG42" s="135"/>
      <c r="BH42" s="615">
        <v>8</v>
      </c>
      <c r="BI42" s="615">
        <v>3</v>
      </c>
      <c r="BJ42" s="136"/>
      <c r="BK42" s="136"/>
      <c r="BL42" s="135"/>
      <c r="BM42" s="135"/>
      <c r="BN42" s="631">
        <v>8</v>
      </c>
      <c r="BO42" s="631">
        <v>3</v>
      </c>
      <c r="BP42" s="137"/>
      <c r="BQ42" s="137"/>
      <c r="BR42" s="137"/>
      <c r="BS42" s="137"/>
      <c r="BT42" s="631">
        <v>8</v>
      </c>
      <c r="BU42" s="631">
        <v>3</v>
      </c>
      <c r="BV42" s="137"/>
      <c r="BW42" s="137"/>
      <c r="BX42" s="624"/>
      <c r="BY42" s="624"/>
      <c r="BZ42" s="624">
        <v>8</v>
      </c>
      <c r="CA42" s="624">
        <v>3</v>
      </c>
      <c r="CB42" s="137"/>
      <c r="CC42" s="137"/>
      <c r="CD42" s="137"/>
      <c r="CE42" s="137"/>
      <c r="CF42" s="631">
        <v>8</v>
      </c>
      <c r="CG42" s="631">
        <v>3</v>
      </c>
      <c r="CH42" s="137"/>
      <c r="CI42" s="137"/>
      <c r="CJ42" s="137"/>
      <c r="CK42" s="137"/>
      <c r="CL42" s="631">
        <v>8</v>
      </c>
      <c r="CM42" s="631">
        <v>3</v>
      </c>
      <c r="CN42" s="137"/>
      <c r="CO42" s="137"/>
      <c r="CP42" s="137"/>
      <c r="CQ42" s="137"/>
      <c r="CR42" s="631">
        <v>8</v>
      </c>
      <c r="CS42" s="631">
        <v>3</v>
      </c>
      <c r="CT42" s="137"/>
      <c r="CU42" s="137"/>
      <c r="CV42" s="631">
        <v>8</v>
      </c>
      <c r="CW42" s="631">
        <v>3</v>
      </c>
      <c r="CX42" s="137"/>
      <c r="CY42" s="137"/>
      <c r="CZ42" s="137"/>
      <c r="DA42" s="137"/>
      <c r="DB42" s="631">
        <v>8</v>
      </c>
      <c r="DC42" s="631">
        <v>3</v>
      </c>
      <c r="DD42" s="137"/>
      <c r="DE42" s="137"/>
      <c r="DF42" s="624"/>
      <c r="DG42" s="624"/>
      <c r="DH42" s="624">
        <v>8</v>
      </c>
      <c r="DI42" s="624">
        <v>3</v>
      </c>
      <c r="DJ42" s="624"/>
      <c r="DK42" s="624"/>
      <c r="DL42" s="624"/>
      <c r="DM42" s="624"/>
      <c r="DN42" s="607">
        <v>8</v>
      </c>
      <c r="DO42" s="607">
        <v>3</v>
      </c>
      <c r="DP42" s="138"/>
      <c r="DQ42" s="138"/>
      <c r="DR42" s="138"/>
      <c r="DS42" s="138"/>
      <c r="DT42" s="621">
        <v>8</v>
      </c>
      <c r="DU42" s="621">
        <v>3</v>
      </c>
      <c r="DV42" s="138"/>
      <c r="DW42" s="138"/>
      <c r="DX42" s="138">
        <v>8</v>
      </c>
      <c r="DY42" s="138">
        <v>3</v>
      </c>
      <c r="DZ42" s="621"/>
      <c r="EA42" s="621"/>
      <c r="EB42" s="138"/>
      <c r="EC42" s="138"/>
      <c r="ED42" s="138">
        <v>8</v>
      </c>
      <c r="EE42" s="138">
        <v>3</v>
      </c>
      <c r="EF42" s="621"/>
      <c r="EG42" s="621"/>
      <c r="EH42" s="138"/>
      <c r="EI42" s="138"/>
      <c r="EJ42" s="138">
        <v>8</v>
      </c>
      <c r="EK42" s="138">
        <v>3</v>
      </c>
      <c r="EL42" s="621"/>
      <c r="EM42" s="621"/>
      <c r="EN42" s="138"/>
      <c r="EO42" s="138"/>
      <c r="EP42" s="138">
        <v>8</v>
      </c>
      <c r="EQ42" s="138">
        <v>3</v>
      </c>
      <c r="ER42" s="621"/>
      <c r="ES42" s="621"/>
      <c r="ET42" s="138"/>
      <c r="EU42" s="138"/>
      <c r="EV42" s="138">
        <v>8</v>
      </c>
      <c r="EW42" s="138">
        <v>3</v>
      </c>
      <c r="EX42" s="621"/>
      <c r="EY42" s="621"/>
      <c r="EZ42" s="138"/>
      <c r="FA42" s="138"/>
      <c r="FB42" s="123">
        <v>8</v>
      </c>
      <c r="FC42" s="123">
        <v>3</v>
      </c>
      <c r="FD42" s="123"/>
      <c r="FE42" s="123"/>
      <c r="FF42" s="138"/>
      <c r="FG42" s="138"/>
      <c r="FH42" s="138">
        <v>8</v>
      </c>
      <c r="FI42" s="138">
        <v>2</v>
      </c>
      <c r="FJ42" s="621"/>
      <c r="FK42" s="621"/>
      <c r="FL42" s="138"/>
      <c r="FM42" s="138"/>
      <c r="FN42" s="138">
        <v>8</v>
      </c>
      <c r="FO42" s="138">
        <v>3</v>
      </c>
      <c r="FP42" s="621"/>
      <c r="FQ42" s="621"/>
      <c r="FR42" s="138"/>
      <c r="FS42" s="138"/>
      <c r="FT42" s="138">
        <v>8</v>
      </c>
      <c r="FU42" s="138">
        <v>3</v>
      </c>
      <c r="FV42" s="621"/>
      <c r="FW42" s="621"/>
      <c r="FX42" s="136"/>
      <c r="FY42" s="136"/>
      <c r="FZ42" s="130"/>
      <c r="GA42" s="130"/>
      <c r="GB42" s="613"/>
      <c r="GC42" s="613"/>
      <c r="GD42" s="74"/>
      <c r="GE42" s="124"/>
      <c r="GF42" s="125">
        <f>SUM(COUNTIFS(N42:GE42,"&gt;0",$N$9:$GE$9,"GC"),COUNTIFS(N42:GE42,"&gt;0",$N$9:$GE$9,"GC1"),COUNTIFS(N42:GE42,"&gt;0",$N$9:$GE$9,"GC2"))</f>
        <v>23</v>
      </c>
      <c r="GG42" s="126">
        <f>SUMIF($N$9:$GE$9,"GC",$N42:$GE42)</f>
        <v>64</v>
      </c>
      <c r="GH42" s="126">
        <f>SUMIF($N$9:$GE$9,"GC1",$N42:$GE42)</f>
        <v>120</v>
      </c>
      <c r="GI42" s="126">
        <f>SUMIF($N$9:$GE$9,"GC2",$N42:$GE42)</f>
        <v>0</v>
      </c>
      <c r="GJ42" s="126">
        <f>SUMIF($N$9:$GE$9,"TC",$N42:$GE42)</f>
        <v>23</v>
      </c>
      <c r="GK42" s="126">
        <f>SUMIF($N$9:$GE$9,"TC1",$N42:$GE42)</f>
        <v>45</v>
      </c>
      <c r="GL42" s="126">
        <f>SUMIF($N$9:$GE$9,"TC2",$N42:$GE42)</f>
        <v>0</v>
      </c>
      <c r="GM42" s="126">
        <f>SUMIF($N$9:$GE$9,"WK-D",$N42:$GE42)+SUMIF($N$9:$GE$9,"WK-TC",$N42:$GE42)</f>
        <v>11</v>
      </c>
      <c r="GN42" s="126">
        <f>SUMIF($N$9:$GE$9,"WK-D1",$N42:$GE42)+SUMIF($N$9:$GE$9,"WK-TC1",$N42:$GE42)</f>
        <v>55</v>
      </c>
      <c r="GO42" s="126">
        <f>SUMIF($N$9:$GE$9,"WK-D2",$N42:$GE42)+SUMIF($N$9:$GE$9,"WK-TC2",$N42:$GE42)</f>
        <v>0</v>
      </c>
      <c r="GP42" s="126">
        <f>SUMIF($N$9:$GE$9,"HOD",$N42:$GE42)</f>
        <v>0</v>
      </c>
      <c r="GQ42" s="126">
        <f>SUMIF($N$9:$GE$9,"HOD1",$N42:$GE42)</f>
        <v>0</v>
      </c>
      <c r="GR42" s="126">
        <f>SUMIF($N$9:$GE$9,"HOD2",$N42:$GE42)</f>
        <v>0</v>
      </c>
      <c r="GS42" s="162">
        <f>GG42*$GG$10+GH42*$GH$10+GI42*$GI$10+GJ42*$GJ$10+GK42*$GK$10+GL42*$GL$10+GM42*$GM$10+GN42*$GN$10+GO42*$GO$10+GP42*$GP$10+GQ42*$GQ$10+GR42*$GR$10</f>
        <v>10194500</v>
      </c>
      <c r="GT42" s="97" t="str">
        <f>IF(SUM(COUNTIFS(N42:GC42,"&gt;0",$N$9:$GC$9,"GC"),COUNTIFS(N42:GC42,"&gt;0",$N$9:$GC$9,"GC1"),COUNTIFS(N42:GC42,"&gt;0",$N$9:$GC$9,"GC2"),COUNTIFS(N42:GC42,"&gt;0",$N$9:$GC$9,"WK-D"),COUNTIFS(N42:GC42,"&gt;0",$N$9:$GC$9,"WK-D1"),COUNTIFS(N42:GC42,"&gt;0",$N$9:$GC$9,"WK-D2"))&gt;3,"Đ","K")</f>
        <v>Đ</v>
      </c>
      <c r="GU42" s="97">
        <f t="shared" si="31"/>
        <v>10194500</v>
      </c>
      <c r="GV42" s="97">
        <f>SUM(COUNTIFS(N42:GC42,"&gt;2",$N$9:$GC$9,"GC"),COUNTIFS(N42:GC42,"&gt;2",$N$9:$GC$9,"GC1"),COUNTIFS(N42:GC42,"&gt;2",$N$9:$GC$9,"GC2"))</f>
        <v>23</v>
      </c>
      <c r="GW42" s="162">
        <f t="shared" si="32"/>
        <v>200000</v>
      </c>
      <c r="GX42" s="162">
        <f>SUM(COUNTIFS(N42:GC42,"&gt;2",$N$9:$GC$9,"GC"),COUNTIFS(N42:GC42,"&gt;2",$N$9:$GC$9,"GC1"),COUNTIFS(N42:GC42,"&gt;2",$N$9:$GC$9,"GC2"),COUNTIFS(N42:GC42,"&gt;2",$N$9:$GC$9,"WK-D"),COUNTIFS(N42:GC42,"&gt;2",$N$9:$GC$9,"WK-D1"),COUNTIFS(N42:GC42,"&gt;2",$N$9:$GC$9,"WK-D2"))*$GX$10</f>
        <v>300000</v>
      </c>
      <c r="GY42" s="162">
        <f t="shared" si="33"/>
        <v>240000</v>
      </c>
      <c r="GZ42" s="162">
        <f>COUNTIF($N42:$GC42,"CP")</f>
        <v>0</v>
      </c>
      <c r="HA42" s="162">
        <f>COUNTIF($N42:$GC42,"KP")</f>
        <v>0</v>
      </c>
      <c r="HB42" s="162">
        <f>COUNTIF($N42:$GC42,"ĐP")</f>
        <v>0</v>
      </c>
      <c r="HC42" s="162">
        <f>COUNTIF($N42:$GC42,"ĐD")</f>
        <v>0</v>
      </c>
      <c r="HD42" s="162">
        <f>COUNTIF($N42:$GC42,"TPL")</f>
        <v>0</v>
      </c>
      <c r="HE42" s="162">
        <f>COUNTIF($N42:$GC42,"ĐPL")</f>
        <v>0</v>
      </c>
      <c r="HF42" s="162">
        <f t="shared" si="35"/>
        <v>0</v>
      </c>
      <c r="HG42" s="156" t="str">
        <f>VLOOKUP(B42,'data nguồn'!B:N,13,0)</f>
        <v>1016150026</v>
      </c>
      <c r="HH42" s="159" t="str">
        <f>VLOOKUP(B42,'data nguồn'!B:P,15,0)</f>
        <v>Đồng Thị Kim Anh</v>
      </c>
      <c r="HI42" s="163" t="str">
        <f>VLOOKUP(B42,'data nguồn'!B:P,14,0)</f>
        <v>VCB Hải Phòng</v>
      </c>
    </row>
    <row r="43" spans="1:217" s="95" customFormat="1" ht="16.5" customHeight="1">
      <c r="A43" s="73">
        <v>33</v>
      </c>
      <c r="B43" s="136" t="s">
        <v>70</v>
      </c>
      <c r="C43" s="851" t="s">
        <v>170</v>
      </c>
      <c r="D43" s="164" t="s">
        <v>171</v>
      </c>
      <c r="E43" s="164" t="s">
        <v>131</v>
      </c>
      <c r="F43" s="164" t="s">
        <v>121</v>
      </c>
      <c r="G43" s="164"/>
      <c r="H43" s="164">
        <v>200727</v>
      </c>
      <c r="I43" s="164" t="s">
        <v>126</v>
      </c>
      <c r="J43" s="136" t="s">
        <v>124</v>
      </c>
      <c r="K43" s="165"/>
      <c r="L43" s="166" t="s">
        <v>830</v>
      </c>
      <c r="M43" s="166">
        <v>44088</v>
      </c>
      <c r="N43" s="601">
        <v>8</v>
      </c>
      <c r="O43" s="601">
        <v>3</v>
      </c>
      <c r="P43" s="602"/>
      <c r="Q43" s="602"/>
      <c r="R43" s="601"/>
      <c r="S43" s="601"/>
      <c r="T43" s="602"/>
      <c r="U43" s="602"/>
      <c r="V43" s="603">
        <v>8</v>
      </c>
      <c r="W43" s="603">
        <v>3</v>
      </c>
      <c r="X43" s="602"/>
      <c r="Y43" s="602"/>
      <c r="Z43" s="603">
        <v>8</v>
      </c>
      <c r="AA43" s="603">
        <v>3</v>
      </c>
      <c r="AB43" s="602"/>
      <c r="AC43" s="602"/>
      <c r="AD43" s="604">
        <v>8</v>
      </c>
      <c r="AE43" s="604">
        <v>3</v>
      </c>
      <c r="AF43" s="605"/>
      <c r="AG43" s="605"/>
      <c r="AH43" s="605"/>
      <c r="AI43" s="605"/>
      <c r="AJ43" s="604">
        <v>8</v>
      </c>
      <c r="AK43" s="604">
        <v>3</v>
      </c>
      <c r="AL43" s="605"/>
      <c r="AM43" s="605"/>
      <c r="AN43" s="605"/>
      <c r="AO43" s="605"/>
      <c r="AP43" s="603" t="s">
        <v>831</v>
      </c>
      <c r="AQ43" s="603"/>
      <c r="AR43" s="606"/>
      <c r="AS43" s="606"/>
      <c r="AT43" s="136"/>
      <c r="AU43" s="136"/>
      <c r="AV43" s="135">
        <v>8</v>
      </c>
      <c r="AW43" s="135">
        <v>3</v>
      </c>
      <c r="AX43" s="606"/>
      <c r="AY43" s="606"/>
      <c r="AZ43" s="136"/>
      <c r="BA43" s="136"/>
      <c r="BB43" s="135">
        <v>8</v>
      </c>
      <c r="BC43" s="135">
        <v>3</v>
      </c>
      <c r="BD43" s="606"/>
      <c r="BE43" s="606"/>
      <c r="BF43" s="135">
        <v>8</v>
      </c>
      <c r="BG43" s="135">
        <v>3</v>
      </c>
      <c r="BH43" s="606"/>
      <c r="BI43" s="606"/>
      <c r="BJ43" s="136"/>
      <c r="BK43" s="136"/>
      <c r="BL43" s="135">
        <v>8</v>
      </c>
      <c r="BM43" s="135">
        <v>3</v>
      </c>
      <c r="BN43" s="606"/>
      <c r="BO43" s="606"/>
      <c r="BP43" s="136"/>
      <c r="BQ43" s="136"/>
      <c r="BR43" s="130">
        <v>7.5</v>
      </c>
      <c r="BS43" s="129">
        <v>3</v>
      </c>
      <c r="BT43" s="606"/>
      <c r="BU43" s="606"/>
      <c r="BV43" s="136"/>
      <c r="BW43" s="136"/>
      <c r="BX43" s="624">
        <v>8</v>
      </c>
      <c r="BY43" s="624">
        <v>0</v>
      </c>
      <c r="BZ43" s="608"/>
      <c r="CA43" s="608"/>
      <c r="CB43" s="609"/>
      <c r="CC43" s="609"/>
      <c r="CD43" s="137" t="s">
        <v>533</v>
      </c>
      <c r="CE43" s="137"/>
      <c r="CF43" s="606"/>
      <c r="CG43" s="606"/>
      <c r="CH43" s="136"/>
      <c r="CI43" s="136"/>
      <c r="CJ43" s="138" t="s">
        <v>533</v>
      </c>
      <c r="CK43" s="138"/>
      <c r="CL43" s="606"/>
      <c r="CM43" s="606"/>
      <c r="CN43" s="136"/>
      <c r="CO43" s="136"/>
      <c r="CP43" s="138" t="s">
        <v>832</v>
      </c>
      <c r="CQ43" s="138"/>
      <c r="CR43" s="606"/>
      <c r="CS43" s="606"/>
      <c r="CT43" s="138" t="s">
        <v>832</v>
      </c>
      <c r="CU43" s="138"/>
      <c r="CV43" s="606"/>
      <c r="CW43" s="606"/>
      <c r="CX43" s="136"/>
      <c r="CY43" s="136"/>
      <c r="CZ43" s="130"/>
      <c r="DA43" s="138"/>
      <c r="DB43" s="606"/>
      <c r="DC43" s="606"/>
      <c r="DD43" s="136"/>
      <c r="DE43" s="136"/>
      <c r="DF43" s="607"/>
      <c r="DG43" s="607"/>
      <c r="DH43" s="608"/>
      <c r="DI43" s="608"/>
      <c r="DJ43" s="609"/>
      <c r="DK43" s="609"/>
      <c r="DL43" s="607"/>
      <c r="DM43" s="607"/>
      <c r="DN43" s="607"/>
      <c r="DO43" s="607"/>
      <c r="DP43" s="138"/>
      <c r="DQ43" s="138"/>
      <c r="DR43" s="138"/>
      <c r="DS43" s="138"/>
      <c r="DT43" s="621"/>
      <c r="DU43" s="621"/>
      <c r="DV43" s="138"/>
      <c r="DW43" s="138"/>
      <c r="DX43" s="138"/>
      <c r="DY43" s="138"/>
      <c r="DZ43" s="621"/>
      <c r="EA43" s="621"/>
      <c r="EB43" s="138"/>
      <c r="EC43" s="138"/>
      <c r="ED43" s="138"/>
      <c r="EE43" s="138"/>
      <c r="EF43" s="621"/>
      <c r="EG43" s="621"/>
      <c r="EH43" s="138"/>
      <c r="EI43" s="138"/>
      <c r="EJ43" s="138"/>
      <c r="EK43" s="138"/>
      <c r="EL43" s="621"/>
      <c r="EM43" s="621"/>
      <c r="EN43" s="138"/>
      <c r="EO43" s="138"/>
      <c r="EP43" s="138"/>
      <c r="EQ43" s="138"/>
      <c r="ER43" s="621"/>
      <c r="ES43" s="621"/>
      <c r="ET43" s="138"/>
      <c r="EU43" s="138"/>
      <c r="EV43" s="138"/>
      <c r="EW43" s="138"/>
      <c r="EX43" s="621"/>
      <c r="EY43" s="621"/>
      <c r="EZ43" s="138"/>
      <c r="FA43" s="138"/>
      <c r="FB43" s="123"/>
      <c r="FC43" s="123"/>
      <c r="FD43" s="123"/>
      <c r="FE43" s="123"/>
      <c r="FF43" s="138"/>
      <c r="FG43" s="138"/>
      <c r="FH43" s="138"/>
      <c r="FI43" s="138"/>
      <c r="FJ43" s="621"/>
      <c r="FK43" s="621"/>
      <c r="FL43" s="138"/>
      <c r="FM43" s="138"/>
      <c r="FN43" s="138"/>
      <c r="FO43" s="138"/>
      <c r="FP43" s="621"/>
      <c r="FQ43" s="621"/>
      <c r="FR43" s="138"/>
      <c r="FS43" s="138"/>
      <c r="FT43" s="138"/>
      <c r="FU43" s="138"/>
      <c r="FV43" s="621"/>
      <c r="FW43" s="621"/>
      <c r="FX43" s="136"/>
      <c r="FY43" s="136"/>
      <c r="FZ43" s="130"/>
      <c r="GA43" s="130"/>
      <c r="GB43" s="613"/>
      <c r="GC43" s="613"/>
      <c r="GD43" s="74"/>
      <c r="GE43" s="124"/>
      <c r="GF43" s="125">
        <f>SUM(COUNTIFS(N43:GE43,"&gt;0",$N$9:$GE$9,"GC"),COUNTIFS(N43:GE43,"&gt;0",$N$9:$GE$9,"GC1"),COUNTIFS(N43:GE43,"&gt;0",$N$9:$GE$9,"GC2"))</f>
        <v>8</v>
      </c>
      <c r="GG43" s="126">
        <f>SUMIF($N$9:$GE$9,"GC",$N43:$GE43)</f>
        <v>63.5</v>
      </c>
      <c r="GH43" s="126">
        <f>SUMIF($N$9:$GE$9,"GC1",$N43:$GE43)</f>
        <v>0</v>
      </c>
      <c r="GI43" s="126">
        <f>SUMIF($N$9:$GE$9,"GC2",$N43:$GE43)</f>
        <v>0</v>
      </c>
      <c r="GJ43" s="126">
        <f>SUMIF($N$9:$GE$9,"TC",$N43:$GE43)</f>
        <v>24</v>
      </c>
      <c r="GK43" s="126">
        <f>SUMIF($N$9:$GE$9,"TC1",$N43:$GE43)</f>
        <v>0</v>
      </c>
      <c r="GL43" s="126">
        <f>SUMIF($N$9:$GE$9,"TC2",$N43:$GE43)</f>
        <v>0</v>
      </c>
      <c r="GM43" s="126">
        <f>SUMIF($N$9:$GE$9,"WK-D",$N43:$GE43)+SUMIF($N$9:$GE$9,"WK-TC",$N43:$GE43)</f>
        <v>30</v>
      </c>
      <c r="GN43" s="126">
        <f>SUMIF($N$9:$GE$9,"WK-D1",$N43:$GE43)+SUMIF($N$9:$GE$9,"WK-TC1",$N43:$GE43)</f>
        <v>0</v>
      </c>
      <c r="GO43" s="126">
        <f>SUMIF($N$9:$GE$9,"WK-D2",$N43:$GE43)+SUMIF($N$9:$GE$9,"WK-TC2",$N43:$GE43)</f>
        <v>0</v>
      </c>
      <c r="GP43" s="126">
        <f>SUMIF($N$9:$GE$9,"HOD",$N43:$GE43)</f>
        <v>0</v>
      </c>
      <c r="GQ43" s="126">
        <f>SUMIF($N$9:$GE$9,"HOD1",$N43:$GE43)</f>
        <v>0</v>
      </c>
      <c r="GR43" s="126">
        <f>SUMIF($N$9:$GE$9,"HOD2",$N43:$GE43)</f>
        <v>0</v>
      </c>
      <c r="GS43" s="162">
        <f t="shared" ref="GS43:GS69" si="38">GG43*$GG$10+GH43*$GH$10+GI43*$GI$10+GJ43*$GJ$10+GK43*$GK$10+GL43*$GL$10+GM43*$GM$10+GN43*$GN$10+GO43*$GO$10+GP43*$GP$10+GQ43*$GQ$10+GR43*$GR$10</f>
        <v>3632750</v>
      </c>
      <c r="GT43" s="97" t="str">
        <f>IF(SUM(COUNTIFS(N43:GC43,"&gt;0",$N$9:$GC$9,"GC"),COUNTIFS(N43:GC43,"&gt;0",$N$9:$GC$9,"GC1"),COUNTIFS(N43:GC43,"&gt;0",$N$9:$GC$9,"GC2"),COUNTIFS(N43:GC43,"&gt;0",$N$9:$GC$9,"WK-D"),COUNTIFS(N43:GC43,"&gt;0",$N$9:$GC$9,"WK-D1"),COUNTIFS(N43:GC43,"&gt;0",$N$9:$GC$9,"WK-D2"))&gt;3,"Đ","K")</f>
        <v>Đ</v>
      </c>
      <c r="GU43" s="97">
        <f t="shared" ref="GU43:GU69" si="39">IF(GT43="Đ",GS43,0)</f>
        <v>3632750</v>
      </c>
      <c r="GV43" s="97">
        <f>SUM(COUNTIFS(N43:GC43,"&gt;2",$N$9:$GC$9,"GC"),COUNTIFS(N43:GC43,"&gt;2",$N$9:$GC$9,"GC1"),COUNTIFS(N43:GC43,"&gt;2",$N$9:$GC$9,"GC2"))</f>
        <v>8</v>
      </c>
      <c r="GW43" s="162">
        <f t="shared" si="32"/>
        <v>0</v>
      </c>
      <c r="GX43" s="162">
        <f>SUM(COUNTIFS(N43:GC43,"&gt;2",$N$9:$GC$9,"GC"),COUNTIFS(N43:GC43,"&gt;2",$N$9:$GC$9,"GC1"),COUNTIFS(N43:GC43,"&gt;2",$N$9:$GC$9,"GC2"),COUNTIFS(N43:GC43,"&gt;2",$N$9:$GC$9,"WK-D"),COUNTIFS(N43:GC43,"&gt;2",$N$9:$GC$9,"WK-D1"),COUNTIFS(N43:GC43,"&gt;2",$N$9:$GC$9,"WK-D2"))*$GX$10</f>
        <v>113793.10344827587</v>
      </c>
      <c r="GY43" s="162">
        <f t="shared" si="33"/>
        <v>83478.260869565216</v>
      </c>
      <c r="GZ43" s="162">
        <f>COUNTIF($N43:$GC43,"CP")</f>
        <v>2</v>
      </c>
      <c r="HA43" s="162">
        <f>COUNTIF($N43:$GC43,"KP")</f>
        <v>1</v>
      </c>
      <c r="HB43" s="162">
        <f>COUNTIF($N43:$GC43,"ĐP")</f>
        <v>0</v>
      </c>
      <c r="HC43" s="162">
        <f>COUNTIF($N43:$GC43,"ĐD")</f>
        <v>0</v>
      </c>
      <c r="HD43" s="162">
        <f>COUNTIF($N43:$GC43,"TPL")</f>
        <v>0</v>
      </c>
      <c r="HE43" s="162">
        <f>COUNTIF($N43:$GC43,"ĐPL")</f>
        <v>0</v>
      </c>
      <c r="HF43" s="162">
        <f t="shared" ref="HF43:HF69" si="40">GZ43*$GZ$10+HA43*$HA$10+HB43*$HB$10+HC43*$HC$10+HD43*$HD$10+HE43*$HE$10</f>
        <v>188000</v>
      </c>
      <c r="HG43" s="156" t="str">
        <f>VLOOKUP(B43,'data nguồn'!B:N,13,0)</f>
        <v>1016141540</v>
      </c>
      <c r="HH43" s="159" t="str">
        <f>VLOOKUP(B43,'data nguồn'!B:P,15,0)</f>
        <v>Phạm Thị Hương</v>
      </c>
      <c r="HI43" s="163" t="str">
        <f>VLOOKUP(B43,'data nguồn'!B:P,14,0)</f>
        <v>VCB Hải Phòng</v>
      </c>
    </row>
    <row r="44" spans="1:217" s="95" customFormat="1" ht="16.5" customHeight="1">
      <c r="A44" s="73">
        <v>34</v>
      </c>
      <c r="B44" s="136" t="s">
        <v>535</v>
      </c>
      <c r="C44" s="851" t="s">
        <v>542</v>
      </c>
      <c r="D44" s="632">
        <v>42202</v>
      </c>
      <c r="E44" s="164" t="s">
        <v>502</v>
      </c>
      <c r="F44" s="164" t="s">
        <v>833</v>
      </c>
      <c r="G44" s="164"/>
      <c r="H44" s="164">
        <v>200806</v>
      </c>
      <c r="I44" s="164" t="s">
        <v>123</v>
      </c>
      <c r="J44" s="136" t="s">
        <v>124</v>
      </c>
      <c r="K44" s="165"/>
      <c r="L44" s="166"/>
      <c r="M44" s="166"/>
      <c r="N44" s="601">
        <v>8</v>
      </c>
      <c r="O44" s="601">
        <v>5</v>
      </c>
      <c r="P44" s="602"/>
      <c r="Q44" s="602"/>
      <c r="R44" s="601"/>
      <c r="S44" s="601"/>
      <c r="T44" s="602"/>
      <c r="U44" s="602"/>
      <c r="V44" s="603">
        <v>8</v>
      </c>
      <c r="W44" s="603">
        <v>5</v>
      </c>
      <c r="X44" s="602"/>
      <c r="Y44" s="602"/>
      <c r="Z44" s="603">
        <v>8</v>
      </c>
      <c r="AA44" s="603">
        <v>5</v>
      </c>
      <c r="AB44" s="602"/>
      <c r="AC44" s="602"/>
      <c r="AD44" s="604">
        <v>8</v>
      </c>
      <c r="AE44" s="604">
        <v>3</v>
      </c>
      <c r="AF44" s="605"/>
      <c r="AG44" s="605"/>
      <c r="AH44" s="605"/>
      <c r="AI44" s="605"/>
      <c r="AJ44" s="604">
        <v>8</v>
      </c>
      <c r="AK44" s="604">
        <v>3</v>
      </c>
      <c r="AL44" s="605"/>
      <c r="AM44" s="605"/>
      <c r="AN44" s="605"/>
      <c r="AO44" s="605"/>
      <c r="AP44" s="603">
        <v>8</v>
      </c>
      <c r="AQ44" s="603">
        <v>3</v>
      </c>
      <c r="AR44" s="606"/>
      <c r="AS44" s="606"/>
      <c r="AT44" s="136"/>
      <c r="AU44" s="136"/>
      <c r="AV44" s="135">
        <v>8</v>
      </c>
      <c r="AW44" s="135">
        <v>3</v>
      </c>
      <c r="AX44" s="606"/>
      <c r="AY44" s="606"/>
      <c r="AZ44" s="136"/>
      <c r="BA44" s="136"/>
      <c r="BB44" s="135">
        <v>8</v>
      </c>
      <c r="BC44" s="135">
        <v>0</v>
      </c>
      <c r="BD44" s="606"/>
      <c r="BE44" s="606"/>
      <c r="BF44" s="135">
        <v>8</v>
      </c>
      <c r="BG44" s="135">
        <v>0</v>
      </c>
      <c r="BH44" s="606"/>
      <c r="BI44" s="606"/>
      <c r="BJ44" s="136"/>
      <c r="BK44" s="136"/>
      <c r="BL44" s="135">
        <v>8</v>
      </c>
      <c r="BM44" s="135">
        <v>0</v>
      </c>
      <c r="BN44" s="606"/>
      <c r="BO44" s="606"/>
      <c r="BP44" s="136"/>
      <c r="BQ44" s="136"/>
      <c r="BR44" s="130">
        <v>8</v>
      </c>
      <c r="BS44" s="129">
        <v>3</v>
      </c>
      <c r="BT44" s="606"/>
      <c r="BU44" s="606"/>
      <c r="BV44" s="136"/>
      <c r="BW44" s="136"/>
      <c r="BX44" s="624">
        <v>8</v>
      </c>
      <c r="BY44" s="624">
        <v>0</v>
      </c>
      <c r="BZ44" s="608"/>
      <c r="CA44" s="608"/>
      <c r="CB44" s="609"/>
      <c r="CC44" s="609"/>
      <c r="CD44" s="137">
        <v>8</v>
      </c>
      <c r="CE44" s="137">
        <v>3</v>
      </c>
      <c r="CF44" s="606"/>
      <c r="CG44" s="606"/>
      <c r="CH44" s="136"/>
      <c r="CI44" s="136"/>
      <c r="CJ44" s="138">
        <v>8</v>
      </c>
      <c r="CK44" s="138">
        <v>5</v>
      </c>
      <c r="CL44" s="606"/>
      <c r="CM44" s="606"/>
      <c r="CN44" s="136"/>
      <c r="CO44" s="136"/>
      <c r="CP44" s="138">
        <v>8</v>
      </c>
      <c r="CQ44" s="138">
        <v>5</v>
      </c>
      <c r="CR44" s="606"/>
      <c r="CS44" s="606"/>
      <c r="CT44" s="138">
        <v>8</v>
      </c>
      <c r="CU44" s="138">
        <v>5</v>
      </c>
      <c r="CV44" s="606"/>
      <c r="CW44" s="606"/>
      <c r="CX44" s="136"/>
      <c r="CY44" s="136"/>
      <c r="CZ44" s="130">
        <v>8</v>
      </c>
      <c r="DA44" s="138">
        <v>5</v>
      </c>
      <c r="DB44" s="606"/>
      <c r="DC44" s="606"/>
      <c r="DD44" s="136"/>
      <c r="DE44" s="136"/>
      <c r="DF44" s="607">
        <v>8</v>
      </c>
      <c r="DG44" s="607">
        <v>5</v>
      </c>
      <c r="DH44" s="608"/>
      <c r="DI44" s="608"/>
      <c r="DJ44" s="609"/>
      <c r="DK44" s="609"/>
      <c r="DL44" s="607">
        <v>8</v>
      </c>
      <c r="DM44" s="607">
        <v>3</v>
      </c>
      <c r="DN44" s="607"/>
      <c r="DO44" s="607"/>
      <c r="DP44" s="138"/>
      <c r="DQ44" s="138"/>
      <c r="DR44" s="138"/>
      <c r="DS44" s="138"/>
      <c r="DT44" s="621">
        <v>8</v>
      </c>
      <c r="DU44" s="621">
        <v>2</v>
      </c>
      <c r="DV44" s="138"/>
      <c r="DW44" s="138"/>
      <c r="DX44" s="138"/>
      <c r="DY44" s="138"/>
      <c r="DZ44" s="621">
        <v>8</v>
      </c>
      <c r="EA44" s="621">
        <v>2</v>
      </c>
      <c r="EB44" s="138"/>
      <c r="EC44" s="138"/>
      <c r="ED44" s="138"/>
      <c r="EE44" s="138"/>
      <c r="EF44" s="621">
        <v>8</v>
      </c>
      <c r="EG44" s="621">
        <v>2</v>
      </c>
      <c r="EH44" s="138"/>
      <c r="EI44" s="138"/>
      <c r="EJ44" s="138"/>
      <c r="EK44" s="138"/>
      <c r="EL44" s="621">
        <v>8</v>
      </c>
      <c r="EM44" s="621">
        <v>2</v>
      </c>
      <c r="EN44" s="138"/>
      <c r="EO44" s="138"/>
      <c r="EP44" s="138"/>
      <c r="EQ44" s="138"/>
      <c r="ER44" s="621">
        <v>8</v>
      </c>
      <c r="ES44" s="621">
        <v>2</v>
      </c>
      <c r="ET44" s="138"/>
      <c r="EU44" s="138"/>
      <c r="EV44" s="138"/>
      <c r="EW44" s="138"/>
      <c r="EX44" s="621" t="s">
        <v>533</v>
      </c>
      <c r="EY44" s="621" t="str">
        <f>F57</f>
        <v>Trần Văn Dương</v>
      </c>
      <c r="EZ44" s="138"/>
      <c r="FA44" s="138"/>
      <c r="FB44" s="123"/>
      <c r="FC44" s="123"/>
      <c r="FD44" s="123">
        <v>8</v>
      </c>
      <c r="FE44" s="123">
        <v>2</v>
      </c>
      <c r="FF44" s="138"/>
      <c r="FG44" s="138"/>
      <c r="FH44" s="138"/>
      <c r="FI44" s="138"/>
      <c r="FJ44" s="621">
        <v>8</v>
      </c>
      <c r="FK44" s="621">
        <v>2</v>
      </c>
      <c r="FL44" s="138"/>
      <c r="FM44" s="138"/>
      <c r="FN44" s="138"/>
      <c r="FO44" s="138"/>
      <c r="FP44" s="621">
        <v>8</v>
      </c>
      <c r="FQ44" s="621">
        <v>2</v>
      </c>
      <c r="FR44" s="138"/>
      <c r="FS44" s="138"/>
      <c r="FT44" s="138"/>
      <c r="FU44" s="138"/>
      <c r="FV44" s="621">
        <v>8</v>
      </c>
      <c r="FW44" s="621">
        <v>2</v>
      </c>
      <c r="FX44" s="136"/>
      <c r="FY44" s="136"/>
      <c r="FZ44" s="130"/>
      <c r="GA44" s="130"/>
      <c r="GB44" s="613"/>
      <c r="GC44" s="613"/>
      <c r="GD44" s="74"/>
      <c r="GE44" s="124"/>
      <c r="GF44" s="125">
        <f>SUM(COUNTIFS(N44:GE44,"&gt;0",$N$9:$GE$9,"GC"),COUNTIFS(N44:GE44,"&gt;0",$N$9:$GE$9,"GC1"),COUNTIFS(N44:GE44,"&gt;0",$N$9:$GE$9,"GC2"))</f>
        <v>22</v>
      </c>
      <c r="GG44" s="126">
        <f>SUMIF($N$9:$GE$9,"GC",$N44:$GE44)</f>
        <v>112</v>
      </c>
      <c r="GH44" s="126">
        <f>SUMIF($N$9:$GE$9,"GC1",$N44:$GE44)</f>
        <v>64</v>
      </c>
      <c r="GI44" s="126">
        <f>SUMIF($N$9:$GE$9,"GC2",$N44:$GE44)</f>
        <v>0</v>
      </c>
      <c r="GJ44" s="126">
        <f>SUMIF($N$9:$GE$9,"TC",$N44:$GE44)</f>
        <v>47</v>
      </c>
      <c r="GK44" s="126">
        <f>SUMIF($N$9:$GE$9,"TC1",$N44:$GE44)</f>
        <v>16</v>
      </c>
      <c r="GL44" s="126">
        <f>SUMIF($N$9:$GE$9,"TC2",$N44:$GE44)</f>
        <v>0</v>
      </c>
      <c r="GM44" s="126">
        <f>SUMIF($N$9:$GE$9,"WK-D",$N44:$GE44)+SUMIF($N$9:$GE$9,"WK-TC",$N44:$GE44)</f>
        <v>54</v>
      </c>
      <c r="GN44" s="126">
        <f>SUMIF($N$9:$GE$9,"WK-D1",$N44:$GE44)+SUMIF($N$9:$GE$9,"WK-TC1",$N44:$GE44)</f>
        <v>10</v>
      </c>
      <c r="GO44" s="126">
        <f>SUMIF($N$9:$GE$9,"WK-D2",$N44:$GE44)+SUMIF($N$9:$GE$9,"WK-TC2",$N44:$GE44)</f>
        <v>0</v>
      </c>
      <c r="GP44" s="126">
        <f>SUMIF($N$9:$GE$9,"HOD",$N44:$GE44)</f>
        <v>0</v>
      </c>
      <c r="GQ44" s="126">
        <f>SUMIF($N$9:$GE$9,"HOD1",$N44:$GE44)</f>
        <v>0</v>
      </c>
      <c r="GR44" s="126">
        <f>SUMIF($N$9:$GE$9,"HOD2",$N44:$GE44)</f>
        <v>0</v>
      </c>
      <c r="GS44" s="162">
        <f t="shared" si="38"/>
        <v>9424000</v>
      </c>
      <c r="GT44" s="97" t="str">
        <f>IF(SUM(COUNTIFS(N44:GC44,"&gt;0",$N$9:$GC$9,"GC"),COUNTIFS(N44:GC44,"&gt;0",$N$9:$GC$9,"GC1"),COUNTIFS(N44:GC44,"&gt;0",$N$9:$GC$9,"GC2"),COUNTIFS(N44:GC44,"&gt;0",$N$9:$GC$9,"WK-D"),COUNTIFS(N44:GC44,"&gt;0",$N$9:$GC$9,"WK-D1"),COUNTIFS(N44:GC44,"&gt;0",$N$9:$GC$9,"WK-D2"))&gt;3,"Đ","K")</f>
        <v>Đ</v>
      </c>
      <c r="GU44" s="97">
        <f t="shared" si="39"/>
        <v>9424000</v>
      </c>
      <c r="GV44" s="97">
        <f>SUM(COUNTIFS(N44:GC44,"&gt;2",$N$9:$GC$9,"GC"),COUNTIFS(N44:GC44,"&gt;2",$N$9:$GC$9,"GC1"),COUNTIFS(N44:GC44,"&gt;2",$N$9:$GC$9,"GC2"))</f>
        <v>22</v>
      </c>
      <c r="GW44" s="162">
        <f t="shared" si="32"/>
        <v>0</v>
      </c>
      <c r="GX44" s="162">
        <f>SUM(COUNTIFS(N44:GC44,"&gt;2",$N$9:$GC$9,"GC"),COUNTIFS(N44:GC44,"&gt;2",$N$9:$GC$9,"GC1"),COUNTIFS(N44:GC44,"&gt;2",$N$9:$GC$9,"GC2"),COUNTIFS(N44:GC44,"&gt;2",$N$9:$GC$9,"WK-D"),COUNTIFS(N44:GC44,"&gt;2",$N$9:$GC$9,"WK-D1"),COUNTIFS(N44:GC44,"&gt;2",$N$9:$GC$9,"WK-D2"))*$GX$10</f>
        <v>289655.1724137931</v>
      </c>
      <c r="GY44" s="162">
        <f t="shared" si="33"/>
        <v>229565.21739130435</v>
      </c>
      <c r="GZ44" s="162">
        <f>COUNTIF($N44:$GC44,"CP")</f>
        <v>1</v>
      </c>
      <c r="HA44" s="162">
        <f>COUNTIF($N44:$GC44,"KP")</f>
        <v>0</v>
      </c>
      <c r="HB44" s="162">
        <f>COUNTIF($N44:$GC44,"ĐP")</f>
        <v>0</v>
      </c>
      <c r="HC44" s="162">
        <f>COUNTIF($N44:$GC44,"ĐD")</f>
        <v>0</v>
      </c>
      <c r="HD44" s="162">
        <f>COUNTIF($N44:$GC44,"TPL")</f>
        <v>0</v>
      </c>
      <c r="HE44" s="162">
        <f>COUNTIF($N44:$GC44,"ĐPL")</f>
        <v>0</v>
      </c>
      <c r="HF44" s="162">
        <f t="shared" si="40"/>
        <v>0</v>
      </c>
      <c r="HG44" s="156">
        <f>VLOOKUP(B44,'data nguồn'!B:N,13,0)</f>
        <v>0</v>
      </c>
      <c r="HH44" s="159">
        <f>VLOOKUP(B44,'data nguồn'!B:P,15,0)</f>
        <v>0</v>
      </c>
      <c r="HI44" s="163">
        <f>VLOOKUP(B44,'data nguồn'!B:P,14,0)</f>
        <v>0</v>
      </c>
    </row>
    <row r="45" spans="1:217" s="95" customFormat="1" ht="16.5" customHeight="1">
      <c r="A45" s="73">
        <v>35</v>
      </c>
      <c r="B45" s="873" t="s">
        <v>562</v>
      </c>
      <c r="C45" s="855" t="s">
        <v>563</v>
      </c>
      <c r="D45" s="633" t="s">
        <v>564</v>
      </c>
      <c r="E45" s="164" t="s">
        <v>502</v>
      </c>
      <c r="F45" s="164" t="s">
        <v>565</v>
      </c>
      <c r="G45" s="164"/>
      <c r="H45" s="164">
        <v>200820</v>
      </c>
      <c r="I45" s="164" t="s">
        <v>125</v>
      </c>
      <c r="J45" s="136" t="s">
        <v>124</v>
      </c>
      <c r="K45" s="132"/>
      <c r="L45" s="132"/>
      <c r="M45" s="132"/>
      <c r="N45" s="601">
        <v>8</v>
      </c>
      <c r="O45" s="601">
        <v>5</v>
      </c>
      <c r="P45" s="602"/>
      <c r="Q45" s="602"/>
      <c r="R45" s="601"/>
      <c r="S45" s="601"/>
      <c r="T45" s="602"/>
      <c r="U45" s="602"/>
      <c r="V45" s="603">
        <v>8</v>
      </c>
      <c r="W45" s="603">
        <v>5</v>
      </c>
      <c r="X45" s="602"/>
      <c r="Y45" s="602"/>
      <c r="Z45" s="603">
        <v>8</v>
      </c>
      <c r="AA45" s="603">
        <v>5</v>
      </c>
      <c r="AB45" s="602"/>
      <c r="AC45" s="602"/>
      <c r="AD45" s="604">
        <v>8</v>
      </c>
      <c r="AE45" s="604">
        <v>5</v>
      </c>
      <c r="AF45" s="605"/>
      <c r="AG45" s="605"/>
      <c r="AH45" s="605"/>
      <c r="AI45" s="605"/>
      <c r="AJ45" s="604">
        <v>8</v>
      </c>
      <c r="AK45" s="604">
        <v>3</v>
      </c>
      <c r="AL45" s="605"/>
      <c r="AM45" s="605"/>
      <c r="AN45" s="605"/>
      <c r="AO45" s="605"/>
      <c r="AP45" s="603">
        <v>8</v>
      </c>
      <c r="AQ45" s="603">
        <v>3</v>
      </c>
      <c r="AR45" s="606"/>
      <c r="AS45" s="606"/>
      <c r="AT45" s="132"/>
      <c r="AU45" s="132"/>
      <c r="AV45" s="135">
        <v>8</v>
      </c>
      <c r="AW45" s="135">
        <v>3</v>
      </c>
      <c r="AX45" s="606"/>
      <c r="AY45" s="606"/>
      <c r="AZ45" s="132"/>
      <c r="BA45" s="132"/>
      <c r="BB45" s="135">
        <v>8</v>
      </c>
      <c r="BC45" s="135">
        <v>3</v>
      </c>
      <c r="BD45" s="606"/>
      <c r="BE45" s="606"/>
      <c r="BF45" s="634">
        <v>8</v>
      </c>
      <c r="BG45" s="634">
        <v>3</v>
      </c>
      <c r="BH45" s="606"/>
      <c r="BI45" s="606"/>
      <c r="BJ45" s="132"/>
      <c r="BK45" s="132"/>
      <c r="BL45" s="634">
        <v>8</v>
      </c>
      <c r="BM45" s="634">
        <v>3</v>
      </c>
      <c r="BN45" s="606"/>
      <c r="BO45" s="606"/>
      <c r="BP45" s="132"/>
      <c r="BQ45" s="132"/>
      <c r="BR45" s="131">
        <v>8</v>
      </c>
      <c r="BS45" s="129">
        <v>3</v>
      </c>
      <c r="BT45" s="606"/>
      <c r="BU45" s="606"/>
      <c r="BV45" s="132"/>
      <c r="BW45" s="132"/>
      <c r="BX45" s="635">
        <v>8</v>
      </c>
      <c r="BY45" s="635">
        <v>0</v>
      </c>
      <c r="BZ45" s="608"/>
      <c r="CA45" s="608"/>
      <c r="CB45" s="636"/>
      <c r="CC45" s="636"/>
      <c r="CD45" s="144">
        <v>8</v>
      </c>
      <c r="CE45" s="144">
        <v>5</v>
      </c>
      <c r="CF45" s="606"/>
      <c r="CG45" s="606"/>
      <c r="CH45" s="132"/>
      <c r="CI45" s="132"/>
      <c r="CJ45" s="634">
        <v>8</v>
      </c>
      <c r="CK45" s="634">
        <v>5</v>
      </c>
      <c r="CL45" s="606"/>
      <c r="CM45" s="606"/>
      <c r="CN45" s="132"/>
      <c r="CO45" s="132"/>
      <c r="CP45" s="634">
        <v>8</v>
      </c>
      <c r="CQ45" s="634">
        <v>5</v>
      </c>
      <c r="CR45" s="606"/>
      <c r="CS45" s="606"/>
      <c r="CT45" s="634">
        <v>8</v>
      </c>
      <c r="CU45" s="634">
        <v>5</v>
      </c>
      <c r="CV45" s="606"/>
      <c r="CW45" s="606"/>
      <c r="CX45" s="132"/>
      <c r="CY45" s="132"/>
      <c r="CZ45" s="131">
        <v>8</v>
      </c>
      <c r="DA45" s="104">
        <v>5</v>
      </c>
      <c r="DB45" s="606"/>
      <c r="DC45" s="606"/>
      <c r="DD45" s="132"/>
      <c r="DE45" s="132"/>
      <c r="DF45" s="607">
        <v>8</v>
      </c>
      <c r="DG45" s="607">
        <v>5</v>
      </c>
      <c r="DH45" s="608"/>
      <c r="DI45" s="608"/>
      <c r="DJ45" s="636"/>
      <c r="DK45" s="636"/>
      <c r="DL45" s="637">
        <v>8</v>
      </c>
      <c r="DM45" s="637">
        <v>3</v>
      </c>
      <c r="DN45" s="607"/>
      <c r="DO45" s="607"/>
      <c r="DP45" s="138"/>
      <c r="DQ45" s="138"/>
      <c r="DR45" s="138">
        <v>8</v>
      </c>
      <c r="DS45" s="138">
        <v>5</v>
      </c>
      <c r="DT45" s="621"/>
      <c r="DU45" s="621"/>
      <c r="DV45" s="138"/>
      <c r="DW45" s="138"/>
      <c r="DX45" s="138">
        <v>8</v>
      </c>
      <c r="DY45" s="138">
        <v>5</v>
      </c>
      <c r="DZ45" s="621"/>
      <c r="EA45" s="621"/>
      <c r="EB45" s="138"/>
      <c r="EC45" s="138"/>
      <c r="ED45" s="138">
        <v>8</v>
      </c>
      <c r="EE45" s="138">
        <v>5</v>
      </c>
      <c r="EF45" s="621"/>
      <c r="EG45" s="621"/>
      <c r="EH45" s="138"/>
      <c r="EI45" s="138"/>
      <c r="EJ45" s="138">
        <v>8</v>
      </c>
      <c r="EK45" s="138">
        <v>5</v>
      </c>
      <c r="EL45" s="621"/>
      <c r="EM45" s="621"/>
      <c r="EN45" s="138"/>
      <c r="EO45" s="138"/>
      <c r="EP45" s="138">
        <v>8</v>
      </c>
      <c r="EQ45" s="138">
        <v>3</v>
      </c>
      <c r="ER45" s="621"/>
      <c r="ES45" s="621"/>
      <c r="ET45" s="138"/>
      <c r="EU45" s="138"/>
      <c r="EV45" s="138">
        <v>8</v>
      </c>
      <c r="EW45" s="138">
        <v>5</v>
      </c>
      <c r="EX45" s="621"/>
      <c r="EY45" s="621"/>
      <c r="EZ45" s="138"/>
      <c r="FA45" s="138"/>
      <c r="FB45" s="123">
        <v>8</v>
      </c>
      <c r="FC45" s="123">
        <v>3</v>
      </c>
      <c r="FD45" s="123"/>
      <c r="FE45" s="123"/>
      <c r="FF45" s="138"/>
      <c r="FG45" s="138"/>
      <c r="FH45" s="138">
        <v>8</v>
      </c>
      <c r="FI45" s="138">
        <v>5</v>
      </c>
      <c r="FJ45" s="621"/>
      <c r="FK45" s="621"/>
      <c r="FL45" s="138"/>
      <c r="FM45" s="138"/>
      <c r="FN45" s="138">
        <v>8</v>
      </c>
      <c r="FO45" s="138">
        <v>5</v>
      </c>
      <c r="FP45" s="621"/>
      <c r="FQ45" s="621"/>
      <c r="FR45" s="138"/>
      <c r="FS45" s="138"/>
      <c r="FT45" s="138">
        <v>8</v>
      </c>
      <c r="FU45" s="138">
        <v>0</v>
      </c>
      <c r="FV45" s="621"/>
      <c r="FW45" s="621"/>
      <c r="FX45" s="132"/>
      <c r="FY45" s="132"/>
      <c r="FZ45" s="131"/>
      <c r="GA45" s="131"/>
      <c r="GB45" s="613"/>
      <c r="GC45" s="613"/>
      <c r="GD45" s="74"/>
      <c r="GE45" s="124"/>
      <c r="GF45" s="125">
        <f>SUM(COUNTIFS(N45:GE45,"&gt;0",$N$9:$GE$9,"GC"),COUNTIFS(N45:GE45,"&gt;0",$N$9:$GE$9,"GC1"),COUNTIFS(N45:GE45,"&gt;0",$N$9:$GE$9,"GC2"))</f>
        <v>23</v>
      </c>
      <c r="GG45" s="126">
        <f>SUMIF($N$9:$GE$9,"GC",$N45:$GE45)</f>
        <v>184</v>
      </c>
      <c r="GH45" s="126">
        <f>SUMIF($N$9:$GE$9,"GC1",$N45:$GE45)</f>
        <v>0</v>
      </c>
      <c r="GI45" s="126">
        <f>SUMIF($N$9:$GE$9,"GC2",$N45:$GE45)</f>
        <v>0</v>
      </c>
      <c r="GJ45" s="126">
        <f>SUMIF($N$9:$GE$9,"TC",$N45:$GE45)</f>
        <v>96</v>
      </c>
      <c r="GK45" s="126">
        <f>SUMIF($N$9:$GE$9,"TC1",$N45:$GE45)</f>
        <v>0</v>
      </c>
      <c r="GL45" s="126">
        <f>SUMIF($N$9:$GE$9,"TC2",$N45:$GE45)</f>
        <v>0</v>
      </c>
      <c r="GM45" s="126">
        <f>SUMIF($N$9:$GE$9,"WK-D",$N45:$GE45)+SUMIF($N$9:$GE$9,"WK-TC",$N45:$GE45)</f>
        <v>67</v>
      </c>
      <c r="GN45" s="126">
        <f>SUMIF($N$9:$GE$9,"WK-D1",$N45:$GE45)+SUMIF($N$9:$GE$9,"WK-TC1",$N45:$GE45)</f>
        <v>0</v>
      </c>
      <c r="GO45" s="126">
        <f>SUMIF($N$9:$GE$9,"WK-D2",$N45:$GE45)+SUMIF($N$9:$GE$9,"WK-TC2",$N45:$GE45)</f>
        <v>0</v>
      </c>
      <c r="GP45" s="126">
        <f>SUMIF($N$9:$GE$9,"HOD",$N45:$GE45)</f>
        <v>0</v>
      </c>
      <c r="GQ45" s="126">
        <f>SUMIF($N$9:$GE$9,"HOD1",$N45:$GE45)</f>
        <v>0</v>
      </c>
      <c r="GR45" s="126">
        <f>SUMIF($N$9:$GE$9,"HOD2",$N45:$GE45)</f>
        <v>0</v>
      </c>
      <c r="GS45" s="162">
        <f t="shared" si="38"/>
        <v>10461250</v>
      </c>
      <c r="GT45" s="97" t="str">
        <f>IF(SUM(COUNTIFS(N45:GC45,"&gt;0",$N$9:$GC$9,"GC"),COUNTIFS(N45:GC45,"&gt;0",$N$9:$GC$9,"GC1"),COUNTIFS(N45:GC45,"&gt;0",$N$9:$GC$9,"GC2"),COUNTIFS(N45:GC45,"&gt;0",$N$9:$GC$9,"WK-D"),COUNTIFS(N45:GC45,"&gt;0",$N$9:$GC$9,"WK-D1"),COUNTIFS(N45:GC45,"&gt;0",$N$9:$GC$9,"WK-D2"))&gt;3,"Đ","K")</f>
        <v>Đ</v>
      </c>
      <c r="GU45" s="97">
        <f t="shared" si="39"/>
        <v>10461250</v>
      </c>
      <c r="GV45" s="97">
        <f>SUM(COUNTIFS(N45:GC45,"&gt;2",$N$9:$GC$9,"GC"),COUNTIFS(N45:GC45,"&gt;2",$N$9:$GC$9,"GC1"),COUNTIFS(N45:GC45,"&gt;2",$N$9:$GC$9,"GC2"))</f>
        <v>23</v>
      </c>
      <c r="GW45" s="162">
        <f t="shared" si="32"/>
        <v>200000</v>
      </c>
      <c r="GX45" s="162">
        <f>SUM(COUNTIFS(N45:GC45,"&gt;2",$N$9:$GC$9,"GC"),COUNTIFS(N45:GC45,"&gt;2",$N$9:$GC$9,"GC1"),COUNTIFS(N45:GC45,"&gt;2",$N$9:$GC$9,"GC2"),COUNTIFS(N45:GC45,"&gt;2",$N$9:$GC$9,"WK-D"),COUNTIFS(N45:GC45,"&gt;2",$N$9:$GC$9,"WK-D1"),COUNTIFS(N45:GC45,"&gt;2",$N$9:$GC$9,"WK-D2"))*$GX$10</f>
        <v>300000</v>
      </c>
      <c r="GY45" s="162">
        <f t="shared" si="33"/>
        <v>240000</v>
      </c>
      <c r="GZ45" s="162">
        <f>COUNTIF($N45:$GC45,"CP")</f>
        <v>0</v>
      </c>
      <c r="HA45" s="162">
        <f>COUNTIF($N45:$GC45,"KP")</f>
        <v>0</v>
      </c>
      <c r="HB45" s="162">
        <f>COUNTIF($N45:$GC45,"ĐP")</f>
        <v>0</v>
      </c>
      <c r="HC45" s="162">
        <f>COUNTIF($N45:$GC45,"ĐD")</f>
        <v>0</v>
      </c>
      <c r="HD45" s="162">
        <f>COUNTIF($N45:$GC45,"TPL")</f>
        <v>0</v>
      </c>
      <c r="HE45" s="162">
        <f>COUNTIF($N45:$GC45,"ĐPL")</f>
        <v>0</v>
      </c>
      <c r="HF45" s="162">
        <f t="shared" si="40"/>
        <v>0</v>
      </c>
      <c r="HG45" s="156" t="str">
        <f>VLOOKUP(B45,'data nguồn'!B:N,13,0)</f>
        <v>1016786018</v>
      </c>
      <c r="HH45" s="159" t="str">
        <f>VLOOKUP(B45,'data nguồn'!B:P,15,0)</f>
        <v>Nguyễn Minh Nghĩa</v>
      </c>
      <c r="HI45" s="163" t="str">
        <f>VLOOKUP(B45,'data nguồn'!B:P,14,0)</f>
        <v>VCB Hải Phòng</v>
      </c>
    </row>
    <row r="46" spans="1:217" s="95" customFormat="1" ht="16.5" customHeight="1">
      <c r="A46" s="73">
        <v>36</v>
      </c>
      <c r="B46" s="140" t="s">
        <v>834</v>
      </c>
      <c r="C46" s="856" t="s">
        <v>835</v>
      </c>
      <c r="D46" s="140" t="s">
        <v>560</v>
      </c>
      <c r="E46" s="140" t="s">
        <v>131</v>
      </c>
      <c r="F46" s="618" t="s">
        <v>836</v>
      </c>
      <c r="G46" s="618"/>
      <c r="H46" s="121">
        <v>200904</v>
      </c>
      <c r="I46" s="121" t="s">
        <v>123</v>
      </c>
      <c r="J46" s="121" t="s">
        <v>124</v>
      </c>
      <c r="K46" s="97"/>
      <c r="L46" s="97"/>
      <c r="M46" s="638">
        <v>44086</v>
      </c>
      <c r="N46" s="132"/>
      <c r="O46" s="132"/>
      <c r="P46" s="639"/>
      <c r="Q46" s="639"/>
      <c r="R46" s="132"/>
      <c r="S46" s="132"/>
      <c r="T46" s="615"/>
      <c r="U46" s="615"/>
      <c r="V46" s="603"/>
      <c r="W46" s="603"/>
      <c r="X46" s="639"/>
      <c r="Y46" s="639"/>
      <c r="Z46" s="603">
        <v>8</v>
      </c>
      <c r="AA46" s="603">
        <v>5</v>
      </c>
      <c r="AB46" s="602"/>
      <c r="AC46" s="602"/>
      <c r="AD46" s="604">
        <v>8</v>
      </c>
      <c r="AE46" s="604">
        <v>3</v>
      </c>
      <c r="AF46" s="605"/>
      <c r="AG46" s="605"/>
      <c r="AH46" s="605"/>
      <c r="AI46" s="605"/>
      <c r="AJ46" s="604">
        <v>8</v>
      </c>
      <c r="AK46" s="604">
        <v>3</v>
      </c>
      <c r="AL46" s="605"/>
      <c r="AM46" s="605"/>
      <c r="AN46" s="605"/>
      <c r="AO46" s="605"/>
      <c r="AP46" s="603">
        <v>8</v>
      </c>
      <c r="AQ46" s="603">
        <v>3</v>
      </c>
      <c r="AR46" s="606"/>
      <c r="AS46" s="606"/>
      <c r="AT46" s="97"/>
      <c r="AU46" s="97"/>
      <c r="AV46" s="135">
        <v>8</v>
      </c>
      <c r="AW46" s="135">
        <v>3</v>
      </c>
      <c r="AX46" s="606"/>
      <c r="AY46" s="606"/>
      <c r="AZ46" s="97"/>
      <c r="BA46" s="97"/>
      <c r="BB46" s="135">
        <v>8</v>
      </c>
      <c r="BC46" s="135">
        <v>0</v>
      </c>
      <c r="BD46" s="606"/>
      <c r="BE46" s="606"/>
      <c r="BF46" s="104">
        <v>8</v>
      </c>
      <c r="BG46" s="104">
        <v>0</v>
      </c>
      <c r="BH46" s="606"/>
      <c r="BI46" s="606"/>
      <c r="BJ46" s="97"/>
      <c r="BK46" s="97"/>
      <c r="BL46" s="104">
        <v>8</v>
      </c>
      <c r="BM46" s="104">
        <v>0</v>
      </c>
      <c r="BN46" s="606"/>
      <c r="BO46" s="606"/>
      <c r="BP46" s="97"/>
      <c r="BQ46" s="97"/>
      <c r="BR46" s="131" t="s">
        <v>827</v>
      </c>
      <c r="BS46" s="129" t="str">
        <f>F53</f>
        <v>Đặng Duy Huy</v>
      </c>
      <c r="BT46" s="606"/>
      <c r="BU46" s="606"/>
      <c r="BV46" s="97"/>
      <c r="BW46" s="97"/>
      <c r="BX46" s="635"/>
      <c r="BY46" s="635"/>
      <c r="BZ46" s="608"/>
      <c r="CA46" s="608"/>
      <c r="CB46" s="636"/>
      <c r="CC46" s="636"/>
      <c r="CD46" s="144"/>
      <c r="CE46" s="144"/>
      <c r="CF46" s="606"/>
      <c r="CG46" s="606"/>
      <c r="CH46" s="97"/>
      <c r="CI46" s="97"/>
      <c r="CJ46" s="634"/>
      <c r="CK46" s="634"/>
      <c r="CL46" s="606"/>
      <c r="CM46" s="606"/>
      <c r="CN46" s="132"/>
      <c r="CO46" s="132"/>
      <c r="CP46" s="634"/>
      <c r="CQ46" s="634"/>
      <c r="CR46" s="606"/>
      <c r="CS46" s="606"/>
      <c r="CT46" s="104"/>
      <c r="CU46" s="104"/>
      <c r="CV46" s="606"/>
      <c r="CW46" s="606"/>
      <c r="CX46" s="97"/>
      <c r="CY46" s="97"/>
      <c r="CZ46" s="102"/>
      <c r="DA46" s="104"/>
      <c r="DB46" s="606"/>
      <c r="DC46" s="606"/>
      <c r="DD46" s="97"/>
      <c r="DE46" s="97"/>
      <c r="DF46" s="607"/>
      <c r="DG46" s="607"/>
      <c r="DH46" s="608"/>
      <c r="DI46" s="608"/>
      <c r="DJ46" s="636"/>
      <c r="DK46" s="636"/>
      <c r="DL46" s="637"/>
      <c r="DM46" s="637"/>
      <c r="DN46" s="607"/>
      <c r="DO46" s="607"/>
      <c r="DP46" s="138"/>
      <c r="DQ46" s="138"/>
      <c r="DR46" s="138"/>
      <c r="DS46" s="138"/>
      <c r="DT46" s="621"/>
      <c r="DU46" s="621"/>
      <c r="DV46" s="138"/>
      <c r="DW46" s="138"/>
      <c r="DX46" s="138"/>
      <c r="DY46" s="138"/>
      <c r="DZ46" s="621"/>
      <c r="EA46" s="621"/>
      <c r="EB46" s="138"/>
      <c r="EC46" s="138"/>
      <c r="ED46" s="138"/>
      <c r="EE46" s="138"/>
      <c r="EF46" s="621"/>
      <c r="EG46" s="621"/>
      <c r="EH46" s="138"/>
      <c r="EI46" s="138"/>
      <c r="EJ46" s="138"/>
      <c r="EK46" s="138"/>
      <c r="EL46" s="621"/>
      <c r="EM46" s="621"/>
      <c r="EN46" s="138"/>
      <c r="EO46" s="138"/>
      <c r="EP46" s="138"/>
      <c r="EQ46" s="138"/>
      <c r="ER46" s="621"/>
      <c r="ES46" s="621"/>
      <c r="ET46" s="138"/>
      <c r="EU46" s="138"/>
      <c r="EV46" s="138"/>
      <c r="EW46" s="138"/>
      <c r="EX46" s="621"/>
      <c r="EY46" s="621"/>
      <c r="EZ46" s="138"/>
      <c r="FA46" s="138"/>
      <c r="FB46" s="123"/>
      <c r="FC46" s="123"/>
      <c r="FD46" s="123"/>
      <c r="FE46" s="123"/>
      <c r="FF46" s="138"/>
      <c r="FG46" s="138"/>
      <c r="FH46" s="138"/>
      <c r="FI46" s="138"/>
      <c r="FJ46" s="621"/>
      <c r="FK46" s="621"/>
      <c r="FL46" s="138"/>
      <c r="FM46" s="138"/>
      <c r="FN46" s="138"/>
      <c r="FO46" s="138"/>
      <c r="FP46" s="621"/>
      <c r="FQ46" s="621"/>
      <c r="FR46" s="138"/>
      <c r="FS46" s="138"/>
      <c r="FT46" s="138"/>
      <c r="FU46" s="138"/>
      <c r="FV46" s="621"/>
      <c r="FW46" s="621"/>
      <c r="FX46" s="99"/>
      <c r="FY46" s="99"/>
      <c r="FZ46" s="102"/>
      <c r="GA46" s="102"/>
      <c r="GB46" s="613"/>
      <c r="GC46" s="613"/>
      <c r="GD46" s="74"/>
      <c r="GE46" s="124"/>
      <c r="GF46" s="125">
        <f>SUM(COUNTIFS(N46:GE46,"&gt;0",$N$9:$GE$9,"GC"),COUNTIFS(N46:GE46,"&gt;0",$N$9:$GE$9,"GC1"),COUNTIFS(N46:GE46,"&gt;0",$N$9:$GE$9,"GC2"))</f>
        <v>6</v>
      </c>
      <c r="GG46" s="126">
        <f>SUMIF($N$9:$GE$9,"GC",$N46:$GE46)</f>
        <v>48</v>
      </c>
      <c r="GH46" s="126">
        <f>SUMIF($N$9:$GE$9,"GC1",$N46:$GE46)</f>
        <v>0</v>
      </c>
      <c r="GI46" s="126">
        <f>SUMIF($N$9:$GE$9,"GC2",$N46:$GE46)</f>
        <v>0</v>
      </c>
      <c r="GJ46" s="126">
        <f>SUMIF($N$9:$GE$9,"TC",$N46:$GE46)</f>
        <v>11</v>
      </c>
      <c r="GK46" s="126">
        <f>SUMIF($N$9:$GE$9,"TC1",$N46:$GE46)</f>
        <v>0</v>
      </c>
      <c r="GL46" s="126">
        <f>SUMIF($N$9:$GE$9,"TC2",$N46:$GE46)</f>
        <v>0</v>
      </c>
      <c r="GM46" s="126">
        <f>SUMIF($N$9:$GE$9,"WK-D",$N46:$GE46)+SUMIF($N$9:$GE$9,"WK-TC",$N46:$GE46)</f>
        <v>22</v>
      </c>
      <c r="GN46" s="126">
        <f>SUMIF($N$9:$GE$9,"WK-D1",$N46:$GE46)+SUMIF($N$9:$GE$9,"WK-TC1",$N46:$GE46)</f>
        <v>0</v>
      </c>
      <c r="GO46" s="126">
        <f>SUMIF($N$9:$GE$9,"WK-D2",$N46:$GE46)+SUMIF($N$9:$GE$9,"WK-TC2",$N46:$GE46)</f>
        <v>0</v>
      </c>
      <c r="GP46" s="126">
        <f>SUMIF($N$9:$GE$9,"HOD",$N46:$GE46)</f>
        <v>0</v>
      </c>
      <c r="GQ46" s="126">
        <f>SUMIF($N$9:$GE$9,"HOD1",$N46:$GE46)</f>
        <v>0</v>
      </c>
      <c r="GR46" s="126">
        <f>SUMIF($N$9:$GE$9,"HOD2",$N46:$GE46)</f>
        <v>0</v>
      </c>
      <c r="GS46" s="162">
        <f t="shared" si="38"/>
        <v>2486500</v>
      </c>
      <c r="GT46" s="97" t="str">
        <f>IF(SUM(COUNTIFS(N46:GC46,"&gt;0",$N$9:$GC$9,"GC"),COUNTIFS(N46:GC46,"&gt;0",$N$9:$GC$9,"GC1"),COUNTIFS(N46:GC46,"&gt;0",$N$9:$GC$9,"GC2"),COUNTIFS(N46:GC46,"&gt;0",$N$9:$GC$9,"WK-D"),COUNTIFS(N46:GC46,"&gt;0",$N$9:$GC$9,"WK-D1"),COUNTIFS(N46:GC46,"&gt;0",$N$9:$GC$9,"WK-D2"))&gt;3,"Đ","K")</f>
        <v>Đ</v>
      </c>
      <c r="GU46" s="97">
        <f t="shared" si="39"/>
        <v>2486500</v>
      </c>
      <c r="GV46" s="97">
        <f>SUM(COUNTIFS(N46:GC46,"&gt;2",$N$9:$GC$9,"GC"),COUNTIFS(N46:GC46,"&gt;2",$N$9:$GC$9,"GC1"),COUNTIFS(N46:GC46,"&gt;2",$N$9:$GC$9,"GC2"))</f>
        <v>6</v>
      </c>
      <c r="GW46" s="162">
        <f t="shared" si="32"/>
        <v>0</v>
      </c>
      <c r="GX46" s="162">
        <f>SUM(COUNTIFS(N46:GC46,"&gt;2",$N$9:$GC$9,"GC"),COUNTIFS(N46:GC46,"&gt;2",$N$9:$GC$9,"GC1"),COUNTIFS(N46:GC46,"&gt;2",$N$9:$GC$9,"GC2"),COUNTIFS(N46:GC46,"&gt;2",$N$9:$GC$9,"WK-D"),COUNTIFS(N46:GC46,"&gt;2",$N$9:$GC$9,"WK-D1"),COUNTIFS(N46:GC46,"&gt;2",$N$9:$GC$9,"WK-D2"))*$GX$10</f>
        <v>82758.620689655174</v>
      </c>
      <c r="GY46" s="162">
        <f t="shared" si="33"/>
        <v>62608.695652173912</v>
      </c>
      <c r="GZ46" s="162">
        <f>COUNTIF($N46:$GC46,"CP")</f>
        <v>0</v>
      </c>
      <c r="HA46" s="162">
        <f>COUNTIF($N46:$GC46,"KP")</f>
        <v>0</v>
      </c>
      <c r="HB46" s="162">
        <v>1</v>
      </c>
      <c r="HC46" s="162">
        <f>COUNTIF($N46:$GC46,"ĐD")</f>
        <v>0</v>
      </c>
      <c r="HD46" s="162">
        <f>COUNTIF($N46:$GC46,"TPL")</f>
        <v>0</v>
      </c>
      <c r="HE46" s="162">
        <f>COUNTIF($N46:$GC46,"ĐPL")</f>
        <v>0</v>
      </c>
      <c r="HF46" s="162">
        <f t="shared" si="40"/>
        <v>150000</v>
      </c>
      <c r="HG46" s="156" t="e">
        <f>VLOOKUP(B46,'data nguồn'!B:N,13,0)</f>
        <v>#N/A</v>
      </c>
      <c r="HH46" s="159" t="e">
        <f>VLOOKUP(B46,'data nguồn'!B:P,15,0)</f>
        <v>#N/A</v>
      </c>
      <c r="HI46" s="163" t="e">
        <f>VLOOKUP(B46,'data nguồn'!B:P,14,0)</f>
        <v>#N/A</v>
      </c>
    </row>
    <row r="47" spans="1:217" s="95" customFormat="1" ht="16.5" customHeight="1">
      <c r="A47" s="73">
        <v>37</v>
      </c>
      <c r="B47" s="121" t="s">
        <v>837</v>
      </c>
      <c r="C47" s="857" t="s">
        <v>838</v>
      </c>
      <c r="D47" s="121" t="s">
        <v>839</v>
      </c>
      <c r="E47" s="121" t="s">
        <v>131</v>
      </c>
      <c r="F47" s="164" t="s">
        <v>840</v>
      </c>
      <c r="G47" s="164"/>
      <c r="H47" s="121">
        <v>200904</v>
      </c>
      <c r="I47" s="121" t="s">
        <v>126</v>
      </c>
      <c r="J47" s="121" t="s">
        <v>124</v>
      </c>
      <c r="K47" s="97"/>
      <c r="L47" s="97"/>
      <c r="M47" s="97"/>
      <c r="N47" s="132"/>
      <c r="O47" s="132"/>
      <c r="P47" s="639"/>
      <c r="Q47" s="639"/>
      <c r="R47" s="132"/>
      <c r="S47" s="132"/>
      <c r="T47" s="615"/>
      <c r="U47" s="615"/>
      <c r="V47" s="603"/>
      <c r="W47" s="603"/>
      <c r="X47" s="639"/>
      <c r="Y47" s="639"/>
      <c r="Z47" s="102">
        <v>7</v>
      </c>
      <c r="AA47" s="603">
        <v>0</v>
      </c>
      <c r="AB47" s="630"/>
      <c r="AC47" s="630"/>
      <c r="AD47" s="640">
        <v>8</v>
      </c>
      <c r="AE47" s="604">
        <v>3</v>
      </c>
      <c r="AF47" s="605"/>
      <c r="AG47" s="605"/>
      <c r="AH47" s="605"/>
      <c r="AI47" s="605"/>
      <c r="AJ47" s="604">
        <v>8</v>
      </c>
      <c r="AK47" s="604">
        <v>3</v>
      </c>
      <c r="AL47" s="605"/>
      <c r="AM47" s="605"/>
      <c r="AN47" s="605"/>
      <c r="AO47" s="605"/>
      <c r="AP47" s="603">
        <v>8</v>
      </c>
      <c r="AQ47" s="603">
        <v>3</v>
      </c>
      <c r="AR47" s="606"/>
      <c r="AS47" s="606"/>
      <c r="AT47" s="97"/>
      <c r="AU47" s="97"/>
      <c r="AV47" s="135">
        <v>8</v>
      </c>
      <c r="AW47" s="135">
        <v>3</v>
      </c>
      <c r="AX47" s="606"/>
      <c r="AY47" s="606"/>
      <c r="AZ47" s="97"/>
      <c r="BA47" s="97"/>
      <c r="BB47" s="135">
        <v>8</v>
      </c>
      <c r="BC47" s="135">
        <v>3</v>
      </c>
      <c r="BD47" s="606"/>
      <c r="BE47" s="606"/>
      <c r="BF47" s="104">
        <v>8</v>
      </c>
      <c r="BG47" s="104">
        <v>3</v>
      </c>
      <c r="BH47" s="606"/>
      <c r="BI47" s="606"/>
      <c r="BJ47" s="97"/>
      <c r="BK47" s="97"/>
      <c r="BL47" s="104">
        <v>7</v>
      </c>
      <c r="BM47" s="104">
        <v>3</v>
      </c>
      <c r="BN47" s="606"/>
      <c r="BO47" s="606"/>
      <c r="BP47" s="97"/>
      <c r="BQ47" s="97"/>
      <c r="BR47" s="131">
        <v>8</v>
      </c>
      <c r="BS47" s="129">
        <v>3</v>
      </c>
      <c r="BT47" s="606"/>
      <c r="BU47" s="606"/>
      <c r="BV47" s="97"/>
      <c r="BW47" s="97"/>
      <c r="BX47" s="635">
        <v>8</v>
      </c>
      <c r="BY47" s="635">
        <v>3</v>
      </c>
      <c r="BZ47" s="608"/>
      <c r="CA47" s="608"/>
      <c r="CB47" s="636"/>
      <c r="CC47" s="636"/>
      <c r="CD47" s="144">
        <v>8</v>
      </c>
      <c r="CE47" s="144">
        <v>3</v>
      </c>
      <c r="CF47" s="606"/>
      <c r="CG47" s="606"/>
      <c r="CH47" s="97"/>
      <c r="CI47" s="97"/>
      <c r="CJ47" s="634">
        <v>8</v>
      </c>
      <c r="CK47" s="634">
        <v>0</v>
      </c>
      <c r="CL47" s="606"/>
      <c r="CM47" s="606"/>
      <c r="CN47" s="132"/>
      <c r="CO47" s="132"/>
      <c r="CP47" s="634">
        <v>8</v>
      </c>
      <c r="CQ47" s="634">
        <v>3</v>
      </c>
      <c r="CR47" s="606"/>
      <c r="CS47" s="606"/>
      <c r="CT47" s="104">
        <v>8</v>
      </c>
      <c r="CU47" s="104">
        <v>3</v>
      </c>
      <c r="CV47" s="606"/>
      <c r="CW47" s="606"/>
      <c r="CX47" s="97"/>
      <c r="CY47" s="97"/>
      <c r="CZ47" s="102">
        <v>8</v>
      </c>
      <c r="DA47" s="104">
        <v>3</v>
      </c>
      <c r="DB47" s="606"/>
      <c r="DC47" s="606"/>
      <c r="DD47" s="97"/>
      <c r="DE47" s="97"/>
      <c r="DF47" s="607">
        <v>8</v>
      </c>
      <c r="DG47" s="607">
        <v>3</v>
      </c>
      <c r="DH47" s="608"/>
      <c r="DI47" s="608"/>
      <c r="DJ47" s="636"/>
      <c r="DK47" s="636"/>
      <c r="DL47" s="637">
        <v>8</v>
      </c>
      <c r="DM47" s="637">
        <v>3</v>
      </c>
      <c r="DN47" s="607"/>
      <c r="DO47" s="607"/>
      <c r="DP47" s="138"/>
      <c r="DQ47" s="138"/>
      <c r="DR47" s="138">
        <v>8</v>
      </c>
      <c r="DS47" s="138">
        <v>3</v>
      </c>
      <c r="DT47" s="621"/>
      <c r="DU47" s="621"/>
      <c r="DV47" s="138"/>
      <c r="DW47" s="138"/>
      <c r="DX47" s="138"/>
      <c r="DY47" s="138"/>
      <c r="DZ47" s="621">
        <v>8</v>
      </c>
      <c r="EA47" s="621">
        <v>3</v>
      </c>
      <c r="EB47" s="138"/>
      <c r="EC47" s="138"/>
      <c r="ED47" s="138"/>
      <c r="EE47" s="138"/>
      <c r="EF47" s="621">
        <v>8</v>
      </c>
      <c r="EG47" s="621">
        <v>3</v>
      </c>
      <c r="EH47" s="138"/>
      <c r="EI47" s="138"/>
      <c r="EJ47" s="138"/>
      <c r="EK47" s="138"/>
      <c r="EL47" s="621">
        <v>8</v>
      </c>
      <c r="EM47" s="621">
        <v>3</v>
      </c>
      <c r="EN47" s="138"/>
      <c r="EO47" s="138"/>
      <c r="EP47" s="138"/>
      <c r="EQ47" s="138"/>
      <c r="ER47" s="621">
        <v>8</v>
      </c>
      <c r="ES47" s="621">
        <v>3</v>
      </c>
      <c r="ET47" s="138"/>
      <c r="EU47" s="138"/>
      <c r="EV47" s="138"/>
      <c r="EW47" s="138"/>
      <c r="EX47" s="621">
        <v>8</v>
      </c>
      <c r="EY47" s="621">
        <v>3</v>
      </c>
      <c r="EZ47" s="138"/>
      <c r="FA47" s="138"/>
      <c r="FB47" s="123"/>
      <c r="FC47" s="123"/>
      <c r="FD47" s="123">
        <v>8</v>
      </c>
      <c r="FE47" s="123">
        <v>3</v>
      </c>
      <c r="FF47" s="138"/>
      <c r="FG47" s="138"/>
      <c r="FH47" s="138" t="s">
        <v>533</v>
      </c>
      <c r="FI47" s="138"/>
      <c r="FJ47" s="621"/>
      <c r="FK47" s="621"/>
      <c r="FL47" s="138"/>
      <c r="FM47" s="138"/>
      <c r="FN47" s="138"/>
      <c r="FO47" s="138"/>
      <c r="FP47" s="621">
        <v>8</v>
      </c>
      <c r="FQ47" s="621">
        <v>3</v>
      </c>
      <c r="FR47" s="138"/>
      <c r="FS47" s="138"/>
      <c r="FT47" s="138"/>
      <c r="FU47" s="138"/>
      <c r="FV47" s="621">
        <v>8</v>
      </c>
      <c r="FW47" s="621">
        <v>3</v>
      </c>
      <c r="FX47" s="99"/>
      <c r="FY47" s="99"/>
      <c r="FZ47" s="102"/>
      <c r="GA47" s="102"/>
      <c r="GB47" s="613"/>
      <c r="GC47" s="613"/>
      <c r="GD47" s="74"/>
      <c r="GE47" s="124"/>
      <c r="GF47" s="125">
        <f>SUM(COUNTIFS(N47:GE47,"&gt;0",$N$9:$GE$9,"GC"),COUNTIFS(N47:GE47,"&gt;0",$N$9:$GE$9,"GC1"),COUNTIFS(N47:GE47,"&gt;0",$N$9:$GE$9,"GC2"))</f>
        <v>20</v>
      </c>
      <c r="GG47" s="126">
        <f>SUMIF($N$9:$GE$9,"GC",$N47:$GE47)</f>
        <v>102</v>
      </c>
      <c r="GH47" s="126">
        <f>SUMIF($N$9:$GE$9,"GC1",$N47:$GE47)</f>
        <v>56</v>
      </c>
      <c r="GI47" s="126">
        <f>SUMIF($N$9:$GE$9,"GC2",$N47:$GE47)</f>
        <v>0</v>
      </c>
      <c r="GJ47" s="126">
        <f>SUMIF($N$9:$GE$9,"TC",$N47:$GE47)</f>
        <v>33</v>
      </c>
      <c r="GK47" s="126">
        <f>SUMIF($N$9:$GE$9,"TC1",$N47:$GE47)</f>
        <v>21</v>
      </c>
      <c r="GL47" s="126">
        <f>SUMIF($N$9:$GE$9,"TC2",$N47:$GE47)</f>
        <v>0</v>
      </c>
      <c r="GM47" s="126">
        <f>SUMIF($N$9:$GE$9,"WK-D",$N47:$GE47)+SUMIF($N$9:$GE$9,"WK-TC",$N47:$GE47)</f>
        <v>55</v>
      </c>
      <c r="GN47" s="126">
        <f>SUMIF($N$9:$GE$9,"WK-D1",$N47:$GE47)+SUMIF($N$9:$GE$9,"WK-TC1",$N47:$GE47)</f>
        <v>11</v>
      </c>
      <c r="GO47" s="126">
        <f>SUMIF($N$9:$GE$9,"WK-D2",$N47:$GE47)+SUMIF($N$9:$GE$9,"WK-TC2",$N47:$GE47)</f>
        <v>0</v>
      </c>
      <c r="GP47" s="126">
        <f>SUMIF($N$9:$GE$9,"HOD",$N47:$GE47)</f>
        <v>0</v>
      </c>
      <c r="GQ47" s="126">
        <f>SUMIF($N$9:$GE$9,"HOD1",$N47:$GE47)</f>
        <v>0</v>
      </c>
      <c r="GR47" s="126">
        <f>SUMIF($N$9:$GE$9,"HOD2",$N47:$GE47)</f>
        <v>0</v>
      </c>
      <c r="GS47" s="162">
        <f t="shared" si="38"/>
        <v>8775500</v>
      </c>
      <c r="GT47" s="97" t="str">
        <f>IF(SUM(COUNTIFS(N47:GC47,"&gt;0",$N$9:$GC$9,"GC"),COUNTIFS(N47:GC47,"&gt;0",$N$9:$GC$9,"GC1"),COUNTIFS(N47:GC47,"&gt;0",$N$9:$GC$9,"GC2"),COUNTIFS(N47:GC47,"&gt;0",$N$9:$GC$9,"WK-D"),COUNTIFS(N47:GC47,"&gt;0",$N$9:$GC$9,"WK-D1"),COUNTIFS(N47:GC47,"&gt;0",$N$9:$GC$9,"WK-D2"))&gt;3,"Đ","K")</f>
        <v>Đ</v>
      </c>
      <c r="GU47" s="97">
        <f t="shared" si="39"/>
        <v>8775500</v>
      </c>
      <c r="GV47" s="97">
        <f>SUM(COUNTIFS(N47:GC47,"&gt;2",$N$9:$GC$9,"GC"),COUNTIFS(N47:GC47,"&gt;2",$N$9:$GC$9,"GC1"),COUNTIFS(N47:GC47,"&gt;2",$N$9:$GC$9,"GC2"))</f>
        <v>20</v>
      </c>
      <c r="GW47" s="162">
        <f t="shared" si="32"/>
        <v>0</v>
      </c>
      <c r="GX47" s="162">
        <f>SUM(COUNTIFS(N47:GC47,"&gt;2",$N$9:$GC$9,"GC"),COUNTIFS(N47:GC47,"&gt;2",$N$9:$GC$9,"GC1"),COUNTIFS(N47:GC47,"&gt;2",$N$9:$GC$9,"GC2"),COUNTIFS(N47:GC47,"&gt;2",$N$9:$GC$9,"WK-D"),COUNTIFS(N47:GC47,"&gt;2",$N$9:$GC$9,"WK-D1"),COUNTIFS(N47:GC47,"&gt;2",$N$9:$GC$9,"WK-D2"))*$GX$10</f>
        <v>268965.5172413793</v>
      </c>
      <c r="GY47" s="162">
        <f t="shared" si="33"/>
        <v>208695.65217391303</v>
      </c>
      <c r="GZ47" s="162">
        <f>COUNTIF($N47:$GC47,"CP")</f>
        <v>1</v>
      </c>
      <c r="HA47" s="162">
        <f>COUNTIF($N47:$GC47,"KP")</f>
        <v>0</v>
      </c>
      <c r="HB47" s="162">
        <f>COUNTIF($N47:$GC47,"ĐP")</f>
        <v>0</v>
      </c>
      <c r="HC47" s="162">
        <f>COUNTIF($N47:$GC47,"ĐD")</f>
        <v>0</v>
      </c>
      <c r="HD47" s="162">
        <f>COUNTIF($N47:$GC47,"TPL")</f>
        <v>0</v>
      </c>
      <c r="HE47" s="162">
        <f>COUNTIF($N47:$GC47,"ĐPL")</f>
        <v>0</v>
      </c>
      <c r="HF47" s="162">
        <f t="shared" si="40"/>
        <v>0</v>
      </c>
      <c r="HG47" s="156" t="str">
        <f>VLOOKUP(B47,'data nguồn'!B:N,13,0)</f>
        <v>1016763766</v>
      </c>
      <c r="HH47" s="159" t="str">
        <f>VLOOKUP(B47,'data nguồn'!B:P,15,0)</f>
        <v>Trịnh Thị Phương</v>
      </c>
      <c r="HI47" s="163" t="str">
        <f>VLOOKUP(B47,'data nguồn'!B:P,14,0)</f>
        <v>VCB Hải Phòng</v>
      </c>
    </row>
    <row r="48" spans="1:217" s="95" customFormat="1" ht="16.5" customHeight="1">
      <c r="A48" s="73">
        <v>38</v>
      </c>
      <c r="B48" s="140" t="s">
        <v>841</v>
      </c>
      <c r="C48" s="856" t="s">
        <v>842</v>
      </c>
      <c r="D48" s="140" t="s">
        <v>843</v>
      </c>
      <c r="E48" s="140" t="s">
        <v>844</v>
      </c>
      <c r="F48" s="618" t="s">
        <v>845</v>
      </c>
      <c r="G48" s="618"/>
      <c r="H48" s="641">
        <v>200903</v>
      </c>
      <c r="I48" s="641" t="s">
        <v>846</v>
      </c>
      <c r="J48" s="642" t="s">
        <v>124</v>
      </c>
      <c r="K48" s="97"/>
      <c r="L48" s="97"/>
      <c r="M48" s="97"/>
      <c r="N48" s="132"/>
      <c r="O48" s="132"/>
      <c r="P48" s="639"/>
      <c r="Q48" s="639"/>
      <c r="R48" s="132"/>
      <c r="S48" s="132"/>
      <c r="T48" s="615"/>
      <c r="U48" s="615"/>
      <c r="V48" s="603">
        <v>8</v>
      </c>
      <c r="W48" s="603">
        <v>5</v>
      </c>
      <c r="X48" s="630"/>
      <c r="Y48" s="639"/>
      <c r="Z48" s="102"/>
      <c r="AA48" s="603"/>
      <c r="AB48" s="630"/>
      <c r="AC48" s="630"/>
      <c r="AD48" s="640"/>
      <c r="AE48" s="99"/>
      <c r="AF48" s="127"/>
      <c r="AG48" s="127"/>
      <c r="AH48" s="99"/>
      <c r="AI48" s="99"/>
      <c r="AJ48" s="105"/>
      <c r="AK48" s="105"/>
      <c r="AL48" s="127"/>
      <c r="AM48" s="127"/>
      <c r="AN48" s="636"/>
      <c r="AO48" s="636"/>
      <c r="AP48" s="104"/>
      <c r="AQ48" s="104"/>
      <c r="AR48" s="606"/>
      <c r="AS48" s="606"/>
      <c r="AT48" s="97"/>
      <c r="AU48" s="97"/>
      <c r="AV48" s="97"/>
      <c r="AW48" s="97"/>
      <c r="AX48" s="606"/>
      <c r="AY48" s="606"/>
      <c r="AZ48" s="97"/>
      <c r="BA48" s="97"/>
      <c r="BB48" s="132"/>
      <c r="BC48" s="132"/>
      <c r="BD48" s="606"/>
      <c r="BE48" s="606"/>
      <c r="BF48" s="104"/>
      <c r="BG48" s="104"/>
      <c r="BH48" s="606"/>
      <c r="BI48" s="606"/>
      <c r="BJ48" s="97"/>
      <c r="BK48" s="97"/>
      <c r="BL48" s="104"/>
      <c r="BM48" s="104"/>
      <c r="BN48" s="606"/>
      <c r="BO48" s="606"/>
      <c r="BP48" s="97"/>
      <c r="BQ48" s="97"/>
      <c r="BR48" s="131"/>
      <c r="BS48" s="129"/>
      <c r="BT48" s="606"/>
      <c r="BU48" s="606"/>
      <c r="BV48" s="97"/>
      <c r="BW48" s="97"/>
      <c r="BX48" s="635"/>
      <c r="BY48" s="635"/>
      <c r="BZ48" s="608"/>
      <c r="CA48" s="608"/>
      <c r="CB48" s="636"/>
      <c r="CC48" s="636"/>
      <c r="CD48" s="144"/>
      <c r="CE48" s="144"/>
      <c r="CF48" s="606"/>
      <c r="CG48" s="606"/>
      <c r="CH48" s="97"/>
      <c r="CI48" s="97"/>
      <c r="CJ48" s="634"/>
      <c r="CK48" s="634"/>
      <c r="CL48" s="606"/>
      <c r="CM48" s="606"/>
      <c r="CN48" s="132"/>
      <c r="CO48" s="132"/>
      <c r="CP48" s="634"/>
      <c r="CQ48" s="634"/>
      <c r="CR48" s="606"/>
      <c r="CS48" s="606"/>
      <c r="CT48" s="104"/>
      <c r="CU48" s="104"/>
      <c r="CV48" s="606"/>
      <c r="CW48" s="606"/>
      <c r="CX48" s="97"/>
      <c r="CY48" s="97"/>
      <c r="CZ48" s="102"/>
      <c r="DA48" s="104"/>
      <c r="DB48" s="606"/>
      <c r="DC48" s="606"/>
      <c r="DD48" s="97"/>
      <c r="DE48" s="97"/>
      <c r="DF48" s="607"/>
      <c r="DG48" s="607"/>
      <c r="DH48" s="608"/>
      <c r="DI48" s="608"/>
      <c r="DJ48" s="636"/>
      <c r="DK48" s="636"/>
      <c r="DL48" s="637"/>
      <c r="DM48" s="637"/>
      <c r="DN48" s="608"/>
      <c r="DO48" s="608"/>
      <c r="DP48" s="636"/>
      <c r="DQ48" s="636"/>
      <c r="DR48" s="104"/>
      <c r="DS48" s="104"/>
      <c r="DT48" s="621"/>
      <c r="DU48" s="621"/>
      <c r="DV48" s="97"/>
      <c r="DW48" s="97"/>
      <c r="DX48" s="104"/>
      <c r="DY48" s="104"/>
      <c r="DZ48" s="606"/>
      <c r="EA48" s="606"/>
      <c r="EB48" s="97"/>
      <c r="EC48" s="97"/>
      <c r="ED48" s="643"/>
      <c r="EE48" s="643"/>
      <c r="EF48" s="606"/>
      <c r="EG48" s="606"/>
      <c r="EH48" s="99"/>
      <c r="EI48" s="99"/>
      <c r="EJ48" s="104"/>
      <c r="EK48" s="104"/>
      <c r="EL48" s="606"/>
      <c r="EM48" s="606"/>
      <c r="EN48" s="97"/>
      <c r="EO48" s="97"/>
      <c r="EP48" s="102"/>
      <c r="EQ48" s="102"/>
      <c r="ER48" s="606"/>
      <c r="ES48" s="606"/>
      <c r="ET48" s="97"/>
      <c r="EU48" s="97"/>
      <c r="EV48" s="102"/>
      <c r="EW48" s="102"/>
      <c r="EX48" s="606"/>
      <c r="EY48" s="606"/>
      <c r="EZ48" s="97"/>
      <c r="FA48" s="97"/>
      <c r="FB48" s="106"/>
      <c r="FC48" s="106"/>
      <c r="FD48" s="106"/>
      <c r="FE48" s="106"/>
      <c r="FF48" s="636"/>
      <c r="FG48" s="636"/>
      <c r="FH48" s="102"/>
      <c r="FI48" s="102"/>
      <c r="FJ48" s="621"/>
      <c r="FK48" s="621"/>
      <c r="FL48" s="97"/>
      <c r="FM48" s="97"/>
      <c r="FN48" s="142"/>
      <c r="FO48" s="142"/>
      <c r="FP48" s="621"/>
      <c r="FQ48" s="621"/>
      <c r="FR48" s="99"/>
      <c r="FS48" s="99"/>
      <c r="FT48" s="131"/>
      <c r="FU48" s="131"/>
      <c r="FV48" s="621"/>
      <c r="FW48" s="621"/>
      <c r="FX48" s="99"/>
      <c r="FY48" s="99"/>
      <c r="FZ48" s="102"/>
      <c r="GA48" s="102"/>
      <c r="GB48" s="613"/>
      <c r="GC48" s="613"/>
      <c r="GD48" s="74"/>
      <c r="GE48" s="124"/>
      <c r="GF48" s="125">
        <f>SUM(COUNTIFS(N48:GE48,"&gt;0",$N$9:$GE$9,"GC"),COUNTIFS(N48:GE48,"&gt;0",$N$9:$GE$9,"GC1"),COUNTIFS(N48:GE48,"&gt;0",$N$9:$GE$9,"GC2"))</f>
        <v>1</v>
      </c>
      <c r="GG48" s="126">
        <f>SUMIF($N$9:$GE$9,"GC",$N48:$GE48)</f>
        <v>8</v>
      </c>
      <c r="GH48" s="126">
        <f>SUMIF($N$9:$GE$9,"GC1",$N48:$GE48)</f>
        <v>0</v>
      </c>
      <c r="GI48" s="126">
        <f>SUMIF($N$9:$GE$9,"GC2",$N48:$GE48)</f>
        <v>0</v>
      </c>
      <c r="GJ48" s="126">
        <f>SUMIF($N$9:$GE$9,"TC",$N48:$GE48)</f>
        <v>5</v>
      </c>
      <c r="GK48" s="126">
        <f>SUMIF($N$9:$GE$9,"TC1",$N48:$GE48)</f>
        <v>0</v>
      </c>
      <c r="GL48" s="126">
        <f>SUMIF($N$9:$GE$9,"TC2",$N48:$GE48)</f>
        <v>0</v>
      </c>
      <c r="GM48" s="126">
        <f>SUMIF($N$9:$GE$9,"WK-D",$N48:$GE48)+SUMIF($N$9:$GE$9,"WK-TC",$N48:$GE48)</f>
        <v>0</v>
      </c>
      <c r="GN48" s="126">
        <f>SUMIF($N$9:$GE$9,"WK-D1",$N48:$GE48)+SUMIF($N$9:$GE$9,"WK-TC1",$N48:$GE48)</f>
        <v>0</v>
      </c>
      <c r="GO48" s="126">
        <f>SUMIF($N$9:$GE$9,"WK-D2",$N48:$GE48)+SUMIF($N$9:$GE$9,"WK-TC2",$N48:$GE48)</f>
        <v>0</v>
      </c>
      <c r="GP48" s="126">
        <f>SUMIF($N$9:$GE$9,"HOD",$N48:$GE48)</f>
        <v>0</v>
      </c>
      <c r="GQ48" s="126">
        <f>SUMIF($N$9:$GE$9,"HOD1",$N48:$GE48)</f>
        <v>0</v>
      </c>
      <c r="GR48" s="126">
        <f>SUMIF($N$9:$GE$9,"HOD2",$N48:$GE48)</f>
        <v>0</v>
      </c>
      <c r="GS48" s="162">
        <v>314000</v>
      </c>
      <c r="GT48" s="97" t="s">
        <v>639</v>
      </c>
      <c r="GU48" s="162">
        <f t="shared" si="39"/>
        <v>314000</v>
      </c>
      <c r="GV48" s="97">
        <f>SUM(COUNTIFS(N48:GC48,"&gt;2",$N$9:$GC$9,"GC"),COUNTIFS(N48:GC48,"&gt;2",$N$9:$GC$9,"GC1"),COUNTIFS(N48:GC48,"&gt;2",$N$9:$GC$9,"GC2"))</f>
        <v>1</v>
      </c>
      <c r="GW48" s="162">
        <f t="shared" si="32"/>
        <v>0</v>
      </c>
      <c r="GX48" s="162">
        <v>0</v>
      </c>
      <c r="GY48" s="162">
        <f t="shared" si="33"/>
        <v>0</v>
      </c>
      <c r="GZ48" s="162">
        <f>COUNTIF($N48:$GC48,"CP")</f>
        <v>0</v>
      </c>
      <c r="HA48" s="162">
        <f>COUNTIF($N48:$GC48,"KP")</f>
        <v>0</v>
      </c>
      <c r="HB48" s="162">
        <f>COUNTIF($N48:$GC48,"ĐP")</f>
        <v>0</v>
      </c>
      <c r="HC48" s="162">
        <f>COUNTIF($N48:$GC48,"ĐD")</f>
        <v>0</v>
      </c>
      <c r="HD48" s="162">
        <f>COUNTIF($N48:$GC48,"TPL")</f>
        <v>0</v>
      </c>
      <c r="HE48" s="162">
        <f>COUNTIF($N48:$GC48,"ĐPL")</f>
        <v>0</v>
      </c>
      <c r="HF48" s="162">
        <f t="shared" si="40"/>
        <v>0</v>
      </c>
      <c r="HG48" s="156" t="e">
        <f>VLOOKUP(B48,'data nguồn'!B:N,13,0)</f>
        <v>#N/A</v>
      </c>
      <c r="HH48" s="159" t="e">
        <f>VLOOKUP(B48,'data nguồn'!B:P,15,0)</f>
        <v>#N/A</v>
      </c>
      <c r="HI48" s="163" t="e">
        <f>VLOOKUP(B48,'data nguồn'!B:P,14,0)</f>
        <v>#N/A</v>
      </c>
    </row>
    <row r="49" spans="1:220" s="95" customFormat="1" ht="16.5" customHeight="1">
      <c r="A49" s="73">
        <v>39</v>
      </c>
      <c r="B49" s="140" t="s">
        <v>847</v>
      </c>
      <c r="C49" s="858" t="s">
        <v>848</v>
      </c>
      <c r="D49" s="140" t="s">
        <v>849</v>
      </c>
      <c r="E49" s="140" t="s">
        <v>140</v>
      </c>
      <c r="F49" s="618" t="s">
        <v>850</v>
      </c>
      <c r="G49" s="618"/>
      <c r="H49" s="641">
        <v>200910</v>
      </c>
      <c r="I49" s="641" t="s">
        <v>127</v>
      </c>
      <c r="J49" s="642" t="s">
        <v>124</v>
      </c>
      <c r="K49" s="97"/>
      <c r="L49" s="97"/>
      <c r="M49" s="638">
        <v>44092</v>
      </c>
      <c r="N49" s="132"/>
      <c r="O49" s="132"/>
      <c r="P49" s="639"/>
      <c r="Q49" s="639"/>
      <c r="R49" s="132"/>
      <c r="S49" s="132"/>
      <c r="T49" s="615"/>
      <c r="U49" s="615"/>
      <c r="V49" s="603"/>
      <c r="W49" s="603"/>
      <c r="X49" s="630"/>
      <c r="Y49" s="639"/>
      <c r="Z49" s="102"/>
      <c r="AA49" s="603"/>
      <c r="AB49" s="630"/>
      <c r="AC49" s="630"/>
      <c r="AD49" s="640"/>
      <c r="AE49" s="99"/>
      <c r="AF49" s="127"/>
      <c r="AG49" s="127"/>
      <c r="AH49" s="99"/>
      <c r="AI49" s="99"/>
      <c r="AJ49" s="105"/>
      <c r="AK49" s="105"/>
      <c r="AL49" s="127"/>
      <c r="AM49" s="127"/>
      <c r="AN49" s="636"/>
      <c r="AO49" s="636"/>
      <c r="AP49" s="104"/>
      <c r="AQ49" s="104"/>
      <c r="AR49" s="606"/>
      <c r="AS49" s="606"/>
      <c r="AT49" s="97"/>
      <c r="AU49" s="97"/>
      <c r="AV49" s="97"/>
      <c r="AW49" s="97"/>
      <c r="AX49" s="606"/>
      <c r="AY49" s="606"/>
      <c r="AZ49" s="97"/>
      <c r="BA49" s="97"/>
      <c r="BB49" s="132"/>
      <c r="BC49" s="132"/>
      <c r="BD49" s="606"/>
      <c r="BE49" s="606"/>
      <c r="BF49" s="104">
        <v>0</v>
      </c>
      <c r="BG49" s="104">
        <v>3</v>
      </c>
      <c r="BH49" s="606"/>
      <c r="BI49" s="606"/>
      <c r="BJ49" s="97"/>
      <c r="BK49" s="97"/>
      <c r="BL49" s="104">
        <v>8</v>
      </c>
      <c r="BM49" s="104">
        <v>3</v>
      </c>
      <c r="BN49" s="606"/>
      <c r="BO49" s="606"/>
      <c r="BP49" s="97"/>
      <c r="BQ49" s="97"/>
      <c r="BR49" s="131">
        <v>8</v>
      </c>
      <c r="BS49" s="129">
        <v>3</v>
      </c>
      <c r="BT49" s="606"/>
      <c r="BU49" s="606"/>
      <c r="BV49" s="97"/>
      <c r="BW49" s="97"/>
      <c r="BX49" s="635">
        <v>8</v>
      </c>
      <c r="BY49" s="635">
        <v>0</v>
      </c>
      <c r="BZ49" s="608"/>
      <c r="CA49" s="608"/>
      <c r="CB49" s="636"/>
      <c r="CC49" s="636"/>
      <c r="CD49" s="144">
        <v>8</v>
      </c>
      <c r="CE49" s="144">
        <v>3</v>
      </c>
      <c r="CF49" s="606"/>
      <c r="CG49" s="606"/>
      <c r="CH49" s="97"/>
      <c r="CI49" s="97"/>
      <c r="CJ49" s="634">
        <v>8</v>
      </c>
      <c r="CK49" s="634">
        <v>5</v>
      </c>
      <c r="CL49" s="606"/>
      <c r="CM49" s="606"/>
      <c r="CN49" s="132"/>
      <c r="CO49" s="132"/>
      <c r="CP49" s="634">
        <v>2</v>
      </c>
      <c r="CQ49" s="634">
        <v>0</v>
      </c>
      <c r="CR49" s="606"/>
      <c r="CS49" s="606"/>
      <c r="CT49" s="104">
        <v>8</v>
      </c>
      <c r="CU49" s="104">
        <v>5</v>
      </c>
      <c r="CV49" s="606"/>
      <c r="CW49" s="606"/>
      <c r="CX49" s="97"/>
      <c r="CY49" s="97"/>
      <c r="CZ49" s="102" t="s">
        <v>827</v>
      </c>
      <c r="DA49" s="104" t="str">
        <f>F58</f>
        <v>Đỗ Thanh Sơn</v>
      </c>
      <c r="DB49" s="606"/>
      <c r="DC49" s="606"/>
      <c r="DD49" s="97"/>
      <c r="DE49" s="97"/>
      <c r="DF49" s="607"/>
      <c r="DG49" s="607"/>
      <c r="DH49" s="608"/>
      <c r="DI49" s="608"/>
      <c r="DJ49" s="636"/>
      <c r="DK49" s="636"/>
      <c r="DL49" s="637"/>
      <c r="DM49" s="637"/>
      <c r="DN49" s="608"/>
      <c r="DO49" s="608"/>
      <c r="DP49" s="636"/>
      <c r="DQ49" s="636"/>
      <c r="DR49" s="104"/>
      <c r="DS49" s="104"/>
      <c r="DT49" s="621"/>
      <c r="DU49" s="621"/>
      <c r="DV49" s="97"/>
      <c r="DW49" s="97"/>
      <c r="DX49" s="104"/>
      <c r="DY49" s="104"/>
      <c r="DZ49" s="606"/>
      <c r="EA49" s="606"/>
      <c r="EB49" s="97"/>
      <c r="EC49" s="97"/>
      <c r="ED49" s="643"/>
      <c r="EE49" s="643"/>
      <c r="EF49" s="606"/>
      <c r="EG49" s="606"/>
      <c r="EH49" s="99"/>
      <c r="EI49" s="99"/>
      <c r="EJ49" s="104"/>
      <c r="EK49" s="104"/>
      <c r="EL49" s="606"/>
      <c r="EM49" s="606"/>
      <c r="EN49" s="97"/>
      <c r="EO49" s="97"/>
      <c r="EP49" s="102"/>
      <c r="EQ49" s="102"/>
      <c r="ER49" s="606"/>
      <c r="ES49" s="606"/>
      <c r="ET49" s="97"/>
      <c r="EU49" s="97"/>
      <c r="EV49" s="102"/>
      <c r="EW49" s="102"/>
      <c r="EX49" s="606"/>
      <c r="EY49" s="606"/>
      <c r="EZ49" s="97"/>
      <c r="FA49" s="97"/>
      <c r="FB49" s="644"/>
      <c r="FC49" s="644"/>
      <c r="FD49" s="644"/>
      <c r="FE49" s="644"/>
      <c r="FF49" s="636"/>
      <c r="FG49" s="636"/>
      <c r="FH49" s="102"/>
      <c r="FI49" s="102"/>
      <c r="FJ49" s="621"/>
      <c r="FK49" s="621"/>
      <c r="FL49" s="97"/>
      <c r="FM49" s="97"/>
      <c r="FN49" s="142"/>
      <c r="FO49" s="142"/>
      <c r="FP49" s="621"/>
      <c r="FQ49" s="621"/>
      <c r="FR49" s="99"/>
      <c r="FS49" s="99"/>
      <c r="FT49" s="131"/>
      <c r="FU49" s="131"/>
      <c r="FV49" s="621"/>
      <c r="FW49" s="621"/>
      <c r="FX49" s="99"/>
      <c r="FY49" s="99"/>
      <c r="FZ49" s="102"/>
      <c r="GA49" s="102"/>
      <c r="GB49" s="613"/>
      <c r="GC49" s="613"/>
      <c r="GD49" s="74"/>
      <c r="GE49" s="124"/>
      <c r="GF49" s="125">
        <f>SUM(COUNTIFS(N49:GE49,"&gt;0",$N$9:$GE$9,"GC"),COUNTIFS(N49:GE49,"&gt;0",$N$9:$GE$9,"GC1"),COUNTIFS(N49:GE49,"&gt;0",$N$9:$GE$9,"GC2"))</f>
        <v>6</v>
      </c>
      <c r="GG49" s="126">
        <f>SUMIF($N$9:$GE$9,"GC",$N49:$GE49)</f>
        <v>42</v>
      </c>
      <c r="GH49" s="126">
        <f>SUMIF($N$9:$GE$9,"GC1",$N49:$GE49)</f>
        <v>0</v>
      </c>
      <c r="GI49" s="126">
        <f>SUMIF($N$9:$GE$9,"GC2",$N49:$GE49)</f>
        <v>0</v>
      </c>
      <c r="GJ49" s="126">
        <f>SUMIF($N$9:$GE$9,"TC",$N49:$GE49)</f>
        <v>22</v>
      </c>
      <c r="GK49" s="126">
        <f>SUMIF($N$9:$GE$9,"TC1",$N49:$GE49)</f>
        <v>0</v>
      </c>
      <c r="GL49" s="126">
        <f>SUMIF($N$9:$GE$9,"TC2",$N49:$GE49)</f>
        <v>0</v>
      </c>
      <c r="GM49" s="126">
        <f>SUMIF($N$9:$GE$9,"WK-D",$N49:$GE49)+SUMIF($N$9:$GE$9,"WK-TC",$N49:$GE49)</f>
        <v>8</v>
      </c>
      <c r="GN49" s="126">
        <f>SUMIF($N$9:$GE$9,"WK-D1",$N49:$GE49)+SUMIF($N$9:$GE$9,"WK-TC1",$N49:$GE49)</f>
        <v>0</v>
      </c>
      <c r="GO49" s="126">
        <f>SUMIF($N$9:$GE$9,"WK-D2",$N49:$GE49)+SUMIF($N$9:$GE$9,"WK-TC2",$N49:$GE49)</f>
        <v>0</v>
      </c>
      <c r="GP49" s="126">
        <f>SUMIF($N$9:$GE$9,"HOD",$N49:$GE49)</f>
        <v>0</v>
      </c>
      <c r="GQ49" s="126">
        <f>SUMIF($N$9:$GE$9,"HOD1",$N49:$GE49)</f>
        <v>0</v>
      </c>
      <c r="GR49" s="126">
        <f>SUMIF($N$9:$GE$9,"HOD2",$N49:$GE49)</f>
        <v>0</v>
      </c>
      <c r="GS49" s="162">
        <f t="shared" si="38"/>
        <v>2057000</v>
      </c>
      <c r="GT49" s="97" t="str">
        <f>IF(SUM(COUNTIFS(N49:GC49,"&gt;0",$N$9:$GC$9,"GC"),COUNTIFS(N49:GC49,"&gt;0",$N$9:$GC$9,"GC1"),COUNTIFS(N49:GC49,"&gt;0",$N$9:$GC$9,"GC2"),COUNTIFS(N49:GC49,"&gt;0",$N$9:$GC$9,"WK-D"),COUNTIFS(N49:GC49,"&gt;0",$N$9:$GC$9,"WK-D1"),COUNTIFS(N49:GC49,"&gt;0",$N$9:$GC$9,"WK-D2"))&gt;3,"Đ","K")</f>
        <v>Đ</v>
      </c>
      <c r="GU49" s="97">
        <f t="shared" si="39"/>
        <v>2057000</v>
      </c>
      <c r="GV49" s="97">
        <f>SUM(COUNTIFS(N49:GC49,"&gt;2",$N$9:$GC$9,"GC"),COUNTIFS(N49:GC49,"&gt;2",$N$9:$GC$9,"GC1"),COUNTIFS(N49:GC49,"&gt;2",$N$9:$GC$9,"GC2"))</f>
        <v>5</v>
      </c>
      <c r="GW49" s="162">
        <f t="shared" si="32"/>
        <v>0</v>
      </c>
      <c r="GX49" s="162">
        <f>SUM(COUNTIFS(N49:GC49,"&gt;2",$N$9:$GC$9,"GC"),COUNTIFS(N49:GC49,"&gt;2",$N$9:$GC$9,"GC1"),COUNTIFS(N49:GC49,"&gt;2",$N$9:$GC$9,"GC2"),COUNTIFS(N49:GC49,"&gt;2",$N$9:$GC$9,"WK-D"),COUNTIFS(N49:GC49,"&gt;2",$N$9:$GC$9,"WK-D1"),COUNTIFS(N49:GC49,"&gt;2",$N$9:$GC$9,"WK-D2"))*$GX$10</f>
        <v>62068.965517241377</v>
      </c>
      <c r="GY49" s="162">
        <f t="shared" si="33"/>
        <v>52173.913043478256</v>
      </c>
      <c r="GZ49" s="162">
        <f>COUNTIF($N49:$GC49,"CP")</f>
        <v>0</v>
      </c>
      <c r="HA49" s="162">
        <f>COUNTIF($N49:$GC49,"KP")</f>
        <v>0</v>
      </c>
      <c r="HB49" s="162">
        <f>COUNTIF($N49:$GC49,"ĐP")</f>
        <v>0</v>
      </c>
      <c r="HC49" s="162">
        <f>COUNTIF($N49:$GC49,"ĐD")</f>
        <v>0</v>
      </c>
      <c r="HD49" s="162">
        <f>COUNTIF($N49:$GC49,"TPL")</f>
        <v>0</v>
      </c>
      <c r="HE49" s="162">
        <f>COUNTIF($N49:$GC49,"ĐPL")</f>
        <v>0</v>
      </c>
      <c r="HF49" s="162">
        <f t="shared" si="40"/>
        <v>0</v>
      </c>
      <c r="HG49" s="156" t="e">
        <f>VLOOKUP(B49,'data nguồn'!B:N,13,0)</f>
        <v>#N/A</v>
      </c>
      <c r="HH49" s="159" t="e">
        <f>VLOOKUP(B49,'data nguồn'!B:P,15,0)</f>
        <v>#N/A</v>
      </c>
      <c r="HI49" s="163" t="e">
        <f>VLOOKUP(B49,'data nguồn'!B:P,14,0)</f>
        <v>#N/A</v>
      </c>
    </row>
    <row r="50" spans="1:220" s="95" customFormat="1" ht="16.5" customHeight="1">
      <c r="A50" s="73">
        <v>40</v>
      </c>
      <c r="B50" s="121" t="s">
        <v>851</v>
      </c>
      <c r="C50" s="859" t="s">
        <v>852</v>
      </c>
      <c r="D50" s="646">
        <v>43559</v>
      </c>
      <c r="E50" s="121" t="s">
        <v>131</v>
      </c>
      <c r="F50" s="164" t="s">
        <v>853</v>
      </c>
      <c r="G50" s="164"/>
      <c r="H50" s="641">
        <v>200910</v>
      </c>
      <c r="I50" s="641" t="s">
        <v>0</v>
      </c>
      <c r="J50" s="642" t="s">
        <v>124</v>
      </c>
      <c r="K50" s="97"/>
      <c r="L50" s="97"/>
      <c r="M50" s="638"/>
      <c r="N50" s="132"/>
      <c r="O50" s="132"/>
      <c r="P50" s="639"/>
      <c r="Q50" s="639"/>
      <c r="R50" s="132"/>
      <c r="S50" s="132"/>
      <c r="T50" s="615"/>
      <c r="U50" s="615"/>
      <c r="V50" s="603"/>
      <c r="W50" s="603"/>
      <c r="X50" s="630"/>
      <c r="Y50" s="639"/>
      <c r="Z50" s="102"/>
      <c r="AA50" s="603"/>
      <c r="AB50" s="630"/>
      <c r="AC50" s="630"/>
      <c r="AD50" s="640"/>
      <c r="AE50" s="99"/>
      <c r="AF50" s="127"/>
      <c r="AG50" s="127"/>
      <c r="AH50" s="99"/>
      <c r="AI50" s="99"/>
      <c r="AJ50" s="105"/>
      <c r="AK50" s="105"/>
      <c r="AL50" s="127"/>
      <c r="AM50" s="127"/>
      <c r="AN50" s="636"/>
      <c r="AO50" s="636"/>
      <c r="AP50" s="104"/>
      <c r="AQ50" s="104"/>
      <c r="AR50" s="606"/>
      <c r="AS50" s="606"/>
      <c r="AT50" s="97"/>
      <c r="AU50" s="97"/>
      <c r="AV50" s="97"/>
      <c r="AW50" s="97"/>
      <c r="AX50" s="606"/>
      <c r="AY50" s="606"/>
      <c r="AZ50" s="97"/>
      <c r="BA50" s="97"/>
      <c r="BB50" s="132"/>
      <c r="BC50" s="132"/>
      <c r="BD50" s="606"/>
      <c r="BE50" s="606"/>
      <c r="BF50" s="104">
        <v>8</v>
      </c>
      <c r="BG50" s="104">
        <v>3</v>
      </c>
      <c r="BH50" s="606"/>
      <c r="BI50" s="606"/>
      <c r="BJ50" s="97"/>
      <c r="BK50" s="97"/>
      <c r="BL50" s="104">
        <v>8</v>
      </c>
      <c r="BM50" s="104">
        <v>3</v>
      </c>
      <c r="BN50" s="606"/>
      <c r="BO50" s="606"/>
      <c r="BP50" s="97"/>
      <c r="BQ50" s="97"/>
      <c r="BR50" s="131">
        <v>8</v>
      </c>
      <c r="BS50" s="129">
        <v>3</v>
      </c>
      <c r="BT50" s="606"/>
      <c r="BU50" s="606"/>
      <c r="BV50" s="97"/>
      <c r="BW50" s="97"/>
      <c r="BX50" s="635">
        <v>8</v>
      </c>
      <c r="BY50" s="635">
        <v>0</v>
      </c>
      <c r="BZ50" s="608"/>
      <c r="CA50" s="608"/>
      <c r="CB50" s="636"/>
      <c r="CC50" s="636"/>
      <c r="CD50" s="144">
        <v>8</v>
      </c>
      <c r="CE50" s="144">
        <v>3</v>
      </c>
      <c r="CF50" s="606"/>
      <c r="CG50" s="606"/>
      <c r="CH50" s="97"/>
      <c r="CI50" s="97"/>
      <c r="CJ50" s="634">
        <v>8</v>
      </c>
      <c r="CK50" s="634">
        <v>3</v>
      </c>
      <c r="CL50" s="606"/>
      <c r="CM50" s="606"/>
      <c r="CN50" s="132"/>
      <c r="CO50" s="132"/>
      <c r="CP50" s="634">
        <v>8</v>
      </c>
      <c r="CQ50" s="634">
        <v>3</v>
      </c>
      <c r="CR50" s="606"/>
      <c r="CS50" s="606"/>
      <c r="CT50" s="104">
        <v>8</v>
      </c>
      <c r="CU50" s="104">
        <v>3</v>
      </c>
      <c r="CV50" s="606"/>
      <c r="CW50" s="606"/>
      <c r="CX50" s="97"/>
      <c r="CY50" s="97"/>
      <c r="CZ50" s="102">
        <v>8</v>
      </c>
      <c r="DA50" s="104">
        <v>3</v>
      </c>
      <c r="DB50" s="606"/>
      <c r="DC50" s="606"/>
      <c r="DD50" s="97"/>
      <c r="DE50" s="97"/>
      <c r="DF50" s="607">
        <v>8</v>
      </c>
      <c r="DG50" s="607">
        <v>3</v>
      </c>
      <c r="DH50" s="608"/>
      <c r="DI50" s="608"/>
      <c r="DJ50" s="636"/>
      <c r="DK50" s="636"/>
      <c r="DL50" s="637"/>
      <c r="DM50" s="637"/>
      <c r="DN50" s="608"/>
      <c r="DO50" s="608"/>
      <c r="DP50" s="636"/>
      <c r="DQ50" s="636"/>
      <c r="DR50" s="104"/>
      <c r="DS50" s="104"/>
      <c r="DT50" s="621"/>
      <c r="DU50" s="621"/>
      <c r="DV50" s="97"/>
      <c r="DW50" s="97"/>
      <c r="DX50" s="104"/>
      <c r="DY50" s="104"/>
      <c r="DZ50" s="606"/>
      <c r="EA50" s="606"/>
      <c r="EB50" s="97"/>
      <c r="EC50" s="97"/>
      <c r="ED50" s="643"/>
      <c r="EE50" s="643"/>
      <c r="EF50" s="606"/>
      <c r="EG50" s="606"/>
      <c r="EH50" s="99"/>
      <c r="EI50" s="99"/>
      <c r="EJ50" s="104"/>
      <c r="EK50" s="104"/>
      <c r="EL50" s="606"/>
      <c r="EM50" s="606"/>
      <c r="EN50" s="97"/>
      <c r="EO50" s="97"/>
      <c r="EP50" s="102"/>
      <c r="EQ50" s="102"/>
      <c r="ER50" s="606"/>
      <c r="ES50" s="606"/>
      <c r="ET50" s="97"/>
      <c r="EU50" s="97"/>
      <c r="EV50" s="102"/>
      <c r="EW50" s="102"/>
      <c r="EX50" s="606"/>
      <c r="EY50" s="606"/>
      <c r="EZ50" s="97"/>
      <c r="FA50" s="97"/>
      <c r="FB50" s="644"/>
      <c r="FC50" s="644"/>
      <c r="FD50" s="644"/>
      <c r="FE50" s="644"/>
      <c r="FF50" s="636"/>
      <c r="FG50" s="636"/>
      <c r="FH50" s="102"/>
      <c r="FI50" s="102"/>
      <c r="FJ50" s="621"/>
      <c r="FK50" s="621"/>
      <c r="FL50" s="97"/>
      <c r="FM50" s="97"/>
      <c r="FN50" s="102"/>
      <c r="FO50" s="102"/>
      <c r="FP50" s="621"/>
      <c r="FQ50" s="621"/>
      <c r="FR50" s="99"/>
      <c r="FS50" s="99"/>
      <c r="FT50" s="131"/>
      <c r="FU50" s="131"/>
      <c r="FV50" s="621"/>
      <c r="FW50" s="621"/>
      <c r="FX50" s="99"/>
      <c r="FY50" s="99"/>
      <c r="FZ50" s="102"/>
      <c r="GA50" s="102"/>
      <c r="GB50" s="613"/>
      <c r="GC50" s="613"/>
      <c r="GD50" s="74"/>
      <c r="GE50" s="124"/>
      <c r="GF50" s="125">
        <f>SUM(COUNTIFS(N50:GE50,"&gt;0",$N$9:$GE$9,"GC"),COUNTIFS(N50:GE50,"&gt;0",$N$9:$GE$9,"GC1"),COUNTIFS(N50:GE50,"&gt;0",$N$9:$GE$9,"GC2"))</f>
        <v>8</v>
      </c>
      <c r="GG50" s="126">
        <f>SUMIF($N$9:$GE$9,"GC",$N50:$GE50)</f>
        <v>64</v>
      </c>
      <c r="GH50" s="126">
        <f>SUMIF($N$9:$GE$9,"GC1",$N50:$GE50)</f>
        <v>0</v>
      </c>
      <c r="GI50" s="126">
        <f>SUMIF($N$9:$GE$9,"GC2",$N50:$GE50)</f>
        <v>0</v>
      </c>
      <c r="GJ50" s="126">
        <f>SUMIF($N$9:$GE$9,"TC",$N50:$GE50)</f>
        <v>24</v>
      </c>
      <c r="GK50" s="126">
        <f>SUMIF($N$9:$GE$9,"TC1",$N50:$GE50)</f>
        <v>0</v>
      </c>
      <c r="GL50" s="126">
        <f>SUMIF($N$9:$GE$9,"TC2",$N50:$GE50)</f>
        <v>0</v>
      </c>
      <c r="GM50" s="126">
        <f>SUMIF($N$9:$GE$9,"WK-D",$N50:$GE50)+SUMIF($N$9:$GE$9,"WK-TC",$N50:$GE50)</f>
        <v>19</v>
      </c>
      <c r="GN50" s="126">
        <f>SUMIF($N$9:$GE$9,"WK-D1",$N50:$GE50)+SUMIF($N$9:$GE$9,"WK-TC1",$N50:$GE50)</f>
        <v>0</v>
      </c>
      <c r="GO50" s="126">
        <f>SUMIF($N$9:$GE$9,"WK-D2",$N50:$GE50)+SUMIF($N$9:$GE$9,"WK-TC2",$N50:$GE50)</f>
        <v>0</v>
      </c>
      <c r="GP50" s="126">
        <f>SUMIF($N$9:$GE$9,"HOD",$N50:$GE50)</f>
        <v>0</v>
      </c>
      <c r="GQ50" s="126">
        <f>SUMIF($N$9:$GE$9,"HOD1",$N50:$GE50)</f>
        <v>0</v>
      </c>
      <c r="GR50" s="126">
        <f>SUMIF($N$9:$GE$9,"HOD2",$N50:$GE50)</f>
        <v>0</v>
      </c>
      <c r="GS50" s="162">
        <v>2450000</v>
      </c>
      <c r="GT50" s="97" t="str">
        <f>IF(SUM(COUNTIFS(N50:GC50,"&gt;0",$N$9:$GC$9,"GC"),COUNTIFS(N50:GC50,"&gt;0",$N$9:$GC$9,"GC1"),COUNTIFS(N50:GC50,"&gt;0",$N$9:$GC$9,"GC2"),COUNTIFS(N50:GC50,"&gt;0",$N$9:$GC$9,"WK-D"),COUNTIFS(N50:GC50,"&gt;0",$N$9:$GC$9,"WK-D1"),COUNTIFS(N50:GC50,"&gt;0",$N$9:$GC$9,"WK-D2"))&gt;3,"Đ","K")</f>
        <v>Đ</v>
      </c>
      <c r="GU50" s="162">
        <f t="shared" si="39"/>
        <v>2450000</v>
      </c>
      <c r="GV50" s="97">
        <f>SUM(COUNTIFS(N50:GC50,"&gt;2",$N$9:$GC$9,"GC"),COUNTIFS(N50:GC50,"&gt;2",$N$9:$GC$9,"GC1"),COUNTIFS(N50:GC50,"&gt;2",$N$9:$GC$9,"GC2"))</f>
        <v>8</v>
      </c>
      <c r="GW50" s="162">
        <f t="shared" si="32"/>
        <v>0</v>
      </c>
      <c r="GX50" s="162">
        <v>0</v>
      </c>
      <c r="GY50" s="162">
        <v>0</v>
      </c>
      <c r="GZ50" s="162">
        <f>COUNTIF($N50:$GC50,"CP")</f>
        <v>0</v>
      </c>
      <c r="HA50" s="162">
        <f>COUNTIF($N50:$GC50,"KP")</f>
        <v>0</v>
      </c>
      <c r="HB50" s="162">
        <f>COUNTIF($N50:$GC50,"ĐP")</f>
        <v>0</v>
      </c>
      <c r="HC50" s="162">
        <f>COUNTIF($N50:$GC50,"ĐD")</f>
        <v>0</v>
      </c>
      <c r="HD50" s="162">
        <f>COUNTIF($N50:$GC50,"TPL")</f>
        <v>0</v>
      </c>
      <c r="HE50" s="162">
        <f>COUNTIF($N50:$GC50,"ĐPL")</f>
        <v>0</v>
      </c>
      <c r="HF50" s="162">
        <f t="shared" si="40"/>
        <v>0</v>
      </c>
      <c r="HG50" s="156" t="e">
        <f>VLOOKUP(B50,'data nguồn'!B:N,13,0)</f>
        <v>#N/A</v>
      </c>
      <c r="HH50" s="159" t="e">
        <f>VLOOKUP(B50,'data nguồn'!B:P,15,0)</f>
        <v>#N/A</v>
      </c>
      <c r="HI50" s="163" t="e">
        <f>VLOOKUP(B50,'data nguồn'!B:P,14,0)</f>
        <v>#N/A</v>
      </c>
    </row>
    <row r="51" spans="1:220" s="95" customFormat="1" ht="16.5" customHeight="1">
      <c r="A51" s="73">
        <v>41</v>
      </c>
      <c r="B51" s="121" t="s">
        <v>854</v>
      </c>
      <c r="C51" s="859" t="s">
        <v>855</v>
      </c>
      <c r="D51" s="121" t="s">
        <v>856</v>
      </c>
      <c r="E51" s="121" t="s">
        <v>131</v>
      </c>
      <c r="F51" s="164" t="s">
        <v>857</v>
      </c>
      <c r="G51" s="164"/>
      <c r="H51" s="641">
        <v>200910</v>
      </c>
      <c r="I51" s="641" t="s">
        <v>126</v>
      </c>
      <c r="J51" s="642" t="s">
        <v>124</v>
      </c>
      <c r="K51" s="97"/>
      <c r="L51" s="97"/>
      <c r="M51" s="638"/>
      <c r="N51" s="132"/>
      <c r="O51" s="132"/>
      <c r="P51" s="639"/>
      <c r="Q51" s="639"/>
      <c r="R51" s="132"/>
      <c r="S51" s="132"/>
      <c r="T51" s="615"/>
      <c r="U51" s="615"/>
      <c r="V51" s="603"/>
      <c r="W51" s="603"/>
      <c r="X51" s="630"/>
      <c r="Y51" s="639"/>
      <c r="Z51" s="102"/>
      <c r="AA51" s="603"/>
      <c r="AB51" s="630"/>
      <c r="AC51" s="630"/>
      <c r="AD51" s="640"/>
      <c r="AE51" s="99"/>
      <c r="AF51" s="127"/>
      <c r="AG51" s="127"/>
      <c r="AH51" s="99"/>
      <c r="AI51" s="99"/>
      <c r="AJ51" s="105"/>
      <c r="AK51" s="105"/>
      <c r="AL51" s="127"/>
      <c r="AM51" s="127"/>
      <c r="AN51" s="636"/>
      <c r="AO51" s="636"/>
      <c r="AP51" s="104"/>
      <c r="AQ51" s="104"/>
      <c r="AR51" s="606"/>
      <c r="AS51" s="606"/>
      <c r="AT51" s="97"/>
      <c r="AU51" s="97"/>
      <c r="AV51" s="97"/>
      <c r="AW51" s="97"/>
      <c r="AX51" s="606"/>
      <c r="AY51" s="606"/>
      <c r="AZ51" s="97"/>
      <c r="BA51" s="97"/>
      <c r="BB51" s="132"/>
      <c r="BC51" s="132"/>
      <c r="BD51" s="606"/>
      <c r="BE51" s="606"/>
      <c r="BF51" s="104">
        <v>7</v>
      </c>
      <c r="BG51" s="104">
        <v>3</v>
      </c>
      <c r="BH51" s="606"/>
      <c r="BI51" s="606"/>
      <c r="BJ51" s="97"/>
      <c r="BK51" s="97"/>
      <c r="BL51" s="104">
        <v>8</v>
      </c>
      <c r="BM51" s="104">
        <v>3</v>
      </c>
      <c r="BN51" s="606"/>
      <c r="BO51" s="606"/>
      <c r="BP51" s="97"/>
      <c r="BQ51" s="97"/>
      <c r="BR51" s="131">
        <v>8</v>
      </c>
      <c r="BS51" s="129">
        <v>3</v>
      </c>
      <c r="BT51" s="606"/>
      <c r="BU51" s="606"/>
      <c r="BV51" s="97"/>
      <c r="BW51" s="97"/>
      <c r="BX51" s="635">
        <v>8</v>
      </c>
      <c r="BY51" s="635">
        <v>3</v>
      </c>
      <c r="BZ51" s="608"/>
      <c r="CA51" s="608"/>
      <c r="CB51" s="636"/>
      <c r="CC51" s="636"/>
      <c r="CD51" s="144">
        <v>8</v>
      </c>
      <c r="CE51" s="144">
        <v>3</v>
      </c>
      <c r="CF51" s="606"/>
      <c r="CG51" s="606"/>
      <c r="CH51" s="97"/>
      <c r="CI51" s="97"/>
      <c r="CJ51" s="634">
        <v>8</v>
      </c>
      <c r="CK51" s="634">
        <v>3</v>
      </c>
      <c r="CL51" s="606"/>
      <c r="CM51" s="606"/>
      <c r="CN51" s="132"/>
      <c r="CO51" s="132"/>
      <c r="CP51" s="634">
        <v>8</v>
      </c>
      <c r="CQ51" s="634">
        <v>3</v>
      </c>
      <c r="CR51" s="606"/>
      <c r="CS51" s="606"/>
      <c r="CT51" s="104">
        <v>8</v>
      </c>
      <c r="CU51" s="104">
        <v>5</v>
      </c>
      <c r="CV51" s="606"/>
      <c r="CW51" s="606"/>
      <c r="CX51" s="97"/>
      <c r="CY51" s="97"/>
      <c r="CZ51" s="102">
        <v>8</v>
      </c>
      <c r="DA51" s="104">
        <v>5</v>
      </c>
      <c r="DB51" s="606"/>
      <c r="DC51" s="606"/>
      <c r="DD51" s="97"/>
      <c r="DE51" s="97"/>
      <c r="DF51" s="607">
        <v>8</v>
      </c>
      <c r="DG51" s="607">
        <v>3</v>
      </c>
      <c r="DH51" s="608"/>
      <c r="DI51" s="608"/>
      <c r="DJ51" s="636"/>
      <c r="DK51" s="636"/>
      <c r="DL51" s="637" t="s">
        <v>533</v>
      </c>
      <c r="DM51" s="637"/>
      <c r="DN51" s="608"/>
      <c r="DO51" s="608"/>
      <c r="DP51" s="636"/>
      <c r="DQ51" s="636"/>
      <c r="DR51" s="104">
        <v>8</v>
      </c>
      <c r="DS51" s="104">
        <v>3</v>
      </c>
      <c r="DT51" s="621"/>
      <c r="DU51" s="621"/>
      <c r="DV51" s="97"/>
      <c r="DW51" s="97"/>
      <c r="DX51" s="104">
        <v>8</v>
      </c>
      <c r="DY51" s="104">
        <v>3</v>
      </c>
      <c r="DZ51" s="606"/>
      <c r="EA51" s="606"/>
      <c r="EB51" s="97"/>
      <c r="EC51" s="97"/>
      <c r="ED51" s="104">
        <v>8</v>
      </c>
      <c r="EE51" s="104">
        <v>3</v>
      </c>
      <c r="EF51" s="606"/>
      <c r="EG51" s="606"/>
      <c r="EH51" s="99"/>
      <c r="EI51" s="99"/>
      <c r="EJ51" s="104">
        <v>8</v>
      </c>
      <c r="EK51" s="104">
        <v>3</v>
      </c>
      <c r="EL51" s="606"/>
      <c r="EM51" s="606"/>
      <c r="EN51" s="97"/>
      <c r="EO51" s="97"/>
      <c r="EP51" s="102">
        <v>8</v>
      </c>
      <c r="EQ51" s="102">
        <v>3</v>
      </c>
      <c r="ER51" s="606"/>
      <c r="ES51" s="606"/>
      <c r="ET51" s="97"/>
      <c r="EU51" s="97"/>
      <c r="EV51" s="102">
        <v>8</v>
      </c>
      <c r="EW51" s="102">
        <v>3</v>
      </c>
      <c r="EX51" s="606"/>
      <c r="EY51" s="606"/>
      <c r="EZ51" s="97"/>
      <c r="FA51" s="97"/>
      <c r="FB51" s="644">
        <v>8</v>
      </c>
      <c r="FC51" s="644">
        <v>3</v>
      </c>
      <c r="FD51" s="644"/>
      <c r="FE51" s="644"/>
      <c r="FF51" s="636"/>
      <c r="FG51" s="636"/>
      <c r="FH51" s="102">
        <v>8</v>
      </c>
      <c r="FI51" s="102">
        <v>3</v>
      </c>
      <c r="FJ51" s="621"/>
      <c r="FK51" s="621"/>
      <c r="FL51" s="97"/>
      <c r="FM51" s="97"/>
      <c r="FN51" s="102" t="s">
        <v>533</v>
      </c>
      <c r="FO51" s="102"/>
      <c r="FP51" s="621"/>
      <c r="FQ51" s="621"/>
      <c r="FR51" s="99"/>
      <c r="FS51" s="99"/>
      <c r="FT51" s="131">
        <v>8</v>
      </c>
      <c r="FU51" s="131">
        <v>3</v>
      </c>
      <c r="FV51" s="621"/>
      <c r="FW51" s="621"/>
      <c r="FX51" s="99"/>
      <c r="FY51" s="99"/>
      <c r="FZ51" s="102"/>
      <c r="GA51" s="102"/>
      <c r="GB51" s="613"/>
      <c r="GC51" s="613"/>
      <c r="GD51" s="74"/>
      <c r="GE51" s="124"/>
      <c r="GF51" s="125">
        <f>SUM(COUNTIFS(N51:GE51,"&gt;0",$N$9:$GE$9,"GC"),COUNTIFS(N51:GE51,"&gt;0",$N$9:$GE$9,"GC1"),COUNTIFS(N51:GE51,"&gt;0",$N$9:$GE$9,"GC2"))</f>
        <v>16</v>
      </c>
      <c r="GG51" s="126">
        <f>SUMIF($N$9:$GE$9,"GC",$N51:$GE51)</f>
        <v>127</v>
      </c>
      <c r="GH51" s="126">
        <f>SUMIF($N$9:$GE$9,"GC1",$N51:$GE51)</f>
        <v>0</v>
      </c>
      <c r="GI51" s="126">
        <f>SUMIF($N$9:$GE$9,"GC2",$N51:$GE51)</f>
        <v>0</v>
      </c>
      <c r="GJ51" s="126">
        <f>SUMIF($N$9:$GE$9,"TC",$N51:$GE51)</f>
        <v>52</v>
      </c>
      <c r="GK51" s="126">
        <f>SUMIF($N$9:$GE$9,"TC1",$N51:$GE51)</f>
        <v>0</v>
      </c>
      <c r="GL51" s="126">
        <f>SUMIF($N$9:$GE$9,"TC2",$N51:$GE51)</f>
        <v>0</v>
      </c>
      <c r="GM51" s="126">
        <f>SUMIF($N$9:$GE$9,"WK-D",$N51:$GE51)+SUMIF($N$9:$GE$9,"WK-TC",$N51:$GE51)</f>
        <v>33</v>
      </c>
      <c r="GN51" s="126">
        <f>SUMIF($N$9:$GE$9,"WK-D1",$N51:$GE51)+SUMIF($N$9:$GE$9,"WK-TC1",$N51:$GE51)</f>
        <v>0</v>
      </c>
      <c r="GO51" s="126">
        <f>SUMIF($N$9:$GE$9,"WK-D2",$N51:$GE51)+SUMIF($N$9:$GE$9,"WK-TC2",$N51:$GE51)</f>
        <v>0</v>
      </c>
      <c r="GP51" s="126">
        <f>SUMIF($N$9:$GE$9,"HOD",$N51:$GE51)</f>
        <v>0</v>
      </c>
      <c r="GQ51" s="126">
        <f>SUMIF($N$9:$GE$9,"HOD1",$N51:$GE51)</f>
        <v>0</v>
      </c>
      <c r="GR51" s="126">
        <f>SUMIF($N$9:$GE$9,"HOD2",$N51:$GE51)</f>
        <v>0</v>
      </c>
      <c r="GS51" s="162">
        <f t="shared" si="38"/>
        <v>6158250</v>
      </c>
      <c r="GT51" s="97" t="str">
        <f>IF(SUM(COUNTIFS(N51:GC51,"&gt;0",$N$9:$GC$9,"GC"),COUNTIFS(N51:GC51,"&gt;0",$N$9:$GC$9,"GC1"),COUNTIFS(N51:GC51,"&gt;0",$N$9:$GC$9,"GC2"),COUNTIFS(N51:GC51,"&gt;0",$N$9:$GC$9,"WK-D"),COUNTIFS(N51:GC51,"&gt;0",$N$9:$GC$9,"WK-D1"),COUNTIFS(N51:GC51,"&gt;0",$N$9:$GC$9,"WK-D2"))&gt;3,"Đ","K")</f>
        <v>Đ</v>
      </c>
      <c r="GU51" s="97">
        <f t="shared" si="39"/>
        <v>6158250</v>
      </c>
      <c r="GV51" s="97">
        <f>SUM(COUNTIFS(N51:GC51,"&gt;2",$N$9:$GC$9,"GC"),COUNTIFS(N51:GC51,"&gt;2",$N$9:$GC$9,"GC1"),COUNTIFS(N51:GC51,"&gt;2",$N$9:$GC$9,"GC2"))</f>
        <v>16</v>
      </c>
      <c r="GW51" s="162">
        <f t="shared" si="32"/>
        <v>0</v>
      </c>
      <c r="GX51" s="162">
        <f>SUM(COUNTIFS(N51:GC51,"&gt;2",$N$9:$GC$9,"GC"),COUNTIFS(N51:GC51,"&gt;2",$N$9:$GC$9,"GC1"),COUNTIFS(N51:GC51,"&gt;2",$N$9:$GC$9,"GC2"),COUNTIFS(N51:GC51,"&gt;2",$N$9:$GC$9,"WK-D"),COUNTIFS(N51:GC51,"&gt;2",$N$9:$GC$9,"WK-D1"),COUNTIFS(N51:GC51,"&gt;2",$N$9:$GC$9,"WK-D2"))*$GX$10</f>
        <v>196551.72413793104</v>
      </c>
      <c r="GY51" s="162">
        <f t="shared" si="33"/>
        <v>166956.52173913043</v>
      </c>
      <c r="GZ51" s="162">
        <f>COUNTIF($N51:$GC51,"CP")</f>
        <v>2</v>
      </c>
      <c r="HA51" s="162">
        <f>COUNTIF($N51:$GC51,"KP")</f>
        <v>0</v>
      </c>
      <c r="HB51" s="162">
        <f>COUNTIF($N51:$GC51,"ĐP")</f>
        <v>0</v>
      </c>
      <c r="HC51" s="162">
        <f>COUNTIF($N51:$GC51,"ĐD")</f>
        <v>0</v>
      </c>
      <c r="HD51" s="162">
        <f>COUNTIF($N51:$GC51,"TPL")</f>
        <v>0</v>
      </c>
      <c r="HE51" s="162">
        <f>COUNTIF($N51:$GC51,"ĐPL")</f>
        <v>0</v>
      </c>
      <c r="HF51" s="162">
        <f t="shared" si="40"/>
        <v>0</v>
      </c>
      <c r="HG51" s="156" t="e">
        <f>VLOOKUP(B51,'data nguồn'!B:N,13,0)</f>
        <v>#N/A</v>
      </c>
      <c r="HH51" s="159" t="e">
        <f>VLOOKUP(B51,'data nguồn'!B:P,15,0)</f>
        <v>#N/A</v>
      </c>
      <c r="HI51" s="163" t="e">
        <f>VLOOKUP(B51,'data nguồn'!B:P,14,0)</f>
        <v>#N/A</v>
      </c>
    </row>
    <row r="52" spans="1:220" s="95" customFormat="1" ht="16.5" customHeight="1">
      <c r="A52" s="73">
        <v>42</v>
      </c>
      <c r="B52" s="121" t="s">
        <v>858</v>
      </c>
      <c r="C52" s="859" t="s">
        <v>859</v>
      </c>
      <c r="D52" s="646">
        <v>43199</v>
      </c>
      <c r="E52" s="121" t="s">
        <v>131</v>
      </c>
      <c r="F52" s="164" t="s">
        <v>860</v>
      </c>
      <c r="G52" s="164"/>
      <c r="H52" s="641">
        <v>200912</v>
      </c>
      <c r="I52" s="641" t="s">
        <v>123</v>
      </c>
      <c r="J52" s="642" t="s">
        <v>124</v>
      </c>
      <c r="K52" s="97"/>
      <c r="L52" s="97"/>
      <c r="M52" s="638"/>
      <c r="N52" s="132"/>
      <c r="O52" s="132"/>
      <c r="P52" s="639"/>
      <c r="Q52" s="639"/>
      <c r="R52" s="132"/>
      <c r="S52" s="132"/>
      <c r="T52" s="615"/>
      <c r="U52" s="615"/>
      <c r="V52" s="603"/>
      <c r="W52" s="603"/>
      <c r="X52" s="630"/>
      <c r="Y52" s="639"/>
      <c r="Z52" s="102"/>
      <c r="AA52" s="603"/>
      <c r="AB52" s="630"/>
      <c r="AC52" s="630"/>
      <c r="AD52" s="640"/>
      <c r="AE52" s="99"/>
      <c r="AF52" s="127"/>
      <c r="AG52" s="127"/>
      <c r="AH52" s="99"/>
      <c r="AI52" s="99"/>
      <c r="AJ52" s="105"/>
      <c r="AK52" s="105"/>
      <c r="AL52" s="127"/>
      <c r="AM52" s="127"/>
      <c r="AN52" s="636"/>
      <c r="AO52" s="636"/>
      <c r="AP52" s="104"/>
      <c r="AQ52" s="104"/>
      <c r="AR52" s="606"/>
      <c r="AS52" s="606"/>
      <c r="AT52" s="97"/>
      <c r="AU52" s="97"/>
      <c r="AV52" s="97"/>
      <c r="AW52" s="97"/>
      <c r="AX52" s="606"/>
      <c r="AY52" s="606"/>
      <c r="AZ52" s="97"/>
      <c r="BA52" s="97"/>
      <c r="BB52" s="132"/>
      <c r="BC52" s="132"/>
      <c r="BD52" s="606"/>
      <c r="BE52" s="606"/>
      <c r="BF52" s="104"/>
      <c r="BG52" s="104"/>
      <c r="BH52" s="606"/>
      <c r="BI52" s="606"/>
      <c r="BJ52" s="97"/>
      <c r="BK52" s="97"/>
      <c r="BL52" s="104"/>
      <c r="BM52" s="104"/>
      <c r="BN52" s="606"/>
      <c r="BO52" s="606"/>
      <c r="BP52" s="97"/>
      <c r="BQ52" s="97"/>
      <c r="BR52" s="131">
        <v>8</v>
      </c>
      <c r="BS52" s="129">
        <v>3</v>
      </c>
      <c r="BT52" s="606"/>
      <c r="BU52" s="606"/>
      <c r="BV52" s="97"/>
      <c r="BW52" s="97"/>
      <c r="BX52" s="635">
        <v>8</v>
      </c>
      <c r="BY52" s="635">
        <v>0</v>
      </c>
      <c r="BZ52" s="608"/>
      <c r="CA52" s="608"/>
      <c r="CB52" s="636"/>
      <c r="CC52" s="636"/>
      <c r="CD52" s="144">
        <v>8</v>
      </c>
      <c r="CE52" s="144">
        <v>3</v>
      </c>
      <c r="CF52" s="606"/>
      <c r="CG52" s="606"/>
      <c r="CH52" s="97"/>
      <c r="CI52" s="97"/>
      <c r="CJ52" s="634">
        <v>8</v>
      </c>
      <c r="CK52" s="634">
        <v>5</v>
      </c>
      <c r="CL52" s="606"/>
      <c r="CM52" s="606"/>
      <c r="CN52" s="132"/>
      <c r="CO52" s="132"/>
      <c r="CP52" s="634">
        <v>8</v>
      </c>
      <c r="CQ52" s="634">
        <v>5</v>
      </c>
      <c r="CR52" s="606"/>
      <c r="CS52" s="606"/>
      <c r="CT52" s="104">
        <v>8</v>
      </c>
      <c r="CU52" s="104">
        <v>5</v>
      </c>
      <c r="CV52" s="606"/>
      <c r="CW52" s="606"/>
      <c r="CX52" s="97"/>
      <c r="CY52" s="97"/>
      <c r="CZ52" s="102">
        <v>8</v>
      </c>
      <c r="DA52" s="104">
        <v>5</v>
      </c>
      <c r="DB52" s="606"/>
      <c r="DC52" s="606"/>
      <c r="DD52" s="97"/>
      <c r="DE52" s="97"/>
      <c r="DF52" s="607">
        <v>8</v>
      </c>
      <c r="DG52" s="607">
        <v>5</v>
      </c>
      <c r="DH52" s="608"/>
      <c r="DI52" s="608"/>
      <c r="DJ52" s="636"/>
      <c r="DK52" s="636"/>
      <c r="DL52" s="637">
        <v>8</v>
      </c>
      <c r="DM52" s="637">
        <v>3</v>
      </c>
      <c r="DN52" s="608"/>
      <c r="DO52" s="608"/>
      <c r="DP52" s="636"/>
      <c r="DQ52" s="636"/>
      <c r="DR52" s="104">
        <v>8</v>
      </c>
      <c r="DS52" s="104">
        <v>5</v>
      </c>
      <c r="DT52" s="621"/>
      <c r="DU52" s="621"/>
      <c r="DV52" s="97"/>
      <c r="DW52" s="97"/>
      <c r="DX52" s="104">
        <v>8</v>
      </c>
      <c r="DY52" s="104">
        <v>5</v>
      </c>
      <c r="DZ52" s="606"/>
      <c r="EA52" s="606"/>
      <c r="EB52" s="97"/>
      <c r="EC52" s="97"/>
      <c r="ED52" s="104">
        <v>8</v>
      </c>
      <c r="EE52" s="104">
        <v>5</v>
      </c>
      <c r="EF52" s="606"/>
      <c r="EG52" s="606"/>
      <c r="EH52" s="99"/>
      <c r="EI52" s="99"/>
      <c r="EJ52" s="104">
        <v>8</v>
      </c>
      <c r="EK52" s="104">
        <v>3</v>
      </c>
      <c r="EL52" s="606"/>
      <c r="EM52" s="606"/>
      <c r="EN52" s="97"/>
      <c r="EO52" s="97"/>
      <c r="EP52" s="102">
        <v>8</v>
      </c>
      <c r="EQ52" s="102">
        <v>3</v>
      </c>
      <c r="ER52" s="606"/>
      <c r="ES52" s="606"/>
      <c r="ET52" s="97"/>
      <c r="EU52" s="97"/>
      <c r="EV52" s="102">
        <v>8</v>
      </c>
      <c r="EW52" s="102">
        <v>3</v>
      </c>
      <c r="EX52" s="606"/>
      <c r="EY52" s="606"/>
      <c r="EZ52" s="97"/>
      <c r="FA52" s="97"/>
      <c r="FB52" s="644">
        <v>8</v>
      </c>
      <c r="FC52" s="644">
        <v>3</v>
      </c>
      <c r="FD52" s="644"/>
      <c r="FE52" s="644"/>
      <c r="FF52" s="636"/>
      <c r="FG52" s="636"/>
      <c r="FH52" s="102">
        <v>8</v>
      </c>
      <c r="FI52" s="102">
        <v>5</v>
      </c>
      <c r="FJ52" s="621"/>
      <c r="FK52" s="621"/>
      <c r="FL52" s="97"/>
      <c r="FM52" s="97"/>
      <c r="FN52" s="102">
        <v>8</v>
      </c>
      <c r="FO52" s="102">
        <v>3</v>
      </c>
      <c r="FP52" s="621"/>
      <c r="FQ52" s="621"/>
      <c r="FR52" s="99"/>
      <c r="FS52" s="99"/>
      <c r="FT52" s="131">
        <v>8</v>
      </c>
      <c r="FU52" s="131">
        <v>3</v>
      </c>
      <c r="FV52" s="621"/>
      <c r="FW52" s="621"/>
      <c r="FX52" s="99"/>
      <c r="FY52" s="99"/>
      <c r="FZ52" s="102"/>
      <c r="GA52" s="102"/>
      <c r="GB52" s="613"/>
      <c r="GC52" s="613"/>
      <c r="GD52" s="74"/>
      <c r="GE52" s="124"/>
      <c r="GF52" s="125">
        <f>SUM(COUNTIFS(N52:GE52,"&gt;0",$N$9:$GE$9,"GC"),COUNTIFS(N52:GE52,"&gt;0",$N$9:$GE$9,"GC1"),COUNTIFS(N52:GE52,"&gt;0",$N$9:$GE$9,"GC2"))</f>
        <v>15</v>
      </c>
      <c r="GG52" s="126">
        <f>SUMIF($N$9:$GE$9,"GC",$N52:$GE52)</f>
        <v>120</v>
      </c>
      <c r="GH52" s="126">
        <f>SUMIF($N$9:$GE$9,"GC1",$N52:$GE52)</f>
        <v>0</v>
      </c>
      <c r="GI52" s="126">
        <f>SUMIF($N$9:$GE$9,"GC2",$N52:$GE52)</f>
        <v>0</v>
      </c>
      <c r="GJ52" s="126">
        <f>SUMIF($N$9:$GE$9,"TC",$N52:$GE52)</f>
        <v>61</v>
      </c>
      <c r="GK52" s="126">
        <f>SUMIF($N$9:$GE$9,"TC1",$N52:$GE52)</f>
        <v>0</v>
      </c>
      <c r="GL52" s="126">
        <f>SUMIF($N$9:$GE$9,"TC2",$N52:$GE52)</f>
        <v>0</v>
      </c>
      <c r="GM52" s="126">
        <f>SUMIF($N$9:$GE$9,"WK-D",$N52:$GE52)+SUMIF($N$9:$GE$9,"WK-TC",$N52:$GE52)</f>
        <v>43</v>
      </c>
      <c r="GN52" s="126">
        <f>SUMIF($N$9:$GE$9,"WK-D1",$N52:$GE52)+SUMIF($N$9:$GE$9,"WK-TC1",$N52:$GE52)</f>
        <v>0</v>
      </c>
      <c r="GO52" s="126">
        <f>SUMIF($N$9:$GE$9,"WK-D2",$N52:$GE52)+SUMIF($N$9:$GE$9,"WK-TC2",$N52:$GE52)</f>
        <v>0</v>
      </c>
      <c r="GP52" s="126">
        <f>SUMIF($N$9:$GE$9,"HOD",$N52:$GE52)</f>
        <v>0</v>
      </c>
      <c r="GQ52" s="126">
        <f>SUMIF($N$9:$GE$9,"HOD1",$N52:$GE52)</f>
        <v>0</v>
      </c>
      <c r="GR52" s="126">
        <f>SUMIF($N$9:$GE$9,"HOD2",$N52:$GE52)</f>
        <v>0</v>
      </c>
      <c r="GS52" s="162">
        <f t="shared" si="38"/>
        <v>6739250</v>
      </c>
      <c r="GT52" s="97" t="str">
        <f>IF(SUM(COUNTIFS(N52:GC52,"&gt;0",$N$9:$GC$9,"GC"),COUNTIFS(N52:GC52,"&gt;0",$N$9:$GC$9,"GC1"),COUNTIFS(N52:GC52,"&gt;0",$N$9:$GC$9,"GC2"),COUNTIFS(N52:GC52,"&gt;0",$N$9:$GC$9,"WK-D"),COUNTIFS(N52:GC52,"&gt;0",$N$9:$GC$9,"WK-D1"),COUNTIFS(N52:GC52,"&gt;0",$N$9:$GC$9,"WK-D2"))&gt;3,"Đ","K")</f>
        <v>Đ</v>
      </c>
      <c r="GU52" s="97">
        <f t="shared" si="39"/>
        <v>6739250</v>
      </c>
      <c r="GV52" s="97">
        <f>SUM(COUNTIFS(N52:GC52,"&gt;2",$N$9:$GC$9,"GC"),COUNTIFS(N52:GC52,"&gt;2",$N$9:$GC$9,"GC1"),COUNTIFS(N52:GC52,"&gt;2",$N$9:$GC$9,"GC2"))</f>
        <v>15</v>
      </c>
      <c r="GW52" s="162">
        <f t="shared" si="32"/>
        <v>0</v>
      </c>
      <c r="GX52" s="162">
        <f>SUM(COUNTIFS(N52:GC52,"&gt;2",$N$9:$GC$9,"GC"),COUNTIFS(N52:GC52,"&gt;2",$N$9:$GC$9,"GC1"),COUNTIFS(N52:GC52,"&gt;2",$N$9:$GC$9,"GC2"),COUNTIFS(N52:GC52,"&gt;2",$N$9:$GC$9,"WK-D"),COUNTIFS(N52:GC52,"&gt;2",$N$9:$GC$9,"WK-D1"),COUNTIFS(N52:GC52,"&gt;2",$N$9:$GC$9,"WK-D2"))*$GX$10</f>
        <v>196551.72413793104</v>
      </c>
      <c r="GY52" s="162">
        <f t="shared" si="33"/>
        <v>156521.73913043478</v>
      </c>
      <c r="GZ52" s="162">
        <f>COUNTIF($N52:$GC52,"CP")</f>
        <v>0</v>
      </c>
      <c r="HA52" s="162">
        <f>COUNTIF($N52:$GC52,"KP")</f>
        <v>0</v>
      </c>
      <c r="HB52" s="162">
        <f>COUNTIF($N52:$GC52,"ĐP")</f>
        <v>0</v>
      </c>
      <c r="HC52" s="162">
        <f>COUNTIF($N52:$GC52,"ĐD")</f>
        <v>0</v>
      </c>
      <c r="HD52" s="162">
        <f>COUNTIF($N52:$GC52,"TPL")</f>
        <v>0</v>
      </c>
      <c r="HE52" s="162">
        <f>COUNTIF($N52:$GC52,"ĐPL")</f>
        <v>0</v>
      </c>
      <c r="HF52" s="162">
        <f t="shared" si="40"/>
        <v>0</v>
      </c>
      <c r="HG52" s="156" t="str">
        <f>VLOOKUP(B52,'data nguồn'!B:N,13,0)</f>
        <v>1016764597</v>
      </c>
      <c r="HH52" s="159" t="str">
        <f>VLOOKUP(B52,'data nguồn'!B:P,15,0)</f>
        <v>Trình Thị Hạnh</v>
      </c>
      <c r="HI52" s="163" t="str">
        <f>VLOOKUP(B52,'data nguồn'!B:P,14,0)</f>
        <v>VCB Hải Phòng</v>
      </c>
    </row>
    <row r="53" spans="1:220" s="95" customFormat="1" ht="16.5" customHeight="1">
      <c r="A53" s="73">
        <v>43</v>
      </c>
      <c r="B53" s="121" t="s">
        <v>861</v>
      </c>
      <c r="C53" s="859" t="s">
        <v>862</v>
      </c>
      <c r="D53" s="121" t="s">
        <v>863</v>
      </c>
      <c r="E53" s="164" t="s">
        <v>135</v>
      </c>
      <c r="F53" s="164" t="s">
        <v>864</v>
      </c>
      <c r="G53" s="164"/>
      <c r="H53" s="641">
        <v>200912</v>
      </c>
      <c r="I53" s="641" t="s">
        <v>123</v>
      </c>
      <c r="J53" s="642" t="s">
        <v>124</v>
      </c>
      <c r="K53" s="97"/>
      <c r="L53" s="97"/>
      <c r="M53" s="638"/>
      <c r="N53" s="132"/>
      <c r="O53" s="132"/>
      <c r="P53" s="639"/>
      <c r="Q53" s="639"/>
      <c r="R53" s="132"/>
      <c r="S53" s="132"/>
      <c r="T53" s="615"/>
      <c r="U53" s="615"/>
      <c r="V53" s="603"/>
      <c r="W53" s="603"/>
      <c r="X53" s="630"/>
      <c r="Y53" s="639"/>
      <c r="Z53" s="102"/>
      <c r="AA53" s="603"/>
      <c r="AB53" s="630"/>
      <c r="AC53" s="630"/>
      <c r="AD53" s="640"/>
      <c r="AE53" s="99"/>
      <c r="AF53" s="127"/>
      <c r="AG53" s="127"/>
      <c r="AH53" s="99"/>
      <c r="AI53" s="99"/>
      <c r="AJ53" s="105"/>
      <c r="AK53" s="105"/>
      <c r="AL53" s="127"/>
      <c r="AM53" s="127"/>
      <c r="AN53" s="636"/>
      <c r="AO53" s="636"/>
      <c r="AP53" s="104"/>
      <c r="AQ53" s="104"/>
      <c r="AR53" s="606"/>
      <c r="AS53" s="606"/>
      <c r="AT53" s="97"/>
      <c r="AU53" s="97"/>
      <c r="AV53" s="97"/>
      <c r="AW53" s="97"/>
      <c r="AX53" s="606"/>
      <c r="AY53" s="606"/>
      <c r="AZ53" s="97"/>
      <c r="BA53" s="97"/>
      <c r="BB53" s="132"/>
      <c r="BC53" s="132"/>
      <c r="BD53" s="606"/>
      <c r="BE53" s="606"/>
      <c r="BF53" s="104"/>
      <c r="BG53" s="104"/>
      <c r="BH53" s="606"/>
      <c r="BI53" s="606"/>
      <c r="BJ53" s="97"/>
      <c r="BK53" s="97"/>
      <c r="BL53" s="104"/>
      <c r="BM53" s="104"/>
      <c r="BN53" s="606"/>
      <c r="BO53" s="606"/>
      <c r="BP53" s="97"/>
      <c r="BQ53" s="97"/>
      <c r="BR53" s="131">
        <v>8</v>
      </c>
      <c r="BS53" s="129">
        <v>3</v>
      </c>
      <c r="BT53" s="606"/>
      <c r="BU53" s="606"/>
      <c r="BV53" s="97"/>
      <c r="BW53" s="97"/>
      <c r="BX53" s="635">
        <v>8</v>
      </c>
      <c r="BY53" s="635">
        <v>0</v>
      </c>
      <c r="BZ53" s="608"/>
      <c r="CA53" s="608"/>
      <c r="CB53" s="636"/>
      <c r="CC53" s="636"/>
      <c r="CD53" s="144">
        <v>8</v>
      </c>
      <c r="CE53" s="144">
        <v>3</v>
      </c>
      <c r="CF53" s="606"/>
      <c r="CG53" s="606"/>
      <c r="CH53" s="97"/>
      <c r="CI53" s="97"/>
      <c r="CJ53" s="634">
        <v>8</v>
      </c>
      <c r="CK53" s="634">
        <v>5</v>
      </c>
      <c r="CL53" s="606"/>
      <c r="CM53" s="606"/>
      <c r="CN53" s="132"/>
      <c r="CO53" s="132"/>
      <c r="CP53" s="634">
        <v>8</v>
      </c>
      <c r="CQ53" s="634">
        <v>5</v>
      </c>
      <c r="CR53" s="606"/>
      <c r="CS53" s="606"/>
      <c r="CT53" s="104">
        <v>8</v>
      </c>
      <c r="CU53" s="104">
        <v>5</v>
      </c>
      <c r="CV53" s="606"/>
      <c r="CW53" s="606"/>
      <c r="CX53" s="97"/>
      <c r="CY53" s="97"/>
      <c r="CZ53" s="102">
        <v>8</v>
      </c>
      <c r="DA53" s="104">
        <v>5</v>
      </c>
      <c r="DB53" s="606"/>
      <c r="DC53" s="606"/>
      <c r="DD53" s="97"/>
      <c r="DE53" s="97"/>
      <c r="DF53" s="607">
        <v>8</v>
      </c>
      <c r="DG53" s="607">
        <v>5</v>
      </c>
      <c r="DH53" s="608"/>
      <c r="DI53" s="608"/>
      <c r="DJ53" s="636"/>
      <c r="DK53" s="636"/>
      <c r="DL53" s="637">
        <v>8</v>
      </c>
      <c r="DM53" s="637">
        <v>3</v>
      </c>
      <c r="DN53" s="608"/>
      <c r="DO53" s="608"/>
      <c r="DP53" s="636"/>
      <c r="DQ53" s="636"/>
      <c r="DR53" s="104"/>
      <c r="DS53" s="104"/>
      <c r="DT53" s="621">
        <v>8</v>
      </c>
      <c r="DU53" s="621">
        <v>2</v>
      </c>
      <c r="DV53" s="97"/>
      <c r="DW53" s="97"/>
      <c r="DX53" s="104"/>
      <c r="DY53" s="104"/>
      <c r="DZ53" s="621">
        <v>8</v>
      </c>
      <c r="EA53" s="621">
        <v>2</v>
      </c>
      <c r="EB53" s="97"/>
      <c r="EC53" s="97"/>
      <c r="ED53" s="104"/>
      <c r="EE53" s="104"/>
      <c r="EF53" s="621">
        <v>8</v>
      </c>
      <c r="EG53" s="621">
        <v>2</v>
      </c>
      <c r="EH53" s="99"/>
      <c r="EI53" s="99"/>
      <c r="EJ53" s="104"/>
      <c r="EK53" s="104"/>
      <c r="EL53" s="621">
        <v>8</v>
      </c>
      <c r="EM53" s="621">
        <v>2</v>
      </c>
      <c r="EN53" s="621"/>
      <c r="EO53" s="621"/>
      <c r="EP53" s="138"/>
      <c r="EQ53" s="138"/>
      <c r="ER53" s="621">
        <v>8</v>
      </c>
      <c r="ES53" s="621">
        <v>2</v>
      </c>
      <c r="ET53" s="621"/>
      <c r="EU53" s="621"/>
      <c r="EV53" s="138"/>
      <c r="EW53" s="138"/>
      <c r="EX53" s="621">
        <v>8</v>
      </c>
      <c r="EY53" s="621">
        <v>2</v>
      </c>
      <c r="EZ53" s="97"/>
      <c r="FA53" s="97"/>
      <c r="FB53" s="644"/>
      <c r="FC53" s="644"/>
      <c r="FD53" s="644">
        <v>8</v>
      </c>
      <c r="FE53" s="644">
        <v>2</v>
      </c>
      <c r="FF53" s="636"/>
      <c r="FG53" s="636"/>
      <c r="FH53" s="102"/>
      <c r="FI53" s="102"/>
      <c r="FJ53" s="621">
        <v>8</v>
      </c>
      <c r="FK53" s="621">
        <v>2</v>
      </c>
      <c r="FL53" s="97"/>
      <c r="FM53" s="97"/>
      <c r="FN53" s="102"/>
      <c r="FO53" s="102"/>
      <c r="FP53" s="621">
        <v>8</v>
      </c>
      <c r="FQ53" s="621">
        <v>2</v>
      </c>
      <c r="FR53" s="99"/>
      <c r="FS53" s="99"/>
      <c r="FT53" s="131" t="s">
        <v>533</v>
      </c>
      <c r="FU53" s="131"/>
      <c r="FV53" s="621"/>
      <c r="FW53" s="621"/>
      <c r="FX53" s="99"/>
      <c r="FY53" s="99"/>
      <c r="FZ53" s="102"/>
      <c r="GA53" s="102"/>
      <c r="GB53" s="613"/>
      <c r="GC53" s="613"/>
      <c r="GD53" s="74"/>
      <c r="GE53" s="124"/>
      <c r="GF53" s="125">
        <f>SUM(COUNTIFS(N53:GE53,"&gt;0",$N$9:$GE$9,"GC"),COUNTIFS(N53:GE53,"&gt;0",$N$9:$GE$9,"GC1"),COUNTIFS(N53:GE53,"&gt;0",$N$9:$GE$9,"GC2"))</f>
        <v>14</v>
      </c>
      <c r="GG53" s="126">
        <f>SUMIF($N$9:$GE$9,"GC",$N53:$GE53)</f>
        <v>48</v>
      </c>
      <c r="GH53" s="126">
        <f>SUMIF($N$9:$GE$9,"GC1",$N53:$GE53)</f>
        <v>64</v>
      </c>
      <c r="GI53" s="126">
        <f>SUMIF($N$9:$GE$9,"GC2",$N53:$GE53)</f>
        <v>0</v>
      </c>
      <c r="GJ53" s="126">
        <f>SUMIF($N$9:$GE$9,"TC",$N53:$GE53)</f>
        <v>26</v>
      </c>
      <c r="GK53" s="126">
        <f>SUMIF($N$9:$GE$9,"TC1",$N53:$GE53)</f>
        <v>16</v>
      </c>
      <c r="GL53" s="126">
        <f>SUMIF($N$9:$GE$9,"TC2",$N53:$GE53)</f>
        <v>0</v>
      </c>
      <c r="GM53" s="126">
        <f>SUMIF($N$9:$GE$9,"WK-D",$N53:$GE53)+SUMIF($N$9:$GE$9,"WK-TC",$N53:$GE53)</f>
        <v>32</v>
      </c>
      <c r="GN53" s="126">
        <f>SUMIF($N$9:$GE$9,"WK-D1",$N53:$GE53)+SUMIF($N$9:$GE$9,"WK-TC1",$N53:$GE53)</f>
        <v>10</v>
      </c>
      <c r="GO53" s="126">
        <f>SUMIF($N$9:$GE$9,"WK-D2",$N53:$GE53)+SUMIF($N$9:$GE$9,"WK-TC2",$N53:$GE53)</f>
        <v>0</v>
      </c>
      <c r="GP53" s="126">
        <f>SUMIF($N$9:$GE$9,"HOD",$N53:$GE53)</f>
        <v>0</v>
      </c>
      <c r="GQ53" s="126">
        <f>SUMIF($N$9:$GE$9,"HOD1",$N53:$GE53)</f>
        <v>0</v>
      </c>
      <c r="GR53" s="126">
        <f>SUMIF($N$9:$GE$9,"HOD2",$N53:$GE53)</f>
        <v>0</v>
      </c>
      <c r="GS53" s="162">
        <f t="shared" si="38"/>
        <v>6241500</v>
      </c>
      <c r="GT53" s="97" t="str">
        <f>IF(SUM(COUNTIFS(N53:GC53,"&gt;0",$N$9:$GC$9,"GC"),COUNTIFS(N53:GC53,"&gt;0",$N$9:$GC$9,"GC1"),COUNTIFS(N53:GC53,"&gt;0",$N$9:$GC$9,"GC2"),COUNTIFS(N53:GC53,"&gt;0",$N$9:$GC$9,"WK-D"),COUNTIFS(N53:GC53,"&gt;0",$N$9:$GC$9,"WK-D1"),COUNTIFS(N53:GC53,"&gt;0",$N$9:$GC$9,"WK-D2"))&gt;3,"Đ","K")</f>
        <v>Đ</v>
      </c>
      <c r="GU53" s="97">
        <f t="shared" si="39"/>
        <v>6241500</v>
      </c>
      <c r="GV53" s="97">
        <f>SUM(COUNTIFS(N53:GC53,"&gt;2",$N$9:$GC$9,"GC"),COUNTIFS(N53:GC53,"&gt;2",$N$9:$GC$9,"GC1"),COUNTIFS(N53:GC53,"&gt;2",$N$9:$GC$9,"GC2"))</f>
        <v>14</v>
      </c>
      <c r="GW53" s="162">
        <f t="shared" si="32"/>
        <v>0</v>
      </c>
      <c r="GX53" s="162">
        <f>SUM(COUNTIFS(N53:GC53,"&gt;2",$N$9:$GC$9,"GC"),COUNTIFS(N53:GC53,"&gt;2",$N$9:$GC$9,"GC1"),COUNTIFS(N53:GC53,"&gt;2",$N$9:$GC$9,"GC2"),COUNTIFS(N53:GC53,"&gt;2",$N$9:$GC$9,"WK-D"),COUNTIFS(N53:GC53,"&gt;2",$N$9:$GC$9,"WK-D1"),COUNTIFS(N53:GC53,"&gt;2",$N$9:$GC$9,"WK-D2"))*$GX$10</f>
        <v>186206.89655172414</v>
      </c>
      <c r="GY53" s="162">
        <f t="shared" si="33"/>
        <v>146086.95652173914</v>
      </c>
      <c r="GZ53" s="162">
        <f>COUNTIF($N53:$GC53,"CP")</f>
        <v>1</v>
      </c>
      <c r="HA53" s="162">
        <f>COUNTIF($N53:$GC53,"KP")</f>
        <v>0</v>
      </c>
      <c r="HB53" s="162">
        <f>COUNTIF($N53:$GC53,"ĐP")</f>
        <v>0</v>
      </c>
      <c r="HC53" s="162">
        <f>COUNTIF($N53:$GC53,"ĐD")</f>
        <v>0</v>
      </c>
      <c r="HD53" s="162">
        <f>COUNTIF($N53:$GC53,"TPL")</f>
        <v>0</v>
      </c>
      <c r="HE53" s="162">
        <f>COUNTIF($N53:$GC53,"ĐPL")</f>
        <v>0</v>
      </c>
      <c r="HF53" s="162">
        <f t="shared" si="40"/>
        <v>0</v>
      </c>
      <c r="HG53" s="156" t="str">
        <f>VLOOKUP(B53,'data nguồn'!B:N,13,0)</f>
        <v>1016764392</v>
      </c>
      <c r="HH53" s="159" t="str">
        <f>VLOOKUP(B53,'data nguồn'!B:P,15,0)</f>
        <v>Đặng Duy Huy</v>
      </c>
      <c r="HI53" s="163" t="str">
        <f>VLOOKUP(B53,'data nguồn'!B:P,14,0)</f>
        <v>VCB Hải Phòng</v>
      </c>
    </row>
    <row r="54" spans="1:220" s="95" customFormat="1" ht="16.5" customHeight="1">
      <c r="A54" s="73">
        <v>44</v>
      </c>
      <c r="B54" s="121" t="s">
        <v>865</v>
      </c>
      <c r="C54" s="859" t="s">
        <v>866</v>
      </c>
      <c r="D54" s="646">
        <v>43811</v>
      </c>
      <c r="E54" s="164" t="s">
        <v>135</v>
      </c>
      <c r="F54" s="164" t="s">
        <v>867</v>
      </c>
      <c r="G54" s="164"/>
      <c r="H54" s="641">
        <v>200912</v>
      </c>
      <c r="I54" s="641" t="s">
        <v>123</v>
      </c>
      <c r="J54" s="642" t="s">
        <v>124</v>
      </c>
      <c r="K54" s="97"/>
      <c r="L54" s="97"/>
      <c r="M54" s="638"/>
      <c r="N54" s="132"/>
      <c r="O54" s="132"/>
      <c r="P54" s="639"/>
      <c r="Q54" s="639"/>
      <c r="R54" s="132"/>
      <c r="S54" s="132"/>
      <c r="T54" s="615"/>
      <c r="U54" s="615"/>
      <c r="V54" s="603"/>
      <c r="W54" s="603"/>
      <c r="X54" s="630"/>
      <c r="Y54" s="639"/>
      <c r="Z54" s="102"/>
      <c r="AA54" s="603"/>
      <c r="AB54" s="630"/>
      <c r="AC54" s="630"/>
      <c r="AD54" s="640"/>
      <c r="AE54" s="99"/>
      <c r="AF54" s="127"/>
      <c r="AG54" s="127"/>
      <c r="AH54" s="99"/>
      <c r="AI54" s="99"/>
      <c r="AJ54" s="105"/>
      <c r="AK54" s="105"/>
      <c r="AL54" s="127"/>
      <c r="AM54" s="127"/>
      <c r="AN54" s="636"/>
      <c r="AO54" s="636"/>
      <c r="AP54" s="104"/>
      <c r="AQ54" s="104"/>
      <c r="AR54" s="606"/>
      <c r="AS54" s="606"/>
      <c r="AT54" s="97"/>
      <c r="AU54" s="97"/>
      <c r="AV54" s="97"/>
      <c r="AW54" s="97"/>
      <c r="AX54" s="606"/>
      <c r="AY54" s="606"/>
      <c r="AZ54" s="97"/>
      <c r="BA54" s="97"/>
      <c r="BB54" s="132"/>
      <c r="BC54" s="132"/>
      <c r="BD54" s="606"/>
      <c r="BE54" s="606"/>
      <c r="BF54" s="104"/>
      <c r="BG54" s="104"/>
      <c r="BH54" s="606"/>
      <c r="BI54" s="606"/>
      <c r="BJ54" s="97"/>
      <c r="BK54" s="97"/>
      <c r="BL54" s="104"/>
      <c r="BM54" s="104"/>
      <c r="BN54" s="606"/>
      <c r="BO54" s="606"/>
      <c r="BP54" s="97"/>
      <c r="BQ54" s="97"/>
      <c r="BR54" s="131">
        <v>8</v>
      </c>
      <c r="BS54" s="129">
        <v>3</v>
      </c>
      <c r="BT54" s="606"/>
      <c r="BU54" s="606"/>
      <c r="BV54" s="97"/>
      <c r="BW54" s="97"/>
      <c r="BX54" s="635">
        <v>8</v>
      </c>
      <c r="BY54" s="635">
        <v>0</v>
      </c>
      <c r="BZ54" s="608"/>
      <c r="CA54" s="608"/>
      <c r="CB54" s="636"/>
      <c r="CC54" s="636"/>
      <c r="CD54" s="144">
        <v>8</v>
      </c>
      <c r="CE54" s="144">
        <v>3</v>
      </c>
      <c r="CF54" s="606"/>
      <c r="CG54" s="606"/>
      <c r="CH54" s="97"/>
      <c r="CI54" s="97"/>
      <c r="CJ54" s="634">
        <v>8</v>
      </c>
      <c r="CK54" s="634">
        <v>5</v>
      </c>
      <c r="CL54" s="606"/>
      <c r="CM54" s="606"/>
      <c r="CN54" s="132"/>
      <c r="CO54" s="132"/>
      <c r="CP54" s="634">
        <v>8</v>
      </c>
      <c r="CQ54" s="634">
        <v>5</v>
      </c>
      <c r="CR54" s="606"/>
      <c r="CS54" s="606"/>
      <c r="CT54" s="104">
        <v>8</v>
      </c>
      <c r="CU54" s="104">
        <v>5</v>
      </c>
      <c r="CV54" s="606"/>
      <c r="CW54" s="606"/>
      <c r="CX54" s="97"/>
      <c r="CY54" s="97"/>
      <c r="CZ54" s="102">
        <v>8</v>
      </c>
      <c r="DA54" s="104">
        <v>5</v>
      </c>
      <c r="DB54" s="606"/>
      <c r="DC54" s="606"/>
      <c r="DD54" s="97"/>
      <c r="DE54" s="97"/>
      <c r="DF54" s="607">
        <v>8</v>
      </c>
      <c r="DG54" s="607">
        <v>5</v>
      </c>
      <c r="DH54" s="608"/>
      <c r="DI54" s="608"/>
      <c r="DJ54" s="636"/>
      <c r="DK54" s="636"/>
      <c r="DL54" s="637">
        <v>8</v>
      </c>
      <c r="DM54" s="637">
        <v>3</v>
      </c>
      <c r="DN54" s="608"/>
      <c r="DO54" s="608"/>
      <c r="DP54" s="636"/>
      <c r="DQ54" s="636"/>
      <c r="DR54" s="104"/>
      <c r="DS54" s="104"/>
      <c r="DT54" s="621">
        <v>8</v>
      </c>
      <c r="DU54" s="621">
        <v>2</v>
      </c>
      <c r="DV54" s="97"/>
      <c r="DW54" s="97"/>
      <c r="DX54" s="104"/>
      <c r="DY54" s="104"/>
      <c r="DZ54" s="621">
        <v>8</v>
      </c>
      <c r="EA54" s="621">
        <v>2</v>
      </c>
      <c r="EB54" s="97"/>
      <c r="EC54" s="97"/>
      <c r="ED54" s="104"/>
      <c r="EE54" s="104"/>
      <c r="EF54" s="621">
        <v>8</v>
      </c>
      <c r="EG54" s="621">
        <v>2</v>
      </c>
      <c r="EH54" s="99"/>
      <c r="EI54" s="99"/>
      <c r="EJ54" s="104"/>
      <c r="EK54" s="104"/>
      <c r="EL54" s="621">
        <v>8</v>
      </c>
      <c r="EM54" s="621">
        <v>2</v>
      </c>
      <c r="EN54" s="621"/>
      <c r="EO54" s="621"/>
      <c r="EP54" s="138"/>
      <c r="EQ54" s="138"/>
      <c r="ER54" s="621">
        <v>8</v>
      </c>
      <c r="ES54" s="621">
        <v>2</v>
      </c>
      <c r="ET54" s="621"/>
      <c r="EU54" s="621"/>
      <c r="EV54" s="138"/>
      <c r="EW54" s="138"/>
      <c r="EX54" s="621">
        <v>8</v>
      </c>
      <c r="EY54" s="621">
        <v>2</v>
      </c>
      <c r="EZ54" s="97"/>
      <c r="FA54" s="97"/>
      <c r="FB54" s="644"/>
      <c r="FC54" s="644"/>
      <c r="FD54" s="644">
        <v>8</v>
      </c>
      <c r="FE54" s="644">
        <v>2</v>
      </c>
      <c r="FF54" s="636"/>
      <c r="FG54" s="636"/>
      <c r="FH54" s="102"/>
      <c r="FI54" s="102"/>
      <c r="FJ54" s="621">
        <v>8</v>
      </c>
      <c r="FK54" s="621">
        <v>3</v>
      </c>
      <c r="FL54" s="97"/>
      <c r="FM54" s="97"/>
      <c r="FN54" s="102"/>
      <c r="FO54" s="102"/>
      <c r="FP54" s="621">
        <v>8</v>
      </c>
      <c r="FQ54" s="621">
        <v>2</v>
      </c>
      <c r="FR54" s="99"/>
      <c r="FS54" s="99"/>
      <c r="FT54" s="131"/>
      <c r="FU54" s="131"/>
      <c r="FV54" s="621">
        <v>8</v>
      </c>
      <c r="FW54" s="621">
        <v>2</v>
      </c>
      <c r="FX54" s="99"/>
      <c r="FY54" s="99"/>
      <c r="FZ54" s="102"/>
      <c r="GA54" s="102"/>
      <c r="GB54" s="613"/>
      <c r="GC54" s="613"/>
      <c r="GD54" s="74"/>
      <c r="GE54" s="124"/>
      <c r="GF54" s="125">
        <f>SUM(COUNTIFS(N54:GE54,"&gt;0",$N$9:$GE$9,"GC"),COUNTIFS(N54:GE54,"&gt;0",$N$9:$GE$9,"GC1"),COUNTIFS(N54:GE54,"&gt;0",$N$9:$GE$9,"GC2"))</f>
        <v>15</v>
      </c>
      <c r="GG54" s="126">
        <f>SUMIF($N$9:$GE$9,"GC",$N54:$GE54)</f>
        <v>48</v>
      </c>
      <c r="GH54" s="126">
        <f>SUMIF($N$9:$GE$9,"GC1",$N54:$GE54)</f>
        <v>72</v>
      </c>
      <c r="GI54" s="126">
        <f>SUMIF($N$9:$GE$9,"GC2",$N54:$GE54)</f>
        <v>0</v>
      </c>
      <c r="GJ54" s="126">
        <f>SUMIF($N$9:$GE$9,"TC",$N54:$GE54)</f>
        <v>26</v>
      </c>
      <c r="GK54" s="126">
        <f>SUMIF($N$9:$GE$9,"TC1",$N54:$GE54)</f>
        <v>19</v>
      </c>
      <c r="GL54" s="126">
        <f>SUMIF($N$9:$GE$9,"TC2",$N54:$GE54)</f>
        <v>0</v>
      </c>
      <c r="GM54" s="126">
        <f>SUMIF($N$9:$GE$9,"WK-D",$N54:$GE54)+SUMIF($N$9:$GE$9,"WK-TC",$N54:$GE54)</f>
        <v>32</v>
      </c>
      <c r="GN54" s="126">
        <f>SUMIF($N$9:$GE$9,"WK-D1",$N54:$GE54)+SUMIF($N$9:$GE$9,"WK-TC1",$N54:$GE54)</f>
        <v>10</v>
      </c>
      <c r="GO54" s="126">
        <f>SUMIF($N$9:$GE$9,"WK-D2",$N54:$GE54)+SUMIF($N$9:$GE$9,"WK-TC2",$N54:$GE54)</f>
        <v>0</v>
      </c>
      <c r="GP54" s="126">
        <f>SUMIF($N$9:$GE$9,"HOD",$N54:$GE54)</f>
        <v>0</v>
      </c>
      <c r="GQ54" s="126">
        <f>SUMIF($N$9:$GE$9,"HOD1",$N54:$GE54)</f>
        <v>0</v>
      </c>
      <c r="GR54" s="126">
        <f>SUMIF($N$9:$GE$9,"HOD2",$N54:$GE54)</f>
        <v>0</v>
      </c>
      <c r="GS54" s="162">
        <f t="shared" si="38"/>
        <v>6570500</v>
      </c>
      <c r="GT54" s="97" t="str">
        <f>IF(SUM(COUNTIFS(N54:GC54,"&gt;0",$N$9:$GC$9,"GC"),COUNTIFS(N54:GC54,"&gt;0",$N$9:$GC$9,"GC1"),COUNTIFS(N54:GC54,"&gt;0",$N$9:$GC$9,"GC2"),COUNTIFS(N54:GC54,"&gt;0",$N$9:$GC$9,"WK-D"),COUNTIFS(N54:GC54,"&gt;0",$N$9:$GC$9,"WK-D1"),COUNTIFS(N54:GC54,"&gt;0",$N$9:$GC$9,"WK-D2"))&gt;3,"Đ","K")</f>
        <v>Đ</v>
      </c>
      <c r="GU54" s="97">
        <f t="shared" si="39"/>
        <v>6570500</v>
      </c>
      <c r="GV54" s="97">
        <f>SUM(COUNTIFS(N54:GC54,"&gt;2",$N$9:$GC$9,"GC"),COUNTIFS(N54:GC54,"&gt;2",$N$9:$GC$9,"GC1"),COUNTIFS(N54:GC54,"&gt;2",$N$9:$GC$9,"GC2"))</f>
        <v>15</v>
      </c>
      <c r="GW54" s="162">
        <f t="shared" si="32"/>
        <v>0</v>
      </c>
      <c r="GX54" s="162">
        <f>SUM(COUNTIFS(N54:GC54,"&gt;2",$N$9:$GC$9,"GC"),COUNTIFS(N54:GC54,"&gt;2",$N$9:$GC$9,"GC1"),COUNTIFS(N54:GC54,"&gt;2",$N$9:$GC$9,"GC2"),COUNTIFS(N54:GC54,"&gt;2",$N$9:$GC$9,"WK-D"),COUNTIFS(N54:GC54,"&gt;2",$N$9:$GC$9,"WK-D1"),COUNTIFS(N54:GC54,"&gt;2",$N$9:$GC$9,"WK-D2"))*$GX$10</f>
        <v>196551.72413793104</v>
      </c>
      <c r="GY54" s="162">
        <f t="shared" si="33"/>
        <v>156521.73913043478</v>
      </c>
      <c r="GZ54" s="162">
        <f>COUNTIF($N54:$GC54,"CP")</f>
        <v>0</v>
      </c>
      <c r="HA54" s="162">
        <f>COUNTIF($N54:$GC54,"KP")</f>
        <v>0</v>
      </c>
      <c r="HB54" s="162">
        <f>COUNTIF($N54:$GC54,"ĐP")</f>
        <v>0</v>
      </c>
      <c r="HC54" s="162">
        <f>COUNTIF($N54:$GC54,"ĐD")</f>
        <v>0</v>
      </c>
      <c r="HD54" s="162">
        <f>COUNTIF($N54:$GC54,"TPL")</f>
        <v>0</v>
      </c>
      <c r="HE54" s="162">
        <f>COUNTIF($N54:$GC54,"ĐPL")</f>
        <v>0</v>
      </c>
      <c r="HF54" s="162">
        <f t="shared" si="40"/>
        <v>0</v>
      </c>
      <c r="HG54" s="156" t="str">
        <f>VLOOKUP(B54,'data nguồn'!B:N,13,0)</f>
        <v>1016764730</v>
      </c>
      <c r="HH54" s="159" t="str">
        <f>VLOOKUP(B54,'data nguồn'!B:P,15,0)</f>
        <v>Nguyễn Thị Linh Chi</v>
      </c>
      <c r="HI54" s="163" t="str">
        <f>VLOOKUP(B54,'data nguồn'!B:P,14,0)</f>
        <v>VCB Hải Phòng</v>
      </c>
    </row>
    <row r="55" spans="1:220" s="134" customFormat="1" ht="15">
      <c r="A55" s="73">
        <v>45</v>
      </c>
      <c r="B55" s="121" t="s">
        <v>868</v>
      </c>
      <c r="C55" s="859" t="s">
        <v>869</v>
      </c>
      <c r="D55" s="646">
        <v>42102</v>
      </c>
      <c r="E55" s="121" t="s">
        <v>131</v>
      </c>
      <c r="F55" s="164" t="s">
        <v>870</v>
      </c>
      <c r="G55" s="164"/>
      <c r="H55" s="641">
        <v>200914</v>
      </c>
      <c r="I55" s="641" t="s">
        <v>126</v>
      </c>
      <c r="J55" s="642" t="s">
        <v>124</v>
      </c>
      <c r="K55" s="97"/>
      <c r="L55" s="97"/>
      <c r="M55" s="638"/>
      <c r="N55" s="132"/>
      <c r="O55" s="132"/>
      <c r="P55" s="639"/>
      <c r="Q55" s="639"/>
      <c r="R55" s="132"/>
      <c r="S55" s="132"/>
      <c r="T55" s="615"/>
      <c r="U55" s="615"/>
      <c r="V55" s="603"/>
      <c r="W55" s="603"/>
      <c r="X55" s="630"/>
      <c r="Y55" s="639"/>
      <c r="Z55" s="102"/>
      <c r="AA55" s="603"/>
      <c r="AB55" s="630"/>
      <c r="AC55" s="630"/>
      <c r="AD55" s="640"/>
      <c r="AE55" s="99"/>
      <c r="AF55" s="127"/>
      <c r="AG55" s="127"/>
      <c r="AH55" s="99"/>
      <c r="AI55" s="99"/>
      <c r="AJ55" s="105"/>
      <c r="AK55" s="105"/>
      <c r="AL55" s="127"/>
      <c r="AM55" s="127"/>
      <c r="AN55" s="636"/>
      <c r="AO55" s="636"/>
      <c r="AP55" s="104"/>
      <c r="AQ55" s="104"/>
      <c r="AR55" s="606"/>
      <c r="AS55" s="606"/>
      <c r="AT55" s="97"/>
      <c r="AU55" s="97"/>
      <c r="AV55" s="97"/>
      <c r="AW55" s="97"/>
      <c r="AX55" s="606"/>
      <c r="AY55" s="606"/>
      <c r="AZ55" s="97"/>
      <c r="BA55" s="97"/>
      <c r="BB55" s="132"/>
      <c r="BC55" s="132"/>
      <c r="BD55" s="606"/>
      <c r="BE55" s="606"/>
      <c r="BF55" s="104"/>
      <c r="BG55" s="104"/>
      <c r="BH55" s="606"/>
      <c r="BI55" s="606"/>
      <c r="BJ55" s="97"/>
      <c r="BK55" s="97"/>
      <c r="BL55" s="104"/>
      <c r="BM55" s="104"/>
      <c r="BN55" s="606"/>
      <c r="BO55" s="606"/>
      <c r="BP55" s="97"/>
      <c r="BQ55" s="97"/>
      <c r="BR55" s="131"/>
      <c r="BS55" s="129"/>
      <c r="BT55" s="606"/>
      <c r="BU55" s="606"/>
      <c r="BV55" s="97"/>
      <c r="BW55" s="97"/>
      <c r="BX55" s="635"/>
      <c r="BY55" s="635"/>
      <c r="BZ55" s="608"/>
      <c r="CA55" s="608"/>
      <c r="CB55" s="636"/>
      <c r="CC55" s="636"/>
      <c r="CD55" s="144">
        <v>7</v>
      </c>
      <c r="CE55" s="144">
        <v>0</v>
      </c>
      <c r="CF55" s="606"/>
      <c r="CG55" s="606"/>
      <c r="CH55" s="97"/>
      <c r="CI55" s="97"/>
      <c r="CJ55" s="634">
        <v>8</v>
      </c>
      <c r="CK55" s="634">
        <v>3</v>
      </c>
      <c r="CL55" s="606"/>
      <c r="CM55" s="606"/>
      <c r="CN55" s="132"/>
      <c r="CO55" s="132"/>
      <c r="CP55" s="634">
        <v>8</v>
      </c>
      <c r="CQ55" s="634">
        <v>3</v>
      </c>
      <c r="CR55" s="606"/>
      <c r="CS55" s="606"/>
      <c r="CT55" s="104">
        <v>8</v>
      </c>
      <c r="CU55" s="104">
        <v>5</v>
      </c>
      <c r="CV55" s="606"/>
      <c r="CW55" s="606"/>
      <c r="CX55" s="97"/>
      <c r="CY55" s="97"/>
      <c r="CZ55" s="102">
        <v>8</v>
      </c>
      <c r="DA55" s="104">
        <v>5</v>
      </c>
      <c r="DB55" s="606"/>
      <c r="DC55" s="606"/>
      <c r="DD55" s="97"/>
      <c r="DE55" s="97"/>
      <c r="DF55" s="607">
        <v>8</v>
      </c>
      <c r="DG55" s="607">
        <v>3</v>
      </c>
      <c r="DH55" s="608"/>
      <c r="DI55" s="608"/>
      <c r="DJ55" s="636"/>
      <c r="DK55" s="636"/>
      <c r="DL55" s="637">
        <v>8</v>
      </c>
      <c r="DM55" s="637">
        <v>3</v>
      </c>
      <c r="DN55" s="608"/>
      <c r="DO55" s="608"/>
      <c r="DP55" s="636"/>
      <c r="DQ55" s="636"/>
      <c r="DR55" s="104">
        <v>8</v>
      </c>
      <c r="DS55" s="104">
        <v>3</v>
      </c>
      <c r="DT55" s="621"/>
      <c r="DU55" s="621"/>
      <c r="DV55" s="97"/>
      <c r="DW55" s="97"/>
      <c r="DX55" s="104">
        <v>8</v>
      </c>
      <c r="DY55" s="104">
        <v>3</v>
      </c>
      <c r="DZ55" s="621"/>
      <c r="EA55" s="621"/>
      <c r="EB55" s="97"/>
      <c r="EC55" s="97"/>
      <c r="ED55" s="104">
        <v>8</v>
      </c>
      <c r="EE55" s="104">
        <v>3</v>
      </c>
      <c r="EF55" s="621"/>
      <c r="EG55" s="621"/>
      <c r="EH55" s="99"/>
      <c r="EI55" s="99"/>
      <c r="EJ55" s="104">
        <v>8</v>
      </c>
      <c r="EK55" s="104">
        <v>3</v>
      </c>
      <c r="EL55" s="606"/>
      <c r="EM55" s="606"/>
      <c r="EN55" s="97"/>
      <c r="EO55" s="97"/>
      <c r="EP55" s="102">
        <v>8</v>
      </c>
      <c r="EQ55" s="102">
        <v>3</v>
      </c>
      <c r="ER55" s="606"/>
      <c r="ES55" s="606"/>
      <c r="ET55" s="97"/>
      <c r="EU55" s="97"/>
      <c r="EV55" s="102">
        <v>8</v>
      </c>
      <c r="EW55" s="102">
        <v>3</v>
      </c>
      <c r="EX55" s="606"/>
      <c r="EY55" s="606"/>
      <c r="EZ55" s="97"/>
      <c r="FA55" s="97"/>
      <c r="FB55" s="644">
        <v>8</v>
      </c>
      <c r="FC55" s="644">
        <v>3</v>
      </c>
      <c r="FD55" s="644"/>
      <c r="FE55" s="644"/>
      <c r="FF55" s="636"/>
      <c r="FG55" s="636"/>
      <c r="FH55" s="102">
        <v>8</v>
      </c>
      <c r="FI55" s="102">
        <v>3</v>
      </c>
      <c r="FJ55" s="621"/>
      <c r="FK55" s="621"/>
      <c r="FL55" s="97"/>
      <c r="FM55" s="97"/>
      <c r="FN55" s="102">
        <v>8</v>
      </c>
      <c r="FO55" s="102">
        <v>3</v>
      </c>
      <c r="FP55" s="621"/>
      <c r="FQ55" s="621"/>
      <c r="FR55" s="99"/>
      <c r="FS55" s="99"/>
      <c r="FT55" s="131">
        <v>8</v>
      </c>
      <c r="FU55" s="131">
        <v>3</v>
      </c>
      <c r="FV55" s="621"/>
      <c r="FW55" s="621"/>
      <c r="FX55" s="99"/>
      <c r="FY55" s="99"/>
      <c r="FZ55" s="102"/>
      <c r="GA55" s="102"/>
      <c r="GB55" s="613"/>
      <c r="GC55" s="613"/>
      <c r="GD55" s="74"/>
      <c r="GE55" s="124"/>
      <c r="GF55" s="125">
        <f>SUM(COUNTIFS(N55:GE55,"&gt;0",$N$9:$GE$9,"GC"),COUNTIFS(N55:GE55,"&gt;0",$N$9:$GE$9,"GC1"),COUNTIFS(N55:GE55,"&gt;0",$N$9:$GE$9,"GC2"))</f>
        <v>14</v>
      </c>
      <c r="GG55" s="126">
        <f>SUMIF($N$9:$GE$9,"GC",$N55:$GE55)</f>
        <v>111</v>
      </c>
      <c r="GH55" s="126">
        <f>SUMIF($N$9:$GE$9,"GC1",$N55:$GE55)</f>
        <v>0</v>
      </c>
      <c r="GI55" s="126">
        <f>SUMIF($N$9:$GE$9,"GC2",$N55:$GE55)</f>
        <v>0</v>
      </c>
      <c r="GJ55" s="126">
        <f>SUMIF($N$9:$GE$9,"TC",$N55:$GE55)</f>
        <v>43</v>
      </c>
      <c r="GK55" s="126">
        <f>SUMIF($N$9:$GE$9,"TC1",$N55:$GE55)</f>
        <v>0</v>
      </c>
      <c r="GL55" s="126">
        <f>SUMIF($N$9:$GE$9,"TC2",$N55:$GE55)</f>
        <v>0</v>
      </c>
      <c r="GM55" s="126">
        <f>SUMIF($N$9:$GE$9,"WK-D",$N55:$GE55)+SUMIF($N$9:$GE$9,"WK-TC",$N55:$GE55)</f>
        <v>33</v>
      </c>
      <c r="GN55" s="126">
        <f>SUMIF($N$9:$GE$9,"WK-D1",$N55:$GE55)+SUMIF($N$9:$GE$9,"WK-TC1",$N55:$GE55)</f>
        <v>0</v>
      </c>
      <c r="GO55" s="126">
        <f>SUMIF($N$9:$GE$9,"WK-D2",$N55:$GE55)+SUMIF($N$9:$GE$9,"WK-TC2",$N55:$GE55)</f>
        <v>0</v>
      </c>
      <c r="GP55" s="126">
        <f>SUMIF($N$9:$GE$9,"HOD",$N55:$GE55)</f>
        <v>0</v>
      </c>
      <c r="GQ55" s="126">
        <f>SUMIF($N$9:$GE$9,"HOD1",$N55:$GE55)</f>
        <v>0</v>
      </c>
      <c r="GR55" s="126">
        <f>SUMIF($N$9:$GE$9,"HOD2",$N55:$GE55)</f>
        <v>0</v>
      </c>
      <c r="GS55" s="162">
        <f t="shared" si="38"/>
        <v>5494250</v>
      </c>
      <c r="GT55" s="97" t="str">
        <f>IF(SUM(COUNTIFS(N55:GC55,"&gt;0",$N$9:$GC$9,"GC"),COUNTIFS(N55:GC55,"&gt;0",$N$9:$GC$9,"GC1"),COUNTIFS(N55:GC55,"&gt;0",$N$9:$GC$9,"GC2"),COUNTIFS(N55:GC55,"&gt;0",$N$9:$GC$9,"WK-D"),COUNTIFS(N55:GC55,"&gt;0",$N$9:$GC$9,"WK-D1"),COUNTIFS(N55:GC55,"&gt;0",$N$9:$GC$9,"WK-D2"))&gt;3,"Đ","K")</f>
        <v>Đ</v>
      </c>
      <c r="GU55" s="97">
        <f t="shared" si="39"/>
        <v>5494250</v>
      </c>
      <c r="GV55" s="97">
        <f>SUM(COUNTIFS(N55:GC55,"&gt;2",$N$9:$GC$9,"GC"),COUNTIFS(N55:GC55,"&gt;2",$N$9:$GC$9,"GC1"),COUNTIFS(N55:GC55,"&gt;2",$N$9:$GC$9,"GC2"))</f>
        <v>14</v>
      </c>
      <c r="GW55" s="162">
        <f t="shared" si="32"/>
        <v>0</v>
      </c>
      <c r="GX55" s="162">
        <f>SUM(COUNTIFS(N55:GC55,"&gt;2",$N$9:$GC$9,"GC"),COUNTIFS(N55:GC55,"&gt;2",$N$9:$GC$9,"GC1"),COUNTIFS(N55:GC55,"&gt;2",$N$9:$GC$9,"GC2"),COUNTIFS(N55:GC55,"&gt;2",$N$9:$GC$9,"WK-D"),COUNTIFS(N55:GC55,"&gt;2",$N$9:$GC$9,"WK-D1"),COUNTIFS(N55:GC55,"&gt;2",$N$9:$GC$9,"WK-D2"))*$GX$10</f>
        <v>175862.06896551725</v>
      </c>
      <c r="GY55" s="162">
        <f t="shared" si="33"/>
        <v>146086.95652173914</v>
      </c>
      <c r="GZ55" s="162">
        <f>COUNTIF($N55:$GC55,"CP")</f>
        <v>0</v>
      </c>
      <c r="HA55" s="162">
        <f>COUNTIF($N55:$GC55,"KP")</f>
        <v>0</v>
      </c>
      <c r="HB55" s="162">
        <f>COUNTIF($N55:$GC55,"ĐP")</f>
        <v>0</v>
      </c>
      <c r="HC55" s="162">
        <f>COUNTIF($N55:$GC55,"ĐD")</f>
        <v>0</v>
      </c>
      <c r="HD55" s="162">
        <f>COUNTIF($N55:$GC55,"TPL")</f>
        <v>0</v>
      </c>
      <c r="HE55" s="162">
        <f>COUNTIF($N55:$GC55,"ĐPL")</f>
        <v>0</v>
      </c>
      <c r="HF55" s="162">
        <f t="shared" si="40"/>
        <v>0</v>
      </c>
      <c r="HG55" s="156" t="e">
        <f>VLOOKUP(B55,'data nguồn'!B:N,13,0)</f>
        <v>#N/A</v>
      </c>
      <c r="HH55" s="159" t="e">
        <f>VLOOKUP(B55,'data nguồn'!B:P,15,0)</f>
        <v>#N/A</v>
      </c>
      <c r="HI55" s="163" t="e">
        <f>VLOOKUP(B55,'data nguồn'!B:P,14,0)</f>
        <v>#N/A</v>
      </c>
      <c r="HK55" s="95"/>
      <c r="HL55" s="95"/>
    </row>
    <row r="56" spans="1:220" s="95" customFormat="1" ht="15">
      <c r="A56" s="73">
        <v>46</v>
      </c>
      <c r="B56" s="140" t="s">
        <v>871</v>
      </c>
      <c r="C56" s="858" t="s">
        <v>872</v>
      </c>
      <c r="D56" s="647">
        <v>43987</v>
      </c>
      <c r="E56" s="140" t="s">
        <v>131</v>
      </c>
      <c r="F56" s="618" t="s">
        <v>873</v>
      </c>
      <c r="G56" s="618"/>
      <c r="H56" s="641">
        <v>200914</v>
      </c>
      <c r="I56" s="641" t="s">
        <v>126</v>
      </c>
      <c r="J56" s="642" t="s">
        <v>124</v>
      </c>
      <c r="K56" s="97"/>
      <c r="L56" s="97"/>
      <c r="M56" s="638">
        <v>44093</v>
      </c>
      <c r="N56" s="132"/>
      <c r="O56" s="132"/>
      <c r="P56" s="639"/>
      <c r="Q56" s="639"/>
      <c r="R56" s="132"/>
      <c r="S56" s="132"/>
      <c r="T56" s="615"/>
      <c r="U56" s="615"/>
      <c r="V56" s="603"/>
      <c r="W56" s="603"/>
      <c r="X56" s="630"/>
      <c r="Y56" s="639"/>
      <c r="Z56" s="102"/>
      <c r="AA56" s="603"/>
      <c r="AB56" s="630"/>
      <c r="AC56" s="630"/>
      <c r="AD56" s="640"/>
      <c r="AE56" s="99"/>
      <c r="AF56" s="127"/>
      <c r="AG56" s="127"/>
      <c r="AH56" s="99"/>
      <c r="AI56" s="99"/>
      <c r="AJ56" s="105"/>
      <c r="AK56" s="105"/>
      <c r="AL56" s="127"/>
      <c r="AM56" s="127"/>
      <c r="AN56" s="636"/>
      <c r="AO56" s="636"/>
      <c r="AP56" s="104"/>
      <c r="AQ56" s="104"/>
      <c r="AR56" s="606"/>
      <c r="AS56" s="606"/>
      <c r="AT56" s="97"/>
      <c r="AU56" s="97"/>
      <c r="AV56" s="97"/>
      <c r="AW56" s="97"/>
      <c r="AX56" s="606"/>
      <c r="AY56" s="606"/>
      <c r="AZ56" s="97"/>
      <c r="BA56" s="97"/>
      <c r="BB56" s="132"/>
      <c r="BC56" s="132"/>
      <c r="BD56" s="606"/>
      <c r="BE56" s="606"/>
      <c r="BF56" s="104"/>
      <c r="BG56" s="104"/>
      <c r="BH56" s="606"/>
      <c r="BI56" s="606"/>
      <c r="BJ56" s="97"/>
      <c r="BK56" s="97"/>
      <c r="BL56" s="104"/>
      <c r="BM56" s="104"/>
      <c r="BN56" s="606"/>
      <c r="BO56" s="606"/>
      <c r="BP56" s="97"/>
      <c r="BQ56" s="97"/>
      <c r="BR56" s="131"/>
      <c r="BS56" s="129"/>
      <c r="BT56" s="606"/>
      <c r="BU56" s="606"/>
      <c r="BV56" s="97"/>
      <c r="BW56" s="97"/>
      <c r="BX56" s="635"/>
      <c r="BY56" s="635"/>
      <c r="BZ56" s="608"/>
      <c r="CA56" s="608"/>
      <c r="CB56" s="636"/>
      <c r="CC56" s="636"/>
      <c r="CD56" s="144">
        <v>7</v>
      </c>
      <c r="CE56" s="144">
        <v>0</v>
      </c>
      <c r="CF56" s="606"/>
      <c r="CG56" s="606"/>
      <c r="CH56" s="97"/>
      <c r="CI56" s="97"/>
      <c r="CJ56" s="634">
        <v>8</v>
      </c>
      <c r="CK56" s="634">
        <v>3</v>
      </c>
      <c r="CL56" s="606"/>
      <c r="CM56" s="606"/>
      <c r="CN56" s="132"/>
      <c r="CO56" s="132"/>
      <c r="CP56" s="634">
        <v>8</v>
      </c>
      <c r="CQ56" s="634">
        <v>3</v>
      </c>
      <c r="CR56" s="606"/>
      <c r="CS56" s="606"/>
      <c r="CT56" s="104">
        <v>8</v>
      </c>
      <c r="CU56" s="104">
        <v>3</v>
      </c>
      <c r="CV56" s="606"/>
      <c r="CW56" s="606"/>
      <c r="CX56" s="97"/>
      <c r="CY56" s="97"/>
      <c r="CZ56" s="102">
        <v>8</v>
      </c>
      <c r="DA56" s="104">
        <v>3</v>
      </c>
      <c r="DB56" s="606"/>
      <c r="DC56" s="606"/>
      <c r="DD56" s="97"/>
      <c r="DE56" s="97"/>
      <c r="DF56" s="607" t="s">
        <v>874</v>
      </c>
      <c r="DG56" s="607"/>
      <c r="DH56" s="608"/>
      <c r="DI56" s="608"/>
      <c r="DJ56" s="636"/>
      <c r="DK56" s="636"/>
      <c r="DL56" s="637"/>
      <c r="DM56" s="637"/>
      <c r="DN56" s="608"/>
      <c r="DO56" s="608"/>
      <c r="DP56" s="636"/>
      <c r="DQ56" s="636"/>
      <c r="DR56" s="104"/>
      <c r="DS56" s="104"/>
      <c r="DT56" s="621"/>
      <c r="DU56" s="621"/>
      <c r="DV56" s="97"/>
      <c r="DW56" s="97"/>
      <c r="DX56" s="104"/>
      <c r="DY56" s="104"/>
      <c r="DZ56" s="621"/>
      <c r="EA56" s="621"/>
      <c r="EB56" s="97"/>
      <c r="EC56" s="97"/>
      <c r="ED56" s="104"/>
      <c r="EE56" s="104"/>
      <c r="EF56" s="621"/>
      <c r="EG56" s="621"/>
      <c r="EH56" s="99"/>
      <c r="EI56" s="99"/>
      <c r="EJ56" s="104"/>
      <c r="EK56" s="104"/>
      <c r="EL56" s="606"/>
      <c r="EM56" s="606"/>
      <c r="EN56" s="97"/>
      <c r="EO56" s="97"/>
      <c r="EP56" s="102"/>
      <c r="EQ56" s="102"/>
      <c r="ER56" s="606"/>
      <c r="ES56" s="606"/>
      <c r="ET56" s="97"/>
      <c r="EU56" s="97"/>
      <c r="EV56" s="102"/>
      <c r="EW56" s="102"/>
      <c r="EX56" s="606"/>
      <c r="EY56" s="606"/>
      <c r="EZ56" s="97"/>
      <c r="FA56" s="97"/>
      <c r="FB56" s="644"/>
      <c r="FC56" s="644"/>
      <c r="FD56" s="644"/>
      <c r="FE56" s="644"/>
      <c r="FF56" s="636"/>
      <c r="FG56" s="636"/>
      <c r="FH56" s="102"/>
      <c r="FI56" s="102"/>
      <c r="FJ56" s="621"/>
      <c r="FK56" s="621"/>
      <c r="FL56" s="97"/>
      <c r="FM56" s="97"/>
      <c r="FN56" s="102"/>
      <c r="FO56" s="102"/>
      <c r="FP56" s="621"/>
      <c r="FQ56" s="621"/>
      <c r="FR56" s="99"/>
      <c r="FS56" s="99"/>
      <c r="FT56" s="131"/>
      <c r="FU56" s="131"/>
      <c r="FV56" s="621"/>
      <c r="FW56" s="621"/>
      <c r="FX56" s="99"/>
      <c r="FY56" s="99"/>
      <c r="FZ56" s="102"/>
      <c r="GA56" s="102"/>
      <c r="GB56" s="613"/>
      <c r="GC56" s="613"/>
      <c r="GD56" s="74"/>
      <c r="GE56" s="74"/>
      <c r="GF56" s="125">
        <f>SUM(COUNTIFS(N56:GE56,"&gt;0",$N$9:$GE$9,"GC"),COUNTIFS(N56:GE56,"&gt;0",$N$9:$GE$9,"GC1"),COUNTIFS(N56:GE56,"&gt;0",$N$9:$GE$9,"GC2"))</f>
        <v>5</v>
      </c>
      <c r="GG56" s="126">
        <f>SUMIF($N$9:$GE$9,"GC",$N56:$GE56)</f>
        <v>39</v>
      </c>
      <c r="GH56" s="126">
        <f>SUMIF($N$9:$GE$9,"GC1",$N56:$GE56)</f>
        <v>0</v>
      </c>
      <c r="GI56" s="126">
        <f>SUMIF($N$9:$GE$9,"GC2",$N56:$GE56)</f>
        <v>0</v>
      </c>
      <c r="GJ56" s="126">
        <f>SUMIF($N$9:$GE$9,"TC",$N56:$GE56)</f>
        <v>12</v>
      </c>
      <c r="GK56" s="126">
        <f>SUMIF($N$9:$GE$9,"TC1",$N56:$GE56)</f>
        <v>0</v>
      </c>
      <c r="GL56" s="126">
        <f>SUMIF($N$9:$GE$9,"TC2",$N56:$GE56)</f>
        <v>0</v>
      </c>
      <c r="GM56" s="126">
        <f>SUMIF($N$9:$GE$9,"WK-D",$N56:$GE56)+SUMIF($N$9:$GE$9,"WK-TC",$N56:$GE56)</f>
        <v>0</v>
      </c>
      <c r="GN56" s="126">
        <f>SUMIF($N$9:$GE$9,"WK-D1",$N56:$GE56)+SUMIF($N$9:$GE$9,"WK-TC1",$N56:$GE56)</f>
        <v>0</v>
      </c>
      <c r="GO56" s="126">
        <f>SUMIF($N$9:$GE$9,"WK-D2",$N56:$GE56)+SUMIF($N$9:$GE$9,"WK-TC2",$N56:$GE56)</f>
        <v>0</v>
      </c>
      <c r="GP56" s="126">
        <f>SUMIF($N$9:$GE$9,"HOD",$N56:$GE56)</f>
        <v>0</v>
      </c>
      <c r="GQ56" s="126">
        <f>SUMIF($N$9:$GE$9,"HOD1",$N56:$GE56)</f>
        <v>0</v>
      </c>
      <c r="GR56" s="126">
        <f>SUMIF($N$9:$GE$9,"HOD2",$N56:$GE56)</f>
        <v>0</v>
      </c>
      <c r="GS56" s="162">
        <f t="shared" si="38"/>
        <v>1300500</v>
      </c>
      <c r="GT56" s="97" t="str">
        <f>IF(SUM(COUNTIFS(N56:GC56,"&gt;0",$N$9:$GC$9,"GC"),COUNTIFS(N56:GC56,"&gt;0",$N$9:$GC$9,"GC1"),COUNTIFS(N56:GC56,"&gt;0",$N$9:$GC$9,"GC2"),COUNTIFS(N56:GC56,"&gt;0",$N$9:$GC$9,"WK-D"),COUNTIFS(N56:GC56,"&gt;0",$N$9:$GC$9,"WK-D1"),COUNTIFS(N56:GC56,"&gt;0",$N$9:$GC$9,"WK-D2"))&gt;3,"Đ","K")</f>
        <v>Đ</v>
      </c>
      <c r="GU56" s="97">
        <f t="shared" si="39"/>
        <v>1300500</v>
      </c>
      <c r="GV56" s="97">
        <f>SUM(COUNTIFS(N56:GC56,"&gt;2",$N$9:$GC$9,"GC"),COUNTIFS(N56:GC56,"&gt;2",$N$9:$GC$9,"GC1"),COUNTIFS(N56:GC56,"&gt;2",$N$9:$GC$9,"GC2"))</f>
        <v>5</v>
      </c>
      <c r="GW56" s="162">
        <f t="shared" si="32"/>
        <v>0</v>
      </c>
      <c r="GX56" s="162">
        <f>SUM(COUNTIFS(N56:GC56,"&gt;2",$N$9:$GC$9,"GC"),COUNTIFS(N56:GC56,"&gt;2",$N$9:$GC$9,"GC1"),COUNTIFS(N56:GC56,"&gt;2",$N$9:$GC$9,"GC2"),COUNTIFS(N56:GC56,"&gt;2",$N$9:$GC$9,"WK-D"),COUNTIFS(N56:GC56,"&gt;2",$N$9:$GC$9,"WK-D1"),COUNTIFS(N56:GC56,"&gt;2",$N$9:$GC$9,"WK-D2"))*$GX$10</f>
        <v>51724.137931034486</v>
      </c>
      <c r="GY56" s="162">
        <f t="shared" si="33"/>
        <v>52173.913043478256</v>
      </c>
      <c r="GZ56" s="162">
        <f>COUNTIF($N56:$GC56,"CP")</f>
        <v>0</v>
      </c>
      <c r="HA56" s="162">
        <f>COUNTIF($N56:$GC56,"KP")</f>
        <v>0</v>
      </c>
      <c r="HB56" s="162">
        <f>COUNTIF($N56:$GC56,"ĐP")</f>
        <v>0</v>
      </c>
      <c r="HC56" s="162">
        <f>COUNTIF($N56:$GC56,"ĐD")</f>
        <v>0</v>
      </c>
      <c r="HD56" s="162">
        <f>COUNTIF($N56:$GC56,"TPL")</f>
        <v>0</v>
      </c>
      <c r="HE56" s="162">
        <f>COUNTIF($N56:$GC56,"ĐPL")</f>
        <v>0</v>
      </c>
      <c r="HF56" s="162">
        <f t="shared" si="40"/>
        <v>0</v>
      </c>
      <c r="HG56" s="156" t="e">
        <f>VLOOKUP(B56,'data nguồn'!B:N,13,0)</f>
        <v>#N/A</v>
      </c>
      <c r="HH56" s="159" t="e">
        <f>VLOOKUP(B56,'data nguồn'!B:P,15,0)</f>
        <v>#N/A</v>
      </c>
      <c r="HI56" s="163" t="e">
        <f>VLOOKUP(B56,'data nguồn'!B:P,14,0)</f>
        <v>#N/A</v>
      </c>
    </row>
    <row r="57" spans="1:220" s="95" customFormat="1" ht="15">
      <c r="A57" s="811">
        <v>47</v>
      </c>
      <c r="B57" s="812" t="s">
        <v>0</v>
      </c>
      <c r="C57" s="860"/>
      <c r="D57" s="813"/>
      <c r="E57" s="813"/>
      <c r="F57" s="813" t="s">
        <v>875</v>
      </c>
      <c r="G57" s="813"/>
      <c r="H57" s="814"/>
      <c r="I57" s="814" t="s">
        <v>567</v>
      </c>
      <c r="J57" s="815" t="s">
        <v>124</v>
      </c>
      <c r="K57" s="812"/>
      <c r="L57" s="812"/>
      <c r="M57" s="816"/>
      <c r="N57" s="812"/>
      <c r="O57" s="812"/>
      <c r="P57" s="812"/>
      <c r="Q57" s="812"/>
      <c r="R57" s="812"/>
      <c r="S57" s="812"/>
      <c r="T57" s="817"/>
      <c r="U57" s="817"/>
      <c r="V57" s="818"/>
      <c r="W57" s="818"/>
      <c r="X57" s="818"/>
      <c r="Y57" s="812"/>
      <c r="Z57" s="819"/>
      <c r="AA57" s="818"/>
      <c r="AB57" s="818"/>
      <c r="AC57" s="818"/>
      <c r="AD57" s="820"/>
      <c r="AE57" s="812"/>
      <c r="AF57" s="821"/>
      <c r="AG57" s="821"/>
      <c r="AH57" s="812"/>
      <c r="AI57" s="812"/>
      <c r="AJ57" s="822"/>
      <c r="AK57" s="822"/>
      <c r="AL57" s="821"/>
      <c r="AM57" s="821"/>
      <c r="AN57" s="812"/>
      <c r="AO57" s="812"/>
      <c r="AP57" s="822"/>
      <c r="AQ57" s="822"/>
      <c r="AR57" s="821"/>
      <c r="AS57" s="821"/>
      <c r="AT57" s="812"/>
      <c r="AU57" s="812"/>
      <c r="AV57" s="812"/>
      <c r="AW57" s="812"/>
      <c r="AX57" s="821"/>
      <c r="AY57" s="821"/>
      <c r="AZ57" s="812"/>
      <c r="BA57" s="812"/>
      <c r="BB57" s="812"/>
      <c r="BC57" s="812"/>
      <c r="BD57" s="821"/>
      <c r="BE57" s="821"/>
      <c r="BF57" s="822"/>
      <c r="BG57" s="822"/>
      <c r="BH57" s="821"/>
      <c r="BI57" s="821"/>
      <c r="BJ57" s="812"/>
      <c r="BK57" s="812"/>
      <c r="BL57" s="822"/>
      <c r="BM57" s="822"/>
      <c r="BN57" s="821"/>
      <c r="BO57" s="821"/>
      <c r="BP57" s="812"/>
      <c r="BQ57" s="812"/>
      <c r="BR57" s="819"/>
      <c r="BS57" s="812"/>
      <c r="BT57" s="821"/>
      <c r="BU57" s="821"/>
      <c r="BV57" s="812"/>
      <c r="BW57" s="812"/>
      <c r="BX57" s="823"/>
      <c r="BY57" s="823"/>
      <c r="BZ57" s="821"/>
      <c r="CA57" s="821"/>
      <c r="CB57" s="812"/>
      <c r="CC57" s="812"/>
      <c r="CD57" s="823"/>
      <c r="CE57" s="823"/>
      <c r="CF57" s="821"/>
      <c r="CG57" s="821"/>
      <c r="CH57" s="812"/>
      <c r="CI57" s="812"/>
      <c r="CJ57" s="822">
        <v>8</v>
      </c>
      <c r="CK57" s="822">
        <v>5</v>
      </c>
      <c r="CL57" s="821"/>
      <c r="CM57" s="821"/>
      <c r="CN57" s="812"/>
      <c r="CO57" s="812"/>
      <c r="CP57" s="822"/>
      <c r="CQ57" s="822"/>
      <c r="CR57" s="821"/>
      <c r="CS57" s="821"/>
      <c r="CT57" s="822"/>
      <c r="CU57" s="822"/>
      <c r="CV57" s="821"/>
      <c r="CW57" s="821"/>
      <c r="CX57" s="812"/>
      <c r="CY57" s="812"/>
      <c r="CZ57" s="819"/>
      <c r="DA57" s="822"/>
      <c r="DB57" s="821"/>
      <c r="DC57" s="821"/>
      <c r="DD57" s="812"/>
      <c r="DE57" s="812"/>
      <c r="DF57" s="824"/>
      <c r="DG57" s="824"/>
      <c r="DH57" s="821"/>
      <c r="DI57" s="821"/>
      <c r="DJ57" s="812"/>
      <c r="DK57" s="812"/>
      <c r="DL57" s="822"/>
      <c r="DM57" s="822"/>
      <c r="DN57" s="821"/>
      <c r="DO57" s="821"/>
      <c r="DP57" s="812"/>
      <c r="DQ57" s="812"/>
      <c r="DR57" s="822"/>
      <c r="DS57" s="822"/>
      <c r="DT57" s="824"/>
      <c r="DU57" s="824"/>
      <c r="DV57" s="812"/>
      <c r="DW57" s="812"/>
      <c r="DX57" s="822"/>
      <c r="DY57" s="822"/>
      <c r="DZ57" s="824"/>
      <c r="EA57" s="824"/>
      <c r="EB57" s="812"/>
      <c r="EC57" s="812"/>
      <c r="ED57" s="822"/>
      <c r="EE57" s="822"/>
      <c r="EF57" s="824"/>
      <c r="EG57" s="824"/>
      <c r="EH57" s="812"/>
      <c r="EI57" s="812"/>
      <c r="EJ57" s="822"/>
      <c r="EK57" s="822"/>
      <c r="EL57" s="821"/>
      <c r="EM57" s="821"/>
      <c r="EN57" s="812"/>
      <c r="EO57" s="812"/>
      <c r="EP57" s="819"/>
      <c r="EQ57" s="819"/>
      <c r="ER57" s="821"/>
      <c r="ES57" s="821"/>
      <c r="ET57" s="812"/>
      <c r="EU57" s="812"/>
      <c r="EV57" s="819"/>
      <c r="EW57" s="819"/>
      <c r="EX57" s="824">
        <v>8</v>
      </c>
      <c r="EY57" s="824">
        <v>2</v>
      </c>
      <c r="EZ57" s="812"/>
      <c r="FA57" s="812"/>
      <c r="FB57" s="819"/>
      <c r="FC57" s="819"/>
      <c r="FD57" s="819"/>
      <c r="FE57" s="819"/>
      <c r="FF57" s="812"/>
      <c r="FG57" s="812"/>
      <c r="FH57" s="819"/>
      <c r="FI57" s="819"/>
      <c r="FJ57" s="824"/>
      <c r="FK57" s="824"/>
      <c r="FL57" s="812"/>
      <c r="FM57" s="812"/>
      <c r="FN57" s="819"/>
      <c r="FO57" s="819"/>
      <c r="FP57" s="824"/>
      <c r="FQ57" s="824"/>
      <c r="FR57" s="812"/>
      <c r="FS57" s="812"/>
      <c r="FT57" s="819"/>
      <c r="FU57" s="819"/>
      <c r="FV57" s="824"/>
      <c r="FW57" s="824"/>
      <c r="FX57" s="812"/>
      <c r="FY57" s="812"/>
      <c r="FZ57" s="819"/>
      <c r="GA57" s="819"/>
      <c r="GB57" s="825"/>
      <c r="GC57" s="825"/>
      <c r="GD57" s="451"/>
      <c r="GE57" s="451"/>
      <c r="GF57" s="826">
        <f>SUM(COUNTIFS(N57:GE57,"&gt;0",$N$9:$GE$9,"GC"),COUNTIFS(N57:GE57,"&gt;0",$N$9:$GE$9,"GC1"),COUNTIFS(N57:GE57,"&gt;0",$N$9:$GE$9,"GC2"))</f>
        <v>2</v>
      </c>
      <c r="GG57" s="827">
        <f>SUMIF($N$9:$GE$9,"GC",$N57:$GE57)</f>
        <v>8</v>
      </c>
      <c r="GH57" s="827">
        <f>SUMIF($N$9:$GE$9,"GC1",$N57:$GE57)</f>
        <v>8</v>
      </c>
      <c r="GI57" s="827">
        <f>SUMIF($N$9:$GE$9,"GC2",$N57:$GE57)</f>
        <v>0</v>
      </c>
      <c r="GJ57" s="827">
        <f>SUMIF($N$9:$GE$9,"TC",$N57:$GE57)</f>
        <v>5</v>
      </c>
      <c r="GK57" s="827">
        <f>SUMIF($N$9:$GE$9,"TC1",$N57:$GE57)</f>
        <v>2</v>
      </c>
      <c r="GL57" s="827">
        <f>SUMIF($N$9:$GE$9,"TC2",$N57:$GE57)</f>
        <v>0</v>
      </c>
      <c r="GM57" s="827">
        <f>SUMIF($N$9:$GE$9,"WK-D",$N57:$GE57)+SUMIF($N$9:$GE$9,"WK-TC",$N57:$GE57)</f>
        <v>0</v>
      </c>
      <c r="GN57" s="827">
        <f>SUMIF($N$9:$GE$9,"WK-D1",$N57:$GE57)+SUMIF($N$9:$GE$9,"WK-TC1",$N57:$GE57)</f>
        <v>0</v>
      </c>
      <c r="GO57" s="827">
        <f>SUMIF($N$9:$GE$9,"WK-D2",$N57:$GE57)+SUMIF($N$9:$GE$9,"WK-TC2",$N57:$GE57)</f>
        <v>0</v>
      </c>
      <c r="GP57" s="827">
        <f>SUMIF($N$9:$GE$9,"HOD",$N57:$GE57)</f>
        <v>0</v>
      </c>
      <c r="GQ57" s="827">
        <f>SUMIF($N$9:$GE$9,"HOD1",$N57:$GE57)</f>
        <v>0</v>
      </c>
      <c r="GR57" s="827">
        <f>SUMIF($N$9:$GE$9,"HOD2",$N57:$GE57)</f>
        <v>0</v>
      </c>
      <c r="GS57" s="828">
        <v>314000</v>
      </c>
      <c r="GT57" s="812" t="s">
        <v>809</v>
      </c>
      <c r="GU57" s="828">
        <f t="shared" si="39"/>
        <v>0</v>
      </c>
      <c r="GV57" s="812">
        <f>SUM(COUNTIFS(N57:GC57,"&gt;2",$N$9:$GC$9,"GC"),COUNTIFS(N57:GC57,"&gt;2",$N$9:$GC$9,"GC1"),COUNTIFS(N57:GC57,"&gt;2",$N$9:$GC$9,"GC2"))</f>
        <v>2</v>
      </c>
      <c r="GW57" s="828">
        <f t="shared" si="32"/>
        <v>0</v>
      </c>
      <c r="GX57" s="162">
        <f>SUM(COUNTIFS(N57:GC57,"&gt;2",$N$9:$GC$9,"GC"),COUNTIFS(N57:GC57,"&gt;2",$N$9:$GC$9,"GC1"),COUNTIFS(N57:GC57,"&gt;2",$N$9:$GC$9,"GC2"),COUNTIFS(N57:GC57,"&gt;2",$N$9:$GC$9,"WK-D"),COUNTIFS(N57:GC57,"&gt;2",$N$9:$GC$9,"WK-D1"),COUNTIFS(N57:GC57,"&gt;2",$N$9:$GC$9,"WK-D2"))*$GX$10</f>
        <v>20689.655172413793</v>
      </c>
      <c r="GY57" s="828">
        <f t="shared" si="33"/>
        <v>0</v>
      </c>
      <c r="GZ57" s="828">
        <f>COUNTIF($N57:$GC57,"CP")</f>
        <v>0</v>
      </c>
      <c r="HA57" s="828">
        <f>COUNTIF($N57:$GC57,"KP")</f>
        <v>0</v>
      </c>
      <c r="HB57" s="828">
        <f>COUNTIF($N57:$GC57,"ĐP")</f>
        <v>0</v>
      </c>
      <c r="HC57" s="828">
        <f>COUNTIF($N57:$GC57,"ĐD")</f>
        <v>0</v>
      </c>
      <c r="HD57" s="828">
        <f>COUNTIF($N57:$GC57,"TPL")</f>
        <v>0</v>
      </c>
      <c r="HE57" s="828">
        <f>COUNTIF($N57:$GC57,"ĐPL")</f>
        <v>0</v>
      </c>
      <c r="HF57" s="828">
        <f t="shared" si="40"/>
        <v>0</v>
      </c>
      <c r="HG57" s="156" t="e">
        <f>VLOOKUP(B57,'data nguồn'!B:N,13,0)</f>
        <v>#N/A</v>
      </c>
      <c r="HH57" s="159" t="e">
        <f>VLOOKUP(B57,'data nguồn'!B:P,15,0)</f>
        <v>#N/A</v>
      </c>
      <c r="HI57" s="163" t="e">
        <f>VLOOKUP(B57,'data nguồn'!B:P,14,0)</f>
        <v>#N/A</v>
      </c>
      <c r="HJ57" s="95" t="s">
        <v>1030</v>
      </c>
    </row>
    <row r="58" spans="1:220" s="95" customFormat="1" ht="15">
      <c r="A58" s="73">
        <v>48</v>
      </c>
      <c r="B58" s="645" t="s">
        <v>876</v>
      </c>
      <c r="C58" s="861" t="s">
        <v>1018</v>
      </c>
      <c r="D58" s="645" t="s">
        <v>877</v>
      </c>
      <c r="E58" s="645" t="s">
        <v>502</v>
      </c>
      <c r="F58" s="645" t="s">
        <v>878</v>
      </c>
      <c r="G58" s="645"/>
      <c r="H58" s="97">
        <v>200918</v>
      </c>
      <c r="I58" s="641" t="s">
        <v>127</v>
      </c>
      <c r="J58" s="642" t="s">
        <v>124</v>
      </c>
      <c r="K58" s="97"/>
      <c r="L58" s="97"/>
      <c r="M58" s="638"/>
      <c r="N58" s="132"/>
      <c r="O58" s="132"/>
      <c r="P58" s="639"/>
      <c r="Q58" s="639"/>
      <c r="R58" s="132"/>
      <c r="S58" s="132"/>
      <c r="T58" s="615"/>
      <c r="U58" s="615"/>
      <c r="V58" s="97"/>
      <c r="W58" s="97"/>
      <c r="X58" s="639"/>
      <c r="Y58" s="639"/>
      <c r="Z58" s="102"/>
      <c r="AA58" s="97"/>
      <c r="AB58" s="606"/>
      <c r="AC58" s="606"/>
      <c r="AD58" s="106"/>
      <c r="AE58" s="99"/>
      <c r="AF58" s="127"/>
      <c r="AG58" s="127"/>
      <c r="AH58" s="99"/>
      <c r="AI58" s="99"/>
      <c r="AJ58" s="105"/>
      <c r="AK58" s="105"/>
      <c r="AL58" s="127"/>
      <c r="AM58" s="127"/>
      <c r="AN58" s="636"/>
      <c r="AO58" s="636"/>
      <c r="AP58" s="104"/>
      <c r="AQ58" s="104"/>
      <c r="AR58" s="606"/>
      <c r="AS58" s="606"/>
      <c r="AT58" s="97"/>
      <c r="AU58" s="97"/>
      <c r="AV58" s="97"/>
      <c r="AW58" s="97"/>
      <c r="AX58" s="606"/>
      <c r="AY58" s="606"/>
      <c r="AZ58" s="97"/>
      <c r="BA58" s="97"/>
      <c r="BB58" s="132"/>
      <c r="BC58" s="132"/>
      <c r="BD58" s="606"/>
      <c r="BE58" s="606"/>
      <c r="BF58" s="104"/>
      <c r="BG58" s="104"/>
      <c r="BH58" s="606"/>
      <c r="BI58" s="606"/>
      <c r="BJ58" s="97"/>
      <c r="BK58" s="97"/>
      <c r="BL58" s="104"/>
      <c r="BM58" s="104"/>
      <c r="BN58" s="606"/>
      <c r="BO58" s="606"/>
      <c r="BP58" s="97"/>
      <c r="BQ58" s="97"/>
      <c r="BR58" s="131"/>
      <c r="BS58" s="132"/>
      <c r="BT58" s="606"/>
      <c r="BU58" s="606"/>
      <c r="BV58" s="97"/>
      <c r="BW58" s="97"/>
      <c r="BX58" s="635"/>
      <c r="BY58" s="635"/>
      <c r="BZ58" s="608"/>
      <c r="CA58" s="608"/>
      <c r="CB58" s="636"/>
      <c r="CC58" s="636"/>
      <c r="CD58" s="144"/>
      <c r="CE58" s="144"/>
      <c r="CF58" s="606"/>
      <c r="CG58" s="606"/>
      <c r="CH58" s="97"/>
      <c r="CI58" s="97"/>
      <c r="CJ58" s="634"/>
      <c r="CK58" s="634"/>
      <c r="CL58" s="606"/>
      <c r="CM58" s="606"/>
      <c r="CN58" s="132"/>
      <c r="CO58" s="132"/>
      <c r="CP58" s="634"/>
      <c r="CQ58" s="634"/>
      <c r="CR58" s="606"/>
      <c r="CS58" s="606"/>
      <c r="CT58" s="104"/>
      <c r="CU58" s="104"/>
      <c r="CV58" s="606"/>
      <c r="CW58" s="606"/>
      <c r="CX58" s="97"/>
      <c r="CY58" s="97"/>
      <c r="CZ58" s="102">
        <v>8</v>
      </c>
      <c r="DA58" s="104">
        <v>5</v>
      </c>
      <c r="DB58" s="606"/>
      <c r="DC58" s="606"/>
      <c r="DD58" s="97"/>
      <c r="DE58" s="97"/>
      <c r="DF58" s="607">
        <v>8</v>
      </c>
      <c r="DG58" s="607">
        <v>5</v>
      </c>
      <c r="DH58" s="608"/>
      <c r="DI58" s="608"/>
      <c r="DJ58" s="636"/>
      <c r="DK58" s="636"/>
      <c r="DL58" s="637">
        <v>8</v>
      </c>
      <c r="DM58" s="637">
        <v>3</v>
      </c>
      <c r="DN58" s="608"/>
      <c r="DO58" s="608"/>
      <c r="DP58" s="636"/>
      <c r="DQ58" s="636"/>
      <c r="DR58" s="104">
        <v>8</v>
      </c>
      <c r="DS58" s="104">
        <v>5</v>
      </c>
      <c r="DT58" s="621"/>
      <c r="DU58" s="621"/>
      <c r="DV58" s="97"/>
      <c r="DW58" s="97"/>
      <c r="DX58" s="104">
        <v>8</v>
      </c>
      <c r="DY58" s="104">
        <v>5</v>
      </c>
      <c r="DZ58" s="621"/>
      <c r="EA58" s="621"/>
      <c r="EB58" s="97"/>
      <c r="EC58" s="97"/>
      <c r="ED58" s="104">
        <v>8</v>
      </c>
      <c r="EE58" s="104">
        <v>3</v>
      </c>
      <c r="EF58" s="621"/>
      <c r="EG58" s="621"/>
      <c r="EH58" s="99"/>
      <c r="EI58" s="99"/>
      <c r="EJ58" s="104">
        <v>8</v>
      </c>
      <c r="EK58" s="104">
        <v>5</v>
      </c>
      <c r="EL58" s="606"/>
      <c r="EM58" s="606"/>
      <c r="EN58" s="97"/>
      <c r="EO58" s="97"/>
      <c r="EP58" s="102">
        <v>8</v>
      </c>
      <c r="EQ58" s="102">
        <v>5</v>
      </c>
      <c r="ER58" s="606"/>
      <c r="ES58" s="606"/>
      <c r="ET58" s="97"/>
      <c r="EU58" s="97"/>
      <c r="EV58" s="102">
        <v>8</v>
      </c>
      <c r="EW58" s="102">
        <v>5</v>
      </c>
      <c r="EX58" s="621"/>
      <c r="EY58" s="621"/>
      <c r="EZ58" s="97"/>
      <c r="FA58" s="97"/>
      <c r="FB58" s="644">
        <v>8</v>
      </c>
      <c r="FC58" s="644">
        <v>0</v>
      </c>
      <c r="FD58" s="644"/>
      <c r="FE58" s="644"/>
      <c r="FF58" s="636"/>
      <c r="FG58" s="636"/>
      <c r="FH58" s="102">
        <v>8</v>
      </c>
      <c r="FI58" s="102">
        <v>5</v>
      </c>
      <c r="FJ58" s="621"/>
      <c r="FK58" s="621"/>
      <c r="FL58" s="97"/>
      <c r="FM58" s="97"/>
      <c r="FN58" s="102">
        <v>8</v>
      </c>
      <c r="FO58" s="102">
        <v>5</v>
      </c>
      <c r="FP58" s="621"/>
      <c r="FQ58" s="621"/>
      <c r="FR58" s="99"/>
      <c r="FS58" s="99"/>
      <c r="FT58" s="131">
        <v>8</v>
      </c>
      <c r="FU58" s="131">
        <v>3</v>
      </c>
      <c r="FV58" s="621"/>
      <c r="FW58" s="621"/>
      <c r="FX58" s="99"/>
      <c r="FY58" s="99"/>
      <c r="FZ58" s="102"/>
      <c r="GA58" s="102"/>
      <c r="GB58" s="613"/>
      <c r="GC58" s="613"/>
      <c r="GD58" s="74"/>
      <c r="GE58" s="74"/>
      <c r="GF58" s="125">
        <f>SUM(COUNTIFS(N58:GE58,"&gt;0",$N$9:$GE$9,"GC"),COUNTIFS(N58:GE58,"&gt;0",$N$9:$GE$9,"GC1"),COUNTIFS(N58:GE58,"&gt;0",$N$9:$GE$9,"GC2"))</f>
        <v>10</v>
      </c>
      <c r="GG58" s="126">
        <f>SUMIF($N$9:$GE$9,"GC",$N58:$GE58)</f>
        <v>80</v>
      </c>
      <c r="GH58" s="126">
        <f>SUMIF($N$9:$GE$9,"GC1",$N58:$GE58)</f>
        <v>0</v>
      </c>
      <c r="GI58" s="126">
        <f>SUMIF($N$9:$GE$9,"GC2",$N58:$GE58)</f>
        <v>0</v>
      </c>
      <c r="GJ58" s="126">
        <f>SUMIF($N$9:$GE$9,"TC",$N58:$GE58)</f>
        <v>46</v>
      </c>
      <c r="GK58" s="126">
        <f>SUMIF($N$9:$GE$9,"TC1",$N58:$GE58)</f>
        <v>0</v>
      </c>
      <c r="GL58" s="126">
        <f>SUMIF($N$9:$GE$9,"TC2",$N58:$GE58)</f>
        <v>0</v>
      </c>
      <c r="GM58" s="126">
        <f>SUMIF($N$9:$GE$9,"WK-D",$N58:$GE58)+SUMIF($N$9:$GE$9,"WK-TC",$N58:$GE58)</f>
        <v>32</v>
      </c>
      <c r="GN58" s="126">
        <f>SUMIF($N$9:$GE$9,"WK-D1",$N58:$GE58)+SUMIF($N$9:$GE$9,"WK-TC1",$N58:$GE58)</f>
        <v>0</v>
      </c>
      <c r="GO58" s="126">
        <f>SUMIF($N$9:$GE$9,"WK-D2",$N58:$GE58)+SUMIF($N$9:$GE$9,"WK-TC2",$N58:$GE58)</f>
        <v>0</v>
      </c>
      <c r="GP58" s="126">
        <f>SUMIF($N$9:$GE$9,"HOD",$N58:$GE58)</f>
        <v>0</v>
      </c>
      <c r="GQ58" s="126">
        <f>SUMIF($N$9:$GE$9,"HOD1",$N58:$GE58)</f>
        <v>0</v>
      </c>
      <c r="GR58" s="126">
        <f>SUMIF($N$9:$GE$9,"HOD2",$N58:$GE58)</f>
        <v>0</v>
      </c>
      <c r="GS58" s="162">
        <f t="shared" si="38"/>
        <v>4816000</v>
      </c>
      <c r="GT58" s="97" t="str">
        <f>IF(SUM(COUNTIFS(N58:GC58,"&gt;0",$N$9:$GC$9,"GC"),COUNTIFS(N58:GC58,"&gt;0",$N$9:$GC$9,"GC1"),COUNTIFS(N58:GC58,"&gt;0",$N$9:$GC$9,"GC2"),COUNTIFS(N58:GC58,"&gt;0",$N$9:$GC$9,"WK-D"),COUNTIFS(N58:GC58,"&gt;0",$N$9:$GC$9,"WK-D1"),COUNTIFS(N58:GC58,"&gt;0",$N$9:$GC$9,"WK-D2"))&gt;3,"Đ","K")</f>
        <v>Đ</v>
      </c>
      <c r="GU58" s="97">
        <f t="shared" si="39"/>
        <v>4816000</v>
      </c>
      <c r="GV58" s="97">
        <f>SUM(COUNTIFS(N58:GC58,"&gt;2",$N$9:$GC$9,"GC"),COUNTIFS(N58:GC58,"&gt;2",$N$9:$GC$9,"GC1"),COUNTIFS(N58:GC58,"&gt;2",$N$9:$GC$9,"GC2"))</f>
        <v>10</v>
      </c>
      <c r="GW58" s="162">
        <f t="shared" si="32"/>
        <v>0</v>
      </c>
      <c r="GX58" s="162">
        <f>SUM(COUNTIFS(N58:GC58,"&gt;2",$N$9:$GC$9,"GC"),COUNTIFS(N58:GC58,"&gt;2",$N$9:$GC$9,"GC1"),COUNTIFS(N58:GC58,"&gt;2",$N$9:$GC$9,"GC2"),COUNTIFS(N58:GC58,"&gt;2",$N$9:$GC$9,"WK-D"),COUNTIFS(N58:GC58,"&gt;2",$N$9:$GC$9,"WK-D1"),COUNTIFS(N58:GC58,"&gt;2",$N$9:$GC$9,"WK-D2"))*$GX$10</f>
        <v>134482.75862068965</v>
      </c>
      <c r="GY58" s="162">
        <f t="shared" si="33"/>
        <v>104347.82608695651</v>
      </c>
      <c r="GZ58" s="162">
        <f>COUNTIF($N58:$GC58,"CP")</f>
        <v>0</v>
      </c>
      <c r="HA58" s="162">
        <f>COUNTIF($N58:$GC58,"KP")</f>
        <v>0</v>
      </c>
      <c r="HB58" s="162">
        <f>COUNTIF($N58:$GC58,"ĐP")</f>
        <v>0</v>
      </c>
      <c r="HC58" s="162">
        <f>COUNTIF($N58:$GC58,"ĐD")</f>
        <v>0</v>
      </c>
      <c r="HD58" s="162">
        <f>COUNTIF($N58:$GC58,"TPL")</f>
        <v>0</v>
      </c>
      <c r="HE58" s="162">
        <f>COUNTIF($N58:$GC58,"ĐPL")</f>
        <v>0</v>
      </c>
      <c r="HF58" s="162">
        <f t="shared" si="40"/>
        <v>0</v>
      </c>
      <c r="HG58" s="156" t="e">
        <f>VLOOKUP(B58,'data nguồn'!B:N,13,0)</f>
        <v>#N/A</v>
      </c>
      <c r="HH58" s="159" t="e">
        <f>VLOOKUP(B58,'data nguồn'!B:P,15,0)</f>
        <v>#N/A</v>
      </c>
      <c r="HI58" s="163" t="e">
        <f>VLOOKUP(B58,'data nguồn'!B:P,14,0)</f>
        <v>#N/A</v>
      </c>
    </row>
    <row r="59" spans="1:220" s="95" customFormat="1" ht="15">
      <c r="A59" s="73">
        <v>49</v>
      </c>
      <c r="B59" s="645" t="s">
        <v>879</v>
      </c>
      <c r="C59" s="861" t="s">
        <v>880</v>
      </c>
      <c r="D59" s="645" t="s">
        <v>877</v>
      </c>
      <c r="E59" s="645" t="s">
        <v>502</v>
      </c>
      <c r="F59" s="645" t="s">
        <v>881</v>
      </c>
      <c r="G59" s="645"/>
      <c r="H59" s="97">
        <v>200919</v>
      </c>
      <c r="I59" s="641" t="s">
        <v>126</v>
      </c>
      <c r="J59" s="642" t="s">
        <v>124</v>
      </c>
      <c r="K59" s="97"/>
      <c r="L59" s="97"/>
      <c r="M59" s="638"/>
      <c r="N59" s="132"/>
      <c r="O59" s="132"/>
      <c r="P59" s="639"/>
      <c r="Q59" s="639"/>
      <c r="R59" s="132"/>
      <c r="S59" s="132"/>
      <c r="T59" s="615"/>
      <c r="U59" s="615"/>
      <c r="V59" s="97"/>
      <c r="W59" s="97"/>
      <c r="X59" s="639"/>
      <c r="Y59" s="639"/>
      <c r="Z59" s="102"/>
      <c r="AA59" s="97"/>
      <c r="AB59" s="606"/>
      <c r="AC59" s="606"/>
      <c r="AD59" s="106"/>
      <c r="AE59" s="99"/>
      <c r="AF59" s="127"/>
      <c r="AG59" s="127"/>
      <c r="AH59" s="99"/>
      <c r="AI59" s="99"/>
      <c r="AJ59" s="105"/>
      <c r="AK59" s="105"/>
      <c r="AL59" s="127"/>
      <c r="AM59" s="127"/>
      <c r="AN59" s="636"/>
      <c r="AO59" s="636"/>
      <c r="AP59" s="104"/>
      <c r="AQ59" s="104"/>
      <c r="AR59" s="606"/>
      <c r="AS59" s="606"/>
      <c r="AT59" s="97"/>
      <c r="AU59" s="97"/>
      <c r="AV59" s="97"/>
      <c r="AW59" s="97"/>
      <c r="AX59" s="606"/>
      <c r="AY59" s="606"/>
      <c r="AZ59" s="97"/>
      <c r="BA59" s="97"/>
      <c r="BB59" s="132"/>
      <c r="BC59" s="132"/>
      <c r="BD59" s="606"/>
      <c r="BE59" s="606"/>
      <c r="BF59" s="104"/>
      <c r="BG59" s="104"/>
      <c r="BH59" s="606"/>
      <c r="BI59" s="606"/>
      <c r="BJ59" s="97"/>
      <c r="BK59" s="97"/>
      <c r="BL59" s="104"/>
      <c r="BM59" s="104"/>
      <c r="BN59" s="606"/>
      <c r="BO59" s="606"/>
      <c r="BP59" s="97"/>
      <c r="BQ59" s="97"/>
      <c r="BR59" s="131"/>
      <c r="BS59" s="132"/>
      <c r="BT59" s="606"/>
      <c r="BU59" s="606"/>
      <c r="BV59" s="97"/>
      <c r="BW59" s="97"/>
      <c r="BX59" s="635"/>
      <c r="BY59" s="635"/>
      <c r="BZ59" s="608"/>
      <c r="CA59" s="608"/>
      <c r="CB59" s="636"/>
      <c r="CC59" s="636"/>
      <c r="CD59" s="144"/>
      <c r="CE59" s="144"/>
      <c r="CF59" s="606"/>
      <c r="CG59" s="606"/>
      <c r="CH59" s="97"/>
      <c r="CI59" s="97"/>
      <c r="CJ59" s="634"/>
      <c r="CK59" s="634"/>
      <c r="CL59" s="606"/>
      <c r="CM59" s="606"/>
      <c r="CN59" s="132"/>
      <c r="CO59" s="132"/>
      <c r="CP59" s="634"/>
      <c r="CQ59" s="634"/>
      <c r="CR59" s="606"/>
      <c r="CS59" s="606"/>
      <c r="CT59" s="104"/>
      <c r="CU59" s="104"/>
      <c r="CV59" s="606"/>
      <c r="CW59" s="606"/>
      <c r="CX59" s="97"/>
      <c r="CY59" s="97"/>
      <c r="CZ59" s="102"/>
      <c r="DA59" s="104"/>
      <c r="DB59" s="606"/>
      <c r="DC59" s="606"/>
      <c r="DD59" s="97"/>
      <c r="DE59" s="97"/>
      <c r="DF59" s="607">
        <v>8</v>
      </c>
      <c r="DG59" s="607">
        <v>3</v>
      </c>
      <c r="DH59" s="608"/>
      <c r="DI59" s="608"/>
      <c r="DJ59" s="636"/>
      <c r="DK59" s="636"/>
      <c r="DL59" s="637">
        <v>8</v>
      </c>
      <c r="DM59" s="637">
        <v>3</v>
      </c>
      <c r="DN59" s="608"/>
      <c r="DO59" s="608"/>
      <c r="DP59" s="636"/>
      <c r="DQ59" s="636"/>
      <c r="DR59" s="104">
        <v>8</v>
      </c>
      <c r="DS59" s="104">
        <v>3</v>
      </c>
      <c r="DT59" s="621"/>
      <c r="DU59" s="621"/>
      <c r="DV59" s="97"/>
      <c r="DW59" s="97"/>
      <c r="DX59" s="104">
        <v>8</v>
      </c>
      <c r="DY59" s="104">
        <v>3</v>
      </c>
      <c r="DZ59" s="621"/>
      <c r="EA59" s="621"/>
      <c r="EB59" s="97"/>
      <c r="EC59" s="97"/>
      <c r="ED59" s="104">
        <v>8</v>
      </c>
      <c r="EE59" s="104">
        <v>3</v>
      </c>
      <c r="EF59" s="621"/>
      <c r="EG59" s="621"/>
      <c r="EH59" s="99"/>
      <c r="EI59" s="99"/>
      <c r="EJ59" s="104">
        <v>8</v>
      </c>
      <c r="EK59" s="104">
        <v>3</v>
      </c>
      <c r="EL59" s="606"/>
      <c r="EM59" s="606"/>
      <c r="EN59" s="97"/>
      <c r="EO59" s="97"/>
      <c r="EP59" s="102">
        <v>8</v>
      </c>
      <c r="EQ59" s="102">
        <v>3</v>
      </c>
      <c r="ER59" s="606"/>
      <c r="ES59" s="606"/>
      <c r="ET59" s="97"/>
      <c r="EU59" s="97"/>
      <c r="EV59" s="102">
        <v>8</v>
      </c>
      <c r="EW59" s="102">
        <v>3</v>
      </c>
      <c r="EX59" s="621"/>
      <c r="EY59" s="621"/>
      <c r="EZ59" s="97"/>
      <c r="FA59" s="97"/>
      <c r="FB59" s="644">
        <v>8</v>
      </c>
      <c r="FC59" s="644">
        <v>3</v>
      </c>
      <c r="FD59" s="644"/>
      <c r="FE59" s="644"/>
      <c r="FF59" s="636"/>
      <c r="FG59" s="636"/>
      <c r="FH59" s="102"/>
      <c r="FI59" s="102"/>
      <c r="FJ59" s="621">
        <v>8</v>
      </c>
      <c r="FK59" s="621">
        <v>3</v>
      </c>
      <c r="FL59" s="97"/>
      <c r="FM59" s="97"/>
      <c r="FN59" s="102"/>
      <c r="FO59" s="102"/>
      <c r="FP59" s="621">
        <v>8</v>
      </c>
      <c r="FQ59" s="621">
        <v>3</v>
      </c>
      <c r="FR59" s="99"/>
      <c r="FS59" s="99"/>
      <c r="FT59" s="131"/>
      <c r="FU59" s="131"/>
      <c r="FV59" s="621">
        <v>8</v>
      </c>
      <c r="FW59" s="621">
        <v>3</v>
      </c>
      <c r="FX59" s="99"/>
      <c r="FY59" s="99"/>
      <c r="FZ59" s="102"/>
      <c r="GA59" s="102"/>
      <c r="GB59" s="613"/>
      <c r="GC59" s="613"/>
      <c r="GD59" s="74"/>
      <c r="GE59" s="74"/>
      <c r="GF59" s="125">
        <f>SUM(COUNTIFS(N59:GE59,"&gt;0",$N$9:$GE$9,"GC"),COUNTIFS(N59:GE59,"&gt;0",$N$9:$GE$9,"GC1"),COUNTIFS(N59:GE59,"&gt;0",$N$9:$GE$9,"GC2"))</f>
        <v>9</v>
      </c>
      <c r="GG59" s="126">
        <f>SUMIF($N$9:$GE$9,"GC",$N59:$GE59)</f>
        <v>48</v>
      </c>
      <c r="GH59" s="126">
        <f>SUMIF($N$9:$GE$9,"GC1",$N59:$GE59)</f>
        <v>24</v>
      </c>
      <c r="GI59" s="126">
        <f>SUMIF($N$9:$GE$9,"GC2",$N59:$GE59)</f>
        <v>0</v>
      </c>
      <c r="GJ59" s="126">
        <f>SUMIF($N$9:$GE$9,"TC",$N59:$GE59)</f>
        <v>18</v>
      </c>
      <c r="GK59" s="126">
        <f>SUMIF($N$9:$GE$9,"TC1",$N59:$GE59)</f>
        <v>9</v>
      </c>
      <c r="GL59" s="126">
        <f>SUMIF($N$9:$GE$9,"TC2",$N59:$GE59)</f>
        <v>0</v>
      </c>
      <c r="GM59" s="126">
        <f>SUMIF($N$9:$GE$9,"WK-D",$N59:$GE59)+SUMIF($N$9:$GE$9,"WK-TC",$N59:$GE59)</f>
        <v>33</v>
      </c>
      <c r="GN59" s="126">
        <f>SUMIF($N$9:$GE$9,"WK-D1",$N59:$GE59)+SUMIF($N$9:$GE$9,"WK-TC1",$N59:$GE59)</f>
        <v>0</v>
      </c>
      <c r="GO59" s="126">
        <f>SUMIF($N$9:$GE$9,"WK-D2",$N59:$GE59)+SUMIF($N$9:$GE$9,"WK-TC2",$N59:$GE59)</f>
        <v>0</v>
      </c>
      <c r="GP59" s="126">
        <f>SUMIF($N$9:$GE$9,"HOD",$N59:$GE59)</f>
        <v>0</v>
      </c>
      <c r="GQ59" s="126">
        <f>SUMIF($N$9:$GE$9,"HOD1",$N59:$GE59)</f>
        <v>0</v>
      </c>
      <c r="GR59" s="126">
        <f>SUMIF($N$9:$GE$9,"HOD2",$N59:$GE59)</f>
        <v>0</v>
      </c>
      <c r="GS59" s="162">
        <f t="shared" si="38"/>
        <v>4200750</v>
      </c>
      <c r="GT59" s="97" t="str">
        <f>IF(SUM(COUNTIFS(N59:GC59,"&gt;0",$N$9:$GC$9,"GC"),COUNTIFS(N59:GC59,"&gt;0",$N$9:$GC$9,"GC1"),COUNTIFS(N59:GC59,"&gt;0",$N$9:$GC$9,"GC2"),COUNTIFS(N59:GC59,"&gt;0",$N$9:$GC$9,"WK-D"),COUNTIFS(N59:GC59,"&gt;0",$N$9:$GC$9,"WK-D1"),COUNTIFS(N59:GC59,"&gt;0",$N$9:$GC$9,"WK-D2"))&gt;3,"Đ","K")</f>
        <v>Đ</v>
      </c>
      <c r="GU59" s="97">
        <f t="shared" si="39"/>
        <v>4200750</v>
      </c>
      <c r="GV59" s="97">
        <f>SUM(COUNTIFS(N59:GC59,"&gt;2",$N$9:$GC$9,"GC"),COUNTIFS(N59:GC59,"&gt;2",$N$9:$GC$9,"GC1"),COUNTIFS(N59:GC59,"&gt;2",$N$9:$GC$9,"GC2"))</f>
        <v>9</v>
      </c>
      <c r="GW59" s="162">
        <f t="shared" si="32"/>
        <v>0</v>
      </c>
      <c r="GX59" s="162">
        <f>SUM(COUNTIFS(N59:GC59,"&gt;2",$N$9:$GC$9,"GC"),COUNTIFS(N59:GC59,"&gt;2",$N$9:$GC$9,"GC1"),COUNTIFS(N59:GC59,"&gt;2",$N$9:$GC$9,"GC2"),COUNTIFS(N59:GC59,"&gt;2",$N$9:$GC$9,"WK-D"),COUNTIFS(N59:GC59,"&gt;2",$N$9:$GC$9,"WK-D1"),COUNTIFS(N59:GC59,"&gt;2",$N$9:$GC$9,"WK-D2"))*$GX$10</f>
        <v>124137.93103448275</v>
      </c>
      <c r="GY59" s="162">
        <f t="shared" si="33"/>
        <v>93913.043478260865</v>
      </c>
      <c r="GZ59" s="162">
        <f>COUNTIF($N59:$GC59,"CP")</f>
        <v>0</v>
      </c>
      <c r="HA59" s="162">
        <f>COUNTIF($N59:$GC59,"KP")</f>
        <v>0</v>
      </c>
      <c r="HB59" s="162">
        <f>COUNTIF($N59:$GC59,"ĐP")</f>
        <v>0</v>
      </c>
      <c r="HC59" s="162">
        <f>COUNTIF($N59:$GC59,"ĐD")</f>
        <v>0</v>
      </c>
      <c r="HD59" s="162">
        <f>COUNTIF($N59:$GC59,"TPL")</f>
        <v>0</v>
      </c>
      <c r="HE59" s="162">
        <f>COUNTIF($N59:$GC59,"ĐPL")</f>
        <v>0</v>
      </c>
      <c r="HF59" s="162">
        <f t="shared" si="40"/>
        <v>0</v>
      </c>
      <c r="HG59" s="156" t="str">
        <f>VLOOKUP(B59,'data nguồn'!B:N,13,0)</f>
        <v>1016785941</v>
      </c>
      <c r="HH59" s="159" t="str">
        <f>VLOOKUP(B59,'data nguồn'!B:P,15,0)</f>
        <v>Hoàng Thị Thu Hiền</v>
      </c>
      <c r="HI59" s="163" t="str">
        <f>VLOOKUP(B59,'data nguồn'!B:P,14,0)</f>
        <v>VCB Hải Phòng</v>
      </c>
    </row>
    <row r="60" spans="1:220" s="95" customFormat="1" ht="15">
      <c r="A60" s="73">
        <v>50</v>
      </c>
      <c r="B60" s="645" t="s">
        <v>882</v>
      </c>
      <c r="C60" s="859"/>
      <c r="D60" s="645"/>
      <c r="E60" s="645"/>
      <c r="F60" s="645" t="s">
        <v>883</v>
      </c>
      <c r="G60" s="645"/>
      <c r="H60" s="97">
        <v>200919</v>
      </c>
      <c r="I60" s="641" t="s">
        <v>846</v>
      </c>
      <c r="J60" s="642" t="s">
        <v>124</v>
      </c>
      <c r="K60" s="97"/>
      <c r="L60" s="97"/>
      <c r="M60" s="638"/>
      <c r="N60" s="132"/>
      <c r="O60" s="132"/>
      <c r="P60" s="639"/>
      <c r="Q60" s="639"/>
      <c r="R60" s="132"/>
      <c r="S60" s="132"/>
      <c r="T60" s="615"/>
      <c r="U60" s="615"/>
      <c r="V60" s="97"/>
      <c r="W60" s="97"/>
      <c r="X60" s="639"/>
      <c r="Y60" s="639"/>
      <c r="Z60" s="102"/>
      <c r="AA60" s="97"/>
      <c r="AB60" s="606"/>
      <c r="AC60" s="606"/>
      <c r="AD60" s="106"/>
      <c r="AE60" s="99"/>
      <c r="AF60" s="127"/>
      <c r="AG60" s="127"/>
      <c r="AH60" s="99"/>
      <c r="AI60" s="99"/>
      <c r="AJ60" s="105"/>
      <c r="AK60" s="105"/>
      <c r="AL60" s="127"/>
      <c r="AM60" s="127"/>
      <c r="AN60" s="636"/>
      <c r="AO60" s="636"/>
      <c r="AP60" s="104"/>
      <c r="AQ60" s="104"/>
      <c r="AR60" s="606"/>
      <c r="AS60" s="606"/>
      <c r="AT60" s="97"/>
      <c r="AU60" s="97"/>
      <c r="AV60" s="97"/>
      <c r="AW60" s="97"/>
      <c r="AX60" s="606"/>
      <c r="AY60" s="606"/>
      <c r="AZ60" s="97"/>
      <c r="BA60" s="97"/>
      <c r="BB60" s="132"/>
      <c r="BC60" s="132"/>
      <c r="BD60" s="606"/>
      <c r="BE60" s="606"/>
      <c r="BF60" s="104"/>
      <c r="BG60" s="104"/>
      <c r="BH60" s="606"/>
      <c r="BI60" s="606"/>
      <c r="BJ60" s="97"/>
      <c r="BK60" s="97"/>
      <c r="BL60" s="104"/>
      <c r="BM60" s="104"/>
      <c r="BN60" s="606"/>
      <c r="BO60" s="606"/>
      <c r="BP60" s="97"/>
      <c r="BQ60" s="97"/>
      <c r="BR60" s="131"/>
      <c r="BS60" s="132"/>
      <c r="BT60" s="606"/>
      <c r="BU60" s="606"/>
      <c r="BV60" s="97"/>
      <c r="BW60" s="97"/>
      <c r="BX60" s="635"/>
      <c r="BY60" s="635"/>
      <c r="BZ60" s="608"/>
      <c r="CA60" s="608"/>
      <c r="CB60" s="636"/>
      <c r="CC60" s="636"/>
      <c r="CD60" s="144"/>
      <c r="CE60" s="144"/>
      <c r="CF60" s="606"/>
      <c r="CG60" s="606"/>
      <c r="CH60" s="97"/>
      <c r="CI60" s="97"/>
      <c r="CJ60" s="634"/>
      <c r="CK60" s="634"/>
      <c r="CL60" s="606"/>
      <c r="CM60" s="606"/>
      <c r="CN60" s="132"/>
      <c r="CO60" s="132"/>
      <c r="CP60" s="634"/>
      <c r="CQ60" s="634"/>
      <c r="CR60" s="606"/>
      <c r="CS60" s="606"/>
      <c r="CT60" s="104"/>
      <c r="CU60" s="104"/>
      <c r="CV60" s="606"/>
      <c r="CW60" s="606"/>
      <c r="CX60" s="97"/>
      <c r="CY60" s="97"/>
      <c r="CZ60" s="102"/>
      <c r="DA60" s="97"/>
      <c r="DB60" s="606"/>
      <c r="DC60" s="606"/>
      <c r="DD60" s="97"/>
      <c r="DE60" s="97"/>
      <c r="DF60" s="607">
        <v>8</v>
      </c>
      <c r="DG60" s="607">
        <v>5</v>
      </c>
      <c r="DH60" s="608"/>
      <c r="DI60" s="608"/>
      <c r="DJ60" s="636"/>
      <c r="DK60" s="636"/>
      <c r="DL60" s="637"/>
      <c r="DM60" s="637"/>
      <c r="DN60" s="608"/>
      <c r="DO60" s="608"/>
      <c r="DP60" s="636"/>
      <c r="DQ60" s="636"/>
      <c r="DR60" s="104"/>
      <c r="DS60" s="104"/>
      <c r="DT60" s="621"/>
      <c r="DU60" s="621"/>
      <c r="DV60" s="97"/>
      <c r="DW60" s="97"/>
      <c r="DX60" s="104"/>
      <c r="DY60" s="104"/>
      <c r="DZ60" s="621"/>
      <c r="EA60" s="621"/>
      <c r="EB60" s="97"/>
      <c r="EC60" s="97"/>
      <c r="ED60" s="104"/>
      <c r="EE60" s="104"/>
      <c r="EF60" s="621"/>
      <c r="EG60" s="621"/>
      <c r="EH60" s="99"/>
      <c r="EI60" s="99"/>
      <c r="EJ60" s="104"/>
      <c r="EK60" s="104"/>
      <c r="EL60" s="606"/>
      <c r="EM60" s="606"/>
      <c r="EN60" s="97"/>
      <c r="EO60" s="97"/>
      <c r="EP60" s="102"/>
      <c r="EQ60" s="102"/>
      <c r="ER60" s="606"/>
      <c r="ES60" s="606"/>
      <c r="ET60" s="97"/>
      <c r="EU60" s="97"/>
      <c r="EV60" s="102"/>
      <c r="EW60" s="102"/>
      <c r="EX60" s="621"/>
      <c r="EY60" s="621"/>
      <c r="EZ60" s="97"/>
      <c r="FA60" s="97"/>
      <c r="FB60" s="644"/>
      <c r="FC60" s="644"/>
      <c r="FD60" s="644"/>
      <c r="FE60" s="644"/>
      <c r="FF60" s="636"/>
      <c r="FG60" s="636"/>
      <c r="FH60" s="102"/>
      <c r="FI60" s="102"/>
      <c r="FJ60" s="621"/>
      <c r="FK60" s="621"/>
      <c r="FL60" s="97"/>
      <c r="FM60" s="97"/>
      <c r="FN60" s="102"/>
      <c r="FO60" s="102"/>
      <c r="FP60" s="621"/>
      <c r="FQ60" s="621"/>
      <c r="FR60" s="99"/>
      <c r="FS60" s="99"/>
      <c r="FT60" s="131"/>
      <c r="FU60" s="131"/>
      <c r="FV60" s="621"/>
      <c r="FW60" s="621"/>
      <c r="FX60" s="99"/>
      <c r="FY60" s="99"/>
      <c r="FZ60" s="102"/>
      <c r="GA60" s="102"/>
      <c r="GB60" s="613"/>
      <c r="GC60" s="613"/>
      <c r="GD60" s="74"/>
      <c r="GE60" s="74"/>
      <c r="GF60" s="125">
        <f>SUM(COUNTIFS(N60:GE60,"&gt;0",$N$9:$GE$9,"GC"),COUNTIFS(N60:GE60,"&gt;0",$N$9:$GE$9,"GC1"),COUNTIFS(N60:GE60,"&gt;0",$N$9:$GE$9,"GC2"))</f>
        <v>0</v>
      </c>
      <c r="GG60" s="126">
        <f>SUMIF($N$9:$GE$9,"GC",$N60:$GE60)</f>
        <v>0</v>
      </c>
      <c r="GH60" s="126">
        <f>SUMIF($N$9:$GE$9,"GC1",$N60:$GE60)</f>
        <v>0</v>
      </c>
      <c r="GI60" s="126">
        <f>SUMIF($N$9:$GE$9,"GC2",$N60:$GE60)</f>
        <v>0</v>
      </c>
      <c r="GJ60" s="126">
        <f>SUMIF($N$9:$GE$9,"TC",$N60:$GE60)</f>
        <v>0</v>
      </c>
      <c r="GK60" s="126">
        <f>SUMIF($N$9:$GE$9,"TC1",$N60:$GE60)</f>
        <v>0</v>
      </c>
      <c r="GL60" s="126">
        <f>SUMIF($N$9:$GE$9,"TC2",$N60:$GE60)</f>
        <v>0</v>
      </c>
      <c r="GM60" s="126">
        <f>SUMIF($N$9:$GE$9,"WK-D",$N60:$GE60)+SUMIF($N$9:$GE$9,"WK-TC",$N60:$GE60)</f>
        <v>13</v>
      </c>
      <c r="GN60" s="126">
        <f>SUMIF($N$9:$GE$9,"WK-D1",$N60:$GE60)+SUMIF($N$9:$GE$9,"WK-TC1",$N60:$GE60)</f>
        <v>0</v>
      </c>
      <c r="GO60" s="126">
        <f>SUMIF($N$9:$GE$9,"WK-D2",$N60:$GE60)+SUMIF($N$9:$GE$9,"WK-TC2",$N60:$GE60)</f>
        <v>0</v>
      </c>
      <c r="GP60" s="126">
        <f>SUMIF($N$9:$GE$9,"HOD",$N60:$GE60)</f>
        <v>0</v>
      </c>
      <c r="GQ60" s="126">
        <f>SUMIF($N$9:$GE$9,"HOD1",$N60:$GE60)</f>
        <v>0</v>
      </c>
      <c r="GR60" s="126">
        <f>SUMIF($N$9:$GE$9,"HOD2",$N60:$GE60)</f>
        <v>0</v>
      </c>
      <c r="GS60" s="162">
        <v>314000</v>
      </c>
      <c r="GT60" s="97" t="s">
        <v>639</v>
      </c>
      <c r="GU60" s="162">
        <f t="shared" si="39"/>
        <v>314000</v>
      </c>
      <c r="GV60" s="97">
        <f>SUM(COUNTIFS(N60:GC60,"&gt;2",$N$9:$GC$9,"GC"),COUNTIFS(N60:GC60,"&gt;2",$N$9:$GC$9,"GC1"),COUNTIFS(N60:GC60,"&gt;2",$N$9:$GC$9,"GC2"))</f>
        <v>0</v>
      </c>
      <c r="GW60" s="162">
        <f t="shared" si="32"/>
        <v>0</v>
      </c>
      <c r="GX60" s="162">
        <v>0</v>
      </c>
      <c r="GY60" s="162">
        <f t="shared" si="33"/>
        <v>0</v>
      </c>
      <c r="GZ60" s="162">
        <f>COUNTIF($N60:$GC60,"CP")</f>
        <v>0</v>
      </c>
      <c r="HA60" s="162">
        <f>COUNTIF($N60:$GC60,"KP")</f>
        <v>0</v>
      </c>
      <c r="HB60" s="162">
        <f>COUNTIF($N60:$GC60,"ĐP")</f>
        <v>0</v>
      </c>
      <c r="HC60" s="162">
        <f>COUNTIF($N60:$GC60,"ĐD")</f>
        <v>0</v>
      </c>
      <c r="HD60" s="162">
        <f>COUNTIF($N60:$GC60,"TPL")</f>
        <v>0</v>
      </c>
      <c r="HE60" s="162">
        <f>COUNTIF($N60:$GC60,"ĐPL")</f>
        <v>0</v>
      </c>
      <c r="HF60" s="162">
        <f t="shared" si="40"/>
        <v>0</v>
      </c>
      <c r="HG60" s="156" t="e">
        <f>VLOOKUP(B60,'data nguồn'!B:N,13,0)</f>
        <v>#N/A</v>
      </c>
      <c r="HH60" s="159" t="e">
        <f>VLOOKUP(B60,'data nguồn'!B:P,15,0)</f>
        <v>#N/A</v>
      </c>
      <c r="HI60" s="163" t="e">
        <f>VLOOKUP(B60,'data nguồn'!B:P,14,0)</f>
        <v>#N/A</v>
      </c>
    </row>
    <row r="61" spans="1:220" s="95" customFormat="1" ht="15">
      <c r="A61" s="73">
        <v>51</v>
      </c>
      <c r="B61" s="648" t="s">
        <v>884</v>
      </c>
      <c r="C61" s="862" t="s">
        <v>885</v>
      </c>
      <c r="D61" s="649">
        <v>43287</v>
      </c>
      <c r="E61" s="147" t="s">
        <v>886</v>
      </c>
      <c r="F61" s="650" t="s">
        <v>887</v>
      </c>
      <c r="G61" s="650"/>
      <c r="H61" s="97">
        <v>200920</v>
      </c>
      <c r="I61" s="641" t="s">
        <v>126</v>
      </c>
      <c r="J61" s="642" t="s">
        <v>124</v>
      </c>
      <c r="K61" s="97"/>
      <c r="L61" s="97"/>
      <c r="M61" s="638"/>
      <c r="N61" s="132"/>
      <c r="O61" s="132"/>
      <c r="P61" s="639"/>
      <c r="Q61" s="639"/>
      <c r="R61" s="132"/>
      <c r="S61" s="132"/>
      <c r="T61" s="615"/>
      <c r="U61" s="615"/>
      <c r="V61" s="97"/>
      <c r="W61" s="97"/>
      <c r="X61" s="639"/>
      <c r="Y61" s="639"/>
      <c r="Z61" s="102"/>
      <c r="AA61" s="97"/>
      <c r="AB61" s="606"/>
      <c r="AC61" s="606"/>
      <c r="AD61" s="106"/>
      <c r="AE61" s="99"/>
      <c r="AF61" s="127"/>
      <c r="AG61" s="127"/>
      <c r="AH61" s="99"/>
      <c r="AI61" s="99"/>
      <c r="AJ61" s="105"/>
      <c r="AK61" s="105"/>
      <c r="AL61" s="127"/>
      <c r="AM61" s="127"/>
      <c r="AN61" s="636"/>
      <c r="AO61" s="636"/>
      <c r="AP61" s="104"/>
      <c r="AQ61" s="104"/>
      <c r="AR61" s="606"/>
      <c r="AS61" s="606"/>
      <c r="AT61" s="97"/>
      <c r="AU61" s="97"/>
      <c r="AV61" s="97"/>
      <c r="AW61" s="97"/>
      <c r="AX61" s="606"/>
      <c r="AY61" s="606"/>
      <c r="AZ61" s="97"/>
      <c r="BA61" s="97"/>
      <c r="BB61" s="132"/>
      <c r="BC61" s="132"/>
      <c r="BD61" s="606"/>
      <c r="BE61" s="606"/>
      <c r="BF61" s="104"/>
      <c r="BG61" s="104"/>
      <c r="BH61" s="606"/>
      <c r="BI61" s="606"/>
      <c r="BJ61" s="97"/>
      <c r="BK61" s="97"/>
      <c r="BL61" s="104"/>
      <c r="BM61" s="104"/>
      <c r="BN61" s="606"/>
      <c r="BO61" s="606"/>
      <c r="BP61" s="97"/>
      <c r="BQ61" s="97"/>
      <c r="BR61" s="131"/>
      <c r="BS61" s="132"/>
      <c r="BT61" s="606"/>
      <c r="BU61" s="606"/>
      <c r="BV61" s="97"/>
      <c r="BW61" s="97"/>
      <c r="BX61" s="635"/>
      <c r="BY61" s="635"/>
      <c r="BZ61" s="608"/>
      <c r="CA61" s="608"/>
      <c r="CB61" s="636"/>
      <c r="CC61" s="636"/>
      <c r="CD61" s="144"/>
      <c r="CE61" s="144"/>
      <c r="CF61" s="606"/>
      <c r="CG61" s="606"/>
      <c r="CH61" s="97"/>
      <c r="CI61" s="97"/>
      <c r="CJ61" s="634"/>
      <c r="CK61" s="634"/>
      <c r="CL61" s="606"/>
      <c r="CM61" s="606"/>
      <c r="CN61" s="132"/>
      <c r="CO61" s="132"/>
      <c r="CP61" s="634"/>
      <c r="CQ61" s="634"/>
      <c r="CR61" s="606"/>
      <c r="CS61" s="606"/>
      <c r="CT61" s="104"/>
      <c r="CU61" s="104"/>
      <c r="CV61" s="606"/>
      <c r="CW61" s="606"/>
      <c r="CX61" s="97"/>
      <c r="CY61" s="97"/>
      <c r="CZ61" s="102"/>
      <c r="DA61" s="97"/>
      <c r="DB61" s="606"/>
      <c r="DC61" s="606"/>
      <c r="DD61" s="97"/>
      <c r="DE61" s="97"/>
      <c r="DF61" s="607"/>
      <c r="DG61" s="607"/>
      <c r="DH61" s="608"/>
      <c r="DI61" s="608"/>
      <c r="DJ61" s="636"/>
      <c r="DK61" s="636"/>
      <c r="DL61" s="637">
        <v>8</v>
      </c>
      <c r="DM61" s="637">
        <v>3</v>
      </c>
      <c r="DN61" s="608"/>
      <c r="DO61" s="608"/>
      <c r="DP61" s="636"/>
      <c r="DQ61" s="636"/>
      <c r="DR61" s="104">
        <v>8</v>
      </c>
      <c r="DS61" s="104">
        <v>3</v>
      </c>
      <c r="DT61" s="621"/>
      <c r="DU61" s="621"/>
      <c r="DV61" s="97"/>
      <c r="DW61" s="97"/>
      <c r="DX61" s="104">
        <v>8</v>
      </c>
      <c r="DY61" s="104">
        <v>3</v>
      </c>
      <c r="DZ61" s="621"/>
      <c r="EA61" s="621"/>
      <c r="EB61" s="97"/>
      <c r="EC61" s="97"/>
      <c r="ED61" s="104">
        <v>8</v>
      </c>
      <c r="EE61" s="104">
        <v>3</v>
      </c>
      <c r="EF61" s="621"/>
      <c r="EG61" s="621"/>
      <c r="EH61" s="99"/>
      <c r="EI61" s="99"/>
      <c r="EJ61" s="104">
        <v>8</v>
      </c>
      <c r="EK61" s="104">
        <v>3</v>
      </c>
      <c r="EL61" s="606"/>
      <c r="EM61" s="606"/>
      <c r="EN61" s="97"/>
      <c r="EO61" s="97"/>
      <c r="EP61" s="102">
        <v>8</v>
      </c>
      <c r="EQ61" s="102">
        <v>3</v>
      </c>
      <c r="ER61" s="606"/>
      <c r="ES61" s="606"/>
      <c r="ET61" s="97"/>
      <c r="EU61" s="97"/>
      <c r="EV61" s="102">
        <v>8</v>
      </c>
      <c r="EW61" s="102">
        <v>3</v>
      </c>
      <c r="EX61" s="621"/>
      <c r="EY61" s="621"/>
      <c r="EZ61" s="97"/>
      <c r="FA61" s="97"/>
      <c r="FB61" s="644">
        <v>8</v>
      </c>
      <c r="FC61" s="644">
        <v>3</v>
      </c>
      <c r="FD61" s="644"/>
      <c r="FE61" s="644"/>
      <c r="FF61" s="636"/>
      <c r="FG61" s="636"/>
      <c r="FH61" s="102">
        <v>8</v>
      </c>
      <c r="FI61" s="102">
        <v>3</v>
      </c>
      <c r="FJ61" s="621"/>
      <c r="FK61" s="621"/>
      <c r="FL61" s="97"/>
      <c r="FM61" s="97"/>
      <c r="FN61" s="102">
        <v>8</v>
      </c>
      <c r="FO61" s="102">
        <v>3</v>
      </c>
      <c r="FP61" s="621"/>
      <c r="FQ61" s="621"/>
      <c r="FR61" s="99"/>
      <c r="FS61" s="99"/>
      <c r="FT61" s="131">
        <v>8</v>
      </c>
      <c r="FU61" s="131">
        <v>3</v>
      </c>
      <c r="FV61" s="621"/>
      <c r="FW61" s="621"/>
      <c r="FX61" s="99"/>
      <c r="FY61" s="99"/>
      <c r="FZ61" s="102"/>
      <c r="GA61" s="102"/>
      <c r="GB61" s="613"/>
      <c r="GC61" s="613"/>
      <c r="GD61" s="74"/>
      <c r="GE61" s="74"/>
      <c r="GF61" s="125">
        <f>SUM(COUNTIFS(N61:GE61,"&gt;0",$N$9:$GE$9,"GC"),COUNTIFS(N61:GE61,"&gt;0",$N$9:$GE$9,"GC1"),COUNTIFS(N61:GE61,"&gt;0",$N$9:$GE$9,"GC2"))</f>
        <v>9</v>
      </c>
      <c r="GG61" s="126">
        <f>SUMIF($N$9:$GE$9,"GC",$N61:$GE61)</f>
        <v>72</v>
      </c>
      <c r="GH61" s="126">
        <f>SUMIF($N$9:$GE$9,"GC1",$N61:$GE61)</f>
        <v>0</v>
      </c>
      <c r="GI61" s="126">
        <f>SUMIF($N$9:$GE$9,"GC2",$N61:$GE61)</f>
        <v>0</v>
      </c>
      <c r="GJ61" s="126">
        <f>SUMIF($N$9:$GE$9,"TC",$N61:$GE61)</f>
        <v>27</v>
      </c>
      <c r="GK61" s="126">
        <f>SUMIF($N$9:$GE$9,"TC1",$N61:$GE61)</f>
        <v>0</v>
      </c>
      <c r="GL61" s="126">
        <f>SUMIF($N$9:$GE$9,"TC2",$N61:$GE61)</f>
        <v>0</v>
      </c>
      <c r="GM61" s="126">
        <f>SUMIF($N$9:$GE$9,"WK-D",$N61:$GE61)+SUMIF($N$9:$GE$9,"WK-TC",$N61:$GE61)</f>
        <v>22</v>
      </c>
      <c r="GN61" s="126">
        <f>SUMIF($N$9:$GE$9,"WK-D1",$N61:$GE61)+SUMIF($N$9:$GE$9,"WK-TC1",$N61:$GE61)</f>
        <v>0</v>
      </c>
      <c r="GO61" s="126">
        <f>SUMIF($N$9:$GE$9,"WK-D2",$N61:$GE61)+SUMIF($N$9:$GE$9,"WK-TC2",$N61:$GE61)</f>
        <v>0</v>
      </c>
      <c r="GP61" s="126">
        <f>SUMIF($N$9:$GE$9,"HOD",$N61:$GE61)</f>
        <v>0</v>
      </c>
      <c r="GQ61" s="126">
        <f>SUMIF($N$9:$GE$9,"HOD1",$N61:$GE61)</f>
        <v>0</v>
      </c>
      <c r="GR61" s="126">
        <f>SUMIF($N$9:$GE$9,"HOD2",$N61:$GE61)</f>
        <v>0</v>
      </c>
      <c r="GS61" s="162">
        <f t="shared" si="38"/>
        <v>3562500</v>
      </c>
      <c r="GT61" s="97" t="str">
        <f>IF(SUM(COUNTIFS(N61:GC61,"&gt;0",$N$9:$GC$9,"GC"),COUNTIFS(N61:GC61,"&gt;0",$N$9:$GC$9,"GC1"),COUNTIFS(N61:GC61,"&gt;0",$N$9:$GC$9,"GC2"),COUNTIFS(N61:GC61,"&gt;0",$N$9:$GC$9,"WK-D"),COUNTIFS(N61:GC61,"&gt;0",$N$9:$GC$9,"WK-D1"),COUNTIFS(N61:GC61,"&gt;0",$N$9:$GC$9,"WK-D2"))&gt;3,"Đ","K")</f>
        <v>Đ</v>
      </c>
      <c r="GU61" s="97">
        <f t="shared" si="39"/>
        <v>3562500</v>
      </c>
      <c r="GV61" s="97">
        <f>SUM(COUNTIFS(N61:GC61,"&gt;2",$N$9:$GC$9,"GC"),COUNTIFS(N61:GC61,"&gt;2",$N$9:$GC$9,"GC1"),COUNTIFS(N61:GC61,"&gt;2",$N$9:$GC$9,"GC2"))</f>
        <v>9</v>
      </c>
      <c r="GW61" s="162">
        <f t="shared" si="32"/>
        <v>0</v>
      </c>
      <c r="GX61" s="162">
        <f>SUM(COUNTIFS(N61:GC61,"&gt;2",$N$9:$GC$9,"GC"),COUNTIFS(N61:GC61,"&gt;2",$N$9:$GC$9,"GC1"),COUNTIFS(N61:GC61,"&gt;2",$N$9:$GC$9,"GC2"),COUNTIFS(N61:GC61,"&gt;2",$N$9:$GC$9,"WK-D"),COUNTIFS(N61:GC61,"&gt;2",$N$9:$GC$9,"WK-D1"),COUNTIFS(N61:GC61,"&gt;2",$N$9:$GC$9,"WK-D2"))*$GX$10</f>
        <v>113793.10344827587</v>
      </c>
      <c r="GY61" s="162">
        <f t="shared" si="33"/>
        <v>93913.043478260865</v>
      </c>
      <c r="GZ61" s="162">
        <f>COUNTIF($N61:$GC61,"CP")</f>
        <v>0</v>
      </c>
      <c r="HA61" s="162">
        <f>COUNTIF($N61:$GC61,"KP")</f>
        <v>0</v>
      </c>
      <c r="HB61" s="162">
        <f>COUNTIF($N61:$GC61,"ĐP")</f>
        <v>0</v>
      </c>
      <c r="HC61" s="162">
        <f>COUNTIF($N61:$GC61,"ĐD")</f>
        <v>0</v>
      </c>
      <c r="HD61" s="162">
        <f>COUNTIF($N61:$GC61,"TPL")</f>
        <v>0</v>
      </c>
      <c r="HE61" s="162">
        <f>COUNTIF($N61:$GC61,"ĐPL")</f>
        <v>0</v>
      </c>
      <c r="HF61" s="162">
        <f t="shared" si="40"/>
        <v>0</v>
      </c>
      <c r="HG61" s="156" t="str">
        <f>VLOOKUP(B61,'data nguồn'!B:N,13,0)</f>
        <v>1016765065</v>
      </c>
      <c r="HH61" s="159" t="str">
        <f>VLOOKUP(B61,'data nguồn'!B:P,15,0)</f>
        <v>Lường Văn Toán</v>
      </c>
      <c r="HI61" s="163" t="str">
        <f>VLOOKUP(B61,'data nguồn'!B:P,14,0)</f>
        <v>VCB Hải Phòng</v>
      </c>
    </row>
    <row r="62" spans="1:220" s="143" customFormat="1" ht="15">
      <c r="A62" s="73">
        <v>52</v>
      </c>
      <c r="B62" s="648" t="s">
        <v>888</v>
      </c>
      <c r="C62" s="862" t="s">
        <v>889</v>
      </c>
      <c r="D62" s="649" t="s">
        <v>890</v>
      </c>
      <c r="E62" s="357" t="s">
        <v>521</v>
      </c>
      <c r="F62" s="650" t="s">
        <v>891</v>
      </c>
      <c r="G62" s="650"/>
      <c r="H62" s="97">
        <v>200921</v>
      </c>
      <c r="I62" s="641" t="s">
        <v>892</v>
      </c>
      <c r="J62" s="642" t="s">
        <v>124</v>
      </c>
      <c r="K62" s="97"/>
      <c r="L62" s="97"/>
      <c r="M62" s="638"/>
      <c r="N62" s="132"/>
      <c r="O62" s="132"/>
      <c r="P62" s="639"/>
      <c r="Q62" s="639"/>
      <c r="R62" s="132"/>
      <c r="S62" s="132"/>
      <c r="T62" s="615"/>
      <c r="U62" s="615"/>
      <c r="V62" s="97"/>
      <c r="W62" s="97"/>
      <c r="X62" s="639"/>
      <c r="Y62" s="639"/>
      <c r="Z62" s="102"/>
      <c r="AA62" s="97"/>
      <c r="AB62" s="606"/>
      <c r="AC62" s="606"/>
      <c r="AD62" s="106"/>
      <c r="AE62" s="99"/>
      <c r="AF62" s="127"/>
      <c r="AG62" s="127"/>
      <c r="AH62" s="99"/>
      <c r="AI62" s="99"/>
      <c r="AJ62" s="105"/>
      <c r="AK62" s="105"/>
      <c r="AL62" s="127"/>
      <c r="AM62" s="127"/>
      <c r="AN62" s="636"/>
      <c r="AO62" s="636"/>
      <c r="AP62" s="104"/>
      <c r="AQ62" s="104"/>
      <c r="AR62" s="606"/>
      <c r="AS62" s="606"/>
      <c r="AT62" s="97"/>
      <c r="AU62" s="97"/>
      <c r="AV62" s="97"/>
      <c r="AW62" s="97"/>
      <c r="AX62" s="606"/>
      <c r="AY62" s="606"/>
      <c r="AZ62" s="97"/>
      <c r="BA62" s="97"/>
      <c r="BB62" s="132"/>
      <c r="BC62" s="132"/>
      <c r="BD62" s="606"/>
      <c r="BE62" s="606"/>
      <c r="BF62" s="104"/>
      <c r="BG62" s="104"/>
      <c r="BH62" s="606"/>
      <c r="BI62" s="606"/>
      <c r="BJ62" s="97"/>
      <c r="BK62" s="97"/>
      <c r="BL62" s="104"/>
      <c r="BM62" s="104"/>
      <c r="BN62" s="606"/>
      <c r="BO62" s="606"/>
      <c r="BP62" s="97"/>
      <c r="BQ62" s="97"/>
      <c r="BR62" s="131"/>
      <c r="BS62" s="132"/>
      <c r="BT62" s="606"/>
      <c r="BU62" s="606"/>
      <c r="BV62" s="97"/>
      <c r="BW62" s="97"/>
      <c r="BX62" s="635"/>
      <c r="BY62" s="635"/>
      <c r="BZ62" s="608"/>
      <c r="CA62" s="608"/>
      <c r="CB62" s="636"/>
      <c r="CC62" s="636"/>
      <c r="CD62" s="144"/>
      <c r="CE62" s="144"/>
      <c r="CF62" s="606"/>
      <c r="CG62" s="606"/>
      <c r="CH62" s="97"/>
      <c r="CI62" s="97"/>
      <c r="CJ62" s="634"/>
      <c r="CK62" s="634"/>
      <c r="CL62" s="606"/>
      <c r="CM62" s="606"/>
      <c r="CN62" s="132"/>
      <c r="CO62" s="132"/>
      <c r="CP62" s="634"/>
      <c r="CQ62" s="634"/>
      <c r="CR62" s="606"/>
      <c r="CS62" s="606"/>
      <c r="CT62" s="104"/>
      <c r="CU62" s="104"/>
      <c r="CV62" s="606"/>
      <c r="CW62" s="606"/>
      <c r="CX62" s="97"/>
      <c r="CY62" s="97"/>
      <c r="CZ62" s="102"/>
      <c r="DA62" s="97"/>
      <c r="DB62" s="606"/>
      <c r="DC62" s="606"/>
      <c r="DD62" s="97"/>
      <c r="DE62" s="97"/>
      <c r="DF62" s="607"/>
      <c r="DG62" s="607"/>
      <c r="DH62" s="608"/>
      <c r="DI62" s="608"/>
      <c r="DJ62" s="636"/>
      <c r="DK62" s="636"/>
      <c r="DL62" s="637"/>
      <c r="DM62" s="637"/>
      <c r="DN62" s="608"/>
      <c r="DO62" s="608"/>
      <c r="DP62" s="636"/>
      <c r="DQ62" s="636"/>
      <c r="DR62" s="104"/>
      <c r="DS62" s="104"/>
      <c r="DT62" s="621">
        <v>8</v>
      </c>
      <c r="DU62" s="621">
        <v>2</v>
      </c>
      <c r="DV62" s="97"/>
      <c r="DW62" s="97"/>
      <c r="DX62" s="104"/>
      <c r="DY62" s="104"/>
      <c r="DZ62" s="621">
        <v>8</v>
      </c>
      <c r="EA62" s="621">
        <v>2</v>
      </c>
      <c r="EB62" s="97"/>
      <c r="EC62" s="97"/>
      <c r="ED62" s="104"/>
      <c r="EE62" s="104"/>
      <c r="EF62" s="621">
        <v>8</v>
      </c>
      <c r="EG62" s="621">
        <v>2</v>
      </c>
      <c r="EH62" s="99"/>
      <c r="EI62" s="99"/>
      <c r="EJ62" s="104"/>
      <c r="EK62" s="104"/>
      <c r="EL62" s="621">
        <v>8</v>
      </c>
      <c r="EM62" s="621">
        <v>3</v>
      </c>
      <c r="EN62" s="97"/>
      <c r="EO62" s="97"/>
      <c r="EP62" s="102"/>
      <c r="EQ62" s="102"/>
      <c r="ER62" s="621">
        <v>8</v>
      </c>
      <c r="ES62" s="621">
        <v>2</v>
      </c>
      <c r="ET62" s="97"/>
      <c r="EU62" s="97"/>
      <c r="EV62" s="102"/>
      <c r="EW62" s="102"/>
      <c r="EX62" s="621">
        <v>8</v>
      </c>
      <c r="EY62" s="621">
        <v>3</v>
      </c>
      <c r="EZ62" s="97"/>
      <c r="FA62" s="97"/>
      <c r="FB62" s="644"/>
      <c r="FC62" s="644"/>
      <c r="FD62" s="644">
        <v>8</v>
      </c>
      <c r="FE62" s="644">
        <v>2</v>
      </c>
      <c r="FF62" s="636"/>
      <c r="FG62" s="636"/>
      <c r="FH62" s="102"/>
      <c r="FI62" s="102"/>
      <c r="FJ62" s="621">
        <v>8</v>
      </c>
      <c r="FK62" s="621">
        <v>3</v>
      </c>
      <c r="FL62" s="97"/>
      <c r="FM62" s="97"/>
      <c r="FN62" s="102"/>
      <c r="FO62" s="102"/>
      <c r="FP62" s="621">
        <v>8</v>
      </c>
      <c r="FQ62" s="621">
        <v>3</v>
      </c>
      <c r="FR62" s="99"/>
      <c r="FS62" s="99"/>
      <c r="FT62" s="131"/>
      <c r="FU62" s="131"/>
      <c r="FV62" s="621">
        <v>8</v>
      </c>
      <c r="FW62" s="621">
        <v>3</v>
      </c>
      <c r="FX62" s="99"/>
      <c r="FY62" s="99"/>
      <c r="FZ62" s="102"/>
      <c r="GA62" s="102"/>
      <c r="GB62" s="613"/>
      <c r="GC62" s="613"/>
      <c r="GD62" s="141"/>
      <c r="GE62" s="141"/>
      <c r="GF62" s="125">
        <f>SUM(COUNTIFS(N62:GE62,"&gt;0",$N$9:$GE$9,"GC"),COUNTIFS(N62:GE62,"&gt;0",$N$9:$GE$9,"GC1"),COUNTIFS(N62:GE62,"&gt;0",$N$9:$GE$9,"GC2"))</f>
        <v>9</v>
      </c>
      <c r="GG62" s="126">
        <f>SUMIF($N$9:$GE$9,"GC",$N62:$GE62)</f>
        <v>0</v>
      </c>
      <c r="GH62" s="126">
        <f>SUMIF($N$9:$GE$9,"GC1",$N62:$GE62)</f>
        <v>72</v>
      </c>
      <c r="GI62" s="126">
        <f>SUMIF($N$9:$GE$9,"GC2",$N62:$GE62)</f>
        <v>0</v>
      </c>
      <c r="GJ62" s="126">
        <f>SUMIF($N$9:$GE$9,"TC",$N62:$GE62)</f>
        <v>0</v>
      </c>
      <c r="GK62" s="126">
        <f>SUMIF($N$9:$GE$9,"TC1",$N62:$GE62)</f>
        <v>23</v>
      </c>
      <c r="GL62" s="126">
        <f>SUMIF($N$9:$GE$9,"TC2",$N62:$GE62)</f>
        <v>0</v>
      </c>
      <c r="GM62" s="126">
        <f>SUMIF($N$9:$GE$9,"WK-D",$N62:$GE62)+SUMIF($N$9:$GE$9,"WK-TC",$N62:$GE62)</f>
        <v>0</v>
      </c>
      <c r="GN62" s="126">
        <f>SUMIF($N$9:$GE$9,"WK-D1",$N62:$GE62)+SUMIF($N$9:$GE$9,"WK-TC1",$N62:$GE62)</f>
        <v>10</v>
      </c>
      <c r="GO62" s="126">
        <f>SUMIF($N$9:$GE$9,"WK-D2",$N62:$GE62)+SUMIF($N$9:$GE$9,"WK-TC2",$N62:$GE62)</f>
        <v>0</v>
      </c>
      <c r="GP62" s="126">
        <f>SUMIF($N$9:$GE$9,"HOD",$N62:$GE62)</f>
        <v>0</v>
      </c>
      <c r="GQ62" s="126">
        <f>SUMIF($N$9:$GE$9,"HOD1",$N62:$GE62)</f>
        <v>0</v>
      </c>
      <c r="GR62" s="126">
        <f>SUMIF($N$9:$GE$9,"HOD2",$N62:$GE62)</f>
        <v>0</v>
      </c>
      <c r="GS62" s="162">
        <f t="shared" si="38"/>
        <v>3282500</v>
      </c>
      <c r="GT62" s="97" t="str">
        <f>IF(SUM(COUNTIFS(N62:GC62,"&gt;0",$N$9:$GC$9,"GC"),COUNTIFS(N62:GC62,"&gt;0",$N$9:$GC$9,"GC1"),COUNTIFS(N62:GC62,"&gt;0",$N$9:$GC$9,"GC2"),COUNTIFS(N62:GC62,"&gt;0",$N$9:$GC$9,"WK-D"),COUNTIFS(N62:GC62,"&gt;0",$N$9:$GC$9,"WK-D1"),COUNTIFS(N62:GC62,"&gt;0",$N$9:$GC$9,"WK-D2"))&gt;3,"Đ","K")</f>
        <v>Đ</v>
      </c>
      <c r="GU62" s="97">
        <f t="shared" si="39"/>
        <v>3282500</v>
      </c>
      <c r="GV62" s="97">
        <f>SUM(COUNTIFS(N62:GC62,"&gt;2",$N$9:$GC$9,"GC"),COUNTIFS(N62:GC62,"&gt;2",$N$9:$GC$9,"GC1"),COUNTIFS(N62:GC62,"&gt;2",$N$9:$GC$9,"GC2"))</f>
        <v>9</v>
      </c>
      <c r="GW62" s="162">
        <f t="shared" si="32"/>
        <v>0</v>
      </c>
      <c r="GX62" s="162">
        <f>SUM(COUNTIFS(N62:GC62,"&gt;2",$N$9:$GC$9,"GC"),COUNTIFS(N62:GC62,"&gt;2",$N$9:$GC$9,"GC1"),COUNTIFS(N62:GC62,"&gt;2",$N$9:$GC$9,"GC2"),COUNTIFS(N62:GC62,"&gt;2",$N$9:$GC$9,"WK-D"),COUNTIFS(N62:GC62,"&gt;2",$N$9:$GC$9,"WK-D1"),COUNTIFS(N62:GC62,"&gt;2",$N$9:$GC$9,"WK-D2"))*$GX$10</f>
        <v>103448.27586206897</v>
      </c>
      <c r="GY62" s="162">
        <f t="shared" si="33"/>
        <v>93913.043478260865</v>
      </c>
      <c r="GZ62" s="162">
        <f>COUNTIF($N62:$GC62,"CP")</f>
        <v>0</v>
      </c>
      <c r="HA62" s="162">
        <f>COUNTIF($N62:$GC62,"KP")</f>
        <v>0</v>
      </c>
      <c r="HB62" s="162">
        <f>COUNTIF($N62:$GC62,"ĐP")</f>
        <v>0</v>
      </c>
      <c r="HC62" s="162">
        <f>COUNTIF($N62:$GC62,"ĐD")</f>
        <v>0</v>
      </c>
      <c r="HD62" s="162">
        <f>COUNTIF($N62:$GC62,"TPL")</f>
        <v>0</v>
      </c>
      <c r="HE62" s="162">
        <f>COUNTIF($N62:$GC62,"ĐPL")</f>
        <v>0</v>
      </c>
      <c r="HF62" s="162">
        <f t="shared" si="40"/>
        <v>0</v>
      </c>
      <c r="HG62" s="156" t="e">
        <f>VLOOKUP(B62,'data nguồn'!B:N,13,0)</f>
        <v>#N/A</v>
      </c>
      <c r="HH62" s="159" t="e">
        <f>VLOOKUP(B62,'data nguồn'!B:P,15,0)</f>
        <v>#N/A</v>
      </c>
      <c r="HI62" s="163" t="e">
        <f>VLOOKUP(B62,'data nguồn'!B:P,14,0)</f>
        <v>#N/A</v>
      </c>
      <c r="HK62" s="95"/>
      <c r="HL62" s="95"/>
    </row>
    <row r="63" spans="1:220" s="95" customFormat="1" ht="15">
      <c r="A63" s="73">
        <v>53</v>
      </c>
      <c r="B63" s="648" t="s">
        <v>893</v>
      </c>
      <c r="C63" s="862" t="s">
        <v>894</v>
      </c>
      <c r="D63" s="649">
        <v>41402</v>
      </c>
      <c r="E63" s="357" t="s">
        <v>521</v>
      </c>
      <c r="F63" s="650" t="s">
        <v>895</v>
      </c>
      <c r="G63" s="650"/>
      <c r="H63" s="97">
        <v>200921</v>
      </c>
      <c r="I63" s="641" t="s">
        <v>123</v>
      </c>
      <c r="J63" s="642" t="s">
        <v>124</v>
      </c>
      <c r="K63" s="97"/>
      <c r="L63" s="97"/>
      <c r="M63" s="638"/>
      <c r="N63" s="132"/>
      <c r="O63" s="132"/>
      <c r="P63" s="639"/>
      <c r="Q63" s="639"/>
      <c r="R63" s="132"/>
      <c r="S63" s="132"/>
      <c r="T63" s="615"/>
      <c r="U63" s="615"/>
      <c r="V63" s="97"/>
      <c r="W63" s="97"/>
      <c r="X63" s="639"/>
      <c r="Y63" s="639"/>
      <c r="Z63" s="102"/>
      <c r="AA63" s="97"/>
      <c r="AB63" s="606"/>
      <c r="AC63" s="606"/>
      <c r="AD63" s="106"/>
      <c r="AE63" s="99"/>
      <c r="AF63" s="127"/>
      <c r="AG63" s="127"/>
      <c r="AH63" s="99"/>
      <c r="AI63" s="99"/>
      <c r="AJ63" s="105"/>
      <c r="AK63" s="105"/>
      <c r="AL63" s="127"/>
      <c r="AM63" s="127"/>
      <c r="AN63" s="636"/>
      <c r="AO63" s="636"/>
      <c r="AP63" s="104"/>
      <c r="AQ63" s="104"/>
      <c r="AR63" s="606"/>
      <c r="AS63" s="606"/>
      <c r="AT63" s="97"/>
      <c r="AU63" s="97"/>
      <c r="AV63" s="97"/>
      <c r="AW63" s="97"/>
      <c r="AX63" s="606"/>
      <c r="AY63" s="606"/>
      <c r="AZ63" s="97"/>
      <c r="BA63" s="97"/>
      <c r="BB63" s="132"/>
      <c r="BC63" s="132"/>
      <c r="BD63" s="606"/>
      <c r="BE63" s="606"/>
      <c r="BF63" s="104"/>
      <c r="BG63" s="104"/>
      <c r="BH63" s="606"/>
      <c r="BI63" s="606"/>
      <c r="BJ63" s="97"/>
      <c r="BK63" s="97"/>
      <c r="BL63" s="104"/>
      <c r="BM63" s="104"/>
      <c r="BN63" s="606"/>
      <c r="BO63" s="606"/>
      <c r="BP63" s="97"/>
      <c r="BQ63" s="97"/>
      <c r="BR63" s="131"/>
      <c r="BS63" s="132"/>
      <c r="BT63" s="606"/>
      <c r="BU63" s="606"/>
      <c r="BV63" s="97"/>
      <c r="BW63" s="97"/>
      <c r="BX63" s="635"/>
      <c r="BY63" s="635"/>
      <c r="BZ63" s="608"/>
      <c r="CA63" s="608"/>
      <c r="CB63" s="636"/>
      <c r="CC63" s="636"/>
      <c r="CD63" s="144"/>
      <c r="CE63" s="144"/>
      <c r="CF63" s="606"/>
      <c r="CG63" s="606"/>
      <c r="CH63" s="97"/>
      <c r="CI63" s="97"/>
      <c r="CJ63" s="634"/>
      <c r="CK63" s="634"/>
      <c r="CL63" s="606"/>
      <c r="CM63" s="606"/>
      <c r="CN63" s="132"/>
      <c r="CO63" s="132"/>
      <c r="CP63" s="634"/>
      <c r="CQ63" s="634"/>
      <c r="CR63" s="606"/>
      <c r="CS63" s="606"/>
      <c r="CT63" s="104"/>
      <c r="CU63" s="104"/>
      <c r="CV63" s="606"/>
      <c r="CW63" s="606"/>
      <c r="CX63" s="97"/>
      <c r="CY63" s="97"/>
      <c r="CZ63" s="102"/>
      <c r="DA63" s="97"/>
      <c r="DB63" s="606"/>
      <c r="DC63" s="606"/>
      <c r="DD63" s="97"/>
      <c r="DE63" s="97"/>
      <c r="DF63" s="607"/>
      <c r="DG63" s="607"/>
      <c r="DH63" s="608"/>
      <c r="DI63" s="608"/>
      <c r="DJ63" s="636"/>
      <c r="DK63" s="636"/>
      <c r="DL63" s="637"/>
      <c r="DM63" s="637"/>
      <c r="DN63" s="608"/>
      <c r="DO63" s="608"/>
      <c r="DP63" s="636"/>
      <c r="DQ63" s="636"/>
      <c r="DR63" s="104"/>
      <c r="DS63" s="104"/>
      <c r="DT63" s="621">
        <v>8</v>
      </c>
      <c r="DU63" s="621">
        <v>2</v>
      </c>
      <c r="DV63" s="97"/>
      <c r="DW63" s="97"/>
      <c r="DX63" s="104"/>
      <c r="DY63" s="104"/>
      <c r="DZ63" s="621">
        <v>8</v>
      </c>
      <c r="EA63" s="621">
        <v>2</v>
      </c>
      <c r="EB63" s="97"/>
      <c r="EC63" s="97"/>
      <c r="ED63" s="104"/>
      <c r="EE63" s="104"/>
      <c r="EF63" s="621">
        <v>8</v>
      </c>
      <c r="EG63" s="621">
        <v>2</v>
      </c>
      <c r="EH63" s="99"/>
      <c r="EI63" s="99"/>
      <c r="EJ63" s="104"/>
      <c r="EK63" s="104"/>
      <c r="EL63" s="621">
        <v>8</v>
      </c>
      <c r="EM63" s="621">
        <v>2</v>
      </c>
      <c r="EN63" s="97"/>
      <c r="EO63" s="97"/>
      <c r="EP63" s="102"/>
      <c r="EQ63" s="102"/>
      <c r="ER63" s="621">
        <v>8</v>
      </c>
      <c r="ES63" s="621">
        <v>2</v>
      </c>
      <c r="ET63" s="97"/>
      <c r="EU63" s="97"/>
      <c r="EV63" s="102"/>
      <c r="EW63" s="102"/>
      <c r="EX63" s="621">
        <v>8</v>
      </c>
      <c r="EY63" s="621">
        <v>2</v>
      </c>
      <c r="EZ63" s="97"/>
      <c r="FA63" s="97"/>
      <c r="FB63" s="644"/>
      <c r="FC63" s="644"/>
      <c r="FD63" s="644">
        <v>8</v>
      </c>
      <c r="FE63" s="644">
        <v>2</v>
      </c>
      <c r="FF63" s="636"/>
      <c r="FG63" s="636"/>
      <c r="FH63" s="102"/>
      <c r="FI63" s="102"/>
      <c r="FJ63" s="621">
        <v>8</v>
      </c>
      <c r="FK63" s="621">
        <v>0</v>
      </c>
      <c r="FL63" s="97"/>
      <c r="FM63" s="97"/>
      <c r="FN63" s="102" t="s">
        <v>533</v>
      </c>
      <c r="FO63" s="102"/>
      <c r="FP63" s="621"/>
      <c r="FQ63" s="621"/>
      <c r="FR63" s="99"/>
      <c r="FS63" s="99"/>
      <c r="FT63" s="131"/>
      <c r="FU63" s="131"/>
      <c r="FV63" s="621">
        <v>8</v>
      </c>
      <c r="FW63" s="621">
        <v>2</v>
      </c>
      <c r="FX63" s="99"/>
      <c r="FY63" s="99"/>
      <c r="FZ63" s="102"/>
      <c r="GA63" s="102"/>
      <c r="GB63" s="613"/>
      <c r="GC63" s="613"/>
      <c r="GD63" s="74"/>
      <c r="GE63" s="74"/>
      <c r="GF63" s="125">
        <f>SUM(COUNTIFS(N63:GE63,"&gt;0",$N$9:$GE$9,"GC"),COUNTIFS(N63:GE63,"&gt;0",$N$9:$GE$9,"GC1"),COUNTIFS(N63:GE63,"&gt;0",$N$9:$GE$9,"GC2"))</f>
        <v>8</v>
      </c>
      <c r="GG63" s="126">
        <f>SUMIF($N$9:$GE$9,"GC",$N63:$GE63)</f>
        <v>0</v>
      </c>
      <c r="GH63" s="126">
        <f>SUMIF($N$9:$GE$9,"GC1",$N63:$GE63)</f>
        <v>64</v>
      </c>
      <c r="GI63" s="126">
        <f>SUMIF($N$9:$GE$9,"GC2",$N63:$GE63)</f>
        <v>0</v>
      </c>
      <c r="GJ63" s="126">
        <f>SUMIF($N$9:$GE$9,"TC",$N63:$GE63)</f>
        <v>0</v>
      </c>
      <c r="GK63" s="126">
        <f>SUMIF($N$9:$GE$9,"TC1",$N63:$GE63)</f>
        <v>14</v>
      </c>
      <c r="GL63" s="126">
        <f>SUMIF($N$9:$GE$9,"TC2",$N63:$GE63)</f>
        <v>0</v>
      </c>
      <c r="GM63" s="126">
        <f>SUMIF($N$9:$GE$9,"WK-D",$N63:$GE63)+SUMIF($N$9:$GE$9,"WK-TC",$N63:$GE63)</f>
        <v>0</v>
      </c>
      <c r="GN63" s="126">
        <f>SUMIF($N$9:$GE$9,"WK-D1",$N63:$GE63)+SUMIF($N$9:$GE$9,"WK-TC1",$N63:$GE63)</f>
        <v>10</v>
      </c>
      <c r="GO63" s="126">
        <f>SUMIF($N$9:$GE$9,"WK-D2",$N63:$GE63)+SUMIF($N$9:$GE$9,"WK-TC2",$N63:$GE63)</f>
        <v>0</v>
      </c>
      <c r="GP63" s="126">
        <f>SUMIF($N$9:$GE$9,"HOD",$N63:$GE63)</f>
        <v>0</v>
      </c>
      <c r="GQ63" s="126">
        <f>SUMIF($N$9:$GE$9,"HOD1",$N63:$GE63)</f>
        <v>0</v>
      </c>
      <c r="GR63" s="126">
        <f>SUMIF($N$9:$GE$9,"HOD2",$N63:$GE63)</f>
        <v>0</v>
      </c>
      <c r="GS63" s="162">
        <f t="shared" si="38"/>
        <v>2749500</v>
      </c>
      <c r="GT63" s="97" t="str">
        <f>IF(SUM(COUNTIFS(N63:GC63,"&gt;0",$N$9:$GC$9,"GC"),COUNTIFS(N63:GC63,"&gt;0",$N$9:$GC$9,"GC1"),COUNTIFS(N63:GC63,"&gt;0",$N$9:$GC$9,"GC2"),COUNTIFS(N63:GC63,"&gt;0",$N$9:$GC$9,"WK-D"),COUNTIFS(N63:GC63,"&gt;0",$N$9:$GC$9,"WK-D1"),COUNTIFS(N63:GC63,"&gt;0",$N$9:$GC$9,"WK-D2"))&gt;3,"Đ","K")</f>
        <v>Đ</v>
      </c>
      <c r="GU63" s="97">
        <f t="shared" si="39"/>
        <v>2749500</v>
      </c>
      <c r="GV63" s="97">
        <f>SUM(COUNTIFS(N63:GC63,"&gt;2",$N$9:$GC$9,"GC"),COUNTIFS(N63:GC63,"&gt;2",$N$9:$GC$9,"GC1"),COUNTIFS(N63:GC63,"&gt;2",$N$9:$GC$9,"GC2"))</f>
        <v>8</v>
      </c>
      <c r="GW63" s="162">
        <f t="shared" si="32"/>
        <v>0</v>
      </c>
      <c r="GX63" s="162">
        <f>SUM(COUNTIFS(N63:GC63,"&gt;2",$N$9:$GC$9,"GC"),COUNTIFS(N63:GC63,"&gt;2",$N$9:$GC$9,"GC1"),COUNTIFS(N63:GC63,"&gt;2",$N$9:$GC$9,"GC2"),COUNTIFS(N63:GC63,"&gt;2",$N$9:$GC$9,"WK-D"),COUNTIFS(N63:GC63,"&gt;2",$N$9:$GC$9,"WK-D1"),COUNTIFS(N63:GC63,"&gt;2",$N$9:$GC$9,"WK-D2"))*$GX$10</f>
        <v>93103.448275862072</v>
      </c>
      <c r="GY63" s="162">
        <f t="shared" si="33"/>
        <v>83478.260869565216</v>
      </c>
      <c r="GZ63" s="162">
        <f>COUNTIF($N63:$GC63,"CP")</f>
        <v>1</v>
      </c>
      <c r="HA63" s="162">
        <f>COUNTIF($N63:$GC63,"KP")</f>
        <v>0</v>
      </c>
      <c r="HB63" s="162">
        <f>COUNTIF($N63:$GC63,"ĐP")</f>
        <v>0</v>
      </c>
      <c r="HC63" s="162">
        <f>COUNTIF($N63:$GC63,"ĐD")</f>
        <v>0</v>
      </c>
      <c r="HD63" s="162">
        <f>COUNTIF($N63:$GC63,"TPL")</f>
        <v>0</v>
      </c>
      <c r="HE63" s="162">
        <f>COUNTIF($N63:$GC63,"ĐPL")</f>
        <v>0</v>
      </c>
      <c r="HF63" s="162">
        <f t="shared" si="40"/>
        <v>0</v>
      </c>
      <c r="HG63" s="156" t="e">
        <f>VLOOKUP(B63,'data nguồn'!B:N,13,0)</f>
        <v>#N/A</v>
      </c>
      <c r="HH63" s="159" t="e">
        <f>VLOOKUP(B63,'data nguồn'!B:P,15,0)</f>
        <v>#N/A</v>
      </c>
      <c r="HI63" s="163" t="e">
        <f>VLOOKUP(B63,'data nguồn'!B:P,14,0)</f>
        <v>#N/A</v>
      </c>
    </row>
    <row r="64" spans="1:220" s="95" customFormat="1" ht="15">
      <c r="A64" s="73">
        <v>54</v>
      </c>
      <c r="B64" s="648" t="s">
        <v>896</v>
      </c>
      <c r="C64" s="862" t="s">
        <v>897</v>
      </c>
      <c r="D64" s="649">
        <v>43262</v>
      </c>
      <c r="E64" s="147" t="s">
        <v>702</v>
      </c>
      <c r="F64" s="650" t="s">
        <v>898</v>
      </c>
      <c r="G64" s="650"/>
      <c r="H64" s="97">
        <v>200921</v>
      </c>
      <c r="I64" s="641" t="s">
        <v>126</v>
      </c>
      <c r="J64" s="642" t="s">
        <v>124</v>
      </c>
      <c r="K64" s="97"/>
      <c r="L64" s="97"/>
      <c r="M64" s="638"/>
      <c r="N64" s="132"/>
      <c r="O64" s="132"/>
      <c r="P64" s="639"/>
      <c r="Q64" s="639"/>
      <c r="R64" s="132"/>
      <c r="S64" s="132"/>
      <c r="T64" s="615"/>
      <c r="U64" s="615"/>
      <c r="V64" s="97"/>
      <c r="W64" s="97"/>
      <c r="X64" s="639"/>
      <c r="Y64" s="639"/>
      <c r="Z64" s="102"/>
      <c r="AA64" s="97"/>
      <c r="AB64" s="606"/>
      <c r="AC64" s="606"/>
      <c r="AD64" s="106"/>
      <c r="AE64" s="99"/>
      <c r="AF64" s="127"/>
      <c r="AG64" s="127"/>
      <c r="AH64" s="99"/>
      <c r="AI64" s="99"/>
      <c r="AJ64" s="105"/>
      <c r="AK64" s="105"/>
      <c r="AL64" s="127"/>
      <c r="AM64" s="127"/>
      <c r="AN64" s="636"/>
      <c r="AO64" s="636"/>
      <c r="AP64" s="104"/>
      <c r="AQ64" s="104"/>
      <c r="AR64" s="606"/>
      <c r="AS64" s="606"/>
      <c r="AT64" s="97"/>
      <c r="AU64" s="97"/>
      <c r="AV64" s="97"/>
      <c r="AW64" s="97"/>
      <c r="AX64" s="606"/>
      <c r="AY64" s="606"/>
      <c r="AZ64" s="97"/>
      <c r="BA64" s="97"/>
      <c r="BB64" s="132"/>
      <c r="BC64" s="132"/>
      <c r="BD64" s="606"/>
      <c r="BE64" s="606"/>
      <c r="BF64" s="104"/>
      <c r="BG64" s="104"/>
      <c r="BH64" s="606"/>
      <c r="BI64" s="606"/>
      <c r="BJ64" s="97"/>
      <c r="BK64" s="97"/>
      <c r="BL64" s="104"/>
      <c r="BM64" s="104"/>
      <c r="BN64" s="606"/>
      <c r="BO64" s="606"/>
      <c r="BP64" s="97"/>
      <c r="BQ64" s="97"/>
      <c r="BR64" s="131"/>
      <c r="BS64" s="132"/>
      <c r="BT64" s="606"/>
      <c r="BU64" s="606"/>
      <c r="BV64" s="97"/>
      <c r="BW64" s="97"/>
      <c r="BX64" s="635"/>
      <c r="BY64" s="635"/>
      <c r="BZ64" s="608"/>
      <c r="CA64" s="608"/>
      <c r="CB64" s="636"/>
      <c r="CC64" s="636"/>
      <c r="CD64" s="144"/>
      <c r="CE64" s="144"/>
      <c r="CF64" s="606"/>
      <c r="CG64" s="606"/>
      <c r="CH64" s="97"/>
      <c r="CI64" s="97"/>
      <c r="CJ64" s="634"/>
      <c r="CK64" s="634"/>
      <c r="CL64" s="606"/>
      <c r="CM64" s="606"/>
      <c r="CN64" s="132"/>
      <c r="CO64" s="132"/>
      <c r="CP64" s="634"/>
      <c r="CQ64" s="634"/>
      <c r="CR64" s="606"/>
      <c r="CS64" s="606"/>
      <c r="CT64" s="104"/>
      <c r="CU64" s="104"/>
      <c r="CV64" s="606"/>
      <c r="CW64" s="606"/>
      <c r="CX64" s="97"/>
      <c r="CY64" s="97"/>
      <c r="CZ64" s="102"/>
      <c r="DA64" s="97"/>
      <c r="DB64" s="606"/>
      <c r="DC64" s="606"/>
      <c r="DD64" s="97"/>
      <c r="DE64" s="97"/>
      <c r="DF64" s="607"/>
      <c r="DG64" s="607"/>
      <c r="DH64" s="608"/>
      <c r="DI64" s="608"/>
      <c r="DJ64" s="636"/>
      <c r="DK64" s="636"/>
      <c r="DL64" s="637"/>
      <c r="DM64" s="637"/>
      <c r="DN64" s="608"/>
      <c r="DO64" s="608"/>
      <c r="DP64" s="636"/>
      <c r="DQ64" s="636"/>
      <c r="DR64" s="104">
        <v>8</v>
      </c>
      <c r="DS64" s="104">
        <v>3</v>
      </c>
      <c r="DT64" s="606"/>
      <c r="DU64" s="606"/>
      <c r="DV64" s="97"/>
      <c r="DW64" s="97"/>
      <c r="DX64" s="104">
        <v>8</v>
      </c>
      <c r="DY64" s="104">
        <v>3</v>
      </c>
      <c r="DZ64" s="606"/>
      <c r="EA64" s="606"/>
      <c r="EB64" s="97"/>
      <c r="EC64" s="97"/>
      <c r="ED64" s="104">
        <v>8</v>
      </c>
      <c r="EE64" s="104">
        <v>0</v>
      </c>
      <c r="EF64" s="621"/>
      <c r="EG64" s="621"/>
      <c r="EH64" s="99"/>
      <c r="EI64" s="99"/>
      <c r="EJ64" s="104" t="s">
        <v>533</v>
      </c>
      <c r="EK64" s="104"/>
      <c r="EL64" s="606"/>
      <c r="EM64" s="606"/>
      <c r="EN64" s="97"/>
      <c r="EO64" s="97"/>
      <c r="EP64" s="102">
        <v>8</v>
      </c>
      <c r="EQ64" s="102">
        <v>3</v>
      </c>
      <c r="ER64" s="606"/>
      <c r="ES64" s="606"/>
      <c r="ET64" s="97"/>
      <c r="EU64" s="97"/>
      <c r="EV64" s="102">
        <v>8</v>
      </c>
      <c r="EW64" s="102">
        <v>3</v>
      </c>
      <c r="EX64" s="621"/>
      <c r="EY64" s="621"/>
      <c r="EZ64" s="97"/>
      <c r="FA64" s="97"/>
      <c r="FB64" s="644">
        <v>8</v>
      </c>
      <c r="FC64" s="644">
        <v>3</v>
      </c>
      <c r="FD64" s="644"/>
      <c r="FE64" s="644"/>
      <c r="FF64" s="636"/>
      <c r="FG64" s="636"/>
      <c r="FH64" s="102"/>
      <c r="FI64" s="102"/>
      <c r="FJ64" s="621">
        <v>8</v>
      </c>
      <c r="FK64" s="621">
        <v>3</v>
      </c>
      <c r="FL64" s="97"/>
      <c r="FM64" s="97"/>
      <c r="FN64" s="102" t="s">
        <v>533</v>
      </c>
      <c r="FO64" s="102"/>
      <c r="FP64" s="621"/>
      <c r="FQ64" s="621"/>
      <c r="FR64" s="99"/>
      <c r="FS64" s="99"/>
      <c r="FT64" s="131"/>
      <c r="FU64" s="131"/>
      <c r="FV64" s="621">
        <v>8</v>
      </c>
      <c r="FW64" s="621">
        <v>2</v>
      </c>
      <c r="FX64" s="99"/>
      <c r="FY64" s="99"/>
      <c r="FZ64" s="102"/>
      <c r="GA64" s="102"/>
      <c r="GB64" s="613"/>
      <c r="GC64" s="613"/>
      <c r="GD64" s="97"/>
      <c r="GE64" s="97"/>
      <c r="GF64" s="125">
        <f>SUM(COUNTIFS(N64:GE64,"&gt;0",$N$9:$GE$9,"GC"),COUNTIFS(N64:GE64,"&gt;0",$N$9:$GE$9,"GC1"),COUNTIFS(N64:GE64,"&gt;0",$N$9:$GE$9,"GC2"))</f>
        <v>7</v>
      </c>
      <c r="GG64" s="126">
        <f>SUMIF($N$9:$GE$9,"GC",$N64:$GE64)</f>
        <v>40</v>
      </c>
      <c r="GH64" s="126">
        <f>SUMIF($N$9:$GE$9,"GC1",$N64:$GE64)</f>
        <v>16</v>
      </c>
      <c r="GI64" s="126">
        <f>SUMIF($N$9:$GE$9,"GC2",$N64:$GE64)</f>
        <v>0</v>
      </c>
      <c r="GJ64" s="126">
        <f>SUMIF($N$9:$GE$9,"TC",$N64:$GE64)</f>
        <v>12</v>
      </c>
      <c r="GK64" s="126">
        <f>SUMIF($N$9:$GE$9,"TC1",$N64:$GE64)</f>
        <v>5</v>
      </c>
      <c r="GL64" s="126">
        <f>SUMIF($N$9:$GE$9,"TC2",$N64:$GE64)</f>
        <v>0</v>
      </c>
      <c r="GM64" s="126">
        <f>SUMIF($N$9:$GE$9,"WK-D",$N64:$GE64)+SUMIF($N$9:$GE$9,"WK-TC",$N64:$GE64)</f>
        <v>11</v>
      </c>
      <c r="GN64" s="126">
        <f>SUMIF($N$9:$GE$9,"WK-D1",$N64:$GE64)+SUMIF($N$9:$GE$9,"WK-TC1",$N64:$GE64)</f>
        <v>0</v>
      </c>
      <c r="GO64" s="126">
        <f>SUMIF($N$9:$GE$9,"WK-D2",$N64:$GE64)+SUMIF($N$9:$GE$9,"WK-TC2",$N64:$GE64)</f>
        <v>0</v>
      </c>
      <c r="GP64" s="126">
        <f>SUMIF($N$9:$GE$9,"HOD",$N64:$GE64)</f>
        <v>0</v>
      </c>
      <c r="GQ64" s="126">
        <f>SUMIF($N$9:$GE$9,"HOD1",$N64:$GE64)</f>
        <v>0</v>
      </c>
      <c r="GR64" s="126">
        <f>SUMIF($N$9:$GE$9,"HOD2",$N64:$GE64)</f>
        <v>0</v>
      </c>
      <c r="GS64" s="162">
        <f t="shared" si="38"/>
        <v>2451250</v>
      </c>
      <c r="GT64" s="97" t="str">
        <f>IF(SUM(COUNTIFS(N64:GC64,"&gt;0",$N$9:$GC$9,"GC"),COUNTIFS(N64:GC64,"&gt;0",$N$9:$GC$9,"GC1"),COUNTIFS(N64:GC64,"&gt;0",$N$9:$GC$9,"GC2"),COUNTIFS(N64:GC64,"&gt;0",$N$9:$GC$9,"WK-D"),COUNTIFS(N64:GC64,"&gt;0",$N$9:$GC$9,"WK-D1"),COUNTIFS(N64:GC64,"&gt;0",$N$9:$GC$9,"WK-D2"))&gt;3,"Đ","K")</f>
        <v>Đ</v>
      </c>
      <c r="GU64" s="97">
        <f t="shared" si="39"/>
        <v>2451250</v>
      </c>
      <c r="GV64" s="97">
        <f>SUM(COUNTIFS(N64:GC64,"&gt;2",$N$9:$GC$9,"GC"),COUNTIFS(N64:GC64,"&gt;2",$N$9:$GC$9,"GC1"),COUNTIFS(N64:GC64,"&gt;2",$N$9:$GC$9,"GC2"))</f>
        <v>7</v>
      </c>
      <c r="GW64" s="162">
        <f t="shared" si="32"/>
        <v>0</v>
      </c>
      <c r="GX64" s="162">
        <f>SUM(COUNTIFS(N64:GC64,"&gt;2",$N$9:$GC$9,"GC"),COUNTIFS(N64:GC64,"&gt;2",$N$9:$GC$9,"GC1"),COUNTIFS(N64:GC64,"&gt;2",$N$9:$GC$9,"GC2"),COUNTIFS(N64:GC64,"&gt;2",$N$9:$GC$9,"WK-D"),COUNTIFS(N64:GC64,"&gt;2",$N$9:$GC$9,"WK-D1"),COUNTIFS(N64:GC64,"&gt;2",$N$9:$GC$9,"WK-D2"))*$GX$10</f>
        <v>82758.620689655174</v>
      </c>
      <c r="GY64" s="162">
        <f t="shared" si="33"/>
        <v>73043.478260869568</v>
      </c>
      <c r="GZ64" s="162">
        <f>COUNTIF($N64:$GC64,"CP")</f>
        <v>2</v>
      </c>
      <c r="HA64" s="162">
        <f>COUNTIF($N64:$GC64,"KP")</f>
        <v>0</v>
      </c>
      <c r="HB64" s="162">
        <f>COUNTIF($N64:$GC64,"ĐP")</f>
        <v>0</v>
      </c>
      <c r="HC64" s="162">
        <f>COUNTIF($N64:$GC64,"ĐD")</f>
        <v>0</v>
      </c>
      <c r="HD64" s="162">
        <f>COUNTIF($N64:$GC64,"TPL")</f>
        <v>0</v>
      </c>
      <c r="HE64" s="162">
        <f>COUNTIF($N64:$GC64,"ĐPL")</f>
        <v>0</v>
      </c>
      <c r="HF64" s="162">
        <f t="shared" si="40"/>
        <v>0</v>
      </c>
      <c r="HG64" s="156" t="e">
        <f>VLOOKUP(B64,'data nguồn'!B:N,13,0)</f>
        <v>#N/A</v>
      </c>
      <c r="HH64" s="159" t="e">
        <f>VLOOKUP(B64,'data nguồn'!B:P,15,0)</f>
        <v>#N/A</v>
      </c>
      <c r="HI64" s="163" t="e">
        <f>VLOOKUP(B64,'data nguồn'!B:P,14,0)</f>
        <v>#N/A</v>
      </c>
    </row>
    <row r="65" spans="1:218" s="95" customFormat="1" ht="15">
      <c r="A65" s="73">
        <v>55</v>
      </c>
      <c r="B65" s="648" t="s">
        <v>899</v>
      </c>
      <c r="C65" s="862" t="s">
        <v>900</v>
      </c>
      <c r="D65" s="649">
        <v>42440</v>
      </c>
      <c r="E65" s="645" t="s">
        <v>502</v>
      </c>
      <c r="F65" s="650" t="s">
        <v>901</v>
      </c>
      <c r="G65" s="650"/>
      <c r="H65" s="97">
        <v>200924</v>
      </c>
      <c r="I65" s="641" t="s">
        <v>478</v>
      </c>
      <c r="J65" s="642" t="s">
        <v>124</v>
      </c>
      <c r="K65" s="97"/>
      <c r="L65" s="97"/>
      <c r="M65" s="638"/>
      <c r="N65" s="132"/>
      <c r="O65" s="132"/>
      <c r="P65" s="639"/>
      <c r="Q65" s="639"/>
      <c r="R65" s="132"/>
      <c r="S65" s="132"/>
      <c r="T65" s="615"/>
      <c r="U65" s="615"/>
      <c r="V65" s="97"/>
      <c r="W65" s="97"/>
      <c r="X65" s="639"/>
      <c r="Y65" s="639"/>
      <c r="Z65" s="102"/>
      <c r="AA65" s="97"/>
      <c r="AB65" s="606"/>
      <c r="AC65" s="606"/>
      <c r="AD65" s="106"/>
      <c r="AE65" s="99"/>
      <c r="AF65" s="127"/>
      <c r="AG65" s="127"/>
      <c r="AH65" s="99"/>
      <c r="AI65" s="99"/>
      <c r="AJ65" s="105"/>
      <c r="AK65" s="105"/>
      <c r="AL65" s="127"/>
      <c r="AM65" s="127"/>
      <c r="AN65" s="636"/>
      <c r="AO65" s="636"/>
      <c r="AP65" s="104"/>
      <c r="AQ65" s="104"/>
      <c r="AR65" s="606"/>
      <c r="AS65" s="606"/>
      <c r="AT65" s="97"/>
      <c r="AU65" s="97"/>
      <c r="AV65" s="97"/>
      <c r="AW65" s="97"/>
      <c r="AX65" s="606"/>
      <c r="AY65" s="606"/>
      <c r="AZ65" s="97"/>
      <c r="BA65" s="97"/>
      <c r="BB65" s="132"/>
      <c r="BC65" s="132"/>
      <c r="BD65" s="606"/>
      <c r="BE65" s="606"/>
      <c r="BF65" s="104"/>
      <c r="BG65" s="104"/>
      <c r="BH65" s="606"/>
      <c r="BI65" s="606"/>
      <c r="BJ65" s="97"/>
      <c r="BK65" s="97"/>
      <c r="BL65" s="104"/>
      <c r="BM65" s="104"/>
      <c r="BN65" s="606"/>
      <c r="BO65" s="606"/>
      <c r="BP65" s="97"/>
      <c r="BQ65" s="97"/>
      <c r="BR65" s="131"/>
      <c r="BS65" s="132"/>
      <c r="BT65" s="606"/>
      <c r="BU65" s="606"/>
      <c r="BV65" s="97"/>
      <c r="BW65" s="97"/>
      <c r="BX65" s="635"/>
      <c r="BY65" s="635"/>
      <c r="BZ65" s="608"/>
      <c r="CA65" s="608"/>
      <c r="CB65" s="636"/>
      <c r="CC65" s="636"/>
      <c r="CD65" s="144"/>
      <c r="CE65" s="144"/>
      <c r="CF65" s="606"/>
      <c r="CG65" s="606"/>
      <c r="CH65" s="97"/>
      <c r="CI65" s="97"/>
      <c r="CJ65" s="634"/>
      <c r="CK65" s="634"/>
      <c r="CL65" s="606"/>
      <c r="CM65" s="606"/>
      <c r="CN65" s="132"/>
      <c r="CO65" s="132"/>
      <c r="CP65" s="634"/>
      <c r="CQ65" s="634"/>
      <c r="CR65" s="606"/>
      <c r="CS65" s="606"/>
      <c r="CT65" s="104"/>
      <c r="CU65" s="104"/>
      <c r="CV65" s="606"/>
      <c r="CW65" s="606"/>
      <c r="CX65" s="97"/>
      <c r="CY65" s="97"/>
      <c r="CZ65" s="102"/>
      <c r="DA65" s="97"/>
      <c r="DB65" s="606"/>
      <c r="DC65" s="606"/>
      <c r="DD65" s="97"/>
      <c r="DE65" s="97"/>
      <c r="DF65" s="607"/>
      <c r="DG65" s="607"/>
      <c r="DH65" s="608"/>
      <c r="DI65" s="608"/>
      <c r="DJ65" s="636"/>
      <c r="DK65" s="636"/>
      <c r="DL65" s="637"/>
      <c r="DM65" s="637"/>
      <c r="DN65" s="608"/>
      <c r="DO65" s="608"/>
      <c r="DP65" s="636"/>
      <c r="DQ65" s="636"/>
      <c r="DR65" s="104"/>
      <c r="DS65" s="104"/>
      <c r="DT65" s="606"/>
      <c r="DU65" s="606"/>
      <c r="DV65" s="97"/>
      <c r="DW65" s="97"/>
      <c r="DX65" s="104"/>
      <c r="DY65" s="104"/>
      <c r="DZ65" s="606"/>
      <c r="EA65" s="606"/>
      <c r="EB65" s="97"/>
      <c r="EC65" s="97"/>
      <c r="ED65" s="104"/>
      <c r="EE65" s="104"/>
      <c r="EF65" s="606"/>
      <c r="EG65" s="606"/>
      <c r="EH65" s="99"/>
      <c r="EI65" s="99"/>
      <c r="EJ65" s="104">
        <v>8</v>
      </c>
      <c r="EK65" s="104">
        <v>3</v>
      </c>
      <c r="EL65" s="606"/>
      <c r="EM65" s="606"/>
      <c r="EN65" s="97"/>
      <c r="EO65" s="97"/>
      <c r="EP65" s="102">
        <v>8</v>
      </c>
      <c r="EQ65" s="102">
        <v>3</v>
      </c>
      <c r="ER65" s="606"/>
      <c r="ES65" s="606"/>
      <c r="ET65" s="97"/>
      <c r="EU65" s="97"/>
      <c r="EV65" s="102">
        <v>8</v>
      </c>
      <c r="EW65" s="102">
        <v>3</v>
      </c>
      <c r="EX65" s="621"/>
      <c r="EY65" s="621"/>
      <c r="EZ65" s="97"/>
      <c r="FA65" s="97"/>
      <c r="FB65" s="644">
        <v>8</v>
      </c>
      <c r="FC65" s="644">
        <v>3</v>
      </c>
      <c r="FD65" s="644"/>
      <c r="FE65" s="644"/>
      <c r="FF65" s="636"/>
      <c r="FG65" s="636"/>
      <c r="FH65" s="102">
        <v>8</v>
      </c>
      <c r="FI65" s="102">
        <v>3</v>
      </c>
      <c r="FJ65" s="651"/>
      <c r="FK65" s="651"/>
      <c r="FL65" s="97"/>
      <c r="FM65" s="97"/>
      <c r="FN65" s="102">
        <v>8</v>
      </c>
      <c r="FO65" s="102">
        <v>3</v>
      </c>
      <c r="FP65" s="621"/>
      <c r="FQ65" s="621"/>
      <c r="FR65" s="99"/>
      <c r="FS65" s="99"/>
      <c r="FT65" s="131">
        <v>8</v>
      </c>
      <c r="FU65" s="131">
        <v>3</v>
      </c>
      <c r="FV65" s="614"/>
      <c r="FW65" s="614"/>
      <c r="FX65" s="99"/>
      <c r="FY65" s="99"/>
      <c r="FZ65" s="102"/>
      <c r="GA65" s="102"/>
      <c r="GB65" s="613"/>
      <c r="GC65" s="613"/>
      <c r="GD65" s="97"/>
      <c r="GE65" s="97"/>
      <c r="GF65" s="125">
        <f>SUM(COUNTIFS(N65:GE65,"&gt;0",$N$9:$GE$9,"GC"),COUNTIFS(N65:GE65,"&gt;0",$N$9:$GE$9,"GC1"),COUNTIFS(N65:GE65,"&gt;0",$N$9:$GE$9,"GC2"))</f>
        <v>6</v>
      </c>
      <c r="GG65" s="126">
        <f>SUMIF($N$9:$GE$9,"GC",$N65:$GE65)</f>
        <v>48</v>
      </c>
      <c r="GH65" s="126">
        <f>SUMIF($N$9:$GE$9,"GC1",$N65:$GE65)</f>
        <v>0</v>
      </c>
      <c r="GI65" s="126">
        <f>SUMIF($N$9:$GE$9,"GC2",$N65:$GE65)</f>
        <v>0</v>
      </c>
      <c r="GJ65" s="126">
        <f>SUMIF($N$9:$GE$9,"TC",$N65:$GE65)</f>
        <v>18</v>
      </c>
      <c r="GK65" s="126">
        <f>SUMIF($N$9:$GE$9,"TC1",$N65:$GE65)</f>
        <v>0</v>
      </c>
      <c r="GL65" s="126">
        <f>SUMIF($N$9:$GE$9,"TC2",$N65:$GE65)</f>
        <v>0</v>
      </c>
      <c r="GM65" s="126">
        <f>SUMIF($N$9:$GE$9,"WK-D",$N65:$GE65)+SUMIF($N$9:$GE$9,"WK-TC",$N65:$GE65)</f>
        <v>11</v>
      </c>
      <c r="GN65" s="126">
        <f>SUMIF($N$9:$GE$9,"WK-D1",$N65:$GE65)+SUMIF($N$9:$GE$9,"WK-TC1",$N65:$GE65)</f>
        <v>0</v>
      </c>
      <c r="GO65" s="126">
        <f>SUMIF($N$9:$GE$9,"WK-D2",$N65:$GE65)+SUMIF($N$9:$GE$9,"WK-TC2",$N65:$GE65)</f>
        <v>0</v>
      </c>
      <c r="GP65" s="126">
        <f>SUMIF($N$9:$GE$9,"HOD",$N65:$GE65)</f>
        <v>0</v>
      </c>
      <c r="GQ65" s="126">
        <f>SUMIF($N$9:$GE$9,"HOD1",$N65:$GE65)</f>
        <v>0</v>
      </c>
      <c r="GR65" s="126">
        <f>SUMIF($N$9:$GE$9,"HOD2",$N65:$GE65)</f>
        <v>0</v>
      </c>
      <c r="GS65" s="162">
        <f t="shared" si="38"/>
        <v>2207250</v>
      </c>
      <c r="GT65" s="97" t="str">
        <f>IF(SUM(COUNTIFS(N65:GC65,"&gt;0",$N$9:$GC$9,"GC"),COUNTIFS(N65:GC65,"&gt;0",$N$9:$GC$9,"GC1"),COUNTIFS(N65:GC65,"&gt;0",$N$9:$GC$9,"GC2"),COUNTIFS(N65:GC65,"&gt;0",$N$9:$GC$9,"WK-D"),COUNTIFS(N65:GC65,"&gt;0",$N$9:$GC$9,"WK-D1"),COUNTIFS(N65:GC65,"&gt;0",$N$9:$GC$9,"WK-D2"))&gt;3,"Đ","K")</f>
        <v>Đ</v>
      </c>
      <c r="GU65" s="97">
        <f t="shared" si="39"/>
        <v>2207250</v>
      </c>
      <c r="GV65" s="97">
        <f>SUM(COUNTIFS(N65:GC65,"&gt;2",$N$9:$GC$9,"GC"),COUNTIFS(N65:GC65,"&gt;2",$N$9:$GC$9,"GC1"),COUNTIFS(N65:GC65,"&gt;2",$N$9:$GC$9,"GC2"))</f>
        <v>6</v>
      </c>
      <c r="GW65" s="162">
        <f t="shared" si="32"/>
        <v>0</v>
      </c>
      <c r="GX65" s="162">
        <f>SUM(COUNTIFS(N65:GC65,"&gt;2",$N$9:$GC$9,"GC"),COUNTIFS(N65:GC65,"&gt;2",$N$9:$GC$9,"GC1"),COUNTIFS(N65:GC65,"&gt;2",$N$9:$GC$9,"GC2"),COUNTIFS(N65:GC65,"&gt;2",$N$9:$GC$9,"WK-D"),COUNTIFS(N65:GC65,"&gt;2",$N$9:$GC$9,"WK-D1"),COUNTIFS(N65:GC65,"&gt;2",$N$9:$GC$9,"WK-D2"))*$GX$10</f>
        <v>72413.793103448275</v>
      </c>
      <c r="GY65" s="162">
        <f t="shared" si="33"/>
        <v>62608.695652173912</v>
      </c>
      <c r="GZ65" s="162">
        <f>COUNTIF($N65:$GC65,"CP")</f>
        <v>0</v>
      </c>
      <c r="HA65" s="162">
        <f>COUNTIF($N65:$GC65,"KP")</f>
        <v>0</v>
      </c>
      <c r="HB65" s="162">
        <f>COUNTIF($N65:$GC65,"ĐP")</f>
        <v>0</v>
      </c>
      <c r="HC65" s="162">
        <f>COUNTIF($N65:$GC65,"ĐD")</f>
        <v>0</v>
      </c>
      <c r="HD65" s="162">
        <f>COUNTIF($N65:$GC65,"TPL")</f>
        <v>0</v>
      </c>
      <c r="HE65" s="162">
        <f>COUNTIF($N65:$GC65,"ĐPL")</f>
        <v>0</v>
      </c>
      <c r="HF65" s="162">
        <f t="shared" si="40"/>
        <v>0</v>
      </c>
      <c r="HG65" s="156" t="str">
        <f>VLOOKUP(B65,'data nguồn'!B:N,13,0)</f>
        <v>1016774720</v>
      </c>
      <c r="HH65" s="159" t="str">
        <f>VLOOKUP(B65,'data nguồn'!B:P,15,0)</f>
        <v>Hoàng Xuân Vững</v>
      </c>
      <c r="HI65" s="163" t="str">
        <f>VLOOKUP(B65,'data nguồn'!B:P,14,0)</f>
        <v>VCB Hải Phòng</v>
      </c>
    </row>
    <row r="66" spans="1:218" s="95" customFormat="1" ht="15">
      <c r="A66" s="811">
        <v>56</v>
      </c>
      <c r="B66" s="829" t="s">
        <v>902</v>
      </c>
      <c r="C66" s="830" t="s">
        <v>903</v>
      </c>
      <c r="D66" s="652">
        <v>42074</v>
      </c>
      <c r="E66" s="357" t="s">
        <v>702</v>
      </c>
      <c r="F66" s="831" t="s">
        <v>904</v>
      </c>
      <c r="G66" s="831"/>
      <c r="H66" s="812">
        <v>200925</v>
      </c>
      <c r="I66" s="814" t="s">
        <v>125</v>
      </c>
      <c r="J66" s="815" t="s">
        <v>124</v>
      </c>
      <c r="K66" s="812"/>
      <c r="L66" s="812"/>
      <c r="M66" s="816">
        <v>44101</v>
      </c>
      <c r="N66" s="812"/>
      <c r="O66" s="812"/>
      <c r="P66" s="812"/>
      <c r="Q66" s="812"/>
      <c r="R66" s="812"/>
      <c r="S66" s="812"/>
      <c r="T66" s="817"/>
      <c r="U66" s="817"/>
      <c r="V66" s="812"/>
      <c r="W66" s="812"/>
      <c r="X66" s="812"/>
      <c r="Y66" s="812"/>
      <c r="Z66" s="819"/>
      <c r="AA66" s="812"/>
      <c r="AB66" s="821"/>
      <c r="AC66" s="821"/>
      <c r="AD66" s="819"/>
      <c r="AE66" s="812"/>
      <c r="AF66" s="821"/>
      <c r="AG66" s="821"/>
      <c r="AH66" s="99"/>
      <c r="AI66" s="99"/>
      <c r="AJ66" s="822"/>
      <c r="AK66" s="822"/>
      <c r="AL66" s="821"/>
      <c r="AM66" s="821"/>
      <c r="AN66" s="636"/>
      <c r="AO66" s="636"/>
      <c r="AP66" s="822"/>
      <c r="AQ66" s="822"/>
      <c r="AR66" s="821"/>
      <c r="AS66" s="821"/>
      <c r="AT66" s="97"/>
      <c r="AU66" s="97"/>
      <c r="AV66" s="812"/>
      <c r="AW66" s="812"/>
      <c r="AX66" s="821"/>
      <c r="AY66" s="821"/>
      <c r="AZ66" s="97"/>
      <c r="BA66" s="97"/>
      <c r="BB66" s="812"/>
      <c r="BC66" s="812"/>
      <c r="BD66" s="821"/>
      <c r="BE66" s="821"/>
      <c r="BF66" s="822"/>
      <c r="BG66" s="822"/>
      <c r="BH66" s="821"/>
      <c r="BI66" s="821"/>
      <c r="BJ66" s="97"/>
      <c r="BK66" s="97"/>
      <c r="BL66" s="822"/>
      <c r="BM66" s="822"/>
      <c r="BN66" s="821"/>
      <c r="BO66" s="821"/>
      <c r="BP66" s="97"/>
      <c r="BQ66" s="97"/>
      <c r="BR66" s="819"/>
      <c r="BS66" s="812"/>
      <c r="BT66" s="821"/>
      <c r="BU66" s="821"/>
      <c r="BV66" s="97"/>
      <c r="BW66" s="97"/>
      <c r="BX66" s="823"/>
      <c r="BY66" s="823"/>
      <c r="BZ66" s="821"/>
      <c r="CA66" s="821"/>
      <c r="CB66" s="636"/>
      <c r="CC66" s="636"/>
      <c r="CD66" s="823"/>
      <c r="CE66" s="823"/>
      <c r="CF66" s="821"/>
      <c r="CG66" s="821"/>
      <c r="CH66" s="97"/>
      <c r="CI66" s="97"/>
      <c r="CJ66" s="822"/>
      <c r="CK66" s="822"/>
      <c r="CL66" s="821"/>
      <c r="CM66" s="821"/>
      <c r="CN66" s="132"/>
      <c r="CO66" s="132"/>
      <c r="CP66" s="822"/>
      <c r="CQ66" s="822"/>
      <c r="CR66" s="821"/>
      <c r="CS66" s="821"/>
      <c r="CT66" s="822"/>
      <c r="CU66" s="822"/>
      <c r="CV66" s="821"/>
      <c r="CW66" s="821"/>
      <c r="CX66" s="97"/>
      <c r="CY66" s="97"/>
      <c r="CZ66" s="819"/>
      <c r="DA66" s="812"/>
      <c r="DB66" s="821"/>
      <c r="DC66" s="821"/>
      <c r="DD66" s="97"/>
      <c r="DE66" s="97"/>
      <c r="DF66" s="824"/>
      <c r="DG66" s="824"/>
      <c r="DH66" s="821"/>
      <c r="DI66" s="821"/>
      <c r="DJ66" s="636"/>
      <c r="DK66" s="636"/>
      <c r="DL66" s="822"/>
      <c r="DM66" s="822"/>
      <c r="DN66" s="821"/>
      <c r="DO66" s="821"/>
      <c r="DP66" s="636"/>
      <c r="DQ66" s="636"/>
      <c r="DR66" s="822"/>
      <c r="DS66" s="822"/>
      <c r="DT66" s="821"/>
      <c r="DU66" s="821"/>
      <c r="DV66" s="97"/>
      <c r="DW66" s="97"/>
      <c r="DX66" s="822"/>
      <c r="DY66" s="822"/>
      <c r="DZ66" s="821"/>
      <c r="EA66" s="821"/>
      <c r="EB66" s="97"/>
      <c r="EC66" s="97"/>
      <c r="ED66" s="822"/>
      <c r="EE66" s="822"/>
      <c r="EF66" s="821"/>
      <c r="EG66" s="821"/>
      <c r="EH66" s="99"/>
      <c r="EI66" s="99"/>
      <c r="EJ66" s="822"/>
      <c r="EK66" s="822"/>
      <c r="EL66" s="821"/>
      <c r="EM66" s="821"/>
      <c r="EN66" s="97"/>
      <c r="EO66" s="97"/>
      <c r="EP66" s="819">
        <v>8</v>
      </c>
      <c r="EQ66" s="819">
        <v>3</v>
      </c>
      <c r="ER66" s="821"/>
      <c r="ES66" s="821"/>
      <c r="ET66" s="97"/>
      <c r="EU66" s="97"/>
      <c r="EV66" s="819">
        <v>8</v>
      </c>
      <c r="EW66" s="819">
        <v>5</v>
      </c>
      <c r="EX66" s="824"/>
      <c r="EY66" s="824"/>
      <c r="EZ66" s="97"/>
      <c r="FA66" s="97"/>
      <c r="FB66" s="819" t="s">
        <v>827</v>
      </c>
      <c r="FC66" s="819"/>
      <c r="FD66" s="819"/>
      <c r="FE66" s="819"/>
      <c r="FF66" s="636"/>
      <c r="FG66" s="636"/>
      <c r="FH66" s="819"/>
      <c r="FI66" s="819"/>
      <c r="FJ66" s="819"/>
      <c r="FK66" s="819"/>
      <c r="FL66" s="97"/>
      <c r="FM66" s="97"/>
      <c r="FN66" s="819"/>
      <c r="FO66" s="819"/>
      <c r="FP66" s="824"/>
      <c r="FQ66" s="824"/>
      <c r="FR66" s="99"/>
      <c r="FS66" s="99"/>
      <c r="FT66" s="819"/>
      <c r="FU66" s="819"/>
      <c r="FV66" s="832"/>
      <c r="FW66" s="832"/>
      <c r="FX66" s="99"/>
      <c r="FY66" s="99"/>
      <c r="FZ66" s="819"/>
      <c r="GA66" s="819"/>
      <c r="GB66" s="825"/>
      <c r="GC66" s="825"/>
      <c r="GD66" s="97"/>
      <c r="GE66" s="97"/>
      <c r="GF66" s="826">
        <f>SUM(COUNTIFS(N66:GE66,"&gt;0",$N$9:$GE$9,"GC"),COUNTIFS(N66:GE66,"&gt;0",$N$9:$GE$9,"GC1"),COUNTIFS(N66:GE66,"&gt;0",$N$9:$GE$9,"GC2"))</f>
        <v>2</v>
      </c>
      <c r="GG66" s="827">
        <f>SUMIF($N$9:$GE$9,"GC",$N66:$GE66)</f>
        <v>16</v>
      </c>
      <c r="GH66" s="827">
        <f>SUMIF($N$9:$GE$9,"GC1",$N66:$GE66)</f>
        <v>0</v>
      </c>
      <c r="GI66" s="827">
        <f>SUMIF($N$9:$GE$9,"GC2",$N66:$GE66)</f>
        <v>0</v>
      </c>
      <c r="GJ66" s="827">
        <f>SUMIF($N$9:$GE$9,"TC",$N66:$GE66)</f>
        <v>8</v>
      </c>
      <c r="GK66" s="827">
        <f>SUMIF($N$9:$GE$9,"TC1",$N66:$GE66)</f>
        <v>0</v>
      </c>
      <c r="GL66" s="827">
        <f>SUMIF($N$9:$GE$9,"TC2",$N66:$GE66)</f>
        <v>0</v>
      </c>
      <c r="GM66" s="827">
        <f>SUMIF($N$9:$GE$9,"WK-D",$N66:$GE66)+SUMIF($N$9:$GE$9,"WK-TC",$N66:$GE66)</f>
        <v>0</v>
      </c>
      <c r="GN66" s="827">
        <f>SUMIF($N$9:$GE$9,"WK-D1",$N66:$GE66)+SUMIF($N$9:$GE$9,"WK-TC1",$N66:$GE66)</f>
        <v>0</v>
      </c>
      <c r="GO66" s="827">
        <f>SUMIF($N$9:$GE$9,"WK-D2",$N66:$GE66)+SUMIF($N$9:$GE$9,"WK-TC2",$N66:$GE66)</f>
        <v>0</v>
      </c>
      <c r="GP66" s="827">
        <f>SUMIF($N$9:$GE$9,"HOD",$N66:$GE66)</f>
        <v>0</v>
      </c>
      <c r="GQ66" s="827">
        <f>SUMIF($N$9:$GE$9,"HOD1",$N66:$GE66)</f>
        <v>0</v>
      </c>
      <c r="GR66" s="827">
        <f>SUMIF($N$9:$GE$9,"HOD2",$N66:$GE66)</f>
        <v>0</v>
      </c>
      <c r="GS66" s="828">
        <f t="shared" si="38"/>
        <v>632000</v>
      </c>
      <c r="GT66" s="812" t="str">
        <f>IF(SUM(COUNTIFS(N66:GC66,"&gt;0",$N$9:$GC$9,"GC"),COUNTIFS(N66:GC66,"&gt;0",$N$9:$GC$9,"GC1"),COUNTIFS(N66:GC66,"&gt;0",$N$9:$GC$9,"GC2"),COUNTIFS(N66:GC66,"&gt;0",$N$9:$GC$9,"WK-D"),COUNTIFS(N66:GC66,"&gt;0",$N$9:$GC$9,"WK-D1"),COUNTIFS(N66:GC66,"&gt;0",$N$9:$GC$9,"WK-D2"))&gt;3,"Đ","K")</f>
        <v>K</v>
      </c>
      <c r="GU66" s="812">
        <f t="shared" si="39"/>
        <v>0</v>
      </c>
      <c r="GV66" s="812">
        <f>SUM(COUNTIFS(N66:GC66,"&gt;2",$N$9:$GC$9,"GC"),COUNTIFS(N66:GC66,"&gt;2",$N$9:$GC$9,"GC1"),COUNTIFS(N66:GC66,"&gt;2",$N$9:$GC$9,"GC2"))</f>
        <v>2</v>
      </c>
      <c r="GW66" s="828">
        <f t="shared" si="32"/>
        <v>0</v>
      </c>
      <c r="GX66" s="162">
        <f>SUM(COUNTIFS(N66:GC66,"&gt;2",$N$9:$GC$9,"GC"),COUNTIFS(N66:GC66,"&gt;2",$N$9:$GC$9,"GC1"),COUNTIFS(N66:GC66,"&gt;2",$N$9:$GC$9,"GC2"),COUNTIFS(N66:GC66,"&gt;2",$N$9:$GC$9,"WK-D"),COUNTIFS(N66:GC66,"&gt;2",$N$9:$GC$9,"WK-D1"),COUNTIFS(N66:GC66,"&gt;2",$N$9:$GC$9,"WK-D2"))*$GX$10</f>
        <v>20689.655172413793</v>
      </c>
      <c r="GY66" s="828">
        <f t="shared" si="33"/>
        <v>0</v>
      </c>
      <c r="GZ66" s="828">
        <f>COUNTIF($N66:$GC66,"CP")</f>
        <v>0</v>
      </c>
      <c r="HA66" s="828">
        <f>COUNTIF($N66:$GC66,"KP")</f>
        <v>0</v>
      </c>
      <c r="HB66" s="828">
        <f>COUNTIF($N66:$GC66,"ĐP")</f>
        <v>0</v>
      </c>
      <c r="HC66" s="828">
        <f>COUNTIF($N66:$GC66,"ĐD")</f>
        <v>0</v>
      </c>
      <c r="HD66" s="828">
        <f>COUNTIF($N66:$GC66,"TPL")</f>
        <v>0</v>
      </c>
      <c r="HE66" s="828">
        <f>COUNTIF($N66:$GC66,"ĐPL")</f>
        <v>0</v>
      </c>
      <c r="HF66" s="828">
        <f t="shared" si="40"/>
        <v>0</v>
      </c>
      <c r="HG66" s="156" t="e">
        <f>VLOOKUP(B66,'data nguồn'!B:N,13,0)</f>
        <v>#N/A</v>
      </c>
      <c r="HH66" s="159" t="e">
        <f>VLOOKUP(B66,'data nguồn'!B:P,15,0)</f>
        <v>#N/A</v>
      </c>
      <c r="HI66" s="163" t="e">
        <f>VLOOKUP(B66,'data nguồn'!B:P,14,0)</f>
        <v>#N/A</v>
      </c>
      <c r="HJ66" s="95" t="s">
        <v>1031</v>
      </c>
    </row>
    <row r="67" spans="1:218" s="95" customFormat="1" ht="15">
      <c r="A67" s="73">
        <v>57</v>
      </c>
      <c r="B67" s="121" t="s">
        <v>905</v>
      </c>
      <c r="C67" s="861" t="s">
        <v>906</v>
      </c>
      <c r="D67" s="653">
        <v>43893</v>
      </c>
      <c r="E67" s="357" t="s">
        <v>702</v>
      </c>
      <c r="F67" s="650" t="s">
        <v>907</v>
      </c>
      <c r="G67" s="650"/>
      <c r="H67" s="97">
        <v>200925</v>
      </c>
      <c r="I67" s="641" t="s">
        <v>0</v>
      </c>
      <c r="J67" s="642" t="s">
        <v>124</v>
      </c>
      <c r="K67" s="97"/>
      <c r="L67" s="97"/>
      <c r="M67" s="97"/>
      <c r="N67" s="132"/>
      <c r="O67" s="132"/>
      <c r="P67" s="639"/>
      <c r="Q67" s="639"/>
      <c r="R67" s="132"/>
      <c r="S67" s="132"/>
      <c r="T67" s="615"/>
      <c r="U67" s="615"/>
      <c r="V67" s="97"/>
      <c r="W67" s="97"/>
      <c r="X67" s="639"/>
      <c r="Y67" s="639"/>
      <c r="Z67" s="102"/>
      <c r="AA67" s="97"/>
      <c r="AB67" s="606"/>
      <c r="AC67" s="606"/>
      <c r="AD67" s="106"/>
      <c r="AE67" s="99"/>
      <c r="AF67" s="127"/>
      <c r="AG67" s="127"/>
      <c r="AH67" s="99"/>
      <c r="AI67" s="99"/>
      <c r="AJ67" s="105"/>
      <c r="AK67" s="105"/>
      <c r="AL67" s="127"/>
      <c r="AM67" s="127"/>
      <c r="AN67" s="636"/>
      <c r="AO67" s="636"/>
      <c r="AP67" s="104"/>
      <c r="AQ67" s="104"/>
      <c r="AR67" s="606"/>
      <c r="AS67" s="606"/>
      <c r="AT67" s="97"/>
      <c r="AU67" s="97"/>
      <c r="AV67" s="97"/>
      <c r="AW67" s="97"/>
      <c r="AX67" s="606"/>
      <c r="AY67" s="606"/>
      <c r="AZ67" s="97"/>
      <c r="BA67" s="97"/>
      <c r="BB67" s="132"/>
      <c r="BC67" s="132"/>
      <c r="BD67" s="606"/>
      <c r="BE67" s="606"/>
      <c r="BF67" s="104"/>
      <c r="BG67" s="104"/>
      <c r="BH67" s="606"/>
      <c r="BI67" s="606"/>
      <c r="BJ67" s="97"/>
      <c r="BK67" s="97"/>
      <c r="BL67" s="104"/>
      <c r="BM67" s="104"/>
      <c r="BN67" s="606"/>
      <c r="BO67" s="606"/>
      <c r="BP67" s="97"/>
      <c r="BQ67" s="97"/>
      <c r="BR67" s="131"/>
      <c r="BS67" s="132"/>
      <c r="BT67" s="606"/>
      <c r="BU67" s="606"/>
      <c r="BV67" s="97"/>
      <c r="BW67" s="97"/>
      <c r="BX67" s="635"/>
      <c r="BY67" s="635"/>
      <c r="BZ67" s="608"/>
      <c r="CA67" s="608"/>
      <c r="CB67" s="636"/>
      <c r="CC67" s="636"/>
      <c r="CD67" s="144"/>
      <c r="CE67" s="144"/>
      <c r="CF67" s="606"/>
      <c r="CG67" s="606"/>
      <c r="CH67" s="97"/>
      <c r="CI67" s="97"/>
      <c r="CJ67" s="634"/>
      <c r="CK67" s="634"/>
      <c r="CL67" s="606"/>
      <c r="CM67" s="606"/>
      <c r="CN67" s="132"/>
      <c r="CO67" s="132"/>
      <c r="CP67" s="634"/>
      <c r="CQ67" s="634"/>
      <c r="CR67" s="606"/>
      <c r="CS67" s="606"/>
      <c r="CT67" s="104"/>
      <c r="CU67" s="104"/>
      <c r="CV67" s="606"/>
      <c r="CW67" s="606"/>
      <c r="CX67" s="97"/>
      <c r="CY67" s="97"/>
      <c r="CZ67" s="102"/>
      <c r="DA67" s="97"/>
      <c r="DB67" s="606"/>
      <c r="DC67" s="606"/>
      <c r="DD67" s="97"/>
      <c r="DE67" s="97"/>
      <c r="DF67" s="607"/>
      <c r="DG67" s="607"/>
      <c r="DH67" s="608"/>
      <c r="DI67" s="608"/>
      <c r="DJ67" s="636"/>
      <c r="DK67" s="636"/>
      <c r="DL67" s="637"/>
      <c r="DM67" s="637"/>
      <c r="DN67" s="608"/>
      <c r="DO67" s="608"/>
      <c r="DP67" s="636"/>
      <c r="DQ67" s="636"/>
      <c r="DR67" s="104"/>
      <c r="DS67" s="104"/>
      <c r="DT67" s="606"/>
      <c r="DU67" s="606"/>
      <c r="DV67" s="97"/>
      <c r="DW67" s="97"/>
      <c r="DX67" s="104"/>
      <c r="DY67" s="104"/>
      <c r="DZ67" s="606"/>
      <c r="EA67" s="606"/>
      <c r="EB67" s="97"/>
      <c r="EC67" s="97"/>
      <c r="ED67" s="104"/>
      <c r="EE67" s="104"/>
      <c r="EF67" s="606"/>
      <c r="EG67" s="606"/>
      <c r="EH67" s="99"/>
      <c r="EI67" s="99"/>
      <c r="EJ67" s="104"/>
      <c r="EK67" s="104"/>
      <c r="EL67" s="606"/>
      <c r="EM67" s="606"/>
      <c r="EN67" s="97"/>
      <c r="EO67" s="97"/>
      <c r="EP67" s="102">
        <v>7</v>
      </c>
      <c r="EQ67" s="102">
        <v>3</v>
      </c>
      <c r="ER67" s="606"/>
      <c r="ES67" s="606"/>
      <c r="ET67" s="97"/>
      <c r="EU67" s="97"/>
      <c r="EV67" s="102"/>
      <c r="EW67" s="102"/>
      <c r="EX67" s="621"/>
      <c r="EY67" s="621"/>
      <c r="EZ67" s="97"/>
      <c r="FA67" s="97"/>
      <c r="FB67" s="644"/>
      <c r="FC67" s="644"/>
      <c r="FD67" s="644"/>
      <c r="FE67" s="644"/>
      <c r="FF67" s="636"/>
      <c r="FG67" s="636"/>
      <c r="FH67" s="102"/>
      <c r="FI67" s="102"/>
      <c r="FJ67" s="651"/>
      <c r="FK67" s="651"/>
      <c r="FL67" s="97"/>
      <c r="FM67" s="97"/>
      <c r="FN67" s="102"/>
      <c r="FO67" s="102"/>
      <c r="FP67" s="621"/>
      <c r="FQ67" s="621"/>
      <c r="FR67" s="99"/>
      <c r="FS67" s="99"/>
      <c r="FT67" s="131"/>
      <c r="FU67" s="131"/>
      <c r="FV67" s="614"/>
      <c r="FW67" s="614"/>
      <c r="FX67" s="99"/>
      <c r="FY67" s="99"/>
      <c r="FZ67" s="102"/>
      <c r="GA67" s="102"/>
      <c r="GB67" s="613"/>
      <c r="GC67" s="613"/>
      <c r="GD67" s="97"/>
      <c r="GE67" s="97"/>
      <c r="GF67" s="125">
        <f>SUM(COUNTIFS(N67:GE67,"&gt;0",$N$9:$GE$9,"GC"),COUNTIFS(N67:GE67,"&gt;0",$N$9:$GE$9,"GC1"),COUNTIFS(N67:GE67,"&gt;0",$N$9:$GE$9,"GC2"))</f>
        <v>1</v>
      </c>
      <c r="GG67" s="126">
        <f>SUMIF($N$9:$GE$9,"GC",$N67:$GE67)</f>
        <v>7</v>
      </c>
      <c r="GH67" s="126">
        <f>SUMIF($N$9:$GE$9,"GC1",$N67:$GE67)</f>
        <v>0</v>
      </c>
      <c r="GI67" s="126">
        <f>SUMIF($N$9:$GE$9,"GC2",$N67:$GE67)</f>
        <v>0</v>
      </c>
      <c r="GJ67" s="126">
        <f>SUMIF($N$9:$GE$9,"TC",$N67:$GE67)</f>
        <v>3</v>
      </c>
      <c r="GK67" s="126">
        <f>SUMIF($N$9:$GE$9,"TC1",$N67:$GE67)</f>
        <v>0</v>
      </c>
      <c r="GL67" s="126">
        <f>SUMIF($N$9:$GE$9,"TC2",$N67:$GE67)</f>
        <v>0</v>
      </c>
      <c r="GM67" s="126">
        <f>SUMIF($N$9:$GE$9,"WK-D",$N67:$GE67)+SUMIF($N$9:$GE$9,"WK-TC",$N67:$GE67)</f>
        <v>0</v>
      </c>
      <c r="GN67" s="126">
        <f>SUMIF($N$9:$GE$9,"WK-D1",$N67:$GE67)+SUMIF($N$9:$GE$9,"WK-TC1",$N67:$GE67)</f>
        <v>0</v>
      </c>
      <c r="GO67" s="126">
        <f>SUMIF($N$9:$GE$9,"WK-D2",$N67:$GE67)+SUMIF($N$9:$GE$9,"WK-TC2",$N67:$GE67)</f>
        <v>0</v>
      </c>
      <c r="GP67" s="126">
        <f>SUMIF($N$9:$GE$9,"HOD",$N67:$GE67)</f>
        <v>0</v>
      </c>
      <c r="GQ67" s="126">
        <f>SUMIF($N$9:$GE$9,"HOD1",$N67:$GE67)</f>
        <v>0</v>
      </c>
      <c r="GR67" s="126">
        <f>SUMIF($N$9:$GE$9,"HOD2",$N67:$GE67)</f>
        <v>0</v>
      </c>
      <c r="GS67" s="162">
        <v>225000</v>
      </c>
      <c r="GT67" s="97" t="s">
        <v>639</v>
      </c>
      <c r="GU67" s="162">
        <f t="shared" si="39"/>
        <v>225000</v>
      </c>
      <c r="GV67" s="97">
        <f>SUM(COUNTIFS(N67:GC67,"&gt;2",$N$9:$GC$9,"GC"),COUNTIFS(N67:GC67,"&gt;2",$N$9:$GC$9,"GC1"),COUNTIFS(N67:GC67,"&gt;2",$N$9:$GC$9,"GC2"))</f>
        <v>1</v>
      </c>
      <c r="GW67" s="162">
        <f t="shared" si="32"/>
        <v>0</v>
      </c>
      <c r="GX67" s="162">
        <v>0</v>
      </c>
      <c r="GY67" s="162">
        <f t="shared" si="33"/>
        <v>0</v>
      </c>
      <c r="GZ67" s="162">
        <f>COUNTIF($N67:$GC67,"CP")</f>
        <v>0</v>
      </c>
      <c r="HA67" s="162">
        <f>COUNTIF($N67:$GC67,"KP")</f>
        <v>0</v>
      </c>
      <c r="HB67" s="162">
        <f>COUNTIF($N67:$GC67,"ĐP")</f>
        <v>0</v>
      </c>
      <c r="HC67" s="162">
        <f>COUNTIF($N67:$GC67,"ĐD")</f>
        <v>0</v>
      </c>
      <c r="HD67" s="162">
        <f>COUNTIF($N67:$GC67,"TPL")</f>
        <v>0</v>
      </c>
      <c r="HE67" s="162">
        <f>COUNTIF($N67:$GC67,"ĐPL")</f>
        <v>0</v>
      </c>
      <c r="HF67" s="162">
        <f t="shared" si="40"/>
        <v>0</v>
      </c>
      <c r="HG67" s="156" t="e">
        <f>VLOOKUP(B67,'data nguồn'!B:N,13,0)</f>
        <v>#N/A</v>
      </c>
      <c r="HH67" s="159" t="e">
        <f>VLOOKUP(B67,'data nguồn'!B:P,15,0)</f>
        <v>#N/A</v>
      </c>
      <c r="HI67" s="163" t="e">
        <f>VLOOKUP(B67,'data nguồn'!B:P,14,0)</f>
        <v>#N/A</v>
      </c>
    </row>
    <row r="68" spans="1:218" s="95" customFormat="1" ht="15">
      <c r="A68" s="73">
        <v>58</v>
      </c>
      <c r="B68" s="121" t="s">
        <v>908</v>
      </c>
      <c r="C68" s="861" t="s">
        <v>909</v>
      </c>
      <c r="D68" s="653">
        <v>43440</v>
      </c>
      <c r="E68" s="357" t="s">
        <v>702</v>
      </c>
      <c r="F68" s="650" t="s">
        <v>910</v>
      </c>
      <c r="G68" s="650"/>
      <c r="H68" s="97">
        <v>200926</v>
      </c>
      <c r="I68" s="641" t="s">
        <v>846</v>
      </c>
      <c r="J68" s="642" t="s">
        <v>124</v>
      </c>
      <c r="K68" s="97"/>
      <c r="L68" s="97"/>
      <c r="M68" s="97"/>
      <c r="N68" s="132"/>
      <c r="O68" s="132"/>
      <c r="P68" s="639"/>
      <c r="Q68" s="639"/>
      <c r="R68" s="132"/>
      <c r="S68" s="132"/>
      <c r="T68" s="615"/>
      <c r="U68" s="615"/>
      <c r="V68" s="97"/>
      <c r="W68" s="97"/>
      <c r="X68" s="639"/>
      <c r="Y68" s="639"/>
      <c r="Z68" s="102"/>
      <c r="AA68" s="97"/>
      <c r="AB68" s="606"/>
      <c r="AC68" s="606"/>
      <c r="AD68" s="106"/>
      <c r="AE68" s="99"/>
      <c r="AF68" s="127"/>
      <c r="AG68" s="127"/>
      <c r="AH68" s="99"/>
      <c r="AI68" s="99"/>
      <c r="AJ68" s="105"/>
      <c r="AK68" s="105"/>
      <c r="AL68" s="127"/>
      <c r="AM68" s="127"/>
      <c r="AN68" s="636"/>
      <c r="AO68" s="636"/>
      <c r="AP68" s="104"/>
      <c r="AQ68" s="104"/>
      <c r="AR68" s="606"/>
      <c r="AS68" s="606"/>
      <c r="AT68" s="97"/>
      <c r="AU68" s="97"/>
      <c r="AV68" s="97"/>
      <c r="AW68" s="97"/>
      <c r="AX68" s="606"/>
      <c r="AY68" s="606"/>
      <c r="AZ68" s="97"/>
      <c r="BA68" s="97"/>
      <c r="BB68" s="132"/>
      <c r="BC68" s="132"/>
      <c r="BD68" s="606"/>
      <c r="BE68" s="606"/>
      <c r="BF68" s="104"/>
      <c r="BG68" s="104"/>
      <c r="BH68" s="606"/>
      <c r="BI68" s="606"/>
      <c r="BJ68" s="97"/>
      <c r="BK68" s="97"/>
      <c r="BL68" s="104"/>
      <c r="BM68" s="104"/>
      <c r="BN68" s="606"/>
      <c r="BO68" s="606"/>
      <c r="BP68" s="97"/>
      <c r="BQ68" s="97"/>
      <c r="BR68" s="131"/>
      <c r="BS68" s="132"/>
      <c r="BT68" s="606"/>
      <c r="BU68" s="606"/>
      <c r="BV68" s="97"/>
      <c r="BW68" s="97"/>
      <c r="BX68" s="635"/>
      <c r="BY68" s="635"/>
      <c r="BZ68" s="608"/>
      <c r="CA68" s="608"/>
      <c r="CB68" s="636"/>
      <c r="CC68" s="636"/>
      <c r="CD68" s="144"/>
      <c r="CE68" s="144"/>
      <c r="CF68" s="606"/>
      <c r="CG68" s="606"/>
      <c r="CH68" s="97"/>
      <c r="CI68" s="97"/>
      <c r="CJ68" s="634"/>
      <c r="CK68" s="634"/>
      <c r="CL68" s="606"/>
      <c r="CM68" s="606"/>
      <c r="CN68" s="132"/>
      <c r="CO68" s="132"/>
      <c r="CP68" s="634"/>
      <c r="CQ68" s="634"/>
      <c r="CR68" s="606"/>
      <c r="CS68" s="606"/>
      <c r="CT68" s="104"/>
      <c r="CU68" s="104"/>
      <c r="CV68" s="606"/>
      <c r="CW68" s="606"/>
      <c r="CX68" s="97"/>
      <c r="CY68" s="97"/>
      <c r="CZ68" s="102"/>
      <c r="DA68" s="97"/>
      <c r="DB68" s="606"/>
      <c r="DC68" s="606"/>
      <c r="DD68" s="97"/>
      <c r="DE68" s="97"/>
      <c r="DF68" s="607"/>
      <c r="DG68" s="607"/>
      <c r="DH68" s="608"/>
      <c r="DI68" s="608"/>
      <c r="DJ68" s="636"/>
      <c r="DK68" s="636"/>
      <c r="DL68" s="637"/>
      <c r="DM68" s="637"/>
      <c r="DN68" s="608"/>
      <c r="DO68" s="608"/>
      <c r="DP68" s="636"/>
      <c r="DQ68" s="636"/>
      <c r="DR68" s="104"/>
      <c r="DS68" s="104"/>
      <c r="DT68" s="606"/>
      <c r="DU68" s="606"/>
      <c r="DV68" s="97"/>
      <c r="DW68" s="97"/>
      <c r="DX68" s="104"/>
      <c r="DY68" s="104"/>
      <c r="DZ68" s="606"/>
      <c r="EA68" s="606"/>
      <c r="EB68" s="97"/>
      <c r="EC68" s="97"/>
      <c r="ED68" s="643"/>
      <c r="EE68" s="643"/>
      <c r="EF68" s="606"/>
      <c r="EG68" s="606"/>
      <c r="EH68" s="99"/>
      <c r="EI68" s="99"/>
      <c r="EJ68" s="104"/>
      <c r="EK68" s="104"/>
      <c r="EL68" s="103"/>
      <c r="EM68" s="103"/>
      <c r="EN68" s="97"/>
      <c r="EO68" s="97"/>
      <c r="EP68" s="102"/>
      <c r="EQ68" s="102"/>
      <c r="ER68" s="606"/>
      <c r="ES68" s="606"/>
      <c r="ET68" s="97"/>
      <c r="EU68" s="97"/>
      <c r="EV68" s="102">
        <v>8</v>
      </c>
      <c r="EW68" s="102">
        <v>3</v>
      </c>
      <c r="EX68" s="621"/>
      <c r="EY68" s="621"/>
      <c r="EZ68" s="97"/>
      <c r="FA68" s="97"/>
      <c r="FB68" s="644"/>
      <c r="FC68" s="644"/>
      <c r="FD68" s="644"/>
      <c r="FE68" s="644"/>
      <c r="FF68" s="636"/>
      <c r="FG68" s="636"/>
      <c r="FH68" s="102"/>
      <c r="FI68" s="102"/>
      <c r="FJ68" s="651"/>
      <c r="FK68" s="651"/>
      <c r="FL68" s="97"/>
      <c r="FM68" s="97"/>
      <c r="FN68" s="102"/>
      <c r="FO68" s="102"/>
      <c r="FP68" s="621"/>
      <c r="FQ68" s="621"/>
      <c r="FR68" s="99"/>
      <c r="FS68" s="99"/>
      <c r="FT68" s="131"/>
      <c r="FU68" s="131"/>
      <c r="FV68" s="614"/>
      <c r="FW68" s="614"/>
      <c r="FX68" s="99"/>
      <c r="FY68" s="99"/>
      <c r="FZ68" s="102"/>
      <c r="GA68" s="102"/>
      <c r="GB68" s="613"/>
      <c r="GC68" s="613"/>
      <c r="GD68" s="97"/>
      <c r="GE68" s="97"/>
      <c r="GF68" s="125">
        <f>SUM(COUNTIFS(N68:GE68,"&gt;0",$N$9:$GE$9,"GC"),COUNTIFS(N68:GE68,"&gt;0",$N$9:$GE$9,"GC1"),COUNTIFS(N68:GE68,"&gt;0",$N$9:$GE$9,"GC2"))</f>
        <v>1</v>
      </c>
      <c r="GG68" s="126">
        <f>SUMIF($N$9:$GE$9,"GC",$N68:$GE68)</f>
        <v>8</v>
      </c>
      <c r="GH68" s="126">
        <f>SUMIF($N$9:$GE$9,"GC1",$N68:$GE68)</f>
        <v>0</v>
      </c>
      <c r="GI68" s="126">
        <f>SUMIF($N$9:$GE$9,"GC2",$N68:$GE68)</f>
        <v>0</v>
      </c>
      <c r="GJ68" s="126">
        <f>SUMIF($N$9:$GE$9,"TC",$N68:$GE68)</f>
        <v>3</v>
      </c>
      <c r="GK68" s="126">
        <f>SUMIF($N$9:$GE$9,"TC1",$N68:$GE68)</f>
        <v>0</v>
      </c>
      <c r="GL68" s="126">
        <f>SUMIF($N$9:$GE$9,"TC2",$N68:$GE68)</f>
        <v>0</v>
      </c>
      <c r="GM68" s="126">
        <f>SUMIF($N$9:$GE$9,"WK-D",$N68:$GE68)+SUMIF($N$9:$GE$9,"WK-TC",$N68:$GE68)</f>
        <v>0</v>
      </c>
      <c r="GN68" s="126">
        <f>SUMIF($N$9:$GE$9,"WK-D1",$N68:$GE68)+SUMIF($N$9:$GE$9,"WK-TC1",$N68:$GE68)</f>
        <v>0</v>
      </c>
      <c r="GO68" s="126">
        <f>SUMIF($N$9:$GE$9,"WK-D2",$N68:$GE68)+SUMIF($N$9:$GE$9,"WK-TC2",$N68:$GE68)</f>
        <v>0</v>
      </c>
      <c r="GP68" s="126">
        <f>SUMIF($N$9:$GE$9,"HOD",$N68:$GE68)</f>
        <v>0</v>
      </c>
      <c r="GQ68" s="126">
        <f>SUMIF($N$9:$GE$9,"HOD1",$N68:$GE68)</f>
        <v>0</v>
      </c>
      <c r="GR68" s="126">
        <f>SUMIF($N$9:$GE$9,"HOD2",$N68:$GE68)</f>
        <v>0</v>
      </c>
      <c r="GS68" s="162">
        <v>250000</v>
      </c>
      <c r="GT68" s="97" t="s">
        <v>639</v>
      </c>
      <c r="GU68" s="162">
        <f t="shared" si="39"/>
        <v>250000</v>
      </c>
      <c r="GV68" s="97">
        <f>SUM(COUNTIFS(N68:GC68,"&gt;2",$N$9:$GC$9,"GC"),COUNTIFS(N68:GC68,"&gt;2",$N$9:$GC$9,"GC1"),COUNTIFS(N68:GC68,"&gt;2",$N$9:$GC$9,"GC2"))</f>
        <v>1</v>
      </c>
      <c r="GW68" s="162">
        <f t="shared" si="32"/>
        <v>0</v>
      </c>
      <c r="GX68" s="162">
        <v>0</v>
      </c>
      <c r="GY68" s="162">
        <f t="shared" si="33"/>
        <v>0</v>
      </c>
      <c r="GZ68" s="162">
        <f>COUNTIF($N68:$GC68,"CP")</f>
        <v>0</v>
      </c>
      <c r="HA68" s="162">
        <f>COUNTIF($N68:$GC68,"KP")</f>
        <v>0</v>
      </c>
      <c r="HB68" s="162">
        <f>COUNTIF($N68:$GC68,"ĐP")</f>
        <v>0</v>
      </c>
      <c r="HC68" s="162">
        <f>COUNTIF($N68:$GC68,"ĐD")</f>
        <v>0</v>
      </c>
      <c r="HD68" s="162">
        <f>COUNTIF($N68:$GC68,"TPL")</f>
        <v>0</v>
      </c>
      <c r="HE68" s="162">
        <f>COUNTIF($N68:$GC68,"ĐPL")</f>
        <v>0</v>
      </c>
      <c r="HF68" s="162">
        <f t="shared" si="40"/>
        <v>0</v>
      </c>
      <c r="HG68" s="156" t="e">
        <f>VLOOKUP(B68,'data nguồn'!B:N,13,0)</f>
        <v>#N/A</v>
      </c>
      <c r="HH68" s="159" t="e">
        <f>VLOOKUP(B68,'data nguồn'!B:P,15,0)</f>
        <v>#N/A</v>
      </c>
      <c r="HI68" s="163" t="e">
        <f>VLOOKUP(B68,'data nguồn'!B:P,14,0)</f>
        <v>#N/A</v>
      </c>
    </row>
    <row r="69" spans="1:218" s="95" customFormat="1" ht="15">
      <c r="A69" s="73">
        <v>59</v>
      </c>
      <c r="B69" s="121" t="s">
        <v>911</v>
      </c>
      <c r="C69" s="861" t="s">
        <v>912</v>
      </c>
      <c r="D69" s="645" t="s">
        <v>913</v>
      </c>
      <c r="E69" s="357" t="s">
        <v>702</v>
      </c>
      <c r="F69" s="650" t="s">
        <v>914</v>
      </c>
      <c r="G69" s="650"/>
      <c r="H69" s="97">
        <v>200929</v>
      </c>
      <c r="I69" s="641" t="s">
        <v>125</v>
      </c>
      <c r="J69" s="642" t="s">
        <v>124</v>
      </c>
      <c r="K69" s="97"/>
      <c r="L69" s="97"/>
      <c r="M69" s="97"/>
      <c r="N69" s="132"/>
      <c r="O69" s="132"/>
      <c r="P69" s="639"/>
      <c r="Q69" s="639"/>
      <c r="R69" s="132"/>
      <c r="S69" s="132"/>
      <c r="T69" s="615"/>
      <c r="U69" s="615"/>
      <c r="V69" s="97"/>
      <c r="W69" s="97"/>
      <c r="X69" s="639"/>
      <c r="Y69" s="639"/>
      <c r="Z69" s="102"/>
      <c r="AA69" s="97"/>
      <c r="AB69" s="606"/>
      <c r="AC69" s="606"/>
      <c r="AD69" s="106"/>
      <c r="AE69" s="99"/>
      <c r="AF69" s="127"/>
      <c r="AG69" s="127"/>
      <c r="AH69" s="99"/>
      <c r="AI69" s="99"/>
      <c r="AJ69" s="105"/>
      <c r="AK69" s="105"/>
      <c r="AL69" s="127"/>
      <c r="AM69" s="127"/>
      <c r="AN69" s="636"/>
      <c r="AO69" s="636"/>
      <c r="AP69" s="104"/>
      <c r="AQ69" s="104"/>
      <c r="AR69" s="606"/>
      <c r="AS69" s="606"/>
      <c r="AT69" s="97"/>
      <c r="AU69" s="97"/>
      <c r="AV69" s="97"/>
      <c r="AW69" s="97"/>
      <c r="AX69" s="606"/>
      <c r="AY69" s="606"/>
      <c r="AZ69" s="97"/>
      <c r="BA69" s="97"/>
      <c r="BB69" s="132"/>
      <c r="BC69" s="132"/>
      <c r="BD69" s="606"/>
      <c r="BE69" s="606"/>
      <c r="BF69" s="104"/>
      <c r="BG69" s="104"/>
      <c r="BH69" s="606"/>
      <c r="BI69" s="606"/>
      <c r="BJ69" s="97"/>
      <c r="BK69" s="97"/>
      <c r="BL69" s="104"/>
      <c r="BM69" s="104"/>
      <c r="BN69" s="606"/>
      <c r="BO69" s="606"/>
      <c r="BP69" s="97"/>
      <c r="BQ69" s="97"/>
      <c r="BR69" s="131"/>
      <c r="BS69" s="132"/>
      <c r="BT69" s="606"/>
      <c r="BU69" s="606"/>
      <c r="BV69" s="97"/>
      <c r="BW69" s="97"/>
      <c r="BX69" s="635"/>
      <c r="BY69" s="635"/>
      <c r="BZ69" s="608"/>
      <c r="CA69" s="608"/>
      <c r="CB69" s="636"/>
      <c r="CC69" s="636"/>
      <c r="CD69" s="144"/>
      <c r="CE69" s="144"/>
      <c r="CF69" s="606"/>
      <c r="CG69" s="606"/>
      <c r="CH69" s="97"/>
      <c r="CI69" s="97"/>
      <c r="CJ69" s="634"/>
      <c r="CK69" s="634"/>
      <c r="CL69" s="606"/>
      <c r="CM69" s="606"/>
      <c r="CN69" s="132"/>
      <c r="CO69" s="132"/>
      <c r="CP69" s="634"/>
      <c r="CQ69" s="634"/>
      <c r="CR69" s="606"/>
      <c r="CS69" s="606"/>
      <c r="CT69" s="104"/>
      <c r="CU69" s="104"/>
      <c r="CV69" s="606"/>
      <c r="CW69" s="606"/>
      <c r="CX69" s="97"/>
      <c r="CY69" s="97"/>
      <c r="CZ69" s="102"/>
      <c r="DA69" s="97"/>
      <c r="DB69" s="606"/>
      <c r="DC69" s="606"/>
      <c r="DD69" s="97"/>
      <c r="DE69" s="97"/>
      <c r="DF69" s="607"/>
      <c r="DG69" s="607"/>
      <c r="DH69" s="608"/>
      <c r="DI69" s="608"/>
      <c r="DJ69" s="636"/>
      <c r="DK69" s="636"/>
      <c r="DL69" s="637"/>
      <c r="DM69" s="637"/>
      <c r="DN69" s="608"/>
      <c r="DO69" s="608"/>
      <c r="DP69" s="636"/>
      <c r="DQ69" s="636"/>
      <c r="DR69" s="104"/>
      <c r="DS69" s="104"/>
      <c r="DT69" s="606"/>
      <c r="DU69" s="606"/>
      <c r="DV69" s="97"/>
      <c r="DW69" s="97"/>
      <c r="DX69" s="104"/>
      <c r="DY69" s="104"/>
      <c r="DZ69" s="606"/>
      <c r="EA69" s="606"/>
      <c r="EB69" s="97"/>
      <c r="EC69" s="97"/>
      <c r="ED69" s="643"/>
      <c r="EE69" s="643"/>
      <c r="EF69" s="606"/>
      <c r="EG69" s="606"/>
      <c r="EH69" s="99"/>
      <c r="EI69" s="99"/>
      <c r="EJ69" s="104"/>
      <c r="EK69" s="104"/>
      <c r="EL69" s="103"/>
      <c r="EM69" s="103"/>
      <c r="EN69" s="97"/>
      <c r="EO69" s="97"/>
      <c r="EP69" s="102"/>
      <c r="EQ69" s="102"/>
      <c r="ER69" s="606"/>
      <c r="ES69" s="606"/>
      <c r="ET69" s="97"/>
      <c r="EU69" s="97"/>
      <c r="EV69" s="102"/>
      <c r="EW69" s="102"/>
      <c r="EX69" s="621"/>
      <c r="EY69" s="621"/>
      <c r="EZ69" s="97"/>
      <c r="FA69" s="97"/>
      <c r="FB69" s="644"/>
      <c r="FC69" s="644"/>
      <c r="FD69" s="644"/>
      <c r="FE69" s="644"/>
      <c r="FF69" s="636"/>
      <c r="FG69" s="636"/>
      <c r="FH69" s="102"/>
      <c r="FI69" s="102"/>
      <c r="FJ69" s="651"/>
      <c r="FK69" s="651"/>
      <c r="FL69" s="97"/>
      <c r="FM69" s="97"/>
      <c r="FN69" s="102">
        <v>8</v>
      </c>
      <c r="FO69" s="102">
        <v>5</v>
      </c>
      <c r="FP69" s="621"/>
      <c r="FQ69" s="621"/>
      <c r="FR69" s="99"/>
      <c r="FS69" s="99"/>
      <c r="FT69" s="131">
        <v>8</v>
      </c>
      <c r="FU69" s="131">
        <v>3</v>
      </c>
      <c r="FV69" s="614"/>
      <c r="FW69" s="614"/>
      <c r="FX69" s="99"/>
      <c r="FY69" s="99"/>
      <c r="FZ69" s="102"/>
      <c r="GA69" s="102"/>
      <c r="GB69" s="613"/>
      <c r="GC69" s="613"/>
      <c r="GD69" s="97"/>
      <c r="GE69" s="97"/>
      <c r="GF69" s="125">
        <f>SUM(COUNTIFS(N69:GE69,"&gt;0",$N$9:$GE$9,"GC"),COUNTIFS(N69:GE69,"&gt;0",$N$9:$GE$9,"GC1"),COUNTIFS(N69:GE69,"&gt;0",$N$9:$GE$9,"GC2"))</f>
        <v>2</v>
      </c>
      <c r="GG69" s="126">
        <f>SUMIF($N$9:$GE$9,"GC",$N69:$GE69)</f>
        <v>16</v>
      </c>
      <c r="GH69" s="126">
        <f>SUMIF($N$9:$GE$9,"GC1",$N69:$GE69)</f>
        <v>0</v>
      </c>
      <c r="GI69" s="126">
        <f>SUMIF($N$9:$GE$9,"GC2",$N69:$GE69)</f>
        <v>0</v>
      </c>
      <c r="GJ69" s="126">
        <f>SUMIF($N$9:$GE$9,"TC",$N69:$GE69)</f>
        <v>8</v>
      </c>
      <c r="GK69" s="126">
        <f>SUMIF($N$9:$GE$9,"TC1",$N69:$GE69)</f>
        <v>0</v>
      </c>
      <c r="GL69" s="126">
        <f>SUMIF($N$9:$GE$9,"TC2",$N69:$GE69)</f>
        <v>0</v>
      </c>
      <c r="GM69" s="126">
        <f>SUMIF($N$9:$GE$9,"WK-D",$N69:$GE69)+SUMIF($N$9:$GE$9,"WK-TC",$N69:$GE69)</f>
        <v>0</v>
      </c>
      <c r="GN69" s="126">
        <f>SUMIF($N$9:$GE$9,"WK-D1",$N69:$GE69)+SUMIF($N$9:$GE$9,"WK-TC1",$N69:$GE69)</f>
        <v>0</v>
      </c>
      <c r="GO69" s="126">
        <f>SUMIF($N$9:$GE$9,"WK-D2",$N69:$GE69)+SUMIF($N$9:$GE$9,"WK-TC2",$N69:$GE69)</f>
        <v>0</v>
      </c>
      <c r="GP69" s="126">
        <f>SUMIF($N$9:$GE$9,"HOD",$N69:$GE69)</f>
        <v>0</v>
      </c>
      <c r="GQ69" s="126">
        <f>SUMIF($N$9:$GE$9,"HOD1",$N69:$GE69)</f>
        <v>0</v>
      </c>
      <c r="GR69" s="126">
        <f>SUMIF($N$9:$GE$9,"HOD2",$N69:$GE69)</f>
        <v>0</v>
      </c>
      <c r="GS69" s="162">
        <f t="shared" si="38"/>
        <v>632000</v>
      </c>
      <c r="GT69" s="97" t="s">
        <v>639</v>
      </c>
      <c r="GU69" s="97">
        <f t="shared" si="39"/>
        <v>632000</v>
      </c>
      <c r="GV69" s="97">
        <f>SUM(COUNTIFS(N69:GC69,"&gt;2",$N$9:$GC$9,"GC"),COUNTIFS(N69:GC69,"&gt;2",$N$9:$GC$9,"GC1"),COUNTIFS(N69:GC69,"&gt;2",$N$9:$GC$9,"GC2"))</f>
        <v>2</v>
      </c>
      <c r="GW69" s="162">
        <f t="shared" si="32"/>
        <v>0</v>
      </c>
      <c r="GX69" s="162">
        <f>SUM(COUNTIFS(N69:GC69,"&gt;2",$N$9:$GC$9,"GC"),COUNTIFS(N69:GC69,"&gt;2",$N$9:$GC$9,"GC1"),COUNTIFS(N69:GC69,"&gt;2",$N$9:$GC$9,"GC2"),COUNTIFS(N69:GC69,"&gt;2",$N$9:$GC$9,"WK-D"),COUNTIFS(N69:GC69,"&gt;2",$N$9:$GC$9,"WK-D1"),COUNTIFS(N69:GC69,"&gt;2",$N$9:$GC$9,"WK-D2"))*$GX$10</f>
        <v>20689.655172413793</v>
      </c>
      <c r="GY69" s="162">
        <v>20000</v>
      </c>
      <c r="GZ69" s="162">
        <f>COUNTIF($N69:$GC69,"CP")</f>
        <v>0</v>
      </c>
      <c r="HA69" s="162">
        <f>COUNTIF($N69:$GC69,"KP")</f>
        <v>0</v>
      </c>
      <c r="HB69" s="162">
        <f>COUNTIF($N69:$GC69,"ĐP")</f>
        <v>0</v>
      </c>
      <c r="HC69" s="162">
        <f>COUNTIF($N69:$GC69,"ĐD")</f>
        <v>0</v>
      </c>
      <c r="HD69" s="162">
        <f>COUNTIF($N69:$GC69,"TPL")</f>
        <v>0</v>
      </c>
      <c r="HE69" s="162">
        <f>COUNTIF($N69:$GC69,"ĐPL")</f>
        <v>0</v>
      </c>
      <c r="HF69" s="162">
        <f t="shared" si="40"/>
        <v>0</v>
      </c>
      <c r="HG69" s="156" t="e">
        <f>VLOOKUP(B69,'data nguồn'!B:N,13,0)</f>
        <v>#N/A</v>
      </c>
      <c r="HH69" s="159" t="e">
        <f>VLOOKUP(B69,'data nguồn'!B:P,15,0)</f>
        <v>#N/A</v>
      </c>
      <c r="HI69" s="163" t="e">
        <f>VLOOKUP(B69,'data nguồn'!B:P,14,0)</f>
        <v>#N/A</v>
      </c>
    </row>
    <row r="70" spans="1:218" s="95" customFormat="1">
      <c r="A70" s="108" t="s">
        <v>172</v>
      </c>
      <c r="B70" s="109"/>
      <c r="C70" s="863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0">
        <f>SUBTOTAL(9,N11:N69)</f>
        <v>248</v>
      </c>
      <c r="O70" s="110">
        <f t="shared" ref="O70:AD70" si="41">SUBTOTAL(9,O11:O69)</f>
        <v>137.5</v>
      </c>
      <c r="P70" s="110">
        <f t="shared" si="41"/>
        <v>32</v>
      </c>
      <c r="Q70" s="110">
        <f t="shared" si="41"/>
        <v>12</v>
      </c>
      <c r="R70" s="110">
        <f t="shared" si="41"/>
        <v>0</v>
      </c>
      <c r="S70" s="110">
        <f t="shared" si="41"/>
        <v>0</v>
      </c>
      <c r="T70" s="110">
        <f t="shared" si="41"/>
        <v>0</v>
      </c>
      <c r="U70" s="110">
        <f t="shared" si="41"/>
        <v>0</v>
      </c>
      <c r="V70" s="110">
        <f t="shared" si="41"/>
        <v>256</v>
      </c>
      <c r="W70" s="110">
        <f t="shared" si="41"/>
        <v>135</v>
      </c>
      <c r="X70" s="110">
        <f t="shared" si="41"/>
        <v>24</v>
      </c>
      <c r="Y70" s="110">
        <f t="shared" si="41"/>
        <v>9</v>
      </c>
      <c r="Z70" s="110">
        <f t="shared" si="41"/>
        <v>263</v>
      </c>
      <c r="AA70" s="110">
        <f t="shared" si="41"/>
        <v>142</v>
      </c>
      <c r="AB70" s="110">
        <f t="shared" si="41"/>
        <v>24</v>
      </c>
      <c r="AC70" s="110">
        <f t="shared" si="41"/>
        <v>9</v>
      </c>
      <c r="AD70" s="110">
        <f t="shared" si="41"/>
        <v>264</v>
      </c>
      <c r="AE70" s="110">
        <f t="shared" ref="AE70" si="42">SUBTOTAL(9,AE11:AE69)</f>
        <v>109</v>
      </c>
      <c r="AF70" s="110">
        <f t="shared" ref="AF70" si="43">SUBTOTAL(9,AF11:AF69)</f>
        <v>24</v>
      </c>
      <c r="AG70" s="110">
        <f t="shared" ref="AG70" si="44">SUBTOTAL(9,AG11:AG69)</f>
        <v>9</v>
      </c>
      <c r="AH70" s="110">
        <f t="shared" ref="AH70" si="45">SUBTOTAL(9,AH11:AH69)</f>
        <v>0</v>
      </c>
      <c r="AI70" s="110">
        <f t="shared" ref="AI70" si="46">SUBTOTAL(9,AI11:AI69)</f>
        <v>0</v>
      </c>
      <c r="AJ70" s="110">
        <f t="shared" ref="AJ70" si="47">SUBTOTAL(9,AJ11:AJ69)</f>
        <v>256</v>
      </c>
      <c r="AK70" s="110">
        <f t="shared" ref="AK70" si="48">SUBTOTAL(9,AK11:AK69)</f>
        <v>84</v>
      </c>
      <c r="AL70" s="110">
        <f t="shared" ref="AL70" si="49">SUBTOTAL(9,AL11:AL69)</f>
        <v>24</v>
      </c>
      <c r="AM70" s="110">
        <f t="shared" ref="AM70" si="50">SUBTOTAL(9,AM11:AM69)</f>
        <v>9</v>
      </c>
      <c r="AN70" s="110">
        <f t="shared" ref="AN70" si="51">SUBTOTAL(9,AN11:AN69)</f>
        <v>0</v>
      </c>
      <c r="AO70" s="110">
        <f t="shared" ref="AO70" si="52">SUBTOTAL(9,AO11:AO69)</f>
        <v>0</v>
      </c>
      <c r="AP70" s="110">
        <f t="shared" ref="AP70" si="53">SUBTOTAL(9,AP11:AP69)</f>
        <v>248</v>
      </c>
      <c r="AQ70" s="110">
        <f t="shared" ref="AQ70" si="54">SUBTOTAL(9,AQ11:AQ69)</f>
        <v>94</v>
      </c>
      <c r="AR70" s="110">
        <f t="shared" ref="AR70" si="55">SUBTOTAL(9,AR11:AR69)</f>
        <v>16</v>
      </c>
      <c r="AS70" s="110">
        <f t="shared" ref="AS70" si="56">SUBTOTAL(9,AS11:AS69)</f>
        <v>6</v>
      </c>
      <c r="AT70" s="110">
        <f t="shared" ref="AT70" si="57">SUBTOTAL(9,AT11:AT69)</f>
        <v>0</v>
      </c>
      <c r="AU70" s="110">
        <f t="shared" ref="AU70" si="58">SUBTOTAL(9,AU11:AU69)</f>
        <v>0</v>
      </c>
      <c r="AV70" s="110">
        <f t="shared" ref="AV70" si="59">SUBTOTAL(9,AV11:AV69)</f>
        <v>256</v>
      </c>
      <c r="AW70" s="110">
        <f t="shared" ref="AW70" si="60">SUBTOTAL(9,AW11:AW69)</f>
        <v>93</v>
      </c>
      <c r="AX70" s="110">
        <f t="shared" ref="AX70" si="61">SUBTOTAL(9,AX11:AX69)</f>
        <v>24</v>
      </c>
      <c r="AY70" s="110">
        <f t="shared" ref="AY70" si="62">SUBTOTAL(9,AY11:AY69)</f>
        <v>9</v>
      </c>
      <c r="AZ70" s="110">
        <f t="shared" ref="AZ70" si="63">SUBTOTAL(9,AZ11:AZ69)</f>
        <v>0</v>
      </c>
      <c r="BA70" s="110">
        <f t="shared" ref="BA70:BB70" si="64">SUBTOTAL(9,BA11:BA69)</f>
        <v>0</v>
      </c>
      <c r="BB70" s="110">
        <f t="shared" si="64"/>
        <v>256</v>
      </c>
      <c r="BC70" s="110">
        <f t="shared" ref="BC70" si="65">SUBTOTAL(9,BC11:BC69)</f>
        <v>54</v>
      </c>
      <c r="BD70" s="110">
        <f t="shared" ref="BD70" si="66">SUBTOTAL(9,BD11:BD69)</f>
        <v>24</v>
      </c>
      <c r="BE70" s="110">
        <f t="shared" ref="BE70" si="67">SUBTOTAL(9,BE11:BE69)</f>
        <v>9</v>
      </c>
      <c r="BF70" s="110">
        <f t="shared" ref="BF70" si="68">SUBTOTAL(9,BF11:BF69)</f>
        <v>271</v>
      </c>
      <c r="BG70" s="110">
        <f t="shared" ref="BG70" si="69">SUBTOTAL(9,BG11:BG69)</f>
        <v>60</v>
      </c>
      <c r="BH70" s="110">
        <f t="shared" ref="BH70" si="70">SUBTOTAL(9,BH11:BH69)</f>
        <v>24</v>
      </c>
      <c r="BI70" s="110">
        <f t="shared" ref="BI70" si="71">SUBTOTAL(9,BI11:BI69)</f>
        <v>9</v>
      </c>
      <c r="BJ70" s="110">
        <f t="shared" ref="BJ70" si="72">SUBTOTAL(9,BJ11:BJ69)</f>
        <v>0</v>
      </c>
      <c r="BK70" s="110">
        <f t="shared" ref="BK70" si="73">SUBTOTAL(9,BK11:BK69)</f>
        <v>0</v>
      </c>
      <c r="BL70" s="110">
        <f t="shared" ref="BL70" si="74">SUBTOTAL(9,BL11:BL69)</f>
        <v>271</v>
      </c>
      <c r="BM70" s="110">
        <f t="shared" ref="BM70" si="75">SUBTOTAL(9,BM11:BM69)</f>
        <v>60</v>
      </c>
      <c r="BN70" s="110">
        <f t="shared" ref="BN70" si="76">SUBTOTAL(9,BN11:BN69)</f>
        <v>24</v>
      </c>
      <c r="BO70" s="110">
        <f t="shared" ref="BO70" si="77">SUBTOTAL(9,BO11:BO69)</f>
        <v>9</v>
      </c>
      <c r="BP70" s="110">
        <f t="shared" ref="BP70" si="78">SUBTOTAL(9,BP11:BP69)</f>
        <v>0</v>
      </c>
      <c r="BQ70" s="110">
        <f t="shared" ref="BQ70" si="79">SUBTOTAL(9,BQ11:BQ69)</f>
        <v>0</v>
      </c>
      <c r="BR70" s="110">
        <f t="shared" ref="BR70" si="80">SUBTOTAL(9,BR11:BR69)</f>
        <v>255.5</v>
      </c>
      <c r="BS70" s="110">
        <f t="shared" ref="BS70" si="81">SUBTOTAL(9,BS11:BS69)</f>
        <v>96</v>
      </c>
      <c r="BT70" s="110">
        <f t="shared" ref="BT70" si="82">SUBTOTAL(9,BT11:BT69)</f>
        <v>24</v>
      </c>
      <c r="BU70" s="110">
        <f t="shared" ref="BU70" si="83">SUBTOTAL(9,BU11:BU69)</f>
        <v>9</v>
      </c>
      <c r="BV70" s="110">
        <f t="shared" ref="BV70" si="84">SUBTOTAL(9,BV11:BV69)</f>
        <v>0</v>
      </c>
      <c r="BW70" s="110">
        <f t="shared" ref="BW70:BX70" si="85">SUBTOTAL(9,BW11:BW69)</f>
        <v>0</v>
      </c>
      <c r="BX70" s="110">
        <f t="shared" si="85"/>
        <v>256</v>
      </c>
      <c r="BY70" s="110">
        <f t="shared" ref="BY70" si="86">SUBTOTAL(9,BY11:BY69)</f>
        <v>21</v>
      </c>
      <c r="BZ70" s="110">
        <f t="shared" ref="BZ70" si="87">SUBTOTAL(9,BZ11:BZ69)</f>
        <v>24</v>
      </c>
      <c r="CA70" s="110">
        <f t="shared" ref="CA70" si="88">SUBTOTAL(9,CA11:CA69)</f>
        <v>9</v>
      </c>
      <c r="CB70" s="110">
        <f t="shared" ref="CB70" si="89">SUBTOTAL(9,CB11:CB69)</f>
        <v>0</v>
      </c>
      <c r="CC70" s="110">
        <f t="shared" ref="CC70" si="90">SUBTOTAL(9,CC11:CC69)</f>
        <v>0</v>
      </c>
      <c r="CD70" s="110">
        <f t="shared" ref="CD70" si="91">SUBTOTAL(9,CD11:CD69)</f>
        <v>278</v>
      </c>
      <c r="CE70" s="110">
        <f t="shared" ref="CE70" si="92">SUBTOTAL(9,CE11:CE69)</f>
        <v>109</v>
      </c>
      <c r="CF70" s="110">
        <f t="shared" ref="CF70" si="93">SUBTOTAL(9,CF11:CF69)</f>
        <v>24</v>
      </c>
      <c r="CG70" s="110">
        <f t="shared" ref="CG70" si="94">SUBTOTAL(9,CG11:CG69)</f>
        <v>9</v>
      </c>
      <c r="CH70" s="110">
        <f t="shared" ref="CH70" si="95">SUBTOTAL(9,CH11:CH69)</f>
        <v>0</v>
      </c>
      <c r="CI70" s="110">
        <f t="shared" ref="CI70" si="96">SUBTOTAL(9,CI11:CI69)</f>
        <v>0</v>
      </c>
      <c r="CJ70" s="110">
        <f t="shared" ref="CJ70" si="97">SUBTOTAL(9,CJ11:CJ69)</f>
        <v>280</v>
      </c>
      <c r="CK70" s="110">
        <f t="shared" ref="CK70" si="98">SUBTOTAL(9,CK11:CK69)</f>
        <v>145</v>
      </c>
      <c r="CL70" s="110">
        <f t="shared" ref="CL70" si="99">SUBTOTAL(9,CL11:CL69)</f>
        <v>24</v>
      </c>
      <c r="CM70" s="110">
        <f t="shared" ref="CM70" si="100">SUBTOTAL(9,CM11:CM69)</f>
        <v>9</v>
      </c>
      <c r="CN70" s="110">
        <f t="shared" ref="CN70" si="101">SUBTOTAL(9,CN11:CN69)</f>
        <v>0</v>
      </c>
      <c r="CO70" s="110">
        <f t="shared" ref="CO70" si="102">SUBTOTAL(9,CO11:CO69)</f>
        <v>0</v>
      </c>
      <c r="CP70" s="110">
        <f t="shared" ref="CP70" si="103">SUBTOTAL(9,CP11:CP69)</f>
        <v>258</v>
      </c>
      <c r="CQ70" s="110">
        <f t="shared" ref="CQ70" si="104">SUBTOTAL(9,CQ11:CQ69)</f>
        <v>138</v>
      </c>
      <c r="CR70" s="110">
        <f t="shared" ref="CR70" si="105">SUBTOTAL(9,CR11:CR69)</f>
        <v>24</v>
      </c>
      <c r="CS70" s="110">
        <f t="shared" ref="CS70" si="106">SUBTOTAL(9,CS11:CS69)</f>
        <v>9</v>
      </c>
      <c r="CT70" s="110">
        <f t="shared" ref="CT70" si="107">SUBTOTAL(9,CT11:CT69)</f>
        <v>272</v>
      </c>
      <c r="CU70" s="110">
        <f t="shared" ref="CU70" si="108">SUBTOTAL(9,CU11:CU69)</f>
        <v>158</v>
      </c>
      <c r="CV70" s="110">
        <f t="shared" ref="CV70" si="109">SUBTOTAL(9,CV11:CV69)</f>
        <v>32</v>
      </c>
      <c r="CW70" s="110">
        <f t="shared" ref="CW70" si="110">SUBTOTAL(9,CW11:CW69)</f>
        <v>12</v>
      </c>
      <c r="CX70" s="110">
        <f t="shared" ref="CX70" si="111">SUBTOTAL(9,CX11:CX69)</f>
        <v>0</v>
      </c>
      <c r="CY70" s="110">
        <f t="shared" ref="CY70" si="112">SUBTOTAL(9,CY11:CY69)</f>
        <v>0</v>
      </c>
      <c r="CZ70" s="110">
        <f t="shared" ref="CZ70" si="113">SUBTOTAL(9,CZ11:CZ69)</f>
        <v>272</v>
      </c>
      <c r="DA70" s="110">
        <f t="shared" ref="DA70" si="114">SUBTOTAL(9,DA11:DA69)</f>
        <v>158</v>
      </c>
      <c r="DB70" s="110">
        <f t="shared" ref="DB70" si="115">SUBTOTAL(9,DB11:DB69)</f>
        <v>32</v>
      </c>
      <c r="DC70" s="110">
        <f t="shared" ref="DC70" si="116">SUBTOTAL(9,DC11:DC69)</f>
        <v>12</v>
      </c>
      <c r="DD70" s="110">
        <f t="shared" ref="DD70" si="117">SUBTOTAL(9,DD11:DD69)</f>
        <v>0</v>
      </c>
      <c r="DE70" s="110">
        <f t="shared" ref="DE70" si="118">SUBTOTAL(9,DE11:DE69)</f>
        <v>0</v>
      </c>
      <c r="DF70" s="110">
        <f t="shared" ref="DF70" si="119">SUBTOTAL(9,DF11:DF69)</f>
        <v>264</v>
      </c>
      <c r="DG70" s="110">
        <f t="shared" ref="DG70" si="120">SUBTOTAL(9,DG11:DG69)</f>
        <v>145</v>
      </c>
      <c r="DH70" s="110">
        <f t="shared" ref="DH70" si="121">SUBTOTAL(9,DH11:DH69)</f>
        <v>40</v>
      </c>
      <c r="DI70" s="110">
        <f t="shared" ref="DI70" si="122">SUBTOTAL(9,DI11:DI69)</f>
        <v>15</v>
      </c>
      <c r="DJ70" s="110">
        <f t="shared" ref="DJ70" si="123">SUBTOTAL(9,DJ11:DJ69)</f>
        <v>0</v>
      </c>
      <c r="DK70" s="110">
        <f t="shared" ref="DK70" si="124">SUBTOTAL(9,DK11:DK69)</f>
        <v>0</v>
      </c>
      <c r="DL70" s="110">
        <f t="shared" ref="DL70" si="125">SUBTOTAL(9,DL11:DL69)</f>
        <v>248</v>
      </c>
      <c r="DM70" s="110">
        <f t="shared" ref="DM70" si="126">SUBTOTAL(9,DM11:DM69)</f>
        <v>93</v>
      </c>
      <c r="DN70" s="110">
        <f t="shared" ref="DN70" si="127">SUBTOTAL(9,DN11:DN69)</f>
        <v>40</v>
      </c>
      <c r="DO70" s="110">
        <f t="shared" ref="DO70" si="128">SUBTOTAL(9,DO11:DO69)</f>
        <v>15</v>
      </c>
      <c r="DP70" s="110">
        <f t="shared" ref="DP70" si="129">SUBTOTAL(9,DP11:DP69)</f>
        <v>0</v>
      </c>
      <c r="DQ70" s="110">
        <f t="shared" ref="DQ70:DR70" si="130">SUBTOTAL(9,DQ11:DQ69)</f>
        <v>0</v>
      </c>
      <c r="DR70" s="110">
        <f t="shared" si="130"/>
        <v>164</v>
      </c>
      <c r="DS70" s="110">
        <f t="shared" ref="DS70" si="131">SUBTOTAL(9,DS11:DS69)</f>
        <v>81</v>
      </c>
      <c r="DT70" s="110">
        <f t="shared" ref="DT70" si="132">SUBTOTAL(9,DT11:DT69)</f>
        <v>152</v>
      </c>
      <c r="DU70" s="110">
        <f t="shared" ref="DU70" si="133">SUBTOTAL(9,DU11:DU69)</f>
        <v>43</v>
      </c>
      <c r="DV70" s="110">
        <f t="shared" ref="DV70" si="134">SUBTOTAL(9,DV11:DV69)</f>
        <v>0</v>
      </c>
      <c r="DW70" s="110">
        <f t="shared" ref="DW70" si="135">SUBTOTAL(9,DW11:DW69)</f>
        <v>0</v>
      </c>
      <c r="DX70" s="110">
        <f t="shared" ref="DX70" si="136">SUBTOTAL(9,DX11:DX69)</f>
        <v>168</v>
      </c>
      <c r="DY70" s="110">
        <f t="shared" ref="DY70" si="137">SUBTOTAL(9,DY11:DY69)</f>
        <v>79</v>
      </c>
      <c r="DZ70" s="110">
        <f t="shared" ref="DZ70" si="138">SUBTOTAL(9,DZ11:DZ69)</f>
        <v>152</v>
      </c>
      <c r="EA70" s="110">
        <f t="shared" ref="EA70" si="139">SUBTOTAL(9,EA11:EA69)</f>
        <v>43</v>
      </c>
      <c r="EB70" s="110">
        <f t="shared" ref="EB70" si="140">SUBTOTAL(9,EB11:EB69)</f>
        <v>0</v>
      </c>
      <c r="EC70" s="110">
        <f t="shared" ref="EC70" si="141">SUBTOTAL(9,EC11:EC69)</f>
        <v>0</v>
      </c>
      <c r="ED70" s="110">
        <f t="shared" ref="ED70" si="142">SUBTOTAL(9,ED11:ED69)</f>
        <v>168</v>
      </c>
      <c r="EE70" s="110">
        <f t="shared" ref="EE70" si="143">SUBTOTAL(9,EE11:EE69)</f>
        <v>68</v>
      </c>
      <c r="EF70" s="110">
        <f t="shared" ref="EF70" si="144">SUBTOTAL(9,EF11:EF69)</f>
        <v>160</v>
      </c>
      <c r="EG70" s="110">
        <f t="shared" ref="EG70" si="145">SUBTOTAL(9,EG11:EG69)</f>
        <v>45</v>
      </c>
      <c r="EH70" s="110">
        <f t="shared" ref="EH70" si="146">SUBTOTAL(9,EH11:EH69)</f>
        <v>0</v>
      </c>
      <c r="EI70" s="110">
        <f t="shared" ref="EI70" si="147">SUBTOTAL(9,EI11:EI69)</f>
        <v>0</v>
      </c>
      <c r="EJ70" s="110">
        <f t="shared" ref="EJ70" si="148">SUBTOTAL(9,EJ11:EJ69)</f>
        <v>154.5</v>
      </c>
      <c r="EK70" s="110">
        <f t="shared" ref="EK70" si="149">SUBTOTAL(9,EK11:EK69)</f>
        <v>74</v>
      </c>
      <c r="EL70" s="110">
        <f t="shared" ref="EL70" si="150">SUBTOTAL(9,EL11:EL69)</f>
        <v>160</v>
      </c>
      <c r="EM70" s="110">
        <f t="shared" ref="EM70" si="151">SUBTOTAL(9,EM11:EM69)</f>
        <v>46</v>
      </c>
      <c r="EN70" s="110">
        <f t="shared" ref="EN70" si="152">SUBTOTAL(9,EN11:EN69)</f>
        <v>0</v>
      </c>
      <c r="EO70" s="110">
        <f t="shared" ref="EO70:EP70" si="153">SUBTOTAL(9,EO11:EO69)</f>
        <v>0</v>
      </c>
      <c r="EP70" s="110">
        <f t="shared" si="153"/>
        <v>183</v>
      </c>
      <c r="EQ70" s="110">
        <f t="shared" ref="EQ70" si="154">SUBTOTAL(9,EQ11:EQ69)</f>
        <v>75</v>
      </c>
      <c r="ER70" s="110">
        <f t="shared" ref="ER70" si="155">SUBTOTAL(9,ER11:ER69)</f>
        <v>160</v>
      </c>
      <c r="ES70" s="110">
        <f t="shared" ref="ES70" si="156">SUBTOTAL(9,ES11:ES69)</f>
        <v>45</v>
      </c>
      <c r="ET70" s="110">
        <f t="shared" ref="ET70" si="157">SUBTOTAL(9,ET11:ET69)</f>
        <v>0</v>
      </c>
      <c r="EU70" s="110">
        <f t="shared" ref="EU70" si="158">SUBTOTAL(9,EU11:EU69)</f>
        <v>0</v>
      </c>
      <c r="EV70" s="110">
        <f t="shared" ref="EV70" si="159">SUBTOTAL(9,EV11:EV69)</f>
        <v>176</v>
      </c>
      <c r="EW70" s="110">
        <f t="shared" ref="EW70" si="160">SUBTOTAL(9,EW11:EW69)</f>
        <v>82</v>
      </c>
      <c r="EX70" s="110">
        <f t="shared" ref="EX70" si="161">SUBTOTAL(9,EX11:EX69)</f>
        <v>160</v>
      </c>
      <c r="EY70" s="110">
        <f t="shared" ref="EY70" si="162">SUBTOTAL(9,EY11:EY69)</f>
        <v>49</v>
      </c>
      <c r="EZ70" s="110">
        <f t="shared" ref="EZ70" si="163">SUBTOTAL(9,EZ11:EZ69)</f>
        <v>0</v>
      </c>
      <c r="FA70" s="110">
        <f t="shared" ref="FA70" si="164">SUBTOTAL(9,FA11:FA69)</f>
        <v>0</v>
      </c>
      <c r="FB70" s="110">
        <f t="shared" ref="FB70" si="165">SUBTOTAL(9,FB11:FB69)</f>
        <v>168</v>
      </c>
      <c r="FC70" s="110">
        <f t="shared" ref="FC70" si="166">SUBTOTAL(9,FC11:FC69)</f>
        <v>51</v>
      </c>
      <c r="FD70" s="110">
        <f t="shared" ref="FD70" si="167">SUBTOTAL(9,FD11:FD69)</f>
        <v>152</v>
      </c>
      <c r="FE70" s="110">
        <f t="shared" ref="FE70" si="168">SUBTOTAL(9,FE11:FE69)</f>
        <v>42</v>
      </c>
      <c r="FF70" s="110">
        <f t="shared" ref="FF70" si="169">SUBTOTAL(9,FF11:FF69)</f>
        <v>0</v>
      </c>
      <c r="FG70" s="110">
        <f t="shared" ref="FG70" si="170">SUBTOTAL(9,FG11:FG69)</f>
        <v>0</v>
      </c>
      <c r="FH70" s="110">
        <f t="shared" ref="FH70" si="171">SUBTOTAL(9,FH11:FH69)</f>
        <v>146</v>
      </c>
      <c r="FI70" s="110">
        <f t="shared" ref="FI70" si="172">SUBTOTAL(9,FI11:FI69)</f>
        <v>69</v>
      </c>
      <c r="FJ70" s="110">
        <f t="shared" ref="FJ70" si="173">SUBTOTAL(9,FJ11:FJ69)</f>
        <v>168</v>
      </c>
      <c r="FK70" s="110">
        <f t="shared" ref="FK70" si="174">SUBTOTAL(9,FK11:FK69)</f>
        <v>49</v>
      </c>
      <c r="FL70" s="110">
        <f t="shared" ref="FL70" si="175">SUBTOTAL(9,FL11:FL69)</f>
        <v>0</v>
      </c>
      <c r="FM70" s="110">
        <f t="shared" ref="FM70:FN70" si="176">SUBTOTAL(9,FM11:FM69)</f>
        <v>0</v>
      </c>
      <c r="FN70" s="110">
        <f t="shared" si="176"/>
        <v>152</v>
      </c>
      <c r="FO70" s="110">
        <f t="shared" ref="FO70" si="177">SUBTOTAL(9,FO11:FO69)</f>
        <v>73</v>
      </c>
      <c r="FP70" s="110">
        <f t="shared" ref="FP70" si="178">SUBTOTAL(9,FP11:FP69)</f>
        <v>152</v>
      </c>
      <c r="FQ70" s="110">
        <f t="shared" ref="FQ70" si="179">SUBTOTAL(9,FQ11:FQ69)</f>
        <v>45</v>
      </c>
      <c r="FR70" s="110">
        <f t="shared" ref="FR70" si="180">SUBTOTAL(9,FR11:FR69)</f>
        <v>0</v>
      </c>
      <c r="FS70" s="110">
        <f t="shared" ref="FS70" si="181">SUBTOTAL(9,FS11:FS69)</f>
        <v>0</v>
      </c>
      <c r="FT70" s="110">
        <f t="shared" ref="FT70" si="182">SUBTOTAL(9,FT11:FT69)</f>
        <v>144</v>
      </c>
      <c r="FU70" s="110">
        <f t="shared" ref="FU70" si="183">SUBTOTAL(9,FU11:FU69)</f>
        <v>48</v>
      </c>
      <c r="FV70" s="110">
        <f t="shared" ref="FV70" si="184">SUBTOTAL(9,FV11:FV69)</f>
        <v>168</v>
      </c>
      <c r="FW70" s="110">
        <f t="shared" ref="FW70" si="185">SUBTOTAL(9,FW11:FW69)</f>
        <v>50</v>
      </c>
      <c r="FX70" s="110">
        <f t="shared" ref="FX70" si="186">SUBTOTAL(9,FX11:FX69)</f>
        <v>0</v>
      </c>
      <c r="FY70" s="110">
        <f t="shared" ref="FY70" si="187">SUBTOTAL(9,FY11:FY69)</f>
        <v>0</v>
      </c>
      <c r="FZ70" s="110">
        <f t="shared" ref="FZ70" si="188">SUBTOTAL(9,FZ11:FZ69)</f>
        <v>0</v>
      </c>
      <c r="GA70" s="110">
        <f t="shared" ref="GA70" si="189">SUBTOTAL(9,GA11:GA69)</f>
        <v>0</v>
      </c>
      <c r="GB70" s="110">
        <f t="shared" ref="GB70" si="190">SUBTOTAL(9,GB11:GB69)</f>
        <v>0</v>
      </c>
      <c r="GC70" s="110">
        <f t="shared" ref="GC70" si="191">SUBTOTAL(9,GC11:GC69)</f>
        <v>0</v>
      </c>
      <c r="GD70" s="110">
        <f t="shared" ref="GD70" si="192">SUBTOTAL(9,GD11:GD69)</f>
        <v>0</v>
      </c>
      <c r="GE70" s="110">
        <f t="shared" ref="GE70" si="193">SUBTOTAL(9,GE11:GE69)</f>
        <v>0</v>
      </c>
      <c r="GF70" s="167">
        <f t="shared" ref="GF70" si="194">SUM(GF11:GF69)</f>
        <v>869</v>
      </c>
      <c r="GG70" s="436">
        <f>SUBTOTAL(9,GG11:GG69)</f>
        <v>5140</v>
      </c>
      <c r="GH70" s="436">
        <f t="shared" ref="GH70:GS70" si="195">SUBTOTAL(9,GH11:GH69)</f>
        <v>1784</v>
      </c>
      <c r="GI70" s="436">
        <f t="shared" si="195"/>
        <v>0</v>
      </c>
      <c r="GJ70" s="436">
        <f>SUBTOTAL(9,GJ11:GJ69)</f>
        <v>2228.5</v>
      </c>
      <c r="GK70" s="436">
        <f t="shared" si="195"/>
        <v>547</v>
      </c>
      <c r="GL70" s="436">
        <f t="shared" si="195"/>
        <v>0</v>
      </c>
      <c r="GM70" s="436">
        <f t="shared" si="195"/>
        <v>1959</v>
      </c>
      <c r="GN70" s="436">
        <f t="shared" si="195"/>
        <v>403</v>
      </c>
      <c r="GO70" s="436">
        <f t="shared" si="195"/>
        <v>0</v>
      </c>
      <c r="GP70" s="436">
        <f t="shared" si="195"/>
        <v>0</v>
      </c>
      <c r="GQ70" s="436">
        <f t="shared" si="195"/>
        <v>0</v>
      </c>
      <c r="GR70" s="436">
        <f t="shared" si="195"/>
        <v>0</v>
      </c>
      <c r="GS70" s="436">
        <f t="shared" si="195"/>
        <v>367978000</v>
      </c>
      <c r="GT70" s="167">
        <f t="shared" ref="GT70:HF70" si="196">SUM(GT11:GT69)</f>
        <v>0</v>
      </c>
      <c r="GU70" s="167">
        <f>SUM(GU11:GU69)</f>
        <v>367032000</v>
      </c>
      <c r="GV70" s="167">
        <f t="shared" si="196"/>
        <v>867</v>
      </c>
      <c r="GW70" s="167">
        <f t="shared" si="196"/>
        <v>3400000</v>
      </c>
      <c r="GX70" s="167"/>
      <c r="GY70" s="167">
        <f t="shared" si="196"/>
        <v>8879130.4347826093</v>
      </c>
      <c r="GZ70" s="167">
        <f t="shared" si="196"/>
        <v>39</v>
      </c>
      <c r="HA70" s="167">
        <f t="shared" si="196"/>
        <v>1</v>
      </c>
      <c r="HB70" s="167">
        <f t="shared" si="196"/>
        <v>2</v>
      </c>
      <c r="HC70" s="167">
        <f t="shared" si="196"/>
        <v>0</v>
      </c>
      <c r="HD70" s="167">
        <f t="shared" si="196"/>
        <v>0</v>
      </c>
      <c r="HE70" s="167">
        <f t="shared" si="196"/>
        <v>0</v>
      </c>
      <c r="HF70" s="167">
        <f t="shared" si="196"/>
        <v>488000</v>
      </c>
      <c r="HG70" s="590"/>
      <c r="HH70" s="591"/>
      <c r="HI70" s="168"/>
    </row>
    <row r="71" spans="1:218" s="95" customFormat="1">
      <c r="A71" s="111" t="s">
        <v>173</v>
      </c>
      <c r="B71" s="112"/>
      <c r="C71" s="864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3">
        <f t="shared" ref="N71:AK71" si="197">+COUNT(N11:N69)</f>
        <v>31</v>
      </c>
      <c r="O71" s="113">
        <f t="shared" si="197"/>
        <v>31</v>
      </c>
      <c r="P71" s="113">
        <f t="shared" si="197"/>
        <v>4</v>
      </c>
      <c r="Q71" s="113">
        <f t="shared" si="197"/>
        <v>4</v>
      </c>
      <c r="R71" s="113">
        <f t="shared" si="197"/>
        <v>0</v>
      </c>
      <c r="S71" s="113">
        <f t="shared" si="197"/>
        <v>0</v>
      </c>
      <c r="T71" s="113">
        <f t="shared" si="197"/>
        <v>0</v>
      </c>
      <c r="U71" s="113">
        <f t="shared" si="197"/>
        <v>0</v>
      </c>
      <c r="V71" s="113">
        <f t="shared" si="197"/>
        <v>32</v>
      </c>
      <c r="W71" s="113">
        <f t="shared" si="197"/>
        <v>32</v>
      </c>
      <c r="X71" s="113">
        <f t="shared" si="197"/>
        <v>3</v>
      </c>
      <c r="Y71" s="113">
        <f t="shared" si="197"/>
        <v>3</v>
      </c>
      <c r="Z71" s="113">
        <f t="shared" si="197"/>
        <v>33</v>
      </c>
      <c r="AA71" s="113">
        <f t="shared" si="197"/>
        <v>33</v>
      </c>
      <c r="AB71" s="113">
        <f t="shared" si="197"/>
        <v>3</v>
      </c>
      <c r="AC71" s="113">
        <f t="shared" si="197"/>
        <v>3</v>
      </c>
      <c r="AD71" s="113">
        <f t="shared" si="197"/>
        <v>33</v>
      </c>
      <c r="AE71" s="113">
        <f t="shared" si="197"/>
        <v>33</v>
      </c>
      <c r="AF71" s="113">
        <f t="shared" si="197"/>
        <v>3</v>
      </c>
      <c r="AG71" s="113">
        <f t="shared" si="197"/>
        <v>3</v>
      </c>
      <c r="AH71" s="113">
        <f t="shared" si="197"/>
        <v>0</v>
      </c>
      <c r="AI71" s="113">
        <f t="shared" si="197"/>
        <v>0</v>
      </c>
      <c r="AJ71" s="113">
        <f t="shared" si="197"/>
        <v>32</v>
      </c>
      <c r="AK71" s="113">
        <f t="shared" si="197"/>
        <v>32</v>
      </c>
      <c r="AL71" s="113">
        <f t="shared" ref="AL71:BO71" si="198">+COUNT(AL11:AL69)</f>
        <v>3</v>
      </c>
      <c r="AM71" s="113">
        <f t="shared" si="198"/>
        <v>3</v>
      </c>
      <c r="AN71" s="113">
        <f t="shared" si="198"/>
        <v>0</v>
      </c>
      <c r="AO71" s="113">
        <f t="shared" si="198"/>
        <v>0</v>
      </c>
      <c r="AP71" s="113">
        <f t="shared" si="198"/>
        <v>31</v>
      </c>
      <c r="AQ71" s="113">
        <f t="shared" si="198"/>
        <v>31</v>
      </c>
      <c r="AR71" s="113">
        <f t="shared" si="198"/>
        <v>2</v>
      </c>
      <c r="AS71" s="113">
        <f t="shared" si="198"/>
        <v>2</v>
      </c>
      <c r="AT71" s="113">
        <f t="shared" si="198"/>
        <v>0</v>
      </c>
      <c r="AU71" s="113">
        <f t="shared" si="198"/>
        <v>0</v>
      </c>
      <c r="AV71" s="113">
        <f t="shared" si="198"/>
        <v>32</v>
      </c>
      <c r="AW71" s="113">
        <f t="shared" si="198"/>
        <v>32</v>
      </c>
      <c r="AX71" s="113">
        <f t="shared" si="198"/>
        <v>3</v>
      </c>
      <c r="AY71" s="113">
        <f t="shared" si="198"/>
        <v>3</v>
      </c>
      <c r="AZ71" s="113">
        <f t="shared" si="198"/>
        <v>0</v>
      </c>
      <c r="BA71" s="113">
        <f t="shared" si="198"/>
        <v>0</v>
      </c>
      <c r="BB71" s="113">
        <f t="shared" si="198"/>
        <v>32</v>
      </c>
      <c r="BC71" s="113">
        <f t="shared" si="198"/>
        <v>32</v>
      </c>
      <c r="BD71" s="113">
        <f t="shared" si="198"/>
        <v>3</v>
      </c>
      <c r="BE71" s="113">
        <f t="shared" si="198"/>
        <v>3</v>
      </c>
      <c r="BF71" s="113">
        <f t="shared" si="198"/>
        <v>35</v>
      </c>
      <c r="BG71" s="113">
        <f t="shared" si="198"/>
        <v>35</v>
      </c>
      <c r="BH71" s="113">
        <f t="shared" si="198"/>
        <v>3</v>
      </c>
      <c r="BI71" s="113">
        <f t="shared" si="198"/>
        <v>3</v>
      </c>
      <c r="BJ71" s="113">
        <f t="shared" si="198"/>
        <v>0</v>
      </c>
      <c r="BK71" s="113">
        <f t="shared" si="198"/>
        <v>0</v>
      </c>
      <c r="BL71" s="113">
        <f t="shared" si="198"/>
        <v>34</v>
      </c>
      <c r="BM71" s="113">
        <f t="shared" si="198"/>
        <v>34</v>
      </c>
      <c r="BN71" s="113">
        <f t="shared" si="198"/>
        <v>3</v>
      </c>
      <c r="BO71" s="113">
        <f t="shared" si="198"/>
        <v>3</v>
      </c>
      <c r="BP71" s="113">
        <f t="shared" ref="BP71:CS71" si="199">+COUNT(BP11:BP69)</f>
        <v>0</v>
      </c>
      <c r="BQ71" s="113">
        <f t="shared" si="199"/>
        <v>0</v>
      </c>
      <c r="BR71" s="133">
        <f t="shared" si="199"/>
        <v>32</v>
      </c>
      <c r="BS71" s="133">
        <f t="shared" si="199"/>
        <v>32</v>
      </c>
      <c r="BT71" s="113">
        <f t="shared" si="199"/>
        <v>3</v>
      </c>
      <c r="BU71" s="113">
        <f t="shared" si="199"/>
        <v>3</v>
      </c>
      <c r="BV71" s="113">
        <f t="shared" si="199"/>
        <v>0</v>
      </c>
      <c r="BW71" s="113">
        <f t="shared" si="199"/>
        <v>0</v>
      </c>
      <c r="BX71" s="133">
        <f t="shared" si="199"/>
        <v>32</v>
      </c>
      <c r="BY71" s="133">
        <f t="shared" si="199"/>
        <v>32</v>
      </c>
      <c r="BZ71" s="113">
        <f t="shared" si="199"/>
        <v>3</v>
      </c>
      <c r="CA71" s="113">
        <f t="shared" si="199"/>
        <v>3</v>
      </c>
      <c r="CB71" s="113">
        <f t="shared" si="199"/>
        <v>0</v>
      </c>
      <c r="CC71" s="113">
        <f t="shared" si="199"/>
        <v>0</v>
      </c>
      <c r="CD71" s="133">
        <f t="shared" si="199"/>
        <v>35</v>
      </c>
      <c r="CE71" s="133">
        <f t="shared" si="199"/>
        <v>35</v>
      </c>
      <c r="CF71" s="113">
        <f t="shared" si="199"/>
        <v>3</v>
      </c>
      <c r="CG71" s="113">
        <f t="shared" si="199"/>
        <v>3</v>
      </c>
      <c r="CH71" s="113">
        <f t="shared" si="199"/>
        <v>0</v>
      </c>
      <c r="CI71" s="113">
        <f t="shared" si="199"/>
        <v>0</v>
      </c>
      <c r="CJ71" s="113">
        <f t="shared" si="199"/>
        <v>35</v>
      </c>
      <c r="CK71" s="113">
        <f t="shared" si="199"/>
        <v>35</v>
      </c>
      <c r="CL71" s="113">
        <f t="shared" si="199"/>
        <v>3</v>
      </c>
      <c r="CM71" s="113">
        <f t="shared" si="199"/>
        <v>3</v>
      </c>
      <c r="CN71" s="113">
        <f t="shared" si="199"/>
        <v>0</v>
      </c>
      <c r="CO71" s="113">
        <f t="shared" si="199"/>
        <v>0</v>
      </c>
      <c r="CP71" s="113">
        <f t="shared" si="199"/>
        <v>33</v>
      </c>
      <c r="CQ71" s="113">
        <f t="shared" si="199"/>
        <v>33</v>
      </c>
      <c r="CR71" s="113">
        <f t="shared" si="199"/>
        <v>3</v>
      </c>
      <c r="CS71" s="113">
        <f t="shared" si="199"/>
        <v>3</v>
      </c>
      <c r="CT71" s="113">
        <f t="shared" ref="CT71:DY71" si="200">+COUNT(CT11:CT68)</f>
        <v>34</v>
      </c>
      <c r="CU71" s="113">
        <f t="shared" si="200"/>
        <v>34</v>
      </c>
      <c r="CV71" s="113">
        <f t="shared" si="200"/>
        <v>4</v>
      </c>
      <c r="CW71" s="113">
        <f t="shared" si="200"/>
        <v>4</v>
      </c>
      <c r="CX71" s="113">
        <f t="shared" si="200"/>
        <v>0</v>
      </c>
      <c r="CY71" s="113">
        <f t="shared" si="200"/>
        <v>0</v>
      </c>
      <c r="CZ71" s="113">
        <f t="shared" si="200"/>
        <v>34</v>
      </c>
      <c r="DA71" s="113">
        <f t="shared" si="200"/>
        <v>34</v>
      </c>
      <c r="DB71" s="113">
        <f t="shared" si="200"/>
        <v>4</v>
      </c>
      <c r="DC71" s="113">
        <f t="shared" si="200"/>
        <v>4</v>
      </c>
      <c r="DD71" s="113">
        <f t="shared" si="200"/>
        <v>0</v>
      </c>
      <c r="DE71" s="113">
        <f t="shared" si="200"/>
        <v>0</v>
      </c>
      <c r="DF71" s="113">
        <f t="shared" si="200"/>
        <v>33</v>
      </c>
      <c r="DG71" s="113">
        <f t="shared" si="200"/>
        <v>33</v>
      </c>
      <c r="DH71" s="113">
        <f t="shared" si="200"/>
        <v>5</v>
      </c>
      <c r="DI71" s="113">
        <f t="shared" si="200"/>
        <v>5</v>
      </c>
      <c r="DJ71" s="113">
        <f t="shared" si="200"/>
        <v>0</v>
      </c>
      <c r="DK71" s="113">
        <f t="shared" si="200"/>
        <v>0</v>
      </c>
      <c r="DL71" s="113">
        <f t="shared" si="200"/>
        <v>31</v>
      </c>
      <c r="DM71" s="113">
        <f t="shared" si="200"/>
        <v>31</v>
      </c>
      <c r="DN71" s="113">
        <f t="shared" si="200"/>
        <v>5</v>
      </c>
      <c r="DO71" s="113">
        <f t="shared" si="200"/>
        <v>5</v>
      </c>
      <c r="DP71" s="113">
        <f t="shared" si="200"/>
        <v>0</v>
      </c>
      <c r="DQ71" s="113">
        <f t="shared" si="200"/>
        <v>0</v>
      </c>
      <c r="DR71" s="113">
        <f t="shared" si="200"/>
        <v>21</v>
      </c>
      <c r="DS71" s="113">
        <f t="shared" si="200"/>
        <v>21</v>
      </c>
      <c r="DT71" s="113">
        <f t="shared" si="200"/>
        <v>19</v>
      </c>
      <c r="DU71" s="113">
        <f t="shared" si="200"/>
        <v>19</v>
      </c>
      <c r="DV71" s="113">
        <f t="shared" si="200"/>
        <v>0</v>
      </c>
      <c r="DW71" s="113">
        <f t="shared" si="200"/>
        <v>0</v>
      </c>
      <c r="DX71" s="113">
        <f t="shared" si="200"/>
        <v>21</v>
      </c>
      <c r="DY71" s="113">
        <f t="shared" si="200"/>
        <v>21</v>
      </c>
      <c r="DZ71" s="113">
        <f t="shared" ref="DZ71:FE71" si="201">+COUNT(DZ11:DZ68)</f>
        <v>19</v>
      </c>
      <c r="EA71" s="113">
        <f t="shared" si="201"/>
        <v>19</v>
      </c>
      <c r="EB71" s="113">
        <f t="shared" si="201"/>
        <v>0</v>
      </c>
      <c r="EC71" s="113">
        <f t="shared" si="201"/>
        <v>0</v>
      </c>
      <c r="ED71" s="113">
        <f t="shared" si="201"/>
        <v>21</v>
      </c>
      <c r="EE71" s="113">
        <f t="shared" si="201"/>
        <v>21</v>
      </c>
      <c r="EF71" s="113">
        <f t="shared" si="201"/>
        <v>20</v>
      </c>
      <c r="EG71" s="113">
        <f t="shared" si="201"/>
        <v>20</v>
      </c>
      <c r="EH71" s="113">
        <f t="shared" si="201"/>
        <v>0</v>
      </c>
      <c r="EI71" s="113">
        <f t="shared" si="201"/>
        <v>0</v>
      </c>
      <c r="EJ71" s="113">
        <f t="shared" si="201"/>
        <v>20</v>
      </c>
      <c r="EK71" s="113">
        <f t="shared" si="201"/>
        <v>20</v>
      </c>
      <c r="EL71" s="113">
        <f t="shared" si="201"/>
        <v>20</v>
      </c>
      <c r="EM71" s="113">
        <f t="shared" si="201"/>
        <v>20</v>
      </c>
      <c r="EN71" s="113">
        <f t="shared" si="201"/>
        <v>0</v>
      </c>
      <c r="EO71" s="113">
        <f t="shared" si="201"/>
        <v>0</v>
      </c>
      <c r="EP71" s="113">
        <f t="shared" si="201"/>
        <v>23</v>
      </c>
      <c r="EQ71" s="113">
        <f t="shared" si="201"/>
        <v>23</v>
      </c>
      <c r="ER71" s="113">
        <f t="shared" si="201"/>
        <v>20</v>
      </c>
      <c r="ES71" s="113">
        <f t="shared" si="201"/>
        <v>20</v>
      </c>
      <c r="ET71" s="113">
        <f t="shared" si="201"/>
        <v>0</v>
      </c>
      <c r="EU71" s="113">
        <f t="shared" si="201"/>
        <v>0</v>
      </c>
      <c r="EV71" s="113">
        <f t="shared" si="201"/>
        <v>22</v>
      </c>
      <c r="EW71" s="113">
        <f t="shared" si="201"/>
        <v>23</v>
      </c>
      <c r="EX71" s="113">
        <f t="shared" si="201"/>
        <v>20</v>
      </c>
      <c r="EY71" s="113">
        <f t="shared" si="201"/>
        <v>20</v>
      </c>
      <c r="EZ71" s="113">
        <f t="shared" si="201"/>
        <v>0</v>
      </c>
      <c r="FA71" s="113">
        <f t="shared" si="201"/>
        <v>0</v>
      </c>
      <c r="FB71" s="113">
        <f t="shared" si="201"/>
        <v>21</v>
      </c>
      <c r="FC71" s="113">
        <f t="shared" si="201"/>
        <v>21</v>
      </c>
      <c r="FD71" s="113">
        <f t="shared" si="201"/>
        <v>19</v>
      </c>
      <c r="FE71" s="113">
        <f t="shared" si="201"/>
        <v>19</v>
      </c>
      <c r="FF71" s="113">
        <f t="shared" ref="FF71:GC71" si="202">+COUNT(FF11:FF68)</f>
        <v>0</v>
      </c>
      <c r="FG71" s="113">
        <f t="shared" si="202"/>
        <v>0</v>
      </c>
      <c r="FH71" s="113">
        <f t="shared" si="202"/>
        <v>19</v>
      </c>
      <c r="FI71" s="113">
        <f t="shared" si="202"/>
        <v>18</v>
      </c>
      <c r="FJ71" s="113">
        <f t="shared" si="202"/>
        <v>21</v>
      </c>
      <c r="FK71" s="113">
        <f t="shared" si="202"/>
        <v>21</v>
      </c>
      <c r="FL71" s="113">
        <f t="shared" si="202"/>
        <v>0</v>
      </c>
      <c r="FM71" s="113">
        <f t="shared" si="202"/>
        <v>0</v>
      </c>
      <c r="FN71" s="113">
        <f t="shared" si="202"/>
        <v>18</v>
      </c>
      <c r="FO71" s="113">
        <f t="shared" si="202"/>
        <v>18</v>
      </c>
      <c r="FP71" s="113">
        <f t="shared" si="202"/>
        <v>19</v>
      </c>
      <c r="FQ71" s="113">
        <f t="shared" si="202"/>
        <v>19</v>
      </c>
      <c r="FR71" s="113">
        <f t="shared" si="202"/>
        <v>0</v>
      </c>
      <c r="FS71" s="113">
        <f t="shared" si="202"/>
        <v>0</v>
      </c>
      <c r="FT71" s="113">
        <f t="shared" si="202"/>
        <v>17</v>
      </c>
      <c r="FU71" s="113">
        <f t="shared" si="202"/>
        <v>17</v>
      </c>
      <c r="FV71" s="113">
        <f t="shared" si="202"/>
        <v>21</v>
      </c>
      <c r="FW71" s="113">
        <f t="shared" si="202"/>
        <v>21</v>
      </c>
      <c r="FX71" s="113">
        <f t="shared" si="202"/>
        <v>0</v>
      </c>
      <c r="FY71" s="113">
        <f t="shared" si="202"/>
        <v>0</v>
      </c>
      <c r="FZ71" s="113">
        <f t="shared" si="202"/>
        <v>0</v>
      </c>
      <c r="GA71" s="113">
        <f t="shared" si="202"/>
        <v>0</v>
      </c>
      <c r="GB71" s="113">
        <f t="shared" si="202"/>
        <v>0</v>
      </c>
      <c r="GC71" s="113">
        <f t="shared" si="202"/>
        <v>0</v>
      </c>
      <c r="GD71" s="114"/>
      <c r="GE71" s="114"/>
      <c r="GF71" s="114"/>
      <c r="GG71" s="114"/>
      <c r="GH71" s="114"/>
      <c r="GI71" s="114"/>
      <c r="GJ71" s="114"/>
      <c r="GK71" s="114"/>
      <c r="GL71" s="114"/>
      <c r="GM71" s="114"/>
      <c r="GN71" s="114"/>
      <c r="GO71" s="114"/>
      <c r="GP71" s="114"/>
      <c r="GQ71" s="114"/>
      <c r="GR71" s="114"/>
      <c r="GS71" s="657"/>
      <c r="GT71" s="658"/>
      <c r="GU71" s="658"/>
      <c r="GV71" s="658"/>
      <c r="GW71" s="658"/>
      <c r="GX71" s="658"/>
      <c r="GY71" s="657"/>
      <c r="GZ71" s="657"/>
      <c r="HA71" s="657"/>
      <c r="HB71" s="657"/>
      <c r="HC71" s="657"/>
      <c r="HD71" s="657"/>
      <c r="HE71" s="657"/>
      <c r="HF71" s="657"/>
      <c r="HG71" s="659"/>
      <c r="HH71" s="660"/>
      <c r="HI71" s="661"/>
    </row>
    <row r="72" spans="1:218" s="95" customFormat="1">
      <c r="C72" s="865"/>
      <c r="BR72" s="134"/>
      <c r="BS72" s="134"/>
      <c r="BX72" s="134"/>
      <c r="BY72" s="134"/>
      <c r="CD72" s="134"/>
      <c r="CE72" s="134"/>
      <c r="GG72" s="115"/>
      <c r="GH72" s="115"/>
      <c r="GI72" s="115"/>
      <c r="GJ72" s="115"/>
      <c r="GK72" s="115"/>
      <c r="GL72" s="115"/>
      <c r="GM72" s="115"/>
      <c r="GN72" s="115"/>
      <c r="GO72" s="115"/>
      <c r="GP72" s="115"/>
      <c r="GQ72" s="115"/>
      <c r="GR72" s="115"/>
      <c r="HG72" s="157"/>
      <c r="HH72" s="161"/>
      <c r="HI72" s="161"/>
    </row>
    <row r="73" spans="1:218" s="95" customFormat="1" ht="22.5">
      <c r="A73" s="545" t="s">
        <v>798</v>
      </c>
      <c r="C73" s="865"/>
      <c r="F73" s="546">
        <v>23</v>
      </c>
      <c r="BR73" s="134"/>
      <c r="BS73" s="134"/>
      <c r="BX73" s="134"/>
      <c r="BY73" s="134"/>
      <c r="CD73" s="134"/>
      <c r="CE73" s="134"/>
      <c r="HG73" s="157"/>
      <c r="HH73" s="161"/>
      <c r="HI73" s="161"/>
    </row>
    <row r="75" spans="1:218" ht="15.75">
      <c r="A75" s="547" t="s">
        <v>981</v>
      </c>
    </row>
  </sheetData>
  <mergeCells count="183">
    <mergeCell ref="HC7:HC9"/>
    <mergeCell ref="HD7:HD9"/>
    <mergeCell ref="HE7:HE9"/>
    <mergeCell ref="HF7:HF9"/>
    <mergeCell ref="HG7:HG9"/>
    <mergeCell ref="HH7:HH9"/>
    <mergeCell ref="HI7:HI9"/>
    <mergeCell ref="GS6:GS9"/>
    <mergeCell ref="GT6:GT9"/>
    <mergeCell ref="GU6:GU9"/>
    <mergeCell ref="GV7:GV9"/>
    <mergeCell ref="GW7:GW9"/>
    <mergeCell ref="GY7:GY9"/>
    <mergeCell ref="GZ7:GZ9"/>
    <mergeCell ref="HA7:HA9"/>
    <mergeCell ref="HB7:HB9"/>
    <mergeCell ref="GX7:GX9"/>
    <mergeCell ref="A6:A9"/>
    <mergeCell ref="B6:B9"/>
    <mergeCell ref="H6:H9"/>
    <mergeCell ref="I6:I9"/>
    <mergeCell ref="J6:J9"/>
    <mergeCell ref="AD6:AI6"/>
    <mergeCell ref="AJ6:AO6"/>
    <mergeCell ref="AP6:AU6"/>
    <mergeCell ref="C7:C9"/>
    <mergeCell ref="G6:G9"/>
    <mergeCell ref="K6:K9"/>
    <mergeCell ref="AB8:AC8"/>
    <mergeCell ref="AD8:AE8"/>
    <mergeCell ref="AF8:AG8"/>
    <mergeCell ref="AH8:AI8"/>
    <mergeCell ref="AJ8:AK8"/>
    <mergeCell ref="AV6:BA6"/>
    <mergeCell ref="BB6:BE6"/>
    <mergeCell ref="BF6:BK6"/>
    <mergeCell ref="L6:L9"/>
    <mergeCell ref="M6:M9"/>
    <mergeCell ref="N6:Q6"/>
    <mergeCell ref="R6:U6"/>
    <mergeCell ref="V6:Y6"/>
    <mergeCell ref="Z6:AC6"/>
    <mergeCell ref="N8:O8"/>
    <mergeCell ref="P8:Q8"/>
    <mergeCell ref="R8:S8"/>
    <mergeCell ref="V8:W8"/>
    <mergeCell ref="X8:Y8"/>
    <mergeCell ref="Z8:AA8"/>
    <mergeCell ref="AL8:AM8"/>
    <mergeCell ref="AN8:AO8"/>
    <mergeCell ref="AP8:AQ8"/>
    <mergeCell ref="AR8:AS8"/>
    <mergeCell ref="AT8:AU8"/>
    <mergeCell ref="AV8:AW8"/>
    <mergeCell ref="FB6:FG6"/>
    <mergeCell ref="FH6:FM6"/>
    <mergeCell ref="CT6:CY6"/>
    <mergeCell ref="CZ6:DE6"/>
    <mergeCell ref="DF6:DK6"/>
    <mergeCell ref="DL6:DQ6"/>
    <mergeCell ref="DR6:DW6"/>
    <mergeCell ref="DX6:EC6"/>
    <mergeCell ref="BL6:BQ6"/>
    <mergeCell ref="BR6:BW6"/>
    <mergeCell ref="BX6:CC6"/>
    <mergeCell ref="CD6:CI6"/>
    <mergeCell ref="CJ6:CO6"/>
    <mergeCell ref="CP6:CS6"/>
    <mergeCell ref="GM6:GO8"/>
    <mergeCell ref="GP6:GR8"/>
    <mergeCell ref="D7:D9"/>
    <mergeCell ref="E7:E9"/>
    <mergeCell ref="F7:F9"/>
    <mergeCell ref="N7:Q7"/>
    <mergeCell ref="R7:U7"/>
    <mergeCell ref="V7:Y7"/>
    <mergeCell ref="Z7:AC7"/>
    <mergeCell ref="AD7:AI7"/>
    <mergeCell ref="FN6:FS6"/>
    <mergeCell ref="FT6:FY6"/>
    <mergeCell ref="FZ6:GE6"/>
    <mergeCell ref="GF6:GF9"/>
    <mergeCell ref="GG6:GI8"/>
    <mergeCell ref="GJ6:GL8"/>
    <mergeCell ref="FT7:FY7"/>
    <mergeCell ref="FZ7:GE7"/>
    <mergeCell ref="FV8:FW8"/>
    <mergeCell ref="FX8:FY8"/>
    <mergeCell ref="ED6:EI6"/>
    <mergeCell ref="EJ6:EO6"/>
    <mergeCell ref="EP6:EU6"/>
    <mergeCell ref="EV6:FA6"/>
    <mergeCell ref="FB7:FG7"/>
    <mergeCell ref="FH7:FM7"/>
    <mergeCell ref="FN7:FS7"/>
    <mergeCell ref="CZ7:DE7"/>
    <mergeCell ref="DF7:DK7"/>
    <mergeCell ref="DL7:DQ7"/>
    <mergeCell ref="DR7:DW7"/>
    <mergeCell ref="DX7:EC7"/>
    <mergeCell ref="ED7:EI7"/>
    <mergeCell ref="EJ7:EO7"/>
    <mergeCell ref="EP7:EU7"/>
    <mergeCell ref="EV7:FA7"/>
    <mergeCell ref="BR7:BW7"/>
    <mergeCell ref="BX7:CC7"/>
    <mergeCell ref="CD7:CI7"/>
    <mergeCell ref="CJ7:CO7"/>
    <mergeCell ref="CP7:CS7"/>
    <mergeCell ref="CT7:CY7"/>
    <mergeCell ref="AJ7:AO7"/>
    <mergeCell ref="AP7:AU7"/>
    <mergeCell ref="AV7:BA7"/>
    <mergeCell ref="BB7:BE7"/>
    <mergeCell ref="BF7:BK7"/>
    <mergeCell ref="BL7:BQ7"/>
    <mergeCell ref="BH8:BI8"/>
    <mergeCell ref="BJ8:BK8"/>
    <mergeCell ref="BL8:BM8"/>
    <mergeCell ref="BN8:BO8"/>
    <mergeCell ref="BP8:BQ8"/>
    <mergeCell ref="BR8:BS8"/>
    <mergeCell ref="AX8:AY8"/>
    <mergeCell ref="AZ8:BA8"/>
    <mergeCell ref="BB8:BC8"/>
    <mergeCell ref="BD8:BE8"/>
    <mergeCell ref="BF8:BG8"/>
    <mergeCell ref="CF8:CG8"/>
    <mergeCell ref="CH8:CI8"/>
    <mergeCell ref="CJ8:CK8"/>
    <mergeCell ref="CL8:CM8"/>
    <mergeCell ref="CN8:CO8"/>
    <mergeCell ref="CP8:CQ8"/>
    <mergeCell ref="BT8:BU8"/>
    <mergeCell ref="BV8:BW8"/>
    <mergeCell ref="BX8:BY8"/>
    <mergeCell ref="BZ8:CA8"/>
    <mergeCell ref="CB8:CC8"/>
    <mergeCell ref="CD8:CE8"/>
    <mergeCell ref="DB8:DC8"/>
    <mergeCell ref="DD8:DE8"/>
    <mergeCell ref="DF8:DG8"/>
    <mergeCell ref="DH8:DI8"/>
    <mergeCell ref="DJ8:DK8"/>
    <mergeCell ref="DL8:DM8"/>
    <mergeCell ref="CR8:CS8"/>
    <mergeCell ref="CT8:CU8"/>
    <mergeCell ref="CV8:CW8"/>
    <mergeCell ref="CX8:CY8"/>
    <mergeCell ref="CZ8:DA8"/>
    <mergeCell ref="DZ8:EA8"/>
    <mergeCell ref="EB8:EC8"/>
    <mergeCell ref="ED8:EE8"/>
    <mergeCell ref="EF8:EG8"/>
    <mergeCell ref="EH8:EI8"/>
    <mergeCell ref="EJ8:EK8"/>
    <mergeCell ref="DN8:DO8"/>
    <mergeCell ref="DP8:DQ8"/>
    <mergeCell ref="DR8:DS8"/>
    <mergeCell ref="DT8:DU8"/>
    <mergeCell ref="DV8:DW8"/>
    <mergeCell ref="DX8:DY8"/>
    <mergeCell ref="EX8:EY8"/>
    <mergeCell ref="EZ8:FA8"/>
    <mergeCell ref="FB8:FC8"/>
    <mergeCell ref="FD8:FE8"/>
    <mergeCell ref="FF8:FG8"/>
    <mergeCell ref="FH8:FI8"/>
    <mergeCell ref="EL8:EM8"/>
    <mergeCell ref="EN8:EO8"/>
    <mergeCell ref="EP8:EQ8"/>
    <mergeCell ref="ER8:ES8"/>
    <mergeCell ref="ET8:EU8"/>
    <mergeCell ref="EV8:EW8"/>
    <mergeCell ref="FZ8:GA8"/>
    <mergeCell ref="GB8:GC8"/>
    <mergeCell ref="GD8:GE8"/>
    <mergeCell ref="FJ8:FK8"/>
    <mergeCell ref="FL8:FM8"/>
    <mergeCell ref="FN8:FO8"/>
    <mergeCell ref="FP8:FQ8"/>
    <mergeCell ref="FR8:FS8"/>
    <mergeCell ref="FT8:FU8"/>
  </mergeCells>
  <conditionalFormatting sqref="GD31:GE31 GD33:GE33 GD36:GE37 GD29:GE29 GD55:GE55 GD26:GE27 GD12:GE15 GD17:GE17 GD19:GE22 N8:W8 N6:Y7 BF28:BG28 BF30:BG30 BF38:BG38 BF17:BG17 BF26:BG26 BF12:BG15 BF19:BG19 BF21:BG24 Z6:GE8 CT38:CU38 CT26:CU26 CT30:CU30 CT28:CU28 CT12:CU15 CT21:CU24">
    <cfRule type="expression" dxfId="123" priority="176">
      <formula>$N7="Sunday"</formula>
    </cfRule>
  </conditionalFormatting>
  <conditionalFormatting sqref="GD56:GE56 BF39:BG39 CT39:CU39">
    <cfRule type="expression" dxfId="122" priority="182">
      <formula>#REF!="Sunday"</formula>
    </cfRule>
  </conditionalFormatting>
  <conditionalFormatting sqref="GD62:GE69">
    <cfRule type="expression" dxfId="121" priority="183">
      <formula>$N80="Sunday"</formula>
    </cfRule>
  </conditionalFormatting>
  <conditionalFormatting sqref="GD38:GE40 GD32:GE32 GD34:GE35 GD16:GE16 GD18:GE18 GD28:GE28 GD30:GE30 BF37:BG37 CT37:CU37">
    <cfRule type="expression" dxfId="120" priority="191">
      <formula>#REF!="Sunday"</formula>
    </cfRule>
  </conditionalFormatting>
  <conditionalFormatting sqref="GD57:GE59">
    <cfRule type="expression" dxfId="119" priority="253">
      <formula>$N72="Sunday"</formula>
    </cfRule>
  </conditionalFormatting>
  <conditionalFormatting sqref="GD42:GE54">
    <cfRule type="expression" dxfId="118" priority="481">
      <formula>#REF!="Sunday"</formula>
    </cfRule>
  </conditionalFormatting>
  <conditionalFormatting sqref="GD60:GE61">
    <cfRule type="expression" dxfId="117" priority="518">
      <formula>$N77="Sunday"</formula>
    </cfRule>
  </conditionalFormatting>
  <conditionalFormatting sqref="GD41:GE41">
    <cfRule type="expression" dxfId="116" priority="524">
      <formula>#REF!="Sunday"</formula>
    </cfRule>
  </conditionalFormatting>
  <conditionalFormatting sqref="GD9:GE9 N9:GC10">
    <cfRule type="expression" dxfId="115" priority="534">
      <formula>$N11="Sunday"</formula>
    </cfRule>
  </conditionalFormatting>
  <conditionalFormatting sqref="GD11:GE11">
    <cfRule type="expression" dxfId="114" priority="535">
      <formula>#REF!="Sunday"</formula>
    </cfRule>
  </conditionalFormatting>
  <conditionalFormatting sqref="GD10:GE10">
    <cfRule type="expression" dxfId="113" priority="546">
      <formula>#REF!="Sunday"</formula>
    </cfRule>
  </conditionalFormatting>
  <conditionalFormatting sqref="GD23:GE25">
    <cfRule type="expression" dxfId="112" priority="549">
      <formula>$N26="Sunday"</formula>
    </cfRule>
  </conditionalFormatting>
  <conditionalFormatting sqref="DD26:DE26 DJ26:DM26 DD28:DE28 DJ28:DM28 DD30:DE30 DJ30:DM30 BS37 BV38:BY38 DD38:DE38 DJ38:DM38 FX38:GA38 AT28:AW28 AT30:AW30 AT38:AW38 AT17:AW17 AT26:AW26 AZ26:BC26 AZ17:BC17 AZ38:BC38 AZ30:BC30 AZ28:BC28 BJ26:BM26 BJ17:BM17 BJ38:BM38 BJ30:BM30 BJ28:BM28 BP28:BS28 BP30:BS30 BP38:BR38 BP26:BS26 BV26:BY26 BV30:BY30 BV28:BY28 CB28:CE28 CB30:CE30 CB26:CE26 CB38:CE38 CH38:CK38 CH26:CK26 CH30:CK30 CH28:CK28 CN28:CQ28 CN30:CQ30 CN26:CQ26 CN38:CQ38 CX28:CZ28 CX30:CZ30 CX26:CZ26 CX38:CZ38 DD12:DE14 DJ12:DM15 AT12:AW15 AZ12:BC15 BJ12:BM15 BP12:BS15 BV12:BY15 CB12:CE15 CH12:CK15 CN12:CQ15 CX12:CZ14 DP12:DS14 DV12:DY14 EB12:EE14 EH12:EK14 T12:U14 BS40:BS41 DD21:DE24 DJ21:DM24 AT19:AW19 AT21:AW24 AZ19:BC19 AZ21:BC24 BJ19:BM19 BJ21:BM24 BP21:BS24 BV21:BY24 CB21:CE24 CH21:CK24 CN21:CQ24 CX21:CZ24 T19:U19 EN12:EQ14 ET12:EW14 EZ12:FU13 FX21:GA24 FX19:GA19 FX12:GA15 FX26:GA26 FX17:GA17 FX30:GA30 FX28:GA28 EZ14:FI14 FL14:FU14 DN20:DS46 DT15:FI46 FJ14:FK46 FL15:FW46 DT48:DU56 FP48:FQ56 FJ48:FK56 FJ58:FK64 FV48:FW56 FV58:FW64 DZ53:EA56 DZ58:EA63 EF53:EG56 EF58:EG64 FP58:FQ66 FP68:FQ69 EX58:EY66 EX68:EY69 DT58:DU66 DT68:DU69 DO17:DS19">
    <cfRule type="expression" dxfId="111" priority="29">
      <formula>$N13="Sunday"</formula>
    </cfRule>
  </conditionalFormatting>
  <conditionalFormatting sqref="T16:U16">
    <cfRule type="expression" dxfId="110" priority="27">
      <formula>$N17="Sunday"</formula>
    </cfRule>
  </conditionalFormatting>
  <conditionalFormatting sqref="DN15:DS16">
    <cfRule type="expression" dxfId="109" priority="10">
      <formula>$N16="Sunday"</formula>
    </cfRule>
  </conditionalFormatting>
  <conditionalFormatting sqref="CV15:DI15">
    <cfRule type="expression" dxfId="108" priority="8">
      <formula>$N16="Sunday"</formula>
    </cfRule>
  </conditionalFormatting>
  <conditionalFormatting sqref="EL53:EY54">
    <cfRule type="expression" dxfId="107" priority="7">
      <formula>$N54="Sunday"</formula>
    </cfRule>
  </conditionalFormatting>
  <conditionalFormatting sqref="EL62:EM63">
    <cfRule type="expression" dxfId="106" priority="6">
      <formula>$N63="Sunday"</formula>
    </cfRule>
  </conditionalFormatting>
  <conditionalFormatting sqref="ER62:ES63">
    <cfRule type="expression" dxfId="105" priority="5">
      <formula>$N63="Sunday"</formula>
    </cfRule>
  </conditionalFormatting>
  <conditionalFormatting sqref="X8:Y8">
    <cfRule type="expression" dxfId="104" priority="2">
      <formula>$N9="Sunday"</formula>
    </cfRule>
  </conditionalFormatting>
  <conditionalFormatting sqref="BV39:BY39 DD39:DE39 DJ39:DM39 FX39:GA39 AT39:AW39 AZ39:BC39 BJ39:BM39 BP39:BR39 CB39:CE39 CH39:CK39 CN39:CQ39 CX39:CZ39">
    <cfRule type="expression" dxfId="103" priority="30">
      <formula>#REF!="Sunday"</formula>
    </cfRule>
  </conditionalFormatting>
  <conditionalFormatting sqref="DF68:DG69 BH54:BI55 BN54:BO55 BT54:BU55 BZ54:CA55 CF54:CG55 CL54:CM55 CR54:CS55 CV54:CW55 DB54:DC55 DH54:DI55 DN54:DO55 AF54:AG55 AL54:AM55 AR51:AS52 AR54:AS55 BD54:BE55 AX38:AY41 DF38:DG38 DA38 AR45:AS45">
    <cfRule type="expression" dxfId="102" priority="31">
      <formula>$N72="Sunday"</formula>
    </cfRule>
  </conditionalFormatting>
  <conditionalFormatting sqref="AT51:AW52 AZ51:BC52 BJ51:BM52 BP51:BR52 BV51:BY52 CB51:CE52 CH51:CK52 CN51:CQ52 CX51:CZ52 DD51:DE52 DJ51:DM52 DP51:DS52 DV51:DY52 EB51:EC52 EH51:EK52 AH51:AK52 AN51:AQ52 AE51:AE52 FR51:FU52 EN51:EQ52 ET51:EV52 EZ51:FI52 FX51:GA52 FL51:FM52 BT47:BU47 BZ47:CA47 CF47:CG47 CL47:CM47 CR47:CS47 CV47:CW47 DB47:DC47 DH47:DI47 AR47:AS47 AX47:AY47 BD47:BE47 BH47:BI47 BN47:BO47 DF58:DG62 N51:S52 Y51:Z52 BF51:BG52 CT51:CU52">
    <cfRule type="expression" dxfId="101" priority="32">
      <formula>$N86="Sunday"</formula>
    </cfRule>
  </conditionalFormatting>
  <conditionalFormatting sqref="DD16:DE16 DJ16:DM16 DD25:DE25 DJ25:DM25 DD27:DE27 DJ27:DM27 DD29:DE29 DJ29:DM29 DD31:DE31 DJ31:DM31 DD33:DE35 DJ33:DM35 BS38:BS39 BS43 AT27:AW27 AT29:AW29 AT31:AW31 AT33:AW35 AT16:AW16 AT18:AW18 AT25:AW25 AZ25:BC25 AZ18:BC18 AZ16:BC16 AZ33:BC35 AZ31:BC31 AZ29:BC29 AZ27:BC27 BJ25:BM25 BJ18:BM18 BJ16:BM16 BJ33:BM35 BJ31:BM31 BJ29:BM29 BJ27:BM27 BP27:BS27 BP29:BS29 BP31:BS31 BP33:BS35 BP16:BS16 BP25:BS25 BV25:BY25 BV16:BY16 BV33:BY35 BV31:BY31 BV29:BY29 BV27:BY27 CB27:CE27 CB29:CE29 CB31:CE31 CB33:CE35 CB16:CE16 CB25:CE25 CH25:CK25 CH16:CK16 CH33:CK35 CH31:CK31 CH29:CK29 CH27:CK27 CN27:CQ27 CN29:CQ29 CN31:CQ31 CN33:CQ35 CN16:CQ16 CN25:CQ25 CX27:CZ27 CX29:CZ29 CX31:CZ31 CX33:CZ35 CX16:CZ16 CX25:CZ25 FX27:GA27 FX25:GA25 FX18:GA18 FX16:GA16 FX31:GA31 FX29:GA29 FX33:GA35 BF27:BG27 BF29:BG29 BF31:BG31 BF33:BG35 BF16:BG16 BF18:BG18 BF25:BG25 CT25:CU25 CT16:CU16 CT33:CU35 CT31:CU31 CT29:CU29 CT27:CU27">
    <cfRule type="expression" dxfId="100" priority="33">
      <formula>#REF!="Sunday"</formula>
    </cfRule>
  </conditionalFormatting>
  <conditionalFormatting sqref="BD11:BE11 BH11:BI11 BN11:BO11 BT11:BU11 BZ11:CA11 CF11:CG11 CL11:CM11 CR11:CS11 CV11:CW11 DB11:DC11 DH11:DI11 DN11:DO11 DT11:DU11 DZ11:EA11 EF11:EG11 BH19:BI19 BH21:BI29 BN21:BO29 BT21:BU29 BZ21:CA29 CF21:CG29 CL21:CM29 CR21:CS29 CV21:CW29 DB21:DC29 DH21:DI29 BD19:BE19 BD21:BE29 AX19:AY31 AR19:AS32 EL11:EM14 ER11:ES14 EX11:EY14 AX33:AY34 T63:U63">
    <cfRule type="expression" dxfId="99" priority="34">
      <formula>$N24="Sunday"</formula>
    </cfRule>
  </conditionalFormatting>
  <conditionalFormatting sqref="BH31:BI33 BN31:BO33 BT31:BU33 BZ31:CA33 CF31:CG33 CL31:CM33 CR31:CS33 CV31:CW33 DB31:DC33 DH31:DI33 BD31:BE33 BN36:BO36 BT36:BU36 BZ36:CA36 CF36:CG36 CL36:CM36 CR36:CS36 CV36:CW36 DB36:DC36 DH36:DI36 AX36:AY36 BD36:BE36 BH36:BI36 AR34:AS35 ER48:ES52 EL48:EM52 EX48:EY52 FV68:FW69">
    <cfRule type="expression" dxfId="98" priority="35">
      <formula>$N43="Sunday"</formula>
    </cfRule>
  </conditionalFormatting>
  <conditionalFormatting sqref="ER67:ES67 ER55:ES57 EL55:EM57 EX55:EY56 EL67:EM67">
    <cfRule type="expression" dxfId="97" priority="36">
      <formula>$N72="Sunday"</formula>
    </cfRule>
  </conditionalFormatting>
  <conditionalFormatting sqref="DF14:DG14 DA14 DA16 DF16:DG16">
    <cfRule type="expression" dxfId="96" priority="37">
      <formula>#REF!="Sunday"</formula>
    </cfRule>
  </conditionalFormatting>
  <conditionalFormatting sqref="DF32:DG32 DA32">
    <cfRule type="expression" dxfId="95" priority="38">
      <formula>$N39="Sunday"</formula>
    </cfRule>
  </conditionalFormatting>
  <conditionalFormatting sqref="DF20:DG20 DA20 AR37:AS37 DA37 DF37:DG37 FV65:FW67">
    <cfRule type="expression" dxfId="94" priority="39">
      <formula>$N31="Sunday"</formula>
    </cfRule>
  </conditionalFormatting>
  <conditionalFormatting sqref="DF36:DG36 T68:U69">
    <cfRule type="expression" dxfId="93" priority="40">
      <formula>$N45="Sunday"</formula>
    </cfRule>
  </conditionalFormatting>
  <conditionalFormatting sqref="DA22:DA23 DF22:DG23">
    <cfRule type="expression" dxfId="92" priority="41">
      <formula>#REF!="Sunday"</formula>
    </cfRule>
  </conditionalFormatting>
  <conditionalFormatting sqref="DF26:DG28 DA26:DA28">
    <cfRule type="expression" dxfId="91" priority="42">
      <formula>#REF!="Sunday"</formula>
    </cfRule>
  </conditionalFormatting>
  <conditionalFormatting sqref="DA29:DA30 DF29:DG30">
    <cfRule type="expression" dxfId="90" priority="43">
      <formula>$N35="Sunday"</formula>
    </cfRule>
  </conditionalFormatting>
  <conditionalFormatting sqref="DA36">
    <cfRule type="expression" dxfId="89" priority="44">
      <formula>$N45="Sunday"</formula>
    </cfRule>
  </conditionalFormatting>
  <conditionalFormatting sqref="ER64:ES66 ER58:ES61 EL58:EM61">
    <cfRule type="expression" dxfId="88" priority="45">
      <formula>$N76="Sunday"</formula>
    </cfRule>
  </conditionalFormatting>
  <conditionalFormatting sqref="BV37:BY37 DD37:DE37 DJ37:DM37 AT37:AW37 AZ37:BC37 BJ37:BM37 BP37:BR37 CB37:CE37 CH37:CK37 CN37:CQ37 CX37:CZ37 FX37:GA37">
    <cfRule type="expression" dxfId="87" priority="46">
      <formula>#REF!="Sunday"</formula>
    </cfRule>
  </conditionalFormatting>
  <conditionalFormatting sqref="DA33 DF33:DG33">
    <cfRule type="expression" dxfId="86" priority="47">
      <formula>#REF!="Sunday"</formula>
    </cfRule>
  </conditionalFormatting>
  <conditionalFormatting sqref="BJ45:BM45 BV45:BY45 CB45:CE45 CH45:CK45 CN45:CQ45 CX45:CZ45 DD45:DE45 DJ45:DM45 AT45:AU45 AZ45:BA45 BP45:BR45 FX45:GA45 AT48:AW49 AZ48:BC49 BJ48:BM49 BP48:BR49 BV48:BY49 CB48:CE49 CH48:CK49 CN48:CQ49 CX48:CZ49 DD48:DE49 DJ48:DM49 DP48:DS49 DV48:DY49 EB48:EE49 EH48:EK49 AH48:AK49 AN48:AQ49 AE48:AE49 EN48:EQ49 ET48:EV49 EZ48:FI49 FX48:GA49 FL48:FM49 N48:S49 Y48:Z49 BF45:BG45 BF48:BG49 CT45:CU45 CT48:CU49">
    <cfRule type="expression" dxfId="85" priority="48">
      <formula>$N86="Sunday"</formula>
    </cfRule>
  </conditionalFormatting>
  <conditionalFormatting sqref="DD36:DE36 DJ36:DM36 AT36:AW36 AZ36:BC36 BJ36:BM36 BP36:BS36 BV36:BY36 CB36:CE36 CH36:CK36 CN36:CQ36 CX36:CZ36 FX36:GA36 BF36:BG36 CT36:CU36">
    <cfRule type="expression" dxfId="84" priority="49">
      <formula>#REF!="Sunday"</formula>
    </cfRule>
  </conditionalFormatting>
  <conditionalFormatting sqref="DA31 DF31:DG31">
    <cfRule type="expression" dxfId="83" priority="50">
      <formula>#REF!="Sunday"</formula>
    </cfRule>
  </conditionalFormatting>
  <conditionalFormatting sqref="AT47:AU47 AZ47:BA47 BJ47:BM47 BP47:BR47 BV47:BY47 CB47:CE47 CH47:CK47 CN47:CQ47 CX47:CZ47 DD47:DE47 DJ47:DM47 FX47:GA47 N47:S47 X47:Z47 BF47:BG47 CT47:CU47">
    <cfRule type="expression" dxfId="82" priority="28">
      <formula>$N89="Sunday"</formula>
    </cfRule>
  </conditionalFormatting>
  <conditionalFormatting sqref="AX11:AY11">
    <cfRule type="expression" dxfId="81" priority="26">
      <formula>$N24="Sunday"</formula>
    </cfRule>
  </conditionalFormatting>
  <conditionalFormatting sqref="DA11:DA13 DF11:DG13 AX12:AY16 BD12:BE16 AR11:AS17 BH12:BI16 BN12:BO16 BT12:BU16 BZ12:CA16 CF12:CG16 CL12:CM16 CR12:CS16 CV12:CW14 DB12:DC14 DH12:DI14 DN12:DO14 DT12:DU14 DZ12:EA14 EF12:EG14 DH16:DI16 DB16:DC16 CV16:CW16">
    <cfRule type="expression" dxfId="80" priority="25">
      <formula>$N25="Sunday"</formula>
    </cfRule>
  </conditionalFormatting>
  <conditionalFormatting sqref="AR60:AS62 AL64:AM66 AX64:AY66 BD64:BE66 BH64:BI66 BN64:BO66 BT64:BU66 BZ64:CA66 CF64:CG66 CL64:CM66 CR64:CS66 CV64:CW66 DB64:DC66 DH64:DI66 DN64:DO66 DZ64:EA66 EF65:EG66 AR64:AS66 AB64:AC66 AF64:AG66 T46:U46 AT68:AW69 AZ68:BC69 BJ68:BM69 BP68:BS69 BV68:BY69 CB68:CE69 CH68:CK69 CN68:CQ69 CX68:DA69 DD68:DE69 DJ68:DM69 DP68:DS69 DV68:DY69 AH68:AK69 AN68:AQ69 EZ68:FM69 ET68:EU69 EH68:EQ69 EB68:EE69 FX68:GA69 N68:S69 V68:AA69 AD68:AE69 BF68:BG69 CT68:CU69">
    <cfRule type="expression" dxfId="79" priority="51">
      <formula>$N72="Sunday"</formula>
    </cfRule>
  </conditionalFormatting>
  <conditionalFormatting sqref="FT14:FU14">
    <cfRule type="expression" dxfId="78" priority="52">
      <formula>$N58="Sunday"</formula>
    </cfRule>
  </conditionalFormatting>
  <conditionalFormatting sqref="FR60:FU62 AT60:AW62 AZ60:BC62 BJ60:BM62 BP60:BS62 BV60:BY62 CB60:CE62 CH60:CK62 CN60:CQ62 CX60:DA62 DD60:DE62 DJ60:DM62 DP60:DS62 DV60:DY62 EB60:EC62 EH60:EK62 AH60:AK62 AN60:AQ62 EN60:EQ62 EZ60:FI62 ET60:EV62 FX60:GA62 FL60:FM62 FN58:FO67 N60:S62 V60:AA62 AD60:AE62 BF60:BG62 CT60:CU62">
    <cfRule type="expression" dxfId="77" priority="53">
      <formula>$N89="Sunday"</formula>
    </cfRule>
  </conditionalFormatting>
  <conditionalFormatting sqref="ER68:ES69">
    <cfRule type="expression" dxfId="76" priority="54">
      <formula>$N83="Sunday"</formula>
    </cfRule>
  </conditionalFormatting>
  <conditionalFormatting sqref="FR68:FU69">
    <cfRule type="expression" dxfId="75" priority="55">
      <formula>$N94="Sunday"</formula>
    </cfRule>
  </conditionalFormatting>
  <conditionalFormatting sqref="DD32:DE32 DJ32:DM32 AT32:AW32 AZ32:BC32 BJ32:BM32 BP32:BS32 BV32:BY32 CB32:CE32 CH32:CK32 CN32:CQ32 CX32:CZ32 DD11:DE11 DJ11:DM11 AT11:AW11 AZ11:BC11 BJ11:BM11 BP11:BS11 BV11:BY11 CB11:CE11 CH11:CK11 CN11:CQ11 CX11:CZ11 DP11:DS11 DV11:DY11 EB11:EE11 EH11:EK11 DD20:DE20 DJ20:DM20 AT20:AW20 AZ20:BC20 BJ20:BM20 BP20:BS20 BV20:BY20 CB20:CE20 CH20:CK20 CN20:CQ20 CX20:CZ20 T20:U20 EN11:EQ11 ET11:EW11 EZ11:FU11 FX32:GA32 FX11:GA11 FX20:GA20 BF32:BG32 BF11:BG11 BF20:BG20 CT32:CU32 CT11:CU11 CT20:CU20">
    <cfRule type="expression" dxfId="74" priority="56">
      <formula>#REF!="Sunday"</formula>
    </cfRule>
  </conditionalFormatting>
  <conditionalFormatting sqref="BD20:BE20 BH20:BI20 BN20:BO20 BT20:BU20 BZ20:CA20 CF20:CG20 CL20:CM20 CR20:CS20 CV20:CW20 DB20:DC20 DH20:DI20 AR20:AS20">
    <cfRule type="expression" dxfId="73" priority="57">
      <formula>#REF!="Sunday"</formula>
    </cfRule>
  </conditionalFormatting>
  <conditionalFormatting sqref="DA35 DF35:DG35">
    <cfRule type="expression" dxfId="72" priority="58">
      <formula>#REF!="Sunday"</formula>
    </cfRule>
  </conditionalFormatting>
  <conditionalFormatting sqref="DA25 DF25:DG25 DA34 DF34:DG34">
    <cfRule type="expression" dxfId="71" priority="59">
      <formula>#REF!="Sunday"</formula>
    </cfRule>
  </conditionalFormatting>
  <conditionalFormatting sqref="BD30:BE30 BH30:BI30 BN30:BO30 BT30:BU30 BZ30:CA30 CF30:CG30 CL30:CM30 CR30:CS30 CV30:CW30 DB30:DC30 DH30:DI30">
    <cfRule type="expression" dxfId="70" priority="60">
      <formula>#REF!="Sunday"</formula>
    </cfRule>
  </conditionalFormatting>
  <conditionalFormatting sqref="BD35:BE35 BH35:BI35 BN35:BO35 BT35:BU35 BZ35:CA35 CF35:CG35 CL35:CM35 CR35:CS35 CV35:CW35 DB35:DC35 DH35:DI35">
    <cfRule type="expression" dxfId="69" priority="61">
      <formula>#REF!="Sunday"</formula>
    </cfRule>
  </conditionalFormatting>
  <conditionalFormatting sqref="BS44">
    <cfRule type="expression" dxfId="68" priority="62">
      <formula>#REF!="Sunday"</formula>
    </cfRule>
  </conditionalFormatting>
  <conditionalFormatting sqref="FR48:FU49">
    <cfRule type="expression" dxfId="67" priority="24">
      <formula>$N89="Sunday"</formula>
    </cfRule>
  </conditionalFormatting>
  <conditionalFormatting sqref="AV46:AW47">
    <cfRule type="expression" dxfId="66" priority="23">
      <formula>$N87="Sunday"</formula>
    </cfRule>
  </conditionalFormatting>
  <conditionalFormatting sqref="AX17:AY18">
    <cfRule type="expression" dxfId="65" priority="22">
      <formula>#REF!="Sunday"</formula>
    </cfRule>
  </conditionalFormatting>
  <conditionalFormatting sqref="DF64:DG66 DT64:DU67 AZ54:BC55 BJ54:BM55 BP54:BR55 BV54:BY55 CB54:CE55 CH54:CK55 CN54:CQ55 CX54:CZ55 DD54:DE55 DJ54:DM55 DP54:DS55 DV54:DY55 EB54:EC55 EH54:EK55 AH54:AK55 AN54:AQ55 AE54:AE55 FR54:FU55 BD50:BE50 BH50:BI50 BN50:BO50 BT50:BU50 BZ50:CA50 CF50:CG50 CL50:CM50 CR50:CS50 CV50:CW50 DB50:DC50 DH50:DI50 DN50:DO50 DZ50:EA50 EF50:EG50 AF50:AG50 AL50:AM50 AT54:AW55 EN55:EQ55 ET55:EV55 EZ54:FI55 FX54:GA55 FL54:FM55 DA48:DA57 BD44:BE44 BH44:BI44 BN44:BO44 BT44:BU44 BZ44:CA44 CF44:CG44 CL44:CM44 CR44:CS44 CV44:CW44 DB44:DC44 DH44:DI44 DF40:DG41 DA40:DA41 AR44:AS44 DF45:DG47 AX44:AY44 AX50:AY50 N54:S55 Y54:Z55 BF54:BG55 CT54:CU55">
    <cfRule type="expression" dxfId="64" priority="21">
      <formula>$N77="Sunday"</formula>
    </cfRule>
  </conditionalFormatting>
  <conditionalFormatting sqref="BB45:BC45 AT44:AW44 AZ44:BC44 BJ44:BM44 BV44:BY44 CB44:CE44 CH44:CK44 CN44:CQ44 CX44:DA44 DD44:DG44 DJ44:DM44 BP44:BR44 BD46:BE46 BH46:BI46 BN46:BO46 BT46:BU46 BZ46:CA46 CF46:CG46 CL46:CM46 CR46:CS46 CV46:CW46 DB46:DC46 DH46:DI46 AR46:AS46 FX44:GA44 AV45:AW45 AT50:AW50 AZ50:BC50 BJ50:BM50 BP50:BR50 BV50:BY50 CB50:CE50 CH50:CK50 CN50:CQ50 CX50:CZ50 DD50:DE50 DJ50:DM50 DP50:DS50 DV50:DY50 EB50:EE50 EH50:EK50 AH50:AK50 AN50:AQ50 AE50 EN50:EQ50 ET50:EV50 EZ50:FI50 FX50:GA50 FL50:FM50 N50:S50 Y50:Z50 BF44:BG44 BF50:BG50 CT44:CU44 CT50:CU50">
    <cfRule type="expression" dxfId="63" priority="20">
      <formula>$N84="Sunday"</formula>
    </cfRule>
  </conditionalFormatting>
  <conditionalFormatting sqref="BB46:BC47">
    <cfRule type="expression" dxfId="62" priority="19">
      <formula>$N87="Sunday"</formula>
    </cfRule>
  </conditionalFormatting>
  <conditionalFormatting sqref="BD17:BE18">
    <cfRule type="expression" dxfId="61" priority="18">
      <formula>#REF!="Sunday"</formula>
    </cfRule>
  </conditionalFormatting>
  <conditionalFormatting sqref="DF21:DG21 DA21">
    <cfRule type="expression" dxfId="60" priority="63">
      <formula>#REF!="Sunday"</formula>
    </cfRule>
  </conditionalFormatting>
  <conditionalFormatting sqref="DF24:DG24 DA24">
    <cfRule type="expression" dxfId="59" priority="64">
      <formula>$N32="Sunday"</formula>
    </cfRule>
  </conditionalFormatting>
  <conditionalFormatting sqref="AX46:AY46">
    <cfRule type="expression" dxfId="58" priority="65">
      <formula>$N86="Sunday"</formula>
    </cfRule>
  </conditionalFormatting>
  <conditionalFormatting sqref="DF63:DG63 DT68:DU69 DA58:DA59 AZ43:BC43 BJ43:BM43 BP43:BR43 CB43:CE43 CH43:CK43 CN43:CQ43 CX43:DA43 BV43:BY43 DD43:DG43 DJ43:DM43 AR45:AS45 AX45:AY45 BD45:BE45 BH45:BI45 BN45:BO45 BT45:BU45 BZ45:CA45 CF45:CG45 CL45:CM45 CR45:CS45 CV45:CW45 DB45:DC45 DH45:DI45 FX43:GA43 AT43:AW43 DF48:DG57 AZ53:BC53 BJ53:BM53 BP53:BR53 BV53:BY53 CB53:CE53 CH53:CK53 CN53:CQ53 CX53:CZ53 DD53:DE53 DJ53:DM53 DP53:DS53 DV53:DY53 EB53:EC53 EH53:EK53 AH53:AK53 AN53:AQ53 AE53 FR53:FU53 AL48:AM49 AR48:AS49 AX48:AY49 BD48:BE49 BH48:BI49 BN48:BO49 BT48:BU49 BZ48:CA49 CF48:CG49 CL48:CM49 CR48:CS49 CV48:CW49 DB48:DC49 DH48:DI49 DN48:DO49 DZ48:EA49 EF48:EG49 AF48:AG49 EZ53:FI53 FX53:GA53 FL53:FM53 N53:S53 Y53:Z53 BF43:BG43 BF53:BG53 CT43:CU43 CT53:CU53">
    <cfRule type="expression" dxfId="57" priority="66">
      <formula>$N81="Sunday"</formula>
    </cfRule>
  </conditionalFormatting>
  <conditionalFormatting sqref="AR68:AS69 T53:U53">
    <cfRule type="expression" dxfId="56" priority="67">
      <formula>$N74="Sunday"</formula>
    </cfRule>
  </conditionalFormatting>
  <conditionalFormatting sqref="AX67:AY67 BD67:BE67 BH67:BI67 BN67:BO67 BT67:BU67 BZ67:CA67 CF67:CG67 CL67:CM67 CR67:CS67 CV67:CW67 DB67:DC67 DH67:DI67 DN67:DO67 DZ67:EA67 EF67:EG67 AR67:AS67 AB67:AC67 AF67:AG67 AR63:AS63 T47:U47 AL67:AM67">
    <cfRule type="expression" dxfId="55" priority="68">
      <formula>$N72="Sunday"</formula>
    </cfRule>
  </conditionalFormatting>
  <conditionalFormatting sqref="FR50:FU50">
    <cfRule type="expression" dxfId="54" priority="69">
      <formula>$N90="Sunday"</formula>
    </cfRule>
  </conditionalFormatting>
  <conditionalFormatting sqref="BH17:BI18">
    <cfRule type="expression" dxfId="53" priority="17">
      <formula>#REF!="Sunday"</formula>
    </cfRule>
  </conditionalFormatting>
  <conditionalFormatting sqref="BH42:BI42">
    <cfRule type="expression" dxfId="52" priority="16">
      <formula>$N80="Sunday"</formula>
    </cfRule>
  </conditionalFormatting>
  <conditionalFormatting sqref="AR33:AS33">
    <cfRule type="expression" dxfId="51" priority="70">
      <formula>#REF!="Sunday"</formula>
    </cfRule>
  </conditionalFormatting>
  <conditionalFormatting sqref="BH34:BI34 BN34:BO34 BT34:BU34 BZ34:CA34 CF34:CG34 CL34:CM34 CR34:CS34 CV34:CW34 DB34:DC34 DH34:DI34 BD34:BE34">
    <cfRule type="expression" dxfId="50" priority="71">
      <formula>#REF!="Sunday"</formula>
    </cfRule>
  </conditionalFormatting>
  <conditionalFormatting sqref="AX32:AY32">
    <cfRule type="expression" dxfId="49" priority="72">
      <formula>#REF!="Sunday"</formula>
    </cfRule>
  </conditionalFormatting>
  <conditionalFormatting sqref="AR50:AS50">
    <cfRule type="expression" dxfId="48" priority="73">
      <formula>$N87="Sunday"</formula>
    </cfRule>
  </conditionalFormatting>
  <conditionalFormatting sqref="AT53:AW53">
    <cfRule type="expression" dxfId="47" priority="74">
      <formula>$N91="Sunday"</formula>
    </cfRule>
  </conditionalFormatting>
  <conditionalFormatting sqref="BS45:BS52">
    <cfRule type="expression" dxfId="46" priority="15">
      <formula>#REF!="Sunday"</formula>
    </cfRule>
  </conditionalFormatting>
  <conditionalFormatting sqref="BS53:BS56">
    <cfRule type="expression" dxfId="45" priority="14">
      <formula>#REF!="Sunday"</formula>
    </cfRule>
  </conditionalFormatting>
  <conditionalFormatting sqref="FN48:FO49 T48:U49 AR64:AS66">
    <cfRule type="expression" dxfId="44" priority="75">
      <formula>$N72="Sunday"</formula>
    </cfRule>
  </conditionalFormatting>
  <conditionalFormatting sqref="AZ58:BC59 ED58:EE66 BJ57:BM59 BP57:BS59 BV57:BY59 CB57:CE59 CH57:CK59 CN57:CQ59 CX57:CZ59 DD57:DE59 DJ57:DM59 DP57:DS59 DV57:DY59 EB57:EC59 EH57:EK59 AH57:AK59 AN57:AQ59 AE57 AR53:AS53 AR56:AS56 AX56:AY56 BD56:BE56 BH56:BI56 BN56:BO56 BT56:BU56 BZ56:CA56 CF56:CG56 CL56:CM56 CR56:CS56 CV56:CW56 DB56:DC56 DH56:DI56 DN56:DO56 AF56:AG56 AL56:AM56 FR57:FU59 AT57:AW59 EN57:EQ59 ET57:EV59 EZ57:FI59 FX57:GA59 FL57:FM59 AR43:AS44 AR39:AS41 N57:S59 Y57:Z57 V58:AA59 AD58:AE59 BF57:BG59 CT57:CU59">
    <cfRule type="expression" dxfId="43" priority="76">
      <formula>$N72="Sunday"</formula>
    </cfRule>
  </conditionalFormatting>
  <conditionalFormatting sqref="T51:U52">
    <cfRule type="expression" dxfId="42" priority="77">
      <formula>$N73="Sunday"</formula>
    </cfRule>
  </conditionalFormatting>
  <conditionalFormatting sqref="T54:U55">
    <cfRule type="expression" dxfId="41" priority="78">
      <formula>$N74="Sunday"</formula>
    </cfRule>
  </conditionalFormatting>
  <conditionalFormatting sqref="AX68:AY69 BD68:BE69 BH68:BI69 BN68:BO69 BT68:BU69 BZ68:CA69 CF68:CG69 CL68:CM69 CR68:CS69 CV68:CW69 DB68:DC69 DH68:DI69 DN68:DO69 DZ68:EA69 EF68:EG69 AB68:AC69 AF68:AG69 AR68:AS69 AL68:AM69 T50:U50">
    <cfRule type="expression" dxfId="40" priority="79">
      <formula>$N73="Sunday"</formula>
    </cfRule>
  </conditionalFormatting>
  <conditionalFormatting sqref="AX54:AY55">
    <cfRule type="expression" dxfId="39" priority="80">
      <formula>$N88="Sunday"</formula>
    </cfRule>
  </conditionalFormatting>
  <conditionalFormatting sqref="AZ57:BC57">
    <cfRule type="expression" dxfId="38" priority="81">
      <formula>$N90="Sunday"</formula>
    </cfRule>
  </conditionalFormatting>
  <conditionalFormatting sqref="T56:U56">
    <cfRule type="expression" dxfId="37" priority="82">
      <formula>$N75="Sunday"</formula>
    </cfRule>
  </conditionalFormatting>
  <conditionalFormatting sqref="AL51:AM52 AX51:AY52 BD51:BE52 BH51:BI52 BN51:BO52 BT51:BU52 BZ51:CA52 CF51:CG52 CL51:CM52 CR51:CS52 CV51:CW52 DB51:DC52 DH51:DI52 DN51:DO52 DZ51:EA52 EF51:EG52 AF51:AG52 AT56:AW56 AZ56:BC56 BJ56:BM56 BP56:BR56 BV56:BY56 CB56:CE56 CH56:CK56 CN56:CQ56 CX56:CZ56 DD56:DE56 DJ56:DM56 DP56:DS56 DV56:DY56 EB56:EC56 EH56:EK56 AH56:AK56 AN56:AQ56 AE56 FR56:FU56 EN56:EQ56 ET56:EV56 EZ56:FI56 FX56:GA56 FL56:FM56 AR48:AS49 CL43:CM43 CR43:CS43 CV43:CW43 DB43:DC43 DH43:DI43 AX43:AY43 BD43:BE43 BH43:BI43 BT43:BU43 BZ43:CA43 BN43:BO43 DA45:DA47 CF43:CG43 AR51:AS52 N56:S56 Y56:Z56 BF56:BG56 CT56:CU56">
    <cfRule type="expression" dxfId="36" priority="84">
      <formula>$N79="Sunday"</formula>
    </cfRule>
  </conditionalFormatting>
  <conditionalFormatting sqref="AR56:AS56">
    <cfRule type="expression" dxfId="35" priority="85">
      <formula>$N87="Sunday"</formula>
    </cfRule>
  </conditionalFormatting>
  <conditionalFormatting sqref="BD63:BE63 BH63:BI63 BN63:BO63 BT63:BU63 BZ63:CA63 CF63:CG63 CL63:CM63 CR63:CS63 CV63:CW63 DB63:DC63 DH63:DI63 DN63:DO63 AR63:AS63 AB63:AC63 AF63:AG63 AL63:AM63 AX63:AY63">
    <cfRule type="expression" dxfId="34" priority="86">
      <formula>$N90="Sunday"</formula>
    </cfRule>
  </conditionalFormatting>
  <conditionalFormatting sqref="EV68:EW69">
    <cfRule type="expression" dxfId="33" priority="87">
      <formula>$N99="Sunday"</formula>
    </cfRule>
  </conditionalFormatting>
  <conditionalFormatting sqref="T60:U62">
    <cfRule type="expression" dxfId="32" priority="88">
      <formula>$N74="Sunday"</formula>
    </cfRule>
  </conditionalFormatting>
  <conditionalFormatting sqref="FR63:FU63 AT63:AW63 AZ63:BC63 BJ63:BM63 BP63:BS63 BV63:BY63 CB63:CE63 CH63:CK63 CN63:CQ63 CX63:DA63 DD63:DE63 DJ63:DM63 DP63:DS63 DV63:DY63 EB63:EC63 EH63:EK63 AH63:AK63 AN63:AQ63 EN63:EQ63 EZ63:FI63 ET63:EV63 FX63:GA63 FL63:FM63 BH57:BI59 BN57:BO59 BT57:BU59 BZ57:CA59 CF57:CG59 CL57:CM59 CR57:CS59 CV57:CW59 DB57:DC59 DH57:DI59 DN57:DO59 AB58:AC59 AF57:AG59 AL57:AM59 AR57:AS59 AX57:AY59 BD57:BE59 FN50:FO57 N63:S63 V63:AA63 AD63:AE63 BF63:BG63 CT63:CU63">
    <cfRule type="expression" dxfId="31" priority="89">
      <formula>$N80="Sunday"</formula>
    </cfRule>
  </conditionalFormatting>
  <conditionalFormatting sqref="AF60:AG62 FR67:FU67 AT67:AW67 AZ67:BC67 BJ67:BM67 BP67:BS67 BV67:BY67 CB67:CE67 CH67:CK67 CN67:CQ67 CX67:DA67 DD67:DE67 DJ67:DM67 DP67:DS67 DV67:DY67 AH67:AK67 AN67:AQ67 EB67:EC67 EH67:EK67 EN67:EQ67 EZ67:FM67 AL60:AM62 AX60:AY62 BD60:BE62 BH60:BI62 BN60:BO62 BT60:BU62 BZ60:CA62 CF60:CG62 CL60:CM62 CR60:CS62 CV60:CW62 DB60:DC62 DH60:DI62 DN60:DO62 AB60:AC62 ET67:EV67 FX67:GA67 EW48:EW52 AR57:AS62 EW55:EW57 N67:S67 V67:AA67 AD67:AE67 BF67:BG67 CT67:CU67">
    <cfRule type="expression" dxfId="30" priority="90">
      <formula>$N76="Sunday"</formula>
    </cfRule>
  </conditionalFormatting>
  <conditionalFormatting sqref="DF67:DG67">
    <cfRule type="expression" dxfId="29" priority="91">
      <formula>$N103="Sunday"</formula>
    </cfRule>
  </conditionalFormatting>
  <conditionalFormatting sqref="T64:U66">
    <cfRule type="expression" dxfId="28" priority="92">
      <formula>$N76="Sunday"</formula>
    </cfRule>
  </conditionalFormatting>
  <conditionalFormatting sqref="AR67:AS67">
    <cfRule type="expression" dxfId="27" priority="93">
      <formula>$N90="Sunday"</formula>
    </cfRule>
  </conditionalFormatting>
  <conditionalFormatting sqref="T67:U67">
    <cfRule type="expression" dxfId="26" priority="94">
      <formula>$N78="Sunday"</formula>
    </cfRule>
  </conditionalFormatting>
  <conditionalFormatting sqref="EL64:EM66">
    <cfRule type="expression" dxfId="25" priority="95">
      <formula>$N82="Sunday"</formula>
    </cfRule>
  </conditionalFormatting>
  <conditionalFormatting sqref="GB11:GC55">
    <cfRule type="expression" dxfId="24" priority="13">
      <formula>#REF!="Sunday"</formula>
    </cfRule>
  </conditionalFormatting>
  <conditionalFormatting sqref="FV11:FW14">
    <cfRule type="expression" dxfId="23" priority="12">
      <formula>$N23="Sunday"</formula>
    </cfRule>
  </conditionalFormatting>
  <conditionalFormatting sqref="AL53:AM53 AR53:AS53 AX53:AY53 BD53:BE53 BH53:BI53 BN53:BO53 BT53:BU53 BZ53:CA53 CF53:CG53 CL53:CM53 CR53:CS53 CV53:CW53 DB53:DC53 DH53:DI53 DN53:DO53 AF53:AG53 CB40:CE41 CH40:CK41 CN40:CQ41 CX40:CZ41 DF39:DG39 AR39:AS41 BH37:BI41 BN37:BO41 BT37:BU41 BZ37:CA41 CF37:CG41 CL37:CM41 CR37:CS41 CV37:CW41 DB37:DC41 DH37:DI41 BV40:BY41 DJ40:DM41 DA39 BD37:BE42 AT40:AW42 DD40:DE41 AZ40:BC42 AR46:AS47 BJ40:BM42 AX42:AY42 FX40:GA42 BP40:BR41 AR50:AS50 BF40:BG42 BN42:DM42 CT40:CU41">
    <cfRule type="expression" dxfId="22" priority="11">
      <formula>$N72="Sunday"</formula>
    </cfRule>
  </conditionalFormatting>
  <conditionalFormatting sqref="BN17:DN19">
    <cfRule type="expression" dxfId="21" priority="9">
      <formula>#REF!="Sunday"</formula>
    </cfRule>
  </conditionalFormatting>
  <conditionalFormatting sqref="AX35:AY35">
    <cfRule type="expression" dxfId="20" priority="96">
      <formula>#REF!="Sunday"</formula>
    </cfRule>
  </conditionalFormatting>
  <conditionalFormatting sqref="AR36:AS36">
    <cfRule type="expression" dxfId="19" priority="97">
      <formula>#REF!="Sunday"</formula>
    </cfRule>
  </conditionalFormatting>
  <conditionalFormatting sqref="DN47:FW47 DT57:DU57 FP57:FQ57 FJ57:FK57 FV57:FW57 DZ57:EA57 EF57:EG57 EX57:EY57 FP67:FQ67 EX67:EY67 DT67:DU67">
    <cfRule type="expression" dxfId="18" priority="98">
      <formula>#REF!="Sunday"</formula>
    </cfRule>
  </conditionalFormatting>
  <conditionalFormatting sqref="FT11:FU12">
    <cfRule type="expression" dxfId="17" priority="99">
      <formula>$N56="Sunday"</formula>
    </cfRule>
  </conditionalFormatting>
  <conditionalFormatting sqref="FT13:FU13">
    <cfRule type="expression" dxfId="16" priority="100">
      <formula>#REF!="Sunday"</formula>
    </cfRule>
  </conditionalFormatting>
  <conditionalFormatting sqref="AX37:AY37">
    <cfRule type="expression" dxfId="15" priority="101">
      <formula>#REF!="Sunday"</formula>
    </cfRule>
  </conditionalFormatting>
  <conditionalFormatting sqref="AR38:AS38">
    <cfRule type="expression" dxfId="14" priority="102">
      <formula>#REF!="Sunday"</formula>
    </cfRule>
  </conditionalFormatting>
  <conditionalFormatting sqref="T57:U59">
    <cfRule type="expression" dxfId="13" priority="103">
      <formula>$N73="Sunday"</formula>
    </cfRule>
  </conditionalFormatting>
  <conditionalFormatting sqref="BP46:BR46 AT46:AU46 AZ46:BA46 BJ46:BM46 BV46:BY46 CB46:CE46 CH46:CK46 CN46:CQ46 CX46:CZ46 DD46:DE46 DJ46:DM46 FX46:GA46 X46:Y46 N46:S46 BF46:BG46 CT46:CU46">
    <cfRule type="expression" dxfId="12" priority="104">
      <formula>$N89="Sunday"</formula>
    </cfRule>
  </conditionalFormatting>
  <conditionalFormatting sqref="FN68:FO69 ED51:EE57 AR54:AS55 ED67:EE67">
    <cfRule type="expression" dxfId="11" priority="105">
      <formula>$N83="Sunday"</formula>
    </cfRule>
  </conditionalFormatting>
  <conditionalFormatting sqref="AT64:AW66 AZ64:BC66 BJ64:BM66 BP64:BS66 BV64:BY66 CB64:CE66 CH64:CK66 CN64:CQ66 CX64:DA66 DD64:DE66 DJ64:DM66 DP64:DS66 DV64:DY66 AH64:AK66 AN64:AQ66 EB64:EC66 EH64:EK66 EN64:EQ66 EZ65:FM66 ET64:EV66 FX64:GA66 EZ64:FI64 FL64:FM64 EW58:EW67 FR64:FU66 N64:S66 V64:AA66 AD64:AE66 BF64:BG66 CT64:CU66">
    <cfRule type="expression" dxfId="10" priority="106">
      <formula>$N87="Sunday"</formula>
    </cfRule>
  </conditionalFormatting>
  <conditionalFormatting sqref="GB56:GC69">
    <cfRule type="expression" dxfId="9" priority="4">
      <formula>#REF!="Sunday"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1"/>
  <sheetViews>
    <sheetView zoomScaleNormal="100" workbookViewId="0">
      <pane xSplit="4" ySplit="11" topLeftCell="E12" activePane="bottomRight" state="frozen"/>
      <selection pane="topRight" activeCell="F1" sqref="F1"/>
      <selection pane="bottomLeft" activeCell="A12" sqref="A12"/>
      <selection pane="bottomRight" activeCell="J17" sqref="J17"/>
    </sheetView>
  </sheetViews>
  <sheetFormatPr defaultColWidth="4.85546875" defaultRowHeight="12.75" outlineLevelCol="1"/>
  <cols>
    <col min="1" max="1" width="4.7109375" style="669" customWidth="1"/>
    <col min="2" max="2" width="11.7109375" style="669" customWidth="1"/>
    <col min="3" max="3" width="20.140625" style="677" customWidth="1"/>
    <col min="4" max="4" width="10.5703125" style="677" customWidth="1"/>
    <col min="5" max="5" width="16.42578125" style="677" customWidth="1" outlineLevel="1"/>
    <col min="6" max="6" width="11.5703125" style="677" customWidth="1" outlineLevel="1"/>
    <col min="7" max="7" width="19.42578125" style="677" customWidth="1" outlineLevel="1"/>
    <col min="8" max="8" width="10.140625" style="677" customWidth="1" outlineLevel="1"/>
    <col min="9" max="9" width="12.7109375" style="669" customWidth="1"/>
    <col min="10" max="10" width="15" style="669" customWidth="1"/>
    <col min="11" max="11" width="17" style="669" customWidth="1"/>
    <col min="12" max="16384" width="4.85546875" style="669"/>
  </cols>
  <sheetData>
    <row r="1" spans="1:11" ht="12.75" customHeight="1">
      <c r="A1" s="662"/>
      <c r="B1" s="663"/>
      <c r="C1" s="663"/>
      <c r="D1" s="664"/>
      <c r="E1" s="665"/>
      <c r="F1" s="665"/>
      <c r="G1" s="666"/>
      <c r="H1" s="667"/>
    </row>
    <row r="2" spans="1:11" ht="12.75" customHeight="1">
      <c r="A2" s="932" t="s">
        <v>960</v>
      </c>
      <c r="B2" s="932"/>
      <c r="C2" s="932"/>
      <c r="D2" s="932"/>
      <c r="E2" s="932"/>
      <c r="F2" s="672"/>
      <c r="G2" s="666"/>
      <c r="H2" s="673"/>
    </row>
    <row r="3" spans="1:11" ht="12.75" customHeight="1">
      <c r="A3" s="932"/>
      <c r="B3" s="932"/>
      <c r="C3" s="932"/>
      <c r="D3" s="932"/>
      <c r="E3" s="932"/>
      <c r="F3" s="672"/>
      <c r="G3" s="666"/>
      <c r="H3" s="673"/>
    </row>
    <row r="4" spans="1:11" ht="12.75" customHeight="1">
      <c r="A4" s="932"/>
      <c r="B4" s="932"/>
      <c r="C4" s="932"/>
      <c r="D4" s="932"/>
      <c r="E4" s="932"/>
      <c r="F4" s="672"/>
      <c r="G4" s="785"/>
      <c r="H4" s="672"/>
    </row>
    <row r="5" spans="1:11" ht="12.75" customHeight="1">
      <c r="A5" s="670"/>
      <c r="B5" s="670"/>
      <c r="C5" s="670"/>
      <c r="D5" s="671"/>
      <c r="E5" s="672"/>
      <c r="F5" s="672"/>
      <c r="G5" s="672"/>
      <c r="H5" s="672"/>
    </row>
    <row r="6" spans="1:11" ht="12.75" customHeight="1">
      <c r="A6" s="670"/>
      <c r="B6" s="670"/>
      <c r="C6" s="670"/>
      <c r="D6" s="671"/>
      <c r="E6" s="672"/>
      <c r="F6" s="672"/>
      <c r="G6" s="672"/>
      <c r="H6" s="672"/>
    </row>
    <row r="7" spans="1:11" s="671" customFormat="1" ht="12.75" customHeight="1"/>
    <row r="8" spans="1:11" s="681" customFormat="1" ht="30" customHeight="1">
      <c r="A8" s="933" t="s">
        <v>18</v>
      </c>
      <c r="B8" s="935" t="s">
        <v>236</v>
      </c>
      <c r="C8" s="935" t="s">
        <v>237</v>
      </c>
      <c r="D8" s="935" t="s">
        <v>942</v>
      </c>
      <c r="E8" s="678" t="s">
        <v>944</v>
      </c>
      <c r="F8" s="678"/>
      <c r="G8" s="678"/>
      <c r="H8" s="679"/>
      <c r="I8" s="939" t="s">
        <v>961</v>
      </c>
      <c r="J8" s="937" t="s">
        <v>568</v>
      </c>
    </row>
    <row r="9" spans="1:11" s="685" customFormat="1" ht="25.5" customHeight="1">
      <c r="A9" s="934"/>
      <c r="B9" s="936"/>
      <c r="C9" s="936"/>
      <c r="D9" s="936"/>
      <c r="E9" s="938" t="s">
        <v>679</v>
      </c>
      <c r="F9" s="938" t="s">
        <v>4</v>
      </c>
      <c r="G9" s="938" t="s">
        <v>245</v>
      </c>
      <c r="H9" s="938" t="s">
        <v>962</v>
      </c>
      <c r="I9" s="939"/>
      <c r="J9" s="937"/>
    </row>
    <row r="10" spans="1:11" s="685" customFormat="1" ht="23.25" customHeight="1">
      <c r="A10" s="934"/>
      <c r="B10" s="936"/>
      <c r="C10" s="936"/>
      <c r="D10" s="936"/>
      <c r="E10" s="938"/>
      <c r="F10" s="938"/>
      <c r="G10" s="938"/>
      <c r="H10" s="938"/>
      <c r="I10" s="939"/>
      <c r="J10" s="937"/>
    </row>
    <row r="11" spans="1:11" s="694" customFormat="1" ht="18.75" customHeight="1">
      <c r="A11" s="690">
        <v>0</v>
      </c>
      <c r="B11" s="691">
        <v>1</v>
      </c>
      <c r="C11" s="690">
        <v>2</v>
      </c>
      <c r="D11" s="691">
        <v>3</v>
      </c>
      <c r="E11" s="690">
        <v>6</v>
      </c>
      <c r="F11" s="691">
        <v>7</v>
      </c>
      <c r="G11" s="690">
        <v>8</v>
      </c>
      <c r="H11" s="691">
        <v>9</v>
      </c>
    </row>
    <row r="12" spans="1:11" s="677" customFormat="1" ht="15.6" customHeight="1">
      <c r="A12" s="695">
        <v>1</v>
      </c>
      <c r="B12" s="786" t="s">
        <v>390</v>
      </c>
      <c r="C12" s="787" t="s">
        <v>95</v>
      </c>
      <c r="D12" s="787" t="s">
        <v>127</v>
      </c>
      <c r="E12" s="788">
        <v>186035053</v>
      </c>
      <c r="F12" s="788" t="s">
        <v>963</v>
      </c>
      <c r="G12" s="788" t="s">
        <v>135</v>
      </c>
      <c r="H12" s="698">
        <v>1</v>
      </c>
      <c r="I12" s="789">
        <v>150000</v>
      </c>
      <c r="J12" s="789">
        <f>H12*I12</f>
        <v>150000</v>
      </c>
    </row>
    <row r="13" spans="1:11" s="677" customFormat="1" ht="15.6" customHeight="1">
      <c r="A13" s="695">
        <v>2</v>
      </c>
      <c r="B13" s="120" t="s">
        <v>834</v>
      </c>
      <c r="C13" s="787" t="s">
        <v>836</v>
      </c>
      <c r="D13" s="787" t="s">
        <v>123</v>
      </c>
      <c r="E13" s="120" t="s">
        <v>835</v>
      </c>
      <c r="F13" s="120" t="s">
        <v>560</v>
      </c>
      <c r="G13" s="120" t="s">
        <v>131</v>
      </c>
      <c r="H13" s="698">
        <v>1</v>
      </c>
      <c r="I13" s="789">
        <v>150000</v>
      </c>
      <c r="J13" s="789">
        <f>H13*I13</f>
        <v>150000</v>
      </c>
    </row>
    <row r="14" spans="1:11" s="694" customFormat="1" ht="15.6" customHeight="1">
      <c r="A14" s="695">
        <v>3</v>
      </c>
      <c r="B14" s="120" t="s">
        <v>847</v>
      </c>
      <c r="C14" s="787" t="s">
        <v>850</v>
      </c>
      <c r="D14" s="787" t="s">
        <v>127</v>
      </c>
      <c r="E14" s="139" t="s">
        <v>848</v>
      </c>
      <c r="F14" s="120" t="s">
        <v>849</v>
      </c>
      <c r="G14" s="120" t="s">
        <v>140</v>
      </c>
      <c r="H14" s="698">
        <v>2</v>
      </c>
      <c r="I14" s="789">
        <v>150000</v>
      </c>
      <c r="J14" s="789">
        <f>H14*I14</f>
        <v>300000</v>
      </c>
      <c r="K14" s="694" t="s">
        <v>1019</v>
      </c>
    </row>
    <row r="15" spans="1:11" s="694" customFormat="1" ht="15.6" customHeight="1">
      <c r="A15" s="695">
        <v>4</v>
      </c>
      <c r="B15" s="120" t="s">
        <v>964</v>
      </c>
      <c r="C15" s="787" t="s">
        <v>121</v>
      </c>
      <c r="D15" s="787" t="s">
        <v>126</v>
      </c>
      <c r="E15" s="790" t="s">
        <v>170</v>
      </c>
      <c r="F15" s="791">
        <v>41768</v>
      </c>
      <c r="G15" s="120" t="s">
        <v>131</v>
      </c>
      <c r="H15" s="698">
        <v>2</v>
      </c>
      <c r="I15" s="789">
        <v>150000</v>
      </c>
      <c r="J15" s="789">
        <f>H15*I15</f>
        <v>300000</v>
      </c>
      <c r="K15" s="694" t="s">
        <v>965</v>
      </c>
    </row>
    <row r="16" spans="1:11" s="664" customFormat="1" ht="21.95" customHeight="1">
      <c r="A16" s="671"/>
      <c r="B16" s="670"/>
      <c r="C16" s="663" t="s">
        <v>959</v>
      </c>
      <c r="D16" s="780"/>
      <c r="E16" s="782"/>
      <c r="F16" s="782"/>
      <c r="G16" s="782"/>
      <c r="H16" s="782"/>
    </row>
    <row r="17" spans="1:8" s="763" customFormat="1" ht="21.95" customHeight="1">
      <c r="A17" s="669"/>
      <c r="B17" s="669"/>
      <c r="C17" s="677"/>
      <c r="D17" s="677"/>
      <c r="E17" s="677"/>
      <c r="F17" s="677"/>
      <c r="G17" s="677"/>
      <c r="H17" s="677" t="s">
        <v>959</v>
      </c>
    </row>
    <row r="18" spans="1:8" ht="21.95" customHeight="1"/>
    <row r="19" spans="1:8" ht="21.95" customHeight="1"/>
    <row r="20" spans="1:8" ht="21.95" customHeight="1"/>
    <row r="21" spans="1:8" ht="21.95" customHeight="1"/>
    <row r="22" spans="1:8" ht="21.95" customHeight="1"/>
    <row r="23" spans="1:8" ht="21.95" customHeight="1"/>
    <row r="24" spans="1:8" ht="21.95" customHeight="1"/>
    <row r="25" spans="1:8" ht="21.95" customHeight="1"/>
    <row r="26" spans="1:8" ht="21.95" customHeight="1"/>
    <row r="27" spans="1:8" ht="21.95" customHeight="1"/>
    <row r="28" spans="1:8" ht="21.95" customHeight="1"/>
    <row r="29" spans="1:8" ht="21.95" customHeight="1"/>
    <row r="30" spans="1:8" ht="21.95" customHeight="1"/>
    <row r="31" spans="1:8" ht="21.95" customHeight="1"/>
    <row r="32" spans="1:8" ht="21.95" customHeight="1"/>
    <row r="33" ht="21.95" customHeight="1"/>
    <row r="34" ht="21.95" customHeight="1"/>
    <row r="35" ht="21.95" customHeight="1"/>
    <row r="36" ht="21.95" customHeight="1"/>
    <row r="37" ht="21.95" customHeight="1"/>
    <row r="38" ht="21.95" customHeight="1"/>
    <row r="39" ht="21.95" customHeight="1"/>
    <row r="40" ht="21.95" customHeight="1"/>
    <row r="41" ht="21.95" customHeight="1"/>
    <row r="42" ht="21.95" customHeight="1"/>
    <row r="43" ht="21.95" customHeight="1"/>
    <row r="44" ht="21.95" customHeight="1"/>
    <row r="45" ht="21.95" customHeight="1"/>
    <row r="46" ht="21.95" customHeight="1"/>
    <row r="47" ht="21.95" customHeight="1"/>
    <row r="48" ht="21.95" customHeight="1"/>
    <row r="49" ht="21.95" customHeight="1"/>
    <row r="50" ht="21.95" customHeight="1"/>
    <row r="51" ht="21.95" customHeight="1"/>
    <row r="52" ht="21.95" customHeight="1"/>
    <row r="53" ht="21.95" customHeight="1"/>
    <row r="54" ht="21.95" customHeight="1"/>
    <row r="55" ht="21.95" customHeight="1"/>
    <row r="56" ht="21.95" customHeight="1"/>
    <row r="57" ht="21.95" customHeight="1"/>
    <row r="58" ht="21.95" customHeight="1"/>
    <row r="59" ht="21.95" customHeight="1"/>
    <row r="60" ht="21.95" customHeight="1"/>
    <row r="61" ht="21.95" customHeight="1"/>
    <row r="62" ht="21.95" customHeight="1"/>
    <row r="63" ht="21.95" customHeight="1"/>
    <row r="64" ht="21.95" customHeight="1"/>
    <row r="65" ht="21.95" customHeight="1"/>
    <row r="66" ht="21.95" customHeight="1"/>
    <row r="67" ht="21.95" customHeight="1"/>
    <row r="68" ht="21.95" customHeight="1"/>
    <row r="69" ht="21.95" customHeight="1"/>
    <row r="70" ht="21.95" customHeight="1"/>
    <row r="71" ht="21.95" customHeight="1"/>
    <row r="72" ht="21.95" customHeight="1"/>
    <row r="73" ht="21.95" customHeight="1"/>
    <row r="74" ht="21.95" customHeight="1"/>
    <row r="75" ht="21.95" customHeight="1"/>
    <row r="76" ht="21.95" customHeight="1"/>
    <row r="77" ht="21.95" customHeight="1"/>
    <row r="78" ht="21.95" customHeight="1"/>
    <row r="79" ht="21.95" customHeight="1"/>
    <row r="80" ht="21.95" customHeight="1"/>
    <row r="81" ht="21.95" customHeight="1"/>
    <row r="82" ht="21.95" customHeight="1"/>
    <row r="83" ht="21.95" customHeight="1"/>
    <row r="84" ht="21.95" customHeight="1"/>
    <row r="85" ht="21.95" customHeight="1"/>
    <row r="86" ht="21.95" customHeight="1"/>
    <row r="87" ht="21.95" customHeight="1"/>
    <row r="88" ht="21.95" customHeight="1"/>
    <row r="89" ht="21.95" customHeight="1"/>
    <row r="90" ht="21.95" customHeight="1"/>
    <row r="91" ht="21.95" customHeight="1"/>
    <row r="92" ht="21.95" customHeight="1"/>
    <row r="93" ht="21.95" customHeight="1"/>
    <row r="94" ht="21.95" customHeight="1"/>
    <row r="95" ht="21.95" customHeight="1"/>
    <row r="96" ht="21.95" customHeight="1"/>
    <row r="97" ht="21.95" customHeight="1"/>
    <row r="98" ht="21.95" customHeight="1"/>
    <row r="99" ht="21.95" customHeight="1"/>
    <row r="100" ht="21.95" customHeight="1"/>
    <row r="101" ht="21.95" customHeight="1"/>
    <row r="102" ht="21.95" customHeight="1"/>
    <row r="103" ht="21.95" customHeight="1"/>
    <row r="104" ht="21.95" customHeight="1"/>
    <row r="105" ht="21.95" customHeight="1"/>
    <row r="106" ht="21.95" customHeight="1"/>
    <row r="107" ht="21.95" customHeight="1"/>
    <row r="108" ht="21.95" customHeight="1"/>
    <row r="109" ht="21.95" customHeight="1"/>
    <row r="110" ht="21.95" customHeight="1"/>
    <row r="111" ht="21.95" customHeight="1"/>
    <row r="112" ht="21.95" customHeight="1"/>
    <row r="113" ht="21.95" customHeight="1"/>
    <row r="114" ht="21.95" customHeight="1"/>
    <row r="115" ht="21.95" customHeight="1"/>
    <row r="116" ht="21.95" customHeight="1"/>
    <row r="117" ht="21.95" customHeight="1"/>
    <row r="118" ht="21.95" customHeight="1"/>
    <row r="119" ht="21.95" customHeight="1"/>
    <row r="120" ht="21.95" customHeight="1"/>
    <row r="121" ht="21.95" customHeight="1"/>
    <row r="122" ht="21.95" customHeight="1"/>
    <row r="123" ht="21.95" customHeight="1"/>
    <row r="124" ht="21.95" customHeight="1"/>
    <row r="125" ht="21.95" customHeight="1"/>
    <row r="126" ht="21.95" customHeight="1"/>
    <row r="127" ht="21.95" customHeight="1"/>
    <row r="128" ht="21.95" customHeight="1"/>
    <row r="129" ht="21.95" customHeight="1"/>
    <row r="130" ht="21.95" customHeight="1"/>
    <row r="131" ht="21.95" customHeight="1"/>
    <row r="132" ht="21.95" customHeight="1"/>
    <row r="133" ht="21.95" customHeight="1"/>
    <row r="134" ht="21.95" customHeight="1"/>
    <row r="135" ht="21.95" customHeight="1"/>
    <row r="136" ht="21.95" customHeight="1"/>
    <row r="137" ht="21.95" customHeight="1"/>
    <row r="138" ht="21.95" customHeight="1"/>
    <row r="139" ht="21.95" customHeight="1"/>
    <row r="140" ht="21.95" customHeight="1"/>
    <row r="141" ht="21.95" customHeight="1"/>
    <row r="142" ht="21.95" customHeight="1"/>
    <row r="143" ht="21.95" customHeight="1"/>
    <row r="144" ht="21.95" customHeight="1"/>
    <row r="145" ht="21.95" customHeight="1"/>
    <row r="146" ht="21.95" customHeight="1"/>
    <row r="147" ht="21.95" customHeight="1"/>
    <row r="148" ht="21.95" customHeight="1"/>
    <row r="149" ht="21.95" customHeight="1"/>
    <row r="150" ht="21.95" customHeight="1"/>
    <row r="151" ht="21.95" customHeight="1"/>
    <row r="152" ht="21.95" customHeight="1"/>
    <row r="153" ht="21.95" customHeight="1"/>
    <row r="154" ht="21.95" customHeight="1"/>
    <row r="155" ht="21.95" customHeight="1"/>
    <row r="156" ht="21.95" customHeight="1"/>
    <row r="157" ht="21.95" customHeight="1"/>
    <row r="158" ht="21.95" customHeight="1"/>
    <row r="159" ht="21.95" customHeight="1"/>
    <row r="160" ht="21.95" customHeight="1"/>
    <row r="161" ht="21.95" customHeight="1"/>
  </sheetData>
  <mergeCells count="11">
    <mergeCell ref="J8:J10"/>
    <mergeCell ref="E9:E10"/>
    <mergeCell ref="F9:F10"/>
    <mergeCell ref="G9:G10"/>
    <mergeCell ref="H9:H10"/>
    <mergeCell ref="I8:I10"/>
    <mergeCell ref="A2:E4"/>
    <mergeCell ref="A8:A10"/>
    <mergeCell ref="B8:B10"/>
    <mergeCell ref="C8:C10"/>
    <mergeCell ref="D8:D10"/>
  </mergeCells>
  <dataValidations count="1">
    <dataValidation type="list" allowBlank="1" showInputMessage="1" showErrorMessage="1" sqref="D16 D12 D14">
      <formula1>"Máy, Line1,Line 2,Line 3,Line 4"</formula1>
    </dataValidation>
  </dataValidations>
  <pageMargins left="0.15748031496062992" right="0" top="0" bottom="0" header="0.31496062992125984" footer="0.31496062992125984"/>
  <pageSetup paperSize="9" scale="57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13" sqref="B13"/>
    </sheetView>
  </sheetViews>
  <sheetFormatPr defaultRowHeight="15"/>
  <cols>
    <col min="1" max="1" width="6.5703125" customWidth="1"/>
    <col min="2" max="2" width="11.85546875" customWidth="1"/>
    <col min="3" max="3" width="20" customWidth="1"/>
    <col min="4" max="4" width="13.42578125" customWidth="1"/>
    <col min="5" max="5" width="18.28515625" customWidth="1"/>
    <col min="6" max="6" width="13.7109375" customWidth="1"/>
    <col min="7" max="7" width="14.140625" customWidth="1"/>
    <col min="8" max="8" width="35.140625" customWidth="1"/>
    <col min="9" max="9" width="14.7109375" customWidth="1"/>
    <col min="10" max="10" width="28" customWidth="1"/>
  </cols>
  <sheetData>
    <row r="1" spans="1:11" ht="36" customHeight="1">
      <c r="A1" s="940" t="s">
        <v>18</v>
      </c>
      <c r="B1" s="940" t="s">
        <v>236</v>
      </c>
      <c r="C1" s="940" t="s">
        <v>1</v>
      </c>
      <c r="D1" s="940" t="s">
        <v>982</v>
      </c>
      <c r="E1" s="940" t="s">
        <v>983</v>
      </c>
      <c r="F1" s="940" t="s">
        <v>984</v>
      </c>
      <c r="G1" s="940" t="s">
        <v>195</v>
      </c>
      <c r="H1" s="940" t="s">
        <v>985</v>
      </c>
      <c r="I1" s="942" t="s">
        <v>986</v>
      </c>
      <c r="J1" s="943"/>
    </row>
    <row r="2" spans="1:11" ht="26.25" customHeight="1">
      <c r="A2" s="941"/>
      <c r="B2" s="941"/>
      <c r="C2" s="941"/>
      <c r="D2" s="941"/>
      <c r="E2" s="941"/>
      <c r="F2" s="941"/>
      <c r="G2" s="941"/>
      <c r="H2" s="941"/>
      <c r="I2" s="833" t="s">
        <v>236</v>
      </c>
      <c r="J2" s="833" t="s">
        <v>1</v>
      </c>
    </row>
    <row r="3" spans="1:11">
      <c r="A3" s="834">
        <v>1</v>
      </c>
      <c r="B3" s="835" t="s">
        <v>390</v>
      </c>
      <c r="C3" s="835" t="s">
        <v>95</v>
      </c>
      <c r="D3" s="836" t="s">
        <v>987</v>
      </c>
      <c r="E3" s="836"/>
      <c r="F3" s="837">
        <v>43991</v>
      </c>
      <c r="G3" s="837">
        <v>44144</v>
      </c>
      <c r="H3" s="836" t="s">
        <v>988</v>
      </c>
      <c r="I3" s="836" t="s">
        <v>847</v>
      </c>
      <c r="J3" s="836" t="s">
        <v>850</v>
      </c>
    </row>
    <row r="4" spans="1:11">
      <c r="A4" s="834">
        <v>2</v>
      </c>
      <c r="B4" s="835" t="s">
        <v>63</v>
      </c>
      <c r="C4" s="835" t="s">
        <v>115</v>
      </c>
      <c r="D4" s="836" t="s">
        <v>989</v>
      </c>
      <c r="E4" s="836"/>
      <c r="F4" s="837">
        <v>43960</v>
      </c>
      <c r="G4" s="837">
        <v>44174</v>
      </c>
      <c r="H4" s="836" t="s">
        <v>990</v>
      </c>
      <c r="I4" s="836" t="s">
        <v>865</v>
      </c>
      <c r="J4" s="836" t="s">
        <v>867</v>
      </c>
    </row>
    <row r="5" spans="1:11">
      <c r="A5" s="834">
        <v>3</v>
      </c>
      <c r="B5" s="847" t="s">
        <v>381</v>
      </c>
      <c r="C5" s="847" t="s">
        <v>382</v>
      </c>
      <c r="D5" s="836" t="s">
        <v>989</v>
      </c>
      <c r="E5" s="836"/>
      <c r="F5" s="837">
        <v>43960</v>
      </c>
      <c r="G5" s="837">
        <v>44174</v>
      </c>
      <c r="H5" s="836" t="s">
        <v>990</v>
      </c>
      <c r="I5" s="836" t="s">
        <v>858</v>
      </c>
      <c r="J5" s="836" t="s">
        <v>991</v>
      </c>
      <c r="K5" s="846" t="s">
        <v>1015</v>
      </c>
    </row>
    <row r="6" spans="1:11">
      <c r="A6" s="834">
        <v>4</v>
      </c>
      <c r="B6" s="847" t="s">
        <v>834</v>
      </c>
      <c r="C6" s="847" t="s">
        <v>836</v>
      </c>
      <c r="D6" s="837">
        <v>43930</v>
      </c>
      <c r="E6" s="836"/>
      <c r="F6" s="837">
        <v>43960</v>
      </c>
      <c r="G6" s="837">
        <v>44174</v>
      </c>
      <c r="H6" s="836" t="s">
        <v>992</v>
      </c>
      <c r="I6" s="836" t="s">
        <v>861</v>
      </c>
      <c r="J6" s="836" t="s">
        <v>864</v>
      </c>
      <c r="K6" s="846" t="s">
        <v>1016</v>
      </c>
    </row>
    <row r="7" spans="1:11">
      <c r="A7" s="834">
        <v>5</v>
      </c>
      <c r="B7" s="835" t="s">
        <v>30</v>
      </c>
      <c r="C7" s="835" t="s">
        <v>74</v>
      </c>
      <c r="D7" s="837">
        <v>44106</v>
      </c>
      <c r="E7" s="836"/>
      <c r="F7" s="836" t="s">
        <v>993</v>
      </c>
      <c r="G7" s="837">
        <v>43870</v>
      </c>
      <c r="H7" s="836" t="s">
        <v>994</v>
      </c>
      <c r="I7" s="836" t="s">
        <v>834</v>
      </c>
      <c r="J7" s="836" t="s">
        <v>836</v>
      </c>
    </row>
    <row r="8" spans="1:11">
      <c r="A8" s="834">
        <v>6</v>
      </c>
      <c r="B8" s="838" t="s">
        <v>70</v>
      </c>
      <c r="C8" s="835" t="s">
        <v>121</v>
      </c>
      <c r="D8" s="836"/>
      <c r="E8" s="836"/>
      <c r="F8" s="836" t="s">
        <v>827</v>
      </c>
      <c r="G8" s="837" t="s">
        <v>995</v>
      </c>
      <c r="H8" s="836" t="s">
        <v>996</v>
      </c>
      <c r="I8" s="836" t="s">
        <v>879</v>
      </c>
      <c r="J8" s="836" t="s">
        <v>91</v>
      </c>
    </row>
    <row r="9" spans="1:11">
      <c r="A9" s="834">
        <v>7</v>
      </c>
      <c r="B9" s="839" t="s">
        <v>413</v>
      </c>
      <c r="C9" s="840" t="s">
        <v>96</v>
      </c>
      <c r="D9" s="836" t="s">
        <v>997</v>
      </c>
      <c r="E9" s="836"/>
      <c r="F9" s="836" t="s">
        <v>827</v>
      </c>
      <c r="G9" s="841" t="s">
        <v>998</v>
      </c>
      <c r="H9" s="836" t="s">
        <v>999</v>
      </c>
      <c r="I9" s="842"/>
      <c r="J9" s="836" t="s">
        <v>1000</v>
      </c>
    </row>
    <row r="10" spans="1:11">
      <c r="A10" s="834">
        <v>8</v>
      </c>
      <c r="B10" s="120" t="s">
        <v>35</v>
      </c>
      <c r="C10" s="835" t="s">
        <v>79</v>
      </c>
      <c r="D10" s="836"/>
      <c r="E10" s="836"/>
      <c r="F10" s="836" t="s">
        <v>1001</v>
      </c>
      <c r="G10" s="841" t="s">
        <v>1002</v>
      </c>
      <c r="H10" s="836" t="s">
        <v>1003</v>
      </c>
      <c r="I10" s="843" t="s">
        <v>1004</v>
      </c>
      <c r="J10" s="836" t="s">
        <v>1005</v>
      </c>
    </row>
    <row r="11" spans="1:11">
      <c r="A11" s="834">
        <v>9</v>
      </c>
      <c r="B11" s="120" t="s">
        <v>62</v>
      </c>
      <c r="C11" s="835" t="s">
        <v>113</v>
      </c>
      <c r="D11" s="836"/>
      <c r="E11" s="836"/>
      <c r="F11" s="835" t="s">
        <v>829</v>
      </c>
      <c r="G11" s="836" t="s">
        <v>1006</v>
      </c>
      <c r="H11" s="836" t="s">
        <v>1007</v>
      </c>
      <c r="I11" s="843" t="s">
        <v>899</v>
      </c>
      <c r="J11" s="836" t="s">
        <v>901</v>
      </c>
    </row>
    <row r="12" spans="1:11">
      <c r="A12" s="834">
        <v>10</v>
      </c>
      <c r="B12" s="847" t="s">
        <v>834</v>
      </c>
      <c r="C12" s="847" t="s">
        <v>836</v>
      </c>
      <c r="D12" s="836"/>
      <c r="E12" s="836"/>
      <c r="F12" s="837">
        <v>44021</v>
      </c>
      <c r="G12" s="837">
        <v>44174</v>
      </c>
      <c r="H12" s="835" t="s">
        <v>1008</v>
      </c>
      <c r="I12" s="843" t="s">
        <v>861</v>
      </c>
      <c r="J12" s="835" t="s">
        <v>864</v>
      </c>
    </row>
    <row r="13" spans="1:11">
      <c r="A13" s="834">
        <v>11</v>
      </c>
      <c r="B13" s="835" t="s">
        <v>902</v>
      </c>
      <c r="C13" s="835" t="s">
        <v>1009</v>
      </c>
      <c r="D13" s="836"/>
      <c r="E13" s="836"/>
      <c r="F13" s="836"/>
      <c r="G13" s="844" t="s">
        <v>1010</v>
      </c>
      <c r="H13" s="835" t="s">
        <v>1011</v>
      </c>
      <c r="I13" s="843" t="s">
        <v>911</v>
      </c>
      <c r="J13" s="835" t="s">
        <v>1012</v>
      </c>
    </row>
    <row r="14" spans="1:11">
      <c r="A14" s="834">
        <v>12</v>
      </c>
      <c r="B14" s="845" t="s">
        <v>847</v>
      </c>
      <c r="C14" s="835" t="s">
        <v>850</v>
      </c>
      <c r="D14" s="836"/>
      <c r="E14" s="836"/>
      <c r="F14" s="836"/>
      <c r="G14" s="844" t="s">
        <v>1013</v>
      </c>
      <c r="H14" s="835" t="s">
        <v>1014</v>
      </c>
      <c r="I14" s="843" t="s">
        <v>876</v>
      </c>
      <c r="J14" s="835" t="s">
        <v>878</v>
      </c>
    </row>
    <row r="15" spans="1:11">
      <c r="A15" s="834">
        <v>13</v>
      </c>
      <c r="B15" s="843" t="s">
        <v>871</v>
      </c>
      <c r="C15" s="843" t="s">
        <v>873</v>
      </c>
      <c r="D15" s="843"/>
      <c r="E15" s="843"/>
      <c r="F15" s="843"/>
      <c r="G15" s="843" t="s">
        <v>829</v>
      </c>
      <c r="H15" s="843" t="s">
        <v>996</v>
      </c>
      <c r="I15" s="843" t="s">
        <v>884</v>
      </c>
      <c r="J15" s="846" t="s">
        <v>887</v>
      </c>
    </row>
    <row r="18" spans="5:5">
      <c r="E18" s="871">
        <f>12/42</f>
        <v>0.2857142857142857</v>
      </c>
    </row>
  </sheetData>
  <mergeCells count="9">
    <mergeCell ref="G1:G2"/>
    <mergeCell ref="H1:H2"/>
    <mergeCell ref="I1:J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V169"/>
  <sheetViews>
    <sheetView zoomScaleNormal="10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E18" sqref="E18:K19"/>
    </sheetView>
  </sheetViews>
  <sheetFormatPr defaultColWidth="4.85546875" defaultRowHeight="12.75" outlineLevelCol="1"/>
  <cols>
    <col min="1" max="1" width="4.7109375" style="669" customWidth="1"/>
    <col min="2" max="2" width="11.7109375" style="669" customWidth="1"/>
    <col min="3" max="3" width="20.140625" style="677" customWidth="1"/>
    <col min="4" max="4" width="10.5703125" style="677" customWidth="1"/>
    <col min="5" max="5" width="7.42578125" style="669" customWidth="1" collapsed="1"/>
    <col min="6" max="6" width="11.42578125" style="677" customWidth="1" outlineLevel="1"/>
    <col min="7" max="7" width="14.140625" style="677" customWidth="1" outlineLevel="1"/>
    <col min="8" max="8" width="11.5703125" style="677" customWidth="1" outlineLevel="1"/>
    <col min="9" max="9" width="19.42578125" style="677" customWidth="1" outlineLevel="1"/>
    <col min="10" max="10" width="10.140625" style="677" customWidth="1" outlineLevel="1"/>
    <col min="11" max="11" width="9" style="677" customWidth="1" outlineLevel="1"/>
    <col min="12" max="13" width="11.7109375" style="677" customWidth="1" outlineLevel="1"/>
    <col min="14" max="14" width="13.28515625" style="677" customWidth="1" outlineLevel="1"/>
    <col min="15" max="15" width="6.7109375" style="675" customWidth="1"/>
    <col min="16" max="16" width="4.5703125" style="675" customWidth="1"/>
    <col min="17" max="17" width="4.5703125" style="669" customWidth="1"/>
    <col min="18" max="20" width="4.5703125" style="675" customWidth="1"/>
    <col min="21" max="21" width="4.5703125" style="669" customWidth="1"/>
    <col min="22" max="22" width="4.5703125" style="675" customWidth="1"/>
    <col min="23" max="23" width="5.7109375" style="675" bestFit="1" customWidth="1" outlineLevel="1"/>
    <col min="24" max="24" width="4.5703125" style="675" customWidth="1" outlineLevel="1"/>
    <col min="25" max="26" width="4.5703125" style="669" customWidth="1" outlineLevel="1"/>
    <col min="27" max="28" width="4.5703125" style="675" customWidth="1" outlineLevel="1"/>
    <col min="29" max="30" width="4.5703125" style="669" customWidth="1" outlineLevel="1"/>
    <col min="31" max="32" width="4.5703125" style="675" customWidth="1" outlineLevel="1"/>
    <col min="33" max="34" width="4.5703125" style="669" customWidth="1" outlineLevel="1"/>
    <col min="35" max="35" width="7.5703125" style="675" customWidth="1" outlineLevel="1"/>
    <col min="36" max="36" width="5.42578125" style="675" customWidth="1" outlineLevel="1"/>
    <col min="37" max="37" width="5.42578125" style="669" customWidth="1" outlineLevel="1"/>
    <col min="38" max="38" width="5.42578125" style="675" customWidth="1" outlineLevel="1"/>
    <col min="39" max="39" width="6.7109375" style="675" customWidth="1" outlineLevel="1"/>
    <col min="40" max="40" width="6.5703125" style="675" customWidth="1" outlineLevel="1"/>
    <col min="41" max="41" width="5.42578125" style="669" customWidth="1" outlineLevel="1"/>
    <col min="42" max="42" width="5.42578125" style="675" customWidth="1" outlineLevel="1"/>
    <col min="43" max="43" width="7.28515625" style="675" customWidth="1" outlineLevel="1"/>
    <col min="44" max="44" width="5.42578125" style="675" customWidth="1" outlineLevel="1"/>
    <col min="45" max="45" width="5.42578125" style="669" customWidth="1" outlineLevel="1"/>
    <col min="46" max="46" width="5.42578125" style="675" customWidth="1" outlineLevel="1"/>
    <col min="47" max="48" width="7" style="675" customWidth="1" outlineLevel="1"/>
    <col min="49" max="49" width="6.42578125" style="669" customWidth="1" outlineLevel="1"/>
    <col min="50" max="50" width="5.42578125" style="675" customWidth="1" outlineLevel="1"/>
    <col min="51" max="51" width="7.140625" style="675" customWidth="1" outlineLevel="1"/>
    <col min="52" max="52" width="5.42578125" style="675" customWidth="1" outlineLevel="1"/>
    <col min="53" max="53" width="5.42578125" style="669" customWidth="1" outlineLevel="1"/>
    <col min="54" max="54" width="5.42578125" style="675" customWidth="1" outlineLevel="1"/>
    <col min="55" max="55" width="6.85546875" style="675" customWidth="1" outlineLevel="1"/>
    <col min="56" max="56" width="5.42578125" style="675" customWidth="1" outlineLevel="1"/>
    <col min="57" max="57" width="5.42578125" style="669" customWidth="1" outlineLevel="1"/>
    <col min="58" max="58" width="5.42578125" style="675" customWidth="1" outlineLevel="1"/>
    <col min="59" max="59" width="6.85546875" style="675" customWidth="1" outlineLevel="1"/>
    <col min="60" max="60" width="5.42578125" style="675" customWidth="1" outlineLevel="1"/>
    <col min="61" max="61" width="5.42578125" style="669" customWidth="1" outlineLevel="1"/>
    <col min="62" max="62" width="5.42578125" style="675" customWidth="1" outlineLevel="1"/>
    <col min="63" max="63" width="7.5703125" style="675" customWidth="1" outlineLevel="1"/>
    <col min="64" max="64" width="5.42578125" style="675" customWidth="1" outlineLevel="1"/>
    <col min="65" max="65" width="5.42578125" style="669" customWidth="1" outlineLevel="1"/>
    <col min="66" max="66" width="5.42578125" style="675" customWidth="1" outlineLevel="1"/>
    <col min="67" max="67" width="6.5703125" style="675" customWidth="1" outlineLevel="1"/>
    <col min="68" max="68" width="5.42578125" style="675" customWidth="1" outlineLevel="1"/>
    <col min="69" max="69" width="5.42578125" style="669" customWidth="1" outlineLevel="1"/>
    <col min="70" max="70" width="5.42578125" style="675" customWidth="1" outlineLevel="1"/>
    <col min="71" max="71" width="7.42578125" style="675" customWidth="1" outlineLevel="1"/>
    <col min="72" max="72" width="7.5703125" style="675" customWidth="1" outlineLevel="1"/>
    <col min="73" max="73" width="6.5703125" style="669" customWidth="1" outlineLevel="1"/>
    <col min="74" max="76" width="5.42578125" style="675" customWidth="1" outlineLevel="1"/>
    <col min="77" max="77" width="5.42578125" style="669" customWidth="1" outlineLevel="1"/>
    <col min="78" max="78" width="5.42578125" style="675" customWidth="1" outlineLevel="1"/>
    <col min="79" max="79" width="6.140625" style="675" customWidth="1" outlineLevel="1"/>
    <col min="80" max="80" width="5.42578125" style="675" customWidth="1" outlineLevel="1"/>
    <col min="81" max="81" width="5.42578125" style="669" customWidth="1" outlineLevel="1"/>
    <col min="82" max="82" width="5.42578125" style="675" customWidth="1" outlineLevel="1"/>
    <col min="83" max="83" width="6.140625" style="675" customWidth="1" outlineLevel="1"/>
    <col min="84" max="84" width="5.42578125" style="675" customWidth="1" outlineLevel="1"/>
    <col min="85" max="85" width="5.42578125" style="669" customWidth="1" outlineLevel="1"/>
    <col min="86" max="86" width="5.42578125" style="675" customWidth="1" outlineLevel="1"/>
    <col min="87" max="87" width="7.5703125" style="675" customWidth="1" outlineLevel="1"/>
    <col min="88" max="88" width="5.42578125" style="675" customWidth="1" outlineLevel="1"/>
    <col min="89" max="89" width="5.42578125" style="669" customWidth="1" outlineLevel="1"/>
    <col min="90" max="90" width="5.42578125" style="675" customWidth="1" outlineLevel="1"/>
    <col min="91" max="91" width="7.5703125" style="675" customWidth="1" outlineLevel="1"/>
    <col min="92" max="92" width="5.42578125" style="675" customWidth="1" outlineLevel="1"/>
    <col min="93" max="93" width="5.42578125" style="669" customWidth="1" outlineLevel="1"/>
    <col min="94" max="94" width="5.42578125" style="675" customWidth="1" outlineLevel="1"/>
    <col min="95" max="95" width="6.7109375" style="675" customWidth="1" outlineLevel="1"/>
    <col min="96" max="96" width="5.42578125" style="675" customWidth="1" outlineLevel="1"/>
    <col min="97" max="97" width="5.42578125" style="669" customWidth="1" outlineLevel="1"/>
    <col min="98" max="98" width="5.42578125" style="675" customWidth="1" outlineLevel="1"/>
    <col min="99" max="99" width="7.85546875" style="675" customWidth="1" outlineLevel="1"/>
    <col min="100" max="102" width="5.42578125" style="675" customWidth="1" outlineLevel="1"/>
    <col min="103" max="103" width="6.5703125" style="675" customWidth="1" outlineLevel="1"/>
    <col min="104" max="106" width="5.42578125" style="675" customWidth="1" outlineLevel="1"/>
    <col min="107" max="107" width="6.140625" style="675" customWidth="1" outlineLevel="1"/>
    <col min="108" max="108" width="5.42578125" style="675" customWidth="1" outlineLevel="1"/>
    <col min="109" max="109" width="5.42578125" style="669" customWidth="1" outlineLevel="1"/>
    <col min="110" max="110" width="5.42578125" style="675" customWidth="1" outlineLevel="1"/>
    <col min="111" max="111" width="7.28515625" style="675" customWidth="1" outlineLevel="1"/>
    <col min="112" max="112" width="5.42578125" style="675" customWidth="1" outlineLevel="1"/>
    <col min="113" max="113" width="6.7109375" style="675" customWidth="1" outlineLevel="1"/>
    <col min="114" max="114" width="6.5703125" style="675" customWidth="1" outlineLevel="1"/>
    <col min="115" max="115" width="7.28515625" style="675" customWidth="1" outlineLevel="1"/>
    <col min="116" max="116" width="5.42578125" style="675" customWidth="1" outlineLevel="1"/>
    <col min="117" max="117" width="6.7109375" style="675" customWidth="1" outlineLevel="1"/>
    <col min="118" max="118" width="6.5703125" style="675" customWidth="1" outlineLevel="1"/>
    <col min="119" max="119" width="7.5703125" style="675" customWidth="1" outlineLevel="1"/>
    <col min="120" max="120" width="5.42578125" style="675" customWidth="1" outlineLevel="1"/>
    <col min="121" max="121" width="5.42578125" style="669" customWidth="1" outlineLevel="1"/>
    <col min="122" max="122" width="5.42578125" style="675" customWidth="1" outlineLevel="1"/>
    <col min="123" max="123" width="6.28515625" style="675" customWidth="1" outlineLevel="1"/>
    <col min="124" max="124" width="5.42578125" style="675" customWidth="1" outlineLevel="1"/>
    <col min="125" max="125" width="5.42578125" style="669" customWidth="1" outlineLevel="1"/>
    <col min="126" max="126" width="5.42578125" style="675" customWidth="1" outlineLevel="1"/>
    <col min="127" max="127" width="7.5703125" style="675" customWidth="1" outlineLevel="1"/>
    <col min="128" max="130" width="5.42578125" style="675" customWidth="1" outlineLevel="1"/>
    <col min="131" max="131" width="7.140625" style="675" customWidth="1" outlineLevel="1"/>
    <col min="132" max="132" width="5.42578125" style="675" customWidth="1" outlineLevel="1"/>
    <col min="133" max="133" width="5.42578125" style="669" customWidth="1" outlineLevel="1"/>
    <col min="134" max="136" width="5.42578125" style="675" customWidth="1" outlineLevel="1"/>
    <col min="137" max="137" width="5.42578125" style="669" customWidth="1" outlineLevel="1"/>
    <col min="138" max="138" width="5.42578125" style="675" customWidth="1" outlineLevel="1"/>
    <col min="139" max="141" width="10.5703125" style="763" customWidth="1"/>
    <col min="142" max="142" width="12" style="669" customWidth="1"/>
    <col min="143" max="143" width="6.85546875" style="669" customWidth="1"/>
    <col min="144" max="144" width="12.28515625" style="669" customWidth="1"/>
    <col min="145" max="145" width="10.85546875" style="669" bestFit="1" customWidth="1"/>
    <col min="146" max="147" width="11" style="669" customWidth="1"/>
    <col min="148" max="148" width="10.140625" style="669" customWidth="1"/>
    <col min="149" max="150" width="12.85546875" style="669" customWidth="1"/>
    <col min="151" max="151" width="12.5703125" style="669" customWidth="1"/>
    <col min="152" max="152" width="13.7109375" style="669" customWidth="1"/>
    <col min="153" max="153" width="12.7109375" style="669" customWidth="1"/>
    <col min="154" max="154" width="15" style="669" customWidth="1"/>
    <col min="155" max="16384" width="4.85546875" style="669"/>
  </cols>
  <sheetData>
    <row r="1" spans="1:152" ht="12.75" customHeight="1">
      <c r="A1" s="662" t="s">
        <v>1029</v>
      </c>
      <c r="B1" s="663"/>
      <c r="C1" s="663"/>
      <c r="D1" s="664"/>
      <c r="E1" s="663"/>
      <c r="F1" s="665" t="s">
        <v>921</v>
      </c>
      <c r="G1" s="665"/>
      <c r="H1" s="665" t="s">
        <v>533</v>
      </c>
      <c r="I1" s="666" t="s">
        <v>922</v>
      </c>
      <c r="J1" s="667"/>
      <c r="K1" s="667"/>
      <c r="L1" s="668"/>
      <c r="M1" s="668"/>
      <c r="N1" s="666"/>
      <c r="O1" s="666"/>
      <c r="P1" s="666"/>
      <c r="Q1" s="666"/>
      <c r="R1" s="666"/>
      <c r="S1" s="666"/>
      <c r="T1" s="666"/>
      <c r="U1" s="666"/>
      <c r="V1" s="666"/>
      <c r="W1" s="666"/>
      <c r="X1" s="666"/>
      <c r="Y1" s="666"/>
      <c r="Z1" s="666"/>
      <c r="AA1" s="666"/>
      <c r="AB1" s="666"/>
      <c r="AC1" s="666"/>
      <c r="AD1" s="666"/>
      <c r="AE1" s="666"/>
      <c r="AF1" s="666"/>
      <c r="AG1" s="666"/>
      <c r="AH1" s="666"/>
      <c r="AI1" s="666"/>
      <c r="AJ1" s="666"/>
      <c r="AK1" s="666"/>
      <c r="AL1" s="667"/>
      <c r="AM1" s="667"/>
      <c r="AN1" s="667"/>
      <c r="AO1" s="667"/>
      <c r="AP1" s="667"/>
      <c r="AQ1" s="667"/>
      <c r="AR1" s="667"/>
      <c r="AS1" s="666"/>
      <c r="AT1" s="665"/>
      <c r="AU1" s="665"/>
      <c r="AV1" s="665"/>
      <c r="AW1" s="665"/>
      <c r="AX1" s="665"/>
      <c r="AY1" s="665"/>
      <c r="AZ1" s="665"/>
      <c r="BA1" s="665"/>
      <c r="BB1" s="665"/>
      <c r="BC1" s="665"/>
      <c r="BD1" s="665"/>
      <c r="BE1" s="665"/>
      <c r="BF1" s="665"/>
      <c r="BG1" s="665"/>
      <c r="BH1" s="665"/>
      <c r="BI1" s="665"/>
      <c r="BJ1" s="665"/>
      <c r="BK1" s="666"/>
      <c r="BL1" s="666"/>
      <c r="BM1" s="666"/>
      <c r="BN1" s="667"/>
      <c r="BO1" s="665"/>
      <c r="BP1" s="665"/>
      <c r="BQ1" s="665"/>
      <c r="BR1" s="665"/>
      <c r="BS1" s="665"/>
      <c r="BT1" s="665"/>
      <c r="BU1" s="665"/>
      <c r="BV1" s="665"/>
      <c r="BW1" s="665"/>
      <c r="BX1" s="665"/>
      <c r="BY1" s="665"/>
      <c r="BZ1" s="665"/>
      <c r="CA1" s="665"/>
      <c r="CB1" s="665"/>
      <c r="CC1" s="665"/>
      <c r="CD1" s="665"/>
      <c r="CE1" s="665"/>
      <c r="CF1" s="665"/>
      <c r="CG1" s="665"/>
      <c r="CH1" s="665"/>
      <c r="CI1" s="666"/>
      <c r="CJ1" s="666"/>
      <c r="CK1" s="666"/>
      <c r="CL1" s="667"/>
      <c r="CM1" s="666"/>
      <c r="CN1" s="666"/>
      <c r="CO1" s="666"/>
      <c r="CP1" s="667"/>
      <c r="CQ1" s="665"/>
      <c r="CR1" s="665"/>
      <c r="CS1" s="665"/>
      <c r="CT1" s="665"/>
      <c r="CU1" s="665"/>
      <c r="CV1" s="665"/>
      <c r="CW1" s="665"/>
      <c r="CX1" s="665"/>
      <c r="CY1" s="665"/>
      <c r="CZ1" s="665"/>
      <c r="DA1" s="665"/>
      <c r="DB1" s="665"/>
      <c r="DC1" s="665"/>
      <c r="DD1" s="665"/>
      <c r="DE1" s="665"/>
      <c r="DF1" s="665"/>
      <c r="DG1" s="665"/>
      <c r="DH1" s="665"/>
      <c r="DI1" s="664"/>
      <c r="DJ1" s="664"/>
      <c r="DK1" s="665"/>
      <c r="DL1" s="665"/>
      <c r="DM1" s="664"/>
      <c r="DN1" s="664"/>
      <c r="DO1" s="666"/>
      <c r="DP1" s="666"/>
      <c r="DQ1" s="666"/>
      <c r="DR1" s="667"/>
      <c r="DS1" s="665"/>
      <c r="DT1" s="665"/>
      <c r="DU1" s="665"/>
      <c r="DV1" s="665"/>
      <c r="DW1" s="665"/>
      <c r="DX1" s="665"/>
      <c r="DY1" s="665"/>
      <c r="DZ1" s="665"/>
      <c r="EA1" s="665"/>
      <c r="EB1" s="665"/>
      <c r="EC1" s="665"/>
      <c r="ED1" s="665"/>
      <c r="EE1" s="665"/>
      <c r="EF1" s="665"/>
      <c r="EG1" s="665"/>
      <c r="EH1" s="665"/>
      <c r="EI1" s="664"/>
      <c r="EJ1" s="664"/>
      <c r="EK1" s="664"/>
      <c r="EL1" s="664"/>
      <c r="EM1" s="664"/>
    </row>
    <row r="2" spans="1:152" ht="12.75" customHeight="1">
      <c r="A2" s="662" t="s">
        <v>1020</v>
      </c>
      <c r="B2" s="670"/>
      <c r="C2" s="670"/>
      <c r="D2" s="671"/>
      <c r="E2" s="670"/>
      <c r="F2" s="672" t="s">
        <v>923</v>
      </c>
      <c r="G2" s="672"/>
      <c r="H2" s="672" t="s">
        <v>831</v>
      </c>
      <c r="I2" s="666" t="s">
        <v>924</v>
      </c>
      <c r="J2" s="673" t="s">
        <v>13</v>
      </c>
      <c r="K2" s="674"/>
      <c r="L2" s="673" t="s">
        <v>14</v>
      </c>
      <c r="M2" s="673"/>
      <c r="N2" s="673" t="s">
        <v>925</v>
      </c>
      <c r="R2" s="673"/>
      <c r="S2" s="673"/>
      <c r="T2" s="673"/>
      <c r="V2" s="673" t="s">
        <v>926</v>
      </c>
      <c r="W2" s="673"/>
      <c r="X2" s="673"/>
      <c r="Y2" s="673"/>
      <c r="Z2" s="673"/>
      <c r="AA2" s="673"/>
      <c r="AB2" s="673"/>
      <c r="AC2" s="673"/>
      <c r="AD2" s="673"/>
      <c r="AE2" s="673" t="s">
        <v>927</v>
      </c>
      <c r="AF2" s="673"/>
      <c r="AG2" s="673"/>
      <c r="AH2" s="673"/>
      <c r="AI2" s="673"/>
      <c r="AJ2" s="673"/>
      <c r="AK2" s="676" t="s">
        <v>928</v>
      </c>
      <c r="AM2" s="674"/>
      <c r="AN2" s="674"/>
      <c r="AO2" s="674"/>
      <c r="AQ2" s="674"/>
      <c r="AR2" s="674"/>
      <c r="AS2" s="673"/>
      <c r="AT2" s="672"/>
      <c r="AU2" s="672"/>
      <c r="AV2" s="672"/>
      <c r="AW2" s="672"/>
      <c r="AX2" s="672"/>
      <c r="AY2" s="672"/>
      <c r="AZ2" s="672"/>
      <c r="BA2" s="672"/>
      <c r="BB2" s="672"/>
      <c r="BC2" s="672"/>
      <c r="BD2" s="672"/>
      <c r="BE2" s="672"/>
      <c r="BF2" s="672"/>
      <c r="BG2" s="672"/>
      <c r="BH2" s="672"/>
      <c r="BI2" s="672"/>
      <c r="BJ2" s="672"/>
      <c r="BK2" s="673"/>
      <c r="BL2" s="673"/>
      <c r="BM2" s="676"/>
      <c r="BO2" s="672"/>
      <c r="BP2" s="672"/>
      <c r="BQ2" s="672"/>
      <c r="BR2" s="672"/>
      <c r="BS2" s="672"/>
      <c r="BT2" s="672"/>
      <c r="BU2" s="672"/>
      <c r="BV2" s="672"/>
      <c r="BW2" s="672"/>
      <c r="BX2" s="672"/>
      <c r="BY2" s="672"/>
      <c r="BZ2" s="672"/>
      <c r="CA2" s="672"/>
      <c r="CB2" s="672"/>
      <c r="CC2" s="672"/>
      <c r="CD2" s="672"/>
      <c r="CE2" s="672"/>
      <c r="CF2" s="672"/>
      <c r="CG2" s="672"/>
      <c r="CH2" s="672"/>
      <c r="CI2" s="673"/>
      <c r="CJ2" s="673"/>
      <c r="CK2" s="676"/>
      <c r="CM2" s="673"/>
      <c r="CN2" s="673"/>
      <c r="CO2" s="676"/>
      <c r="CQ2" s="672"/>
      <c r="CR2" s="672"/>
      <c r="CS2" s="672"/>
      <c r="CT2" s="672"/>
      <c r="CU2" s="672"/>
      <c r="CV2" s="672"/>
      <c r="CW2" s="672"/>
      <c r="CX2" s="672"/>
      <c r="CY2" s="672"/>
      <c r="CZ2" s="672"/>
      <c r="DA2" s="672"/>
      <c r="DB2" s="672"/>
      <c r="DC2" s="672"/>
      <c r="DD2" s="672"/>
      <c r="DE2" s="672"/>
      <c r="DF2" s="672"/>
      <c r="DG2" s="672"/>
      <c r="DH2" s="672"/>
      <c r="DI2" s="671"/>
      <c r="DJ2" s="671"/>
      <c r="DK2" s="672"/>
      <c r="DL2" s="672"/>
      <c r="DM2" s="671"/>
      <c r="DN2" s="671"/>
      <c r="DO2" s="673"/>
      <c r="DP2" s="673"/>
      <c r="DQ2" s="676"/>
      <c r="DS2" s="672"/>
      <c r="DT2" s="672"/>
      <c r="DU2" s="672"/>
      <c r="DV2" s="672"/>
      <c r="DW2" s="672"/>
      <c r="DX2" s="672"/>
      <c r="DY2" s="672"/>
      <c r="DZ2" s="672"/>
      <c r="EA2" s="672"/>
      <c r="EB2" s="672"/>
      <c r="EC2" s="672"/>
      <c r="ED2" s="672"/>
      <c r="EE2" s="672"/>
      <c r="EF2" s="672"/>
      <c r="EG2" s="672"/>
      <c r="EH2" s="672"/>
      <c r="EI2" s="671"/>
      <c r="EJ2" s="671"/>
      <c r="EK2" s="671"/>
      <c r="EL2" s="671"/>
    </row>
    <row r="3" spans="1:152" ht="12.75" customHeight="1">
      <c r="A3" s="670" t="s">
        <v>1028</v>
      </c>
      <c r="B3" s="670"/>
      <c r="C3" s="670"/>
      <c r="E3" s="670"/>
      <c r="F3" s="672" t="s">
        <v>929</v>
      </c>
      <c r="G3" s="672"/>
      <c r="H3" s="672" t="s">
        <v>930</v>
      </c>
      <c r="I3" s="666" t="s">
        <v>931</v>
      </c>
      <c r="J3" s="673" t="s">
        <v>11</v>
      </c>
      <c r="K3" s="674"/>
      <c r="L3" s="673" t="s">
        <v>12</v>
      </c>
      <c r="M3" s="673"/>
      <c r="N3" s="673" t="s">
        <v>932</v>
      </c>
      <c r="R3" s="673"/>
      <c r="S3" s="673"/>
      <c r="T3" s="673"/>
      <c r="V3" s="673" t="s">
        <v>933</v>
      </c>
      <c r="W3" s="673"/>
      <c r="X3" s="673"/>
      <c r="Y3" s="673"/>
      <c r="Z3" s="673"/>
      <c r="AA3" s="673"/>
      <c r="AB3" s="673"/>
      <c r="AC3" s="673"/>
      <c r="AD3" s="673"/>
      <c r="AE3" s="673" t="s">
        <v>934</v>
      </c>
      <c r="AF3" s="673"/>
      <c r="AG3" s="673"/>
      <c r="AH3" s="673"/>
      <c r="AI3" s="673"/>
      <c r="AJ3" s="673"/>
      <c r="AK3" s="676" t="s">
        <v>935</v>
      </c>
      <c r="AM3" s="674"/>
      <c r="AN3" s="674"/>
      <c r="AO3" s="674"/>
      <c r="AQ3" s="674"/>
      <c r="AR3" s="674"/>
      <c r="AS3" s="673"/>
      <c r="AT3" s="672"/>
      <c r="AU3" s="672"/>
      <c r="AV3" s="672"/>
      <c r="AW3" s="672"/>
      <c r="AX3" s="672"/>
      <c r="AY3" s="672"/>
      <c r="AZ3" s="672"/>
      <c r="BA3" s="672"/>
      <c r="BB3" s="672"/>
      <c r="BC3" s="672"/>
      <c r="BD3" s="672"/>
      <c r="BE3" s="672"/>
      <c r="BF3" s="672"/>
      <c r="BG3" s="672"/>
      <c r="BH3" s="672"/>
      <c r="BI3" s="672"/>
      <c r="BJ3" s="672"/>
      <c r="BK3" s="673"/>
      <c r="BL3" s="673"/>
      <c r="BM3" s="676"/>
      <c r="BO3" s="672"/>
      <c r="BP3" s="672"/>
      <c r="BQ3" s="672"/>
      <c r="BR3" s="672"/>
      <c r="BS3" s="672"/>
      <c r="BT3" s="672"/>
      <c r="BU3" s="672"/>
      <c r="BV3" s="672"/>
      <c r="BW3" s="672"/>
      <c r="BX3" s="672"/>
      <c r="BY3" s="672"/>
      <c r="BZ3" s="672"/>
      <c r="CA3" s="672"/>
      <c r="CB3" s="672"/>
      <c r="CC3" s="672"/>
      <c r="CD3" s="672"/>
      <c r="CE3" s="672"/>
      <c r="CF3" s="672"/>
      <c r="CG3" s="672"/>
      <c r="CH3" s="672"/>
      <c r="CI3" s="673"/>
      <c r="CJ3" s="673"/>
      <c r="CK3" s="676"/>
      <c r="CM3" s="673"/>
      <c r="CN3" s="673"/>
      <c r="CO3" s="676"/>
      <c r="CQ3" s="672"/>
      <c r="CR3" s="672"/>
      <c r="CS3" s="672"/>
      <c r="CT3" s="672"/>
      <c r="CU3" s="672"/>
      <c r="CV3" s="672"/>
      <c r="CW3" s="672"/>
      <c r="CX3" s="672"/>
      <c r="CY3" s="672"/>
      <c r="CZ3" s="672"/>
      <c r="DA3" s="672"/>
      <c r="DB3" s="672"/>
      <c r="DC3" s="672"/>
      <c r="DD3" s="672"/>
      <c r="DE3" s="672"/>
      <c r="DF3" s="672"/>
      <c r="DG3" s="672"/>
      <c r="DH3" s="672"/>
      <c r="DI3" s="671"/>
      <c r="DJ3" s="671"/>
      <c r="DK3" s="672"/>
      <c r="DL3" s="672"/>
      <c r="DM3" s="671"/>
      <c r="DN3" s="671"/>
      <c r="DO3" s="673"/>
      <c r="DP3" s="673"/>
      <c r="DQ3" s="676"/>
      <c r="DS3" s="672"/>
      <c r="DT3" s="672"/>
      <c r="DU3" s="672"/>
      <c r="DV3" s="672"/>
      <c r="DW3" s="672"/>
      <c r="DX3" s="672"/>
      <c r="DY3" s="672"/>
      <c r="DZ3" s="672"/>
      <c r="EA3" s="672"/>
      <c r="EB3" s="672"/>
      <c r="EC3" s="672"/>
      <c r="ED3" s="672"/>
      <c r="EE3" s="672"/>
      <c r="EF3" s="672"/>
      <c r="EG3" s="672"/>
      <c r="EH3" s="672"/>
      <c r="EI3" s="671"/>
      <c r="EJ3" s="671"/>
      <c r="EK3" s="671"/>
      <c r="EL3" s="671"/>
    </row>
    <row r="4" spans="1:152" ht="12.75" customHeight="1">
      <c r="A4" s="662" t="s">
        <v>581</v>
      </c>
      <c r="B4" s="670"/>
      <c r="C4" s="670"/>
      <c r="D4" s="671"/>
      <c r="E4" s="670"/>
      <c r="F4" s="672" t="s">
        <v>936</v>
      </c>
      <c r="G4" s="672"/>
      <c r="H4" s="672" t="s">
        <v>937</v>
      </c>
      <c r="I4" s="669"/>
      <c r="J4" s="672"/>
      <c r="L4" s="670"/>
      <c r="M4" s="670"/>
      <c r="N4" s="670"/>
      <c r="O4" s="672"/>
      <c r="P4" s="672"/>
      <c r="Q4" s="672"/>
      <c r="R4" s="672"/>
      <c r="Y4" s="672"/>
      <c r="Z4" s="672"/>
      <c r="AC4" s="672"/>
      <c r="AD4" s="672"/>
      <c r="AG4" s="672"/>
      <c r="AH4" s="672"/>
      <c r="AI4" s="672"/>
      <c r="AJ4" s="672"/>
      <c r="AK4" s="672"/>
      <c r="AL4" s="672"/>
      <c r="AM4" s="672"/>
      <c r="AN4" s="672"/>
      <c r="AO4" s="672"/>
      <c r="AP4" s="672"/>
      <c r="AQ4" s="672"/>
      <c r="AR4" s="672"/>
      <c r="AS4" s="672"/>
      <c r="AT4" s="672"/>
      <c r="AU4" s="672"/>
      <c r="AV4" s="672"/>
      <c r="AW4" s="672"/>
      <c r="AX4" s="672"/>
      <c r="AY4" s="672"/>
      <c r="AZ4" s="672"/>
      <c r="BA4" s="672"/>
      <c r="BB4" s="672"/>
      <c r="BC4" s="672"/>
      <c r="BD4" s="672"/>
      <c r="BE4" s="672"/>
      <c r="BF4" s="672"/>
      <c r="BG4" s="672"/>
      <c r="BH4" s="672"/>
      <c r="BI4" s="672"/>
      <c r="BJ4" s="672"/>
      <c r="BK4" s="672"/>
      <c r="BL4" s="672"/>
      <c r="BM4" s="672"/>
      <c r="BN4" s="672"/>
      <c r="BO4" s="672"/>
      <c r="BP4" s="672"/>
      <c r="BQ4" s="672"/>
      <c r="BR4" s="672"/>
      <c r="BS4" s="672"/>
      <c r="BT4" s="672"/>
      <c r="BU4" s="672"/>
      <c r="BV4" s="672"/>
      <c r="BW4" s="672"/>
      <c r="BX4" s="672"/>
      <c r="BY4" s="672"/>
      <c r="BZ4" s="672"/>
      <c r="CA4" s="672"/>
      <c r="CB4" s="672"/>
      <c r="CC4" s="672"/>
      <c r="CD4" s="672"/>
      <c r="CE4" s="672"/>
      <c r="CF4" s="672"/>
      <c r="CG4" s="672"/>
      <c r="CH4" s="672"/>
      <c r="CI4" s="672"/>
      <c r="CJ4" s="672"/>
      <c r="CK4" s="672"/>
      <c r="CL4" s="672"/>
      <c r="CM4" s="672"/>
      <c r="CN4" s="672"/>
      <c r="CO4" s="672"/>
      <c r="CP4" s="672"/>
      <c r="CQ4" s="672"/>
      <c r="CR4" s="672"/>
      <c r="CS4" s="672"/>
      <c r="CT4" s="672"/>
      <c r="CU4" s="672"/>
      <c r="CV4" s="672"/>
      <c r="CW4" s="672"/>
      <c r="CX4" s="672"/>
      <c r="CY4" s="672"/>
      <c r="CZ4" s="672"/>
      <c r="DA4" s="672"/>
      <c r="DB4" s="672"/>
      <c r="DC4" s="672"/>
      <c r="DD4" s="672"/>
      <c r="DE4" s="672"/>
      <c r="DF4" s="672"/>
      <c r="DG4" s="672"/>
      <c r="DH4" s="672"/>
      <c r="DI4" s="671"/>
      <c r="DJ4" s="671"/>
      <c r="DK4" s="672"/>
      <c r="DL4" s="672"/>
      <c r="DM4" s="671"/>
      <c r="DN4" s="671"/>
      <c r="DO4" s="672"/>
      <c r="DP4" s="672"/>
      <c r="DQ4" s="672"/>
      <c r="DR4" s="672"/>
      <c r="DS4" s="672"/>
      <c r="DT4" s="672"/>
      <c r="DU4" s="672"/>
      <c r="DV4" s="672"/>
      <c r="DW4" s="672"/>
      <c r="DX4" s="672"/>
      <c r="DY4" s="672"/>
      <c r="DZ4" s="672"/>
      <c r="EA4" s="672"/>
      <c r="EB4" s="672"/>
      <c r="EC4" s="672"/>
      <c r="ED4" s="672"/>
      <c r="EE4" s="672"/>
      <c r="EF4" s="672"/>
      <c r="EG4" s="672"/>
      <c r="EH4" s="672"/>
      <c r="EI4" s="671"/>
      <c r="EJ4" s="671"/>
      <c r="EK4" s="671"/>
      <c r="EL4" s="671"/>
    </row>
    <row r="5" spans="1:152" ht="12.75" customHeight="1">
      <c r="A5" s="670"/>
      <c r="B5" s="670"/>
      <c r="C5" s="670"/>
      <c r="D5" s="671"/>
      <c r="E5" s="670"/>
      <c r="F5" s="672" t="s">
        <v>938</v>
      </c>
      <c r="G5" s="672"/>
      <c r="H5" s="672" t="s">
        <v>939</v>
      </c>
      <c r="I5" s="672"/>
      <c r="J5" s="672"/>
      <c r="L5" s="670"/>
      <c r="M5" s="670"/>
      <c r="N5" s="670"/>
      <c r="O5" s="672"/>
      <c r="P5" s="672"/>
      <c r="Q5" s="672"/>
      <c r="R5" s="672"/>
      <c r="Y5" s="672"/>
      <c r="Z5" s="672"/>
      <c r="AC5" s="672"/>
      <c r="AD5" s="672"/>
      <c r="AG5" s="672"/>
      <c r="AH5" s="672"/>
      <c r="AI5" s="672"/>
      <c r="AJ5" s="672"/>
      <c r="AK5" s="672"/>
      <c r="AL5" s="672"/>
      <c r="AM5" s="672"/>
      <c r="AN5" s="672"/>
      <c r="AO5" s="672"/>
      <c r="AP5" s="672"/>
      <c r="AQ5" s="672"/>
      <c r="AR5" s="672"/>
      <c r="AS5" s="672"/>
      <c r="AT5" s="672"/>
      <c r="AU5" s="672"/>
      <c r="AV5" s="672"/>
      <c r="AW5" s="672"/>
      <c r="AX5" s="672"/>
      <c r="AY5" s="672"/>
      <c r="AZ5" s="672"/>
      <c r="BA5" s="672"/>
      <c r="BB5" s="672"/>
      <c r="BC5" s="672"/>
      <c r="BD5" s="672"/>
      <c r="BE5" s="672"/>
      <c r="BF5" s="672"/>
      <c r="BG5" s="672"/>
      <c r="BH5" s="672"/>
      <c r="BI5" s="672"/>
      <c r="BJ5" s="672"/>
      <c r="BK5" s="672"/>
      <c r="BL5" s="672"/>
      <c r="BM5" s="672"/>
      <c r="BN5" s="672"/>
      <c r="BO5" s="672"/>
      <c r="BP5" s="672"/>
      <c r="BQ5" s="672"/>
      <c r="BR5" s="672"/>
      <c r="BS5" s="672"/>
      <c r="BT5" s="672"/>
      <c r="BU5" s="672"/>
      <c r="BV5" s="672"/>
      <c r="BW5" s="672"/>
      <c r="BX5" s="672"/>
      <c r="BY5" s="672"/>
      <c r="BZ5" s="672"/>
      <c r="CA5" s="672"/>
      <c r="CB5" s="672"/>
      <c r="CC5" s="672"/>
      <c r="CD5" s="672"/>
      <c r="CE5" s="672"/>
      <c r="CF5" s="672"/>
      <c r="CG5" s="672"/>
      <c r="CH5" s="672"/>
      <c r="CI5" s="672"/>
      <c r="CJ5" s="672"/>
      <c r="CK5" s="672"/>
      <c r="CL5" s="672"/>
      <c r="CM5" s="672"/>
      <c r="CN5" s="672"/>
      <c r="CO5" s="672"/>
      <c r="CP5" s="672"/>
      <c r="CQ5" s="672"/>
      <c r="CR5" s="672"/>
      <c r="CS5" s="672"/>
      <c r="CT5" s="672"/>
      <c r="CU5" s="672"/>
      <c r="CV5" s="672"/>
      <c r="CW5" s="672"/>
      <c r="CX5" s="672"/>
      <c r="CY5" s="672"/>
      <c r="CZ5" s="672"/>
      <c r="DA5" s="672"/>
      <c r="DB5" s="672"/>
      <c r="DC5" s="672"/>
      <c r="DD5" s="672"/>
      <c r="DE5" s="672"/>
      <c r="DF5" s="672"/>
      <c r="DG5" s="672"/>
      <c r="DH5" s="672"/>
      <c r="DI5" s="671"/>
      <c r="DJ5" s="671"/>
      <c r="DK5" s="672"/>
      <c r="DL5" s="672"/>
      <c r="DM5" s="671"/>
      <c r="DN5" s="671"/>
      <c r="DO5" s="672"/>
      <c r="DP5" s="672"/>
      <c r="DQ5" s="672"/>
      <c r="DR5" s="672"/>
      <c r="DS5" s="672"/>
      <c r="DT5" s="672"/>
      <c r="DU5" s="672"/>
      <c r="DV5" s="672"/>
      <c r="DW5" s="672"/>
      <c r="DX5" s="672"/>
      <c r="DY5" s="672"/>
      <c r="DZ5" s="672"/>
      <c r="EA5" s="672"/>
      <c r="EB5" s="672"/>
      <c r="EC5" s="672"/>
      <c r="ED5" s="672"/>
      <c r="EE5" s="672"/>
      <c r="EF5" s="672"/>
      <c r="EG5" s="672"/>
      <c r="EH5" s="672"/>
      <c r="EI5" s="671"/>
      <c r="EJ5" s="671"/>
      <c r="EK5" s="671"/>
      <c r="EL5" s="671"/>
    </row>
    <row r="6" spans="1:152" ht="12.75" customHeight="1">
      <c r="A6" s="670"/>
      <c r="B6" s="670"/>
      <c r="C6" s="670"/>
      <c r="D6" s="671"/>
      <c r="E6" s="670"/>
      <c r="F6" s="672" t="s">
        <v>940</v>
      </c>
      <c r="G6" s="672"/>
      <c r="H6" s="672" t="s">
        <v>941</v>
      </c>
      <c r="I6" s="672"/>
      <c r="J6" s="672"/>
      <c r="L6" s="670"/>
      <c r="M6" s="670"/>
      <c r="N6" s="670"/>
      <c r="O6" s="672"/>
      <c r="P6" s="672"/>
      <c r="Q6" s="672"/>
      <c r="R6" s="672"/>
      <c r="Y6" s="672"/>
      <c r="Z6" s="672"/>
      <c r="AC6" s="672"/>
      <c r="AD6" s="672"/>
      <c r="AG6" s="672"/>
      <c r="AH6" s="672"/>
      <c r="AI6" s="672"/>
      <c r="AJ6" s="672"/>
      <c r="AK6" s="672"/>
      <c r="AL6" s="672"/>
      <c r="AM6" s="672"/>
      <c r="AN6" s="672"/>
      <c r="AO6" s="672"/>
      <c r="AP6" s="672"/>
      <c r="AQ6" s="672"/>
      <c r="AR6" s="672"/>
      <c r="AS6" s="672"/>
      <c r="AT6" s="672"/>
      <c r="AU6" s="672"/>
      <c r="AV6" s="672"/>
      <c r="AW6" s="672"/>
      <c r="AX6" s="672"/>
      <c r="AY6" s="672"/>
      <c r="AZ6" s="672"/>
      <c r="BA6" s="672"/>
      <c r="BB6" s="672"/>
      <c r="BC6" s="672"/>
      <c r="BD6" s="672"/>
      <c r="BE6" s="672"/>
      <c r="BF6" s="672"/>
      <c r="BG6" s="672"/>
      <c r="BH6" s="672"/>
      <c r="BI6" s="672"/>
      <c r="BJ6" s="672"/>
      <c r="BK6" s="672"/>
      <c r="BL6" s="672"/>
      <c r="BM6" s="672"/>
      <c r="BN6" s="672"/>
      <c r="BO6" s="672"/>
      <c r="BP6" s="672"/>
      <c r="BQ6" s="672"/>
      <c r="BR6" s="672"/>
      <c r="BS6" s="672"/>
      <c r="BT6" s="672"/>
      <c r="BU6" s="672"/>
      <c r="BV6" s="672"/>
      <c r="BW6" s="672"/>
      <c r="BX6" s="672"/>
      <c r="BY6" s="672"/>
      <c r="BZ6" s="672"/>
      <c r="CA6" s="672"/>
      <c r="CB6" s="672"/>
      <c r="CC6" s="672"/>
      <c r="CD6" s="672"/>
      <c r="CE6" s="672"/>
      <c r="CF6" s="672"/>
      <c r="CG6" s="672"/>
      <c r="CH6" s="672"/>
      <c r="CI6" s="672"/>
      <c r="CJ6" s="672"/>
      <c r="CK6" s="672"/>
      <c r="CL6" s="672"/>
      <c r="CM6" s="672"/>
      <c r="CN6" s="672"/>
      <c r="CO6" s="672"/>
      <c r="CP6" s="672"/>
      <c r="CQ6" s="672"/>
      <c r="CR6" s="672"/>
      <c r="CS6" s="672"/>
      <c r="CT6" s="672"/>
      <c r="CU6" s="672"/>
      <c r="CV6" s="672"/>
      <c r="CW6" s="672"/>
      <c r="CX6" s="672"/>
      <c r="CY6" s="672"/>
      <c r="CZ6" s="672"/>
      <c r="DA6" s="672"/>
      <c r="DB6" s="672"/>
      <c r="DC6" s="672"/>
      <c r="DD6" s="672"/>
      <c r="DE6" s="672"/>
      <c r="DF6" s="672"/>
      <c r="DG6" s="672"/>
      <c r="DH6" s="672"/>
      <c r="DI6" s="671"/>
      <c r="DJ6" s="671"/>
      <c r="DK6" s="672"/>
      <c r="DL6" s="672"/>
      <c r="DM6" s="671"/>
      <c r="DN6" s="671"/>
      <c r="DO6" s="672"/>
      <c r="DP6" s="672"/>
      <c r="DQ6" s="672"/>
      <c r="DR6" s="672"/>
      <c r="DS6" s="672"/>
      <c r="DT6" s="672"/>
      <c r="DU6" s="672"/>
      <c r="DV6" s="672"/>
      <c r="DW6" s="672"/>
      <c r="DX6" s="672"/>
      <c r="DY6" s="672"/>
      <c r="DZ6" s="672"/>
      <c r="EA6" s="672"/>
      <c r="EB6" s="672"/>
      <c r="EC6" s="672"/>
      <c r="ED6" s="672"/>
      <c r="EE6" s="672"/>
      <c r="EF6" s="672"/>
      <c r="EG6" s="672"/>
      <c r="EH6" s="672"/>
      <c r="EI6" s="671"/>
      <c r="EJ6" s="671"/>
      <c r="EK6" s="671"/>
      <c r="EL6" s="671"/>
    </row>
    <row r="7" spans="1:152" s="671" customFormat="1" ht="12.75" customHeight="1">
      <c r="B7" s="671">
        <v>1</v>
      </c>
      <c r="C7" s="671">
        <v>2</v>
      </c>
      <c r="D7" s="671">
        <v>3</v>
      </c>
      <c r="E7" s="671">
        <v>4</v>
      </c>
      <c r="F7" s="671">
        <v>5</v>
      </c>
      <c r="G7" s="671">
        <v>6</v>
      </c>
      <c r="H7" s="671">
        <v>7</v>
      </c>
      <c r="I7" s="671">
        <v>8</v>
      </c>
      <c r="J7" s="671">
        <v>9</v>
      </c>
      <c r="K7" s="671">
        <v>10</v>
      </c>
      <c r="L7" s="671">
        <v>11</v>
      </c>
      <c r="M7" s="671">
        <v>12</v>
      </c>
      <c r="N7" s="671">
        <v>13</v>
      </c>
      <c r="O7" s="671">
        <v>14</v>
      </c>
      <c r="P7" s="671">
        <v>15</v>
      </c>
      <c r="Q7" s="671">
        <v>16</v>
      </c>
      <c r="R7" s="671">
        <v>17</v>
      </c>
      <c r="S7" s="671">
        <v>18</v>
      </c>
      <c r="T7" s="671">
        <v>19</v>
      </c>
      <c r="U7" s="671">
        <v>20</v>
      </c>
      <c r="V7" s="671">
        <v>21</v>
      </c>
      <c r="W7" s="671">
        <v>22</v>
      </c>
      <c r="X7" s="671">
        <v>23</v>
      </c>
      <c r="Y7" s="671">
        <v>24</v>
      </c>
      <c r="Z7" s="671">
        <v>25</v>
      </c>
      <c r="AA7" s="671">
        <v>26</v>
      </c>
      <c r="AB7" s="671">
        <v>27</v>
      </c>
      <c r="AC7" s="671">
        <v>28</v>
      </c>
      <c r="AD7" s="671">
        <v>29</v>
      </c>
      <c r="AE7" s="671">
        <v>30</v>
      </c>
      <c r="AF7" s="671">
        <v>31</v>
      </c>
      <c r="AG7" s="671">
        <v>32</v>
      </c>
      <c r="AH7" s="671">
        <v>33</v>
      </c>
      <c r="AI7" s="671">
        <v>34</v>
      </c>
      <c r="AJ7" s="671">
        <v>35</v>
      </c>
      <c r="AK7" s="671">
        <v>36</v>
      </c>
      <c r="AL7" s="671">
        <v>37</v>
      </c>
      <c r="AM7" s="671">
        <v>38</v>
      </c>
      <c r="AN7" s="671">
        <v>39</v>
      </c>
      <c r="AO7" s="671">
        <v>40</v>
      </c>
      <c r="AP7" s="671">
        <v>41</v>
      </c>
      <c r="AQ7" s="671">
        <v>42</v>
      </c>
      <c r="AR7" s="671">
        <v>43</v>
      </c>
      <c r="AS7" s="671">
        <v>44</v>
      </c>
      <c r="AT7" s="671">
        <v>45</v>
      </c>
      <c r="AU7" s="671">
        <v>46</v>
      </c>
      <c r="AV7" s="671">
        <v>47</v>
      </c>
      <c r="AW7" s="671">
        <v>48</v>
      </c>
      <c r="AX7" s="671">
        <v>49</v>
      </c>
      <c r="AY7" s="671">
        <v>50</v>
      </c>
      <c r="AZ7" s="671">
        <v>51</v>
      </c>
      <c r="BA7" s="671">
        <v>52</v>
      </c>
      <c r="BB7" s="671">
        <v>53</v>
      </c>
      <c r="BC7" s="671">
        <v>54</v>
      </c>
      <c r="BD7" s="671">
        <v>55</v>
      </c>
      <c r="BE7" s="671">
        <v>56</v>
      </c>
      <c r="BF7" s="671">
        <v>57</v>
      </c>
      <c r="BG7" s="671">
        <v>58</v>
      </c>
      <c r="BH7" s="671">
        <v>59</v>
      </c>
      <c r="BI7" s="671">
        <v>60</v>
      </c>
      <c r="BJ7" s="671">
        <v>61</v>
      </c>
      <c r="BK7" s="671">
        <v>62</v>
      </c>
      <c r="BL7" s="671">
        <v>63</v>
      </c>
      <c r="BM7" s="671">
        <v>64</v>
      </c>
      <c r="BN7" s="671">
        <v>65</v>
      </c>
      <c r="BO7" s="671">
        <v>66</v>
      </c>
      <c r="BP7" s="671">
        <v>67</v>
      </c>
      <c r="BQ7" s="671">
        <v>68</v>
      </c>
      <c r="BR7" s="671">
        <v>69</v>
      </c>
      <c r="BS7" s="671">
        <v>70</v>
      </c>
      <c r="BT7" s="671">
        <v>71</v>
      </c>
      <c r="BU7" s="671">
        <v>72</v>
      </c>
      <c r="BV7" s="671">
        <v>73</v>
      </c>
      <c r="BW7" s="671">
        <v>74</v>
      </c>
      <c r="BX7" s="671">
        <v>75</v>
      </c>
      <c r="BY7" s="671">
        <v>76</v>
      </c>
      <c r="BZ7" s="671">
        <v>77</v>
      </c>
      <c r="CA7" s="671">
        <v>78</v>
      </c>
      <c r="CB7" s="671">
        <v>79</v>
      </c>
      <c r="CC7" s="671">
        <v>80</v>
      </c>
      <c r="CD7" s="671">
        <v>81</v>
      </c>
      <c r="CE7" s="671">
        <v>82</v>
      </c>
      <c r="CF7" s="671">
        <v>83</v>
      </c>
      <c r="CG7" s="671">
        <v>84</v>
      </c>
      <c r="CH7" s="671">
        <v>85</v>
      </c>
      <c r="CI7" s="671">
        <v>86</v>
      </c>
      <c r="CJ7" s="671">
        <v>87</v>
      </c>
      <c r="CK7" s="671">
        <v>88</v>
      </c>
      <c r="CL7" s="671">
        <v>89</v>
      </c>
      <c r="CM7" s="671">
        <v>90</v>
      </c>
      <c r="CN7" s="671">
        <v>91</v>
      </c>
      <c r="CO7" s="671">
        <v>92</v>
      </c>
      <c r="CP7" s="671">
        <v>93</v>
      </c>
      <c r="CQ7" s="671">
        <v>94</v>
      </c>
      <c r="CR7" s="671">
        <v>95</v>
      </c>
      <c r="CS7" s="671">
        <v>96</v>
      </c>
      <c r="CT7" s="671">
        <v>97</v>
      </c>
      <c r="CU7" s="671">
        <v>98</v>
      </c>
      <c r="CV7" s="671">
        <v>99</v>
      </c>
      <c r="CW7" s="671">
        <v>100</v>
      </c>
      <c r="CX7" s="671">
        <v>101</v>
      </c>
      <c r="CY7" s="671">
        <v>102</v>
      </c>
      <c r="CZ7" s="671">
        <v>103</v>
      </c>
      <c r="DA7" s="671">
        <v>104</v>
      </c>
      <c r="DB7" s="671">
        <v>105</v>
      </c>
      <c r="DC7" s="671">
        <v>106</v>
      </c>
      <c r="DD7" s="671">
        <v>107</v>
      </c>
      <c r="DE7" s="671">
        <v>108</v>
      </c>
      <c r="DF7" s="671">
        <v>109</v>
      </c>
      <c r="DG7" s="671">
        <v>110</v>
      </c>
      <c r="DH7" s="671">
        <v>111</v>
      </c>
      <c r="DI7" s="671">
        <v>112</v>
      </c>
      <c r="DJ7" s="671">
        <v>113</v>
      </c>
      <c r="DK7" s="671">
        <v>114</v>
      </c>
      <c r="DL7" s="671">
        <v>115</v>
      </c>
      <c r="DM7" s="671">
        <v>116</v>
      </c>
      <c r="DN7" s="671">
        <v>117</v>
      </c>
      <c r="DO7" s="671">
        <v>118</v>
      </c>
      <c r="DP7" s="671">
        <v>119</v>
      </c>
      <c r="DQ7" s="671">
        <v>120</v>
      </c>
      <c r="DR7" s="671">
        <v>121</v>
      </c>
      <c r="DS7" s="671">
        <v>122</v>
      </c>
      <c r="DT7" s="671">
        <v>123</v>
      </c>
      <c r="DU7" s="671">
        <v>124</v>
      </c>
      <c r="DV7" s="671">
        <v>125</v>
      </c>
      <c r="DW7" s="671">
        <v>126</v>
      </c>
      <c r="DX7" s="671">
        <v>127</v>
      </c>
      <c r="DY7" s="671">
        <v>128</v>
      </c>
      <c r="DZ7" s="671">
        <v>129</v>
      </c>
      <c r="EA7" s="671">
        <v>130</v>
      </c>
      <c r="EB7" s="671">
        <v>131</v>
      </c>
      <c r="EC7" s="671">
        <v>132</v>
      </c>
      <c r="ED7" s="671">
        <v>133</v>
      </c>
      <c r="EE7" s="671">
        <v>134</v>
      </c>
      <c r="EF7" s="671">
        <v>135</v>
      </c>
      <c r="EG7" s="671">
        <v>136</v>
      </c>
      <c r="EH7" s="671">
        <v>137</v>
      </c>
      <c r="EI7" s="671">
        <v>138</v>
      </c>
      <c r="EJ7" s="671">
        <v>139</v>
      </c>
      <c r="EK7" s="671">
        <v>140</v>
      </c>
      <c r="EL7" s="671">
        <v>141</v>
      </c>
      <c r="EM7" s="671">
        <v>142</v>
      </c>
      <c r="EN7" s="671">
        <v>143</v>
      </c>
      <c r="EO7" s="671">
        <v>144</v>
      </c>
      <c r="EP7" s="671">
        <v>145</v>
      </c>
      <c r="EQ7" s="671">
        <v>146</v>
      </c>
      <c r="ER7" s="671">
        <v>147</v>
      </c>
      <c r="ES7" s="671">
        <v>148</v>
      </c>
      <c r="ET7" s="671">
        <v>149</v>
      </c>
      <c r="EU7" s="671">
        <v>150</v>
      </c>
      <c r="EV7" s="671">
        <v>151</v>
      </c>
    </row>
    <row r="8" spans="1:152" s="681" customFormat="1" ht="30" customHeight="1">
      <c r="A8" s="933" t="s">
        <v>18</v>
      </c>
      <c r="B8" s="935" t="s">
        <v>236</v>
      </c>
      <c r="C8" s="935" t="s">
        <v>237</v>
      </c>
      <c r="D8" s="935" t="s">
        <v>942</v>
      </c>
      <c r="E8" s="935" t="s">
        <v>584</v>
      </c>
      <c r="F8" s="951" t="s">
        <v>943</v>
      </c>
      <c r="G8" s="678" t="s">
        <v>944</v>
      </c>
      <c r="H8" s="678"/>
      <c r="I8" s="678"/>
      <c r="J8" s="679" t="s">
        <v>945</v>
      </c>
      <c r="K8" s="679"/>
      <c r="L8" s="679"/>
      <c r="M8" s="679"/>
      <c r="N8" s="679"/>
      <c r="O8" s="944" t="s">
        <v>202</v>
      </c>
      <c r="P8" s="945"/>
      <c r="Q8" s="945"/>
      <c r="R8" s="946"/>
      <c r="S8" s="944" t="s">
        <v>203</v>
      </c>
      <c r="T8" s="945"/>
      <c r="U8" s="945"/>
      <c r="V8" s="946"/>
      <c r="W8" s="944" t="s">
        <v>204</v>
      </c>
      <c r="X8" s="945"/>
      <c r="Y8" s="945"/>
      <c r="Z8" s="946"/>
      <c r="AA8" s="944" t="s">
        <v>205</v>
      </c>
      <c r="AB8" s="945"/>
      <c r="AC8" s="945"/>
      <c r="AD8" s="946"/>
      <c r="AE8" s="947" t="s">
        <v>206</v>
      </c>
      <c r="AF8" s="948"/>
      <c r="AG8" s="948"/>
      <c r="AH8" s="949"/>
      <c r="AI8" s="950" t="s">
        <v>207</v>
      </c>
      <c r="AJ8" s="950"/>
      <c r="AK8" s="950"/>
      <c r="AL8" s="950"/>
      <c r="AM8" s="963" t="s">
        <v>629</v>
      </c>
      <c r="AN8" s="963"/>
      <c r="AO8" s="963"/>
      <c r="AP8" s="963"/>
      <c r="AQ8" s="964" t="s">
        <v>628</v>
      </c>
      <c r="AR8" s="964"/>
      <c r="AS8" s="964"/>
      <c r="AT8" s="964"/>
      <c r="AU8" s="964" t="s">
        <v>627</v>
      </c>
      <c r="AV8" s="964"/>
      <c r="AW8" s="964"/>
      <c r="AX8" s="964"/>
      <c r="AY8" s="964" t="s">
        <v>626</v>
      </c>
      <c r="AZ8" s="964"/>
      <c r="BA8" s="964"/>
      <c r="BB8" s="964"/>
      <c r="BC8" s="964" t="s">
        <v>625</v>
      </c>
      <c r="BD8" s="964"/>
      <c r="BE8" s="964"/>
      <c r="BF8" s="964"/>
      <c r="BG8" s="964" t="s">
        <v>624</v>
      </c>
      <c r="BH8" s="964"/>
      <c r="BI8" s="964"/>
      <c r="BJ8" s="964"/>
      <c r="BK8" s="950" t="s">
        <v>623</v>
      </c>
      <c r="BL8" s="950"/>
      <c r="BM8" s="950"/>
      <c r="BN8" s="950"/>
      <c r="BO8" s="964" t="s">
        <v>622</v>
      </c>
      <c r="BP8" s="964"/>
      <c r="BQ8" s="964"/>
      <c r="BR8" s="964"/>
      <c r="BS8" s="964" t="s">
        <v>621</v>
      </c>
      <c r="BT8" s="964"/>
      <c r="BU8" s="964"/>
      <c r="BV8" s="964"/>
      <c r="BW8" s="960">
        <v>16</v>
      </c>
      <c r="BX8" s="961"/>
      <c r="BY8" s="961"/>
      <c r="BZ8" s="962"/>
      <c r="CA8" s="960">
        <v>17</v>
      </c>
      <c r="CB8" s="961"/>
      <c r="CC8" s="961"/>
      <c r="CD8" s="962"/>
      <c r="CE8" s="960" t="s">
        <v>618</v>
      </c>
      <c r="CF8" s="961"/>
      <c r="CG8" s="961"/>
      <c r="CH8" s="962"/>
      <c r="CI8" s="950" t="s">
        <v>617</v>
      </c>
      <c r="CJ8" s="950"/>
      <c r="CK8" s="950"/>
      <c r="CL8" s="950"/>
      <c r="CM8" s="950" t="s">
        <v>616</v>
      </c>
      <c r="CN8" s="950"/>
      <c r="CO8" s="950"/>
      <c r="CP8" s="950"/>
      <c r="CQ8" s="963" t="s">
        <v>615</v>
      </c>
      <c r="CR8" s="963"/>
      <c r="CS8" s="963"/>
      <c r="CT8" s="963"/>
      <c r="CU8" s="964" t="s">
        <v>614</v>
      </c>
      <c r="CV8" s="964"/>
      <c r="CW8" s="964"/>
      <c r="CX8" s="964"/>
      <c r="CY8" s="964" t="s">
        <v>613</v>
      </c>
      <c r="CZ8" s="964"/>
      <c r="DA8" s="964"/>
      <c r="DB8" s="964"/>
      <c r="DC8" s="964" t="s">
        <v>612</v>
      </c>
      <c r="DD8" s="964"/>
      <c r="DE8" s="964"/>
      <c r="DF8" s="964"/>
      <c r="DG8" s="960">
        <v>25</v>
      </c>
      <c r="DH8" s="961"/>
      <c r="DI8" s="961"/>
      <c r="DJ8" s="962"/>
      <c r="DK8" s="960" t="s">
        <v>610</v>
      </c>
      <c r="DL8" s="961"/>
      <c r="DM8" s="961"/>
      <c r="DN8" s="962"/>
      <c r="DO8" s="950" t="s">
        <v>609</v>
      </c>
      <c r="DP8" s="950"/>
      <c r="DQ8" s="950"/>
      <c r="DR8" s="950"/>
      <c r="DS8" s="963" t="s">
        <v>608</v>
      </c>
      <c r="DT8" s="963"/>
      <c r="DU8" s="963"/>
      <c r="DV8" s="963"/>
      <c r="DW8" s="955" t="s">
        <v>607</v>
      </c>
      <c r="DX8" s="956"/>
      <c r="DY8" s="956"/>
      <c r="DZ8" s="957"/>
      <c r="EA8" s="955" t="s">
        <v>606</v>
      </c>
      <c r="EB8" s="956"/>
      <c r="EC8" s="956"/>
      <c r="ED8" s="957"/>
      <c r="EE8" s="955" t="s">
        <v>605</v>
      </c>
      <c r="EF8" s="956"/>
      <c r="EG8" s="956"/>
      <c r="EH8" s="957"/>
      <c r="EI8" s="958" t="s">
        <v>946</v>
      </c>
      <c r="EJ8" s="959"/>
      <c r="EK8" s="959"/>
      <c r="EL8" s="935" t="s">
        <v>568</v>
      </c>
      <c r="EM8" s="935" t="s">
        <v>569</v>
      </c>
      <c r="EN8" s="935" t="s">
        <v>570</v>
      </c>
      <c r="EO8" s="680" t="s">
        <v>571</v>
      </c>
      <c r="EP8" s="680"/>
      <c r="EQ8" s="680"/>
      <c r="ER8" s="680"/>
      <c r="ES8" s="965" t="s">
        <v>947</v>
      </c>
      <c r="ET8" s="965" t="s">
        <v>594</v>
      </c>
      <c r="EU8" s="967" t="s">
        <v>243</v>
      </c>
      <c r="EV8" s="969" t="s">
        <v>201</v>
      </c>
    </row>
    <row r="9" spans="1:152" s="685" customFormat="1" ht="25.5" customHeight="1">
      <c r="A9" s="934"/>
      <c r="B9" s="936"/>
      <c r="C9" s="936"/>
      <c r="D9" s="936"/>
      <c r="E9" s="936"/>
      <c r="F9" s="938"/>
      <c r="G9" s="938" t="s">
        <v>3</v>
      </c>
      <c r="H9" s="938" t="s">
        <v>4</v>
      </c>
      <c r="I9" s="938" t="s">
        <v>245</v>
      </c>
      <c r="J9" s="938" t="s">
        <v>543</v>
      </c>
      <c r="K9" s="938" t="s">
        <v>948</v>
      </c>
      <c r="L9" s="938" t="s">
        <v>949</v>
      </c>
      <c r="M9" s="938" t="s">
        <v>950</v>
      </c>
      <c r="N9" s="938" t="s">
        <v>951</v>
      </c>
      <c r="O9" s="952" t="s">
        <v>181</v>
      </c>
      <c r="P9" s="952"/>
      <c r="Q9" s="953" t="s">
        <v>182</v>
      </c>
      <c r="R9" s="953"/>
      <c r="S9" s="952" t="s">
        <v>181</v>
      </c>
      <c r="T9" s="952"/>
      <c r="U9" s="953" t="s">
        <v>182</v>
      </c>
      <c r="V9" s="953"/>
      <c r="W9" s="952" t="s">
        <v>181</v>
      </c>
      <c r="X9" s="952"/>
      <c r="Y9" s="953" t="s">
        <v>182</v>
      </c>
      <c r="Z9" s="953"/>
      <c r="AA9" s="952" t="s">
        <v>181</v>
      </c>
      <c r="AB9" s="952"/>
      <c r="AC9" s="953" t="s">
        <v>182</v>
      </c>
      <c r="AD9" s="953"/>
      <c r="AE9" s="954" t="s">
        <v>181</v>
      </c>
      <c r="AF9" s="954"/>
      <c r="AG9" s="954" t="s">
        <v>182</v>
      </c>
      <c r="AH9" s="954"/>
      <c r="AI9" s="954" t="s">
        <v>181</v>
      </c>
      <c r="AJ9" s="954"/>
      <c r="AK9" s="954" t="s">
        <v>182</v>
      </c>
      <c r="AL9" s="954"/>
      <c r="AM9" s="952" t="s">
        <v>181</v>
      </c>
      <c r="AN9" s="952"/>
      <c r="AO9" s="953" t="s">
        <v>182</v>
      </c>
      <c r="AP9" s="953"/>
      <c r="AQ9" s="936" t="s">
        <v>181</v>
      </c>
      <c r="AR9" s="936"/>
      <c r="AS9" s="953" t="s">
        <v>182</v>
      </c>
      <c r="AT9" s="953"/>
      <c r="AU9" s="936" t="s">
        <v>181</v>
      </c>
      <c r="AV9" s="936"/>
      <c r="AW9" s="953" t="s">
        <v>182</v>
      </c>
      <c r="AX9" s="953"/>
      <c r="AY9" s="936" t="s">
        <v>181</v>
      </c>
      <c r="AZ9" s="936"/>
      <c r="BA9" s="953" t="s">
        <v>182</v>
      </c>
      <c r="BB9" s="953"/>
      <c r="BC9" s="936" t="s">
        <v>181</v>
      </c>
      <c r="BD9" s="936"/>
      <c r="BE9" s="953" t="s">
        <v>182</v>
      </c>
      <c r="BF9" s="953"/>
      <c r="BG9" s="936" t="s">
        <v>181</v>
      </c>
      <c r="BH9" s="936"/>
      <c r="BI9" s="953" t="s">
        <v>182</v>
      </c>
      <c r="BJ9" s="953"/>
      <c r="BK9" s="954" t="s">
        <v>181</v>
      </c>
      <c r="BL9" s="954"/>
      <c r="BM9" s="954" t="s">
        <v>182</v>
      </c>
      <c r="BN9" s="954"/>
      <c r="BO9" s="936" t="s">
        <v>181</v>
      </c>
      <c r="BP9" s="936"/>
      <c r="BQ9" s="953" t="s">
        <v>182</v>
      </c>
      <c r="BR9" s="953"/>
      <c r="BS9" s="936" t="s">
        <v>181</v>
      </c>
      <c r="BT9" s="936"/>
      <c r="BU9" s="953" t="s">
        <v>182</v>
      </c>
      <c r="BV9" s="953"/>
      <c r="BW9" s="952" t="s">
        <v>181</v>
      </c>
      <c r="BX9" s="952"/>
      <c r="BY9" s="953" t="s">
        <v>182</v>
      </c>
      <c r="BZ9" s="953"/>
      <c r="CA9" s="952" t="s">
        <v>181</v>
      </c>
      <c r="CB9" s="952"/>
      <c r="CC9" s="953" t="s">
        <v>182</v>
      </c>
      <c r="CD9" s="953"/>
      <c r="CE9" s="952" t="s">
        <v>181</v>
      </c>
      <c r="CF9" s="952"/>
      <c r="CG9" s="953" t="s">
        <v>182</v>
      </c>
      <c r="CH9" s="953"/>
      <c r="CI9" s="954" t="s">
        <v>181</v>
      </c>
      <c r="CJ9" s="954"/>
      <c r="CK9" s="954" t="s">
        <v>182</v>
      </c>
      <c r="CL9" s="954"/>
      <c r="CM9" s="954" t="s">
        <v>181</v>
      </c>
      <c r="CN9" s="954"/>
      <c r="CO9" s="954" t="s">
        <v>182</v>
      </c>
      <c r="CP9" s="954"/>
      <c r="CQ9" s="952" t="s">
        <v>181</v>
      </c>
      <c r="CR9" s="952"/>
      <c r="CS9" s="953" t="s">
        <v>182</v>
      </c>
      <c r="CT9" s="953"/>
      <c r="CU9" s="936" t="s">
        <v>181</v>
      </c>
      <c r="CV9" s="936"/>
      <c r="CW9" s="953" t="s">
        <v>182</v>
      </c>
      <c r="CX9" s="953"/>
      <c r="CY9" s="936" t="s">
        <v>181</v>
      </c>
      <c r="CZ9" s="936"/>
      <c r="DA9" s="953" t="s">
        <v>182</v>
      </c>
      <c r="DB9" s="953"/>
      <c r="DC9" s="936" t="s">
        <v>181</v>
      </c>
      <c r="DD9" s="936"/>
      <c r="DE9" s="953" t="s">
        <v>182</v>
      </c>
      <c r="DF9" s="953"/>
      <c r="DG9" s="936" t="s">
        <v>181</v>
      </c>
      <c r="DH9" s="936"/>
      <c r="DI9" s="953" t="s">
        <v>182</v>
      </c>
      <c r="DJ9" s="953"/>
      <c r="DK9" s="936" t="s">
        <v>181</v>
      </c>
      <c r="DL9" s="936"/>
      <c r="DM9" s="953" t="s">
        <v>182</v>
      </c>
      <c r="DN9" s="953"/>
      <c r="DO9" s="954" t="s">
        <v>181</v>
      </c>
      <c r="DP9" s="954"/>
      <c r="DQ9" s="954" t="s">
        <v>182</v>
      </c>
      <c r="DR9" s="954"/>
      <c r="DS9" s="952" t="s">
        <v>181</v>
      </c>
      <c r="DT9" s="952"/>
      <c r="DU9" s="953" t="s">
        <v>182</v>
      </c>
      <c r="DV9" s="953"/>
      <c r="DW9" s="936" t="s">
        <v>181</v>
      </c>
      <c r="DX9" s="936"/>
      <c r="DY9" s="953" t="s">
        <v>182</v>
      </c>
      <c r="DZ9" s="953"/>
      <c r="EA9" s="936" t="s">
        <v>181</v>
      </c>
      <c r="EB9" s="936"/>
      <c r="EC9" s="953" t="s">
        <v>182</v>
      </c>
      <c r="ED9" s="953"/>
      <c r="EE9" s="936" t="s">
        <v>181</v>
      </c>
      <c r="EF9" s="936"/>
      <c r="EG9" s="953" t="s">
        <v>182</v>
      </c>
      <c r="EH9" s="953"/>
      <c r="EI9" s="682" t="s">
        <v>952</v>
      </c>
      <c r="EJ9" s="683" t="s">
        <v>953</v>
      </c>
      <c r="EK9" s="682" t="s">
        <v>954</v>
      </c>
      <c r="EL9" s="936"/>
      <c r="EM9" s="936"/>
      <c r="EN9" s="936"/>
      <c r="EO9" s="682" t="s">
        <v>952</v>
      </c>
      <c r="EP9" s="683" t="s">
        <v>953</v>
      </c>
      <c r="EQ9" s="682" t="s">
        <v>954</v>
      </c>
      <c r="ER9" s="684" t="s">
        <v>580</v>
      </c>
      <c r="ES9" s="966"/>
      <c r="ET9" s="966"/>
      <c r="EU9" s="968"/>
      <c r="EV9" s="970"/>
    </row>
    <row r="10" spans="1:152" s="685" customFormat="1" ht="23.25" customHeight="1">
      <c r="A10" s="934"/>
      <c r="B10" s="936"/>
      <c r="C10" s="936"/>
      <c r="D10" s="936"/>
      <c r="E10" s="936"/>
      <c r="F10" s="938"/>
      <c r="G10" s="938"/>
      <c r="H10" s="938"/>
      <c r="I10" s="938"/>
      <c r="J10" s="938"/>
      <c r="K10" s="938"/>
      <c r="L10" s="938"/>
      <c r="M10" s="938"/>
      <c r="N10" s="938"/>
      <c r="O10" s="686" t="s">
        <v>915</v>
      </c>
      <c r="P10" s="686" t="s">
        <v>0</v>
      </c>
      <c r="Q10" s="687" t="s">
        <v>916</v>
      </c>
      <c r="R10" s="687" t="s">
        <v>917</v>
      </c>
      <c r="S10" s="686" t="s">
        <v>915</v>
      </c>
      <c r="T10" s="686" t="s">
        <v>0</v>
      </c>
      <c r="U10" s="687" t="s">
        <v>916</v>
      </c>
      <c r="V10" s="687" t="s">
        <v>917</v>
      </c>
      <c r="W10" s="686" t="s">
        <v>915</v>
      </c>
      <c r="X10" s="686" t="s">
        <v>0</v>
      </c>
      <c r="Y10" s="687" t="s">
        <v>916</v>
      </c>
      <c r="Z10" s="687" t="s">
        <v>917</v>
      </c>
      <c r="AA10" s="686" t="s">
        <v>915</v>
      </c>
      <c r="AB10" s="686" t="s">
        <v>0</v>
      </c>
      <c r="AC10" s="687" t="s">
        <v>916</v>
      </c>
      <c r="AD10" s="687" t="s">
        <v>917</v>
      </c>
      <c r="AE10" s="688" t="s">
        <v>174</v>
      </c>
      <c r="AF10" s="688" t="s">
        <v>175</v>
      </c>
      <c r="AG10" s="688" t="s">
        <v>955</v>
      </c>
      <c r="AH10" s="688" t="s">
        <v>177</v>
      </c>
      <c r="AI10" s="688" t="s">
        <v>174</v>
      </c>
      <c r="AJ10" s="688" t="s">
        <v>175</v>
      </c>
      <c r="AK10" s="688" t="s">
        <v>955</v>
      </c>
      <c r="AL10" s="688" t="s">
        <v>177</v>
      </c>
      <c r="AM10" s="686" t="s">
        <v>915</v>
      </c>
      <c r="AN10" s="686" t="s">
        <v>0</v>
      </c>
      <c r="AO10" s="687" t="s">
        <v>916</v>
      </c>
      <c r="AP10" s="687" t="s">
        <v>917</v>
      </c>
      <c r="AQ10" s="684" t="s">
        <v>915</v>
      </c>
      <c r="AR10" s="684" t="s">
        <v>0</v>
      </c>
      <c r="AS10" s="687" t="s">
        <v>916</v>
      </c>
      <c r="AT10" s="687" t="s">
        <v>917</v>
      </c>
      <c r="AU10" s="684" t="s">
        <v>915</v>
      </c>
      <c r="AV10" s="684" t="s">
        <v>0</v>
      </c>
      <c r="AW10" s="687" t="s">
        <v>916</v>
      </c>
      <c r="AX10" s="687" t="s">
        <v>917</v>
      </c>
      <c r="AY10" s="684" t="s">
        <v>915</v>
      </c>
      <c r="AZ10" s="684" t="s">
        <v>0</v>
      </c>
      <c r="BA10" s="687" t="s">
        <v>916</v>
      </c>
      <c r="BB10" s="687" t="s">
        <v>917</v>
      </c>
      <c r="BC10" s="684" t="s">
        <v>915</v>
      </c>
      <c r="BD10" s="684" t="s">
        <v>0</v>
      </c>
      <c r="BE10" s="687" t="s">
        <v>916</v>
      </c>
      <c r="BF10" s="687" t="s">
        <v>917</v>
      </c>
      <c r="BG10" s="684" t="s">
        <v>915</v>
      </c>
      <c r="BH10" s="684" t="s">
        <v>0</v>
      </c>
      <c r="BI10" s="687" t="s">
        <v>916</v>
      </c>
      <c r="BJ10" s="687" t="s">
        <v>917</v>
      </c>
      <c r="BK10" s="688" t="s">
        <v>174</v>
      </c>
      <c r="BL10" s="688" t="s">
        <v>175</v>
      </c>
      <c r="BM10" s="688" t="s">
        <v>955</v>
      </c>
      <c r="BN10" s="688" t="s">
        <v>177</v>
      </c>
      <c r="BO10" s="684" t="s">
        <v>915</v>
      </c>
      <c r="BP10" s="684" t="s">
        <v>0</v>
      </c>
      <c r="BQ10" s="687" t="s">
        <v>916</v>
      </c>
      <c r="BR10" s="687" t="s">
        <v>917</v>
      </c>
      <c r="BS10" s="684" t="s">
        <v>915</v>
      </c>
      <c r="BT10" s="684" t="s">
        <v>0</v>
      </c>
      <c r="BU10" s="687" t="s">
        <v>916</v>
      </c>
      <c r="BV10" s="687" t="s">
        <v>917</v>
      </c>
      <c r="BW10" s="686" t="s">
        <v>915</v>
      </c>
      <c r="BX10" s="686" t="s">
        <v>0</v>
      </c>
      <c r="BY10" s="687" t="s">
        <v>916</v>
      </c>
      <c r="BZ10" s="687" t="s">
        <v>917</v>
      </c>
      <c r="CA10" s="686" t="s">
        <v>915</v>
      </c>
      <c r="CB10" s="686" t="s">
        <v>0</v>
      </c>
      <c r="CC10" s="687" t="s">
        <v>916</v>
      </c>
      <c r="CD10" s="687" t="s">
        <v>917</v>
      </c>
      <c r="CE10" s="686" t="s">
        <v>915</v>
      </c>
      <c r="CF10" s="686" t="s">
        <v>0</v>
      </c>
      <c r="CG10" s="687" t="s">
        <v>916</v>
      </c>
      <c r="CH10" s="687" t="s">
        <v>917</v>
      </c>
      <c r="CI10" s="688" t="s">
        <v>174</v>
      </c>
      <c r="CJ10" s="688" t="s">
        <v>175</v>
      </c>
      <c r="CK10" s="688" t="s">
        <v>955</v>
      </c>
      <c r="CL10" s="688" t="s">
        <v>177</v>
      </c>
      <c r="CM10" s="688" t="s">
        <v>174</v>
      </c>
      <c r="CN10" s="688" t="s">
        <v>175</v>
      </c>
      <c r="CO10" s="688" t="s">
        <v>955</v>
      </c>
      <c r="CP10" s="688" t="s">
        <v>177</v>
      </c>
      <c r="CQ10" s="686" t="s">
        <v>915</v>
      </c>
      <c r="CR10" s="686" t="s">
        <v>0</v>
      </c>
      <c r="CS10" s="687" t="s">
        <v>916</v>
      </c>
      <c r="CT10" s="687" t="s">
        <v>917</v>
      </c>
      <c r="CU10" s="684" t="s">
        <v>915</v>
      </c>
      <c r="CV10" s="684" t="s">
        <v>0</v>
      </c>
      <c r="CW10" s="687" t="s">
        <v>916</v>
      </c>
      <c r="CX10" s="687" t="s">
        <v>917</v>
      </c>
      <c r="CY10" s="684" t="s">
        <v>915</v>
      </c>
      <c r="CZ10" s="684" t="s">
        <v>0</v>
      </c>
      <c r="DA10" s="687" t="s">
        <v>916</v>
      </c>
      <c r="DB10" s="687" t="s">
        <v>917</v>
      </c>
      <c r="DC10" s="684" t="s">
        <v>915</v>
      </c>
      <c r="DD10" s="684" t="s">
        <v>0</v>
      </c>
      <c r="DE10" s="687" t="s">
        <v>916</v>
      </c>
      <c r="DF10" s="687" t="s">
        <v>917</v>
      </c>
      <c r="DG10" s="684" t="s">
        <v>915</v>
      </c>
      <c r="DH10" s="684" t="s">
        <v>0</v>
      </c>
      <c r="DI10" s="687" t="s">
        <v>916</v>
      </c>
      <c r="DJ10" s="687" t="s">
        <v>917</v>
      </c>
      <c r="DK10" s="684" t="s">
        <v>915</v>
      </c>
      <c r="DL10" s="684" t="s">
        <v>0</v>
      </c>
      <c r="DM10" s="687" t="s">
        <v>916</v>
      </c>
      <c r="DN10" s="687" t="s">
        <v>917</v>
      </c>
      <c r="DO10" s="688" t="s">
        <v>174</v>
      </c>
      <c r="DP10" s="688" t="s">
        <v>175</v>
      </c>
      <c r="DQ10" s="688" t="s">
        <v>955</v>
      </c>
      <c r="DR10" s="688" t="s">
        <v>177</v>
      </c>
      <c r="DS10" s="686" t="s">
        <v>915</v>
      </c>
      <c r="DT10" s="686" t="s">
        <v>0</v>
      </c>
      <c r="DU10" s="687" t="s">
        <v>916</v>
      </c>
      <c r="DV10" s="687" t="s">
        <v>917</v>
      </c>
      <c r="DW10" s="684" t="s">
        <v>915</v>
      </c>
      <c r="DX10" s="684" t="s">
        <v>0</v>
      </c>
      <c r="DY10" s="687" t="s">
        <v>916</v>
      </c>
      <c r="DZ10" s="687" t="s">
        <v>917</v>
      </c>
      <c r="EA10" s="684" t="s">
        <v>915</v>
      </c>
      <c r="EB10" s="684" t="s">
        <v>0</v>
      </c>
      <c r="EC10" s="687" t="s">
        <v>916</v>
      </c>
      <c r="ED10" s="687" t="s">
        <v>917</v>
      </c>
      <c r="EE10" s="684" t="s">
        <v>915</v>
      </c>
      <c r="EF10" s="684" t="s">
        <v>0</v>
      </c>
      <c r="EG10" s="687" t="s">
        <v>916</v>
      </c>
      <c r="EH10" s="687" t="s">
        <v>917</v>
      </c>
      <c r="EI10" s="689">
        <v>200000</v>
      </c>
      <c r="EJ10" s="689">
        <v>250000</v>
      </c>
      <c r="EK10" s="689">
        <f>EJ10+(32000*2)</f>
        <v>314000</v>
      </c>
      <c r="EL10" s="936"/>
      <c r="EM10" s="936"/>
      <c r="EN10" s="936"/>
      <c r="EO10" s="689">
        <v>200000</v>
      </c>
      <c r="EP10" s="689">
        <v>250000</v>
      </c>
      <c r="EQ10" s="689">
        <f>EP10+(32000*2)</f>
        <v>314000</v>
      </c>
      <c r="ER10" s="689">
        <v>0</v>
      </c>
      <c r="ES10" s="966"/>
      <c r="ET10" s="966"/>
      <c r="EU10" s="968"/>
      <c r="EV10" s="970"/>
    </row>
    <row r="11" spans="1:152" s="694" customFormat="1" ht="18.75" customHeight="1">
      <c r="A11" s="690">
        <v>0</v>
      </c>
      <c r="B11" s="691">
        <v>1</v>
      </c>
      <c r="C11" s="690">
        <v>2</v>
      </c>
      <c r="D11" s="691">
        <v>3</v>
      </c>
      <c r="E11" s="690">
        <v>4</v>
      </c>
      <c r="F11" s="691">
        <v>5</v>
      </c>
      <c r="G11" s="690">
        <v>6</v>
      </c>
      <c r="H11" s="691">
        <v>7</v>
      </c>
      <c r="I11" s="690">
        <v>8</v>
      </c>
      <c r="J11" s="691">
        <v>9</v>
      </c>
      <c r="K11" s="690">
        <v>10</v>
      </c>
      <c r="L11" s="691">
        <v>11</v>
      </c>
      <c r="M11" s="690">
        <v>12</v>
      </c>
      <c r="N11" s="691">
        <v>13</v>
      </c>
      <c r="O11" s="690">
        <v>14</v>
      </c>
      <c r="P11" s="691">
        <v>15</v>
      </c>
      <c r="Q11" s="690">
        <v>16</v>
      </c>
      <c r="R11" s="691">
        <v>17</v>
      </c>
      <c r="S11" s="690">
        <v>18</v>
      </c>
      <c r="T11" s="691">
        <v>19</v>
      </c>
      <c r="U11" s="690">
        <v>20</v>
      </c>
      <c r="V11" s="691">
        <v>21</v>
      </c>
      <c r="W11" s="690">
        <v>22</v>
      </c>
      <c r="X11" s="691">
        <v>23</v>
      </c>
      <c r="Y11" s="690">
        <v>24</v>
      </c>
      <c r="Z11" s="691">
        <v>25</v>
      </c>
      <c r="AA11" s="690">
        <v>26</v>
      </c>
      <c r="AB11" s="691">
        <v>27</v>
      </c>
      <c r="AC11" s="690">
        <v>28</v>
      </c>
      <c r="AD11" s="691">
        <v>29</v>
      </c>
      <c r="AE11" s="692">
        <v>30</v>
      </c>
      <c r="AF11" s="693">
        <v>31</v>
      </c>
      <c r="AG11" s="692">
        <v>32</v>
      </c>
      <c r="AH11" s="693">
        <v>33</v>
      </c>
      <c r="AI11" s="692">
        <v>34</v>
      </c>
      <c r="AJ11" s="693">
        <v>35</v>
      </c>
      <c r="AK11" s="692">
        <v>36</v>
      </c>
      <c r="AL11" s="693">
        <v>37</v>
      </c>
      <c r="AM11" s="690">
        <v>38</v>
      </c>
      <c r="AN11" s="691">
        <v>39</v>
      </c>
      <c r="AO11" s="690">
        <v>40</v>
      </c>
      <c r="AP11" s="691">
        <v>41</v>
      </c>
      <c r="AQ11" s="690">
        <v>42</v>
      </c>
      <c r="AR11" s="691">
        <v>43</v>
      </c>
      <c r="AS11" s="690">
        <v>44</v>
      </c>
      <c r="AT11" s="691">
        <v>45</v>
      </c>
      <c r="AU11" s="690">
        <v>46</v>
      </c>
      <c r="AV11" s="691">
        <v>47</v>
      </c>
      <c r="AW11" s="690">
        <v>48</v>
      </c>
      <c r="AX11" s="691">
        <v>49</v>
      </c>
      <c r="AY11" s="690">
        <v>50</v>
      </c>
      <c r="AZ11" s="691">
        <v>51</v>
      </c>
      <c r="BA11" s="690">
        <v>52</v>
      </c>
      <c r="BB11" s="691">
        <v>53</v>
      </c>
      <c r="BC11" s="690">
        <v>54</v>
      </c>
      <c r="BD11" s="691">
        <v>55</v>
      </c>
      <c r="BE11" s="690">
        <v>56</v>
      </c>
      <c r="BF11" s="691">
        <v>57</v>
      </c>
      <c r="BG11" s="690">
        <v>58</v>
      </c>
      <c r="BH11" s="691">
        <v>59</v>
      </c>
      <c r="BI11" s="690">
        <v>60</v>
      </c>
      <c r="BJ11" s="691">
        <v>61</v>
      </c>
      <c r="BK11" s="692">
        <v>62</v>
      </c>
      <c r="BL11" s="693">
        <v>63</v>
      </c>
      <c r="BM11" s="692">
        <v>64</v>
      </c>
      <c r="BN11" s="693">
        <v>65</v>
      </c>
      <c r="BO11" s="690">
        <v>66</v>
      </c>
      <c r="BP11" s="691">
        <v>67</v>
      </c>
      <c r="BQ11" s="690">
        <v>68</v>
      </c>
      <c r="BR11" s="691">
        <v>69</v>
      </c>
      <c r="BS11" s="690">
        <v>70</v>
      </c>
      <c r="BT11" s="691">
        <v>71</v>
      </c>
      <c r="BU11" s="690">
        <v>72</v>
      </c>
      <c r="BV11" s="691">
        <v>73</v>
      </c>
      <c r="BW11" s="690">
        <v>74</v>
      </c>
      <c r="BX11" s="691">
        <v>75</v>
      </c>
      <c r="BY11" s="690">
        <v>76</v>
      </c>
      <c r="BZ11" s="691">
        <v>77</v>
      </c>
      <c r="CA11" s="690">
        <v>78</v>
      </c>
      <c r="CB11" s="691">
        <v>79</v>
      </c>
      <c r="CC11" s="690">
        <v>80</v>
      </c>
      <c r="CD11" s="691">
        <v>81</v>
      </c>
      <c r="CE11" s="690">
        <v>82</v>
      </c>
      <c r="CF11" s="691">
        <v>83</v>
      </c>
      <c r="CG11" s="690">
        <v>84</v>
      </c>
      <c r="CH11" s="691">
        <v>85</v>
      </c>
      <c r="CI11" s="692">
        <v>86</v>
      </c>
      <c r="CJ11" s="693">
        <v>87</v>
      </c>
      <c r="CK11" s="692">
        <v>88</v>
      </c>
      <c r="CL11" s="693">
        <v>89</v>
      </c>
      <c r="CM11" s="692">
        <v>90</v>
      </c>
      <c r="CN11" s="693">
        <v>91</v>
      </c>
      <c r="CO11" s="692">
        <v>92</v>
      </c>
      <c r="CP11" s="693">
        <v>93</v>
      </c>
      <c r="CQ11" s="690">
        <v>94</v>
      </c>
      <c r="CR11" s="691">
        <v>95</v>
      </c>
      <c r="CS11" s="690">
        <v>96</v>
      </c>
      <c r="CT11" s="691">
        <v>97</v>
      </c>
      <c r="CU11" s="690">
        <v>98</v>
      </c>
      <c r="CV11" s="691">
        <v>99</v>
      </c>
      <c r="CW11" s="690">
        <v>100</v>
      </c>
      <c r="CX11" s="691">
        <v>101</v>
      </c>
      <c r="CY11" s="690">
        <v>102</v>
      </c>
      <c r="CZ11" s="691">
        <v>103</v>
      </c>
      <c r="DA11" s="690">
        <v>104</v>
      </c>
      <c r="DB11" s="691">
        <v>105</v>
      </c>
      <c r="DC11" s="690">
        <v>106</v>
      </c>
      <c r="DD11" s="691">
        <v>107</v>
      </c>
      <c r="DE11" s="690">
        <v>108</v>
      </c>
      <c r="DF11" s="691">
        <v>109</v>
      </c>
      <c r="DG11" s="690">
        <v>110</v>
      </c>
      <c r="DH11" s="691">
        <v>111</v>
      </c>
      <c r="DI11" s="690">
        <v>112</v>
      </c>
      <c r="DJ11" s="691">
        <v>113</v>
      </c>
      <c r="DK11" s="690">
        <v>114</v>
      </c>
      <c r="DL11" s="691">
        <v>115</v>
      </c>
      <c r="DM11" s="690">
        <v>116</v>
      </c>
      <c r="DN11" s="691">
        <v>117</v>
      </c>
      <c r="DO11" s="692">
        <v>118</v>
      </c>
      <c r="DP11" s="693">
        <v>119</v>
      </c>
      <c r="DQ11" s="692">
        <v>120</v>
      </c>
      <c r="DR11" s="693">
        <v>121</v>
      </c>
      <c r="DS11" s="690">
        <v>122</v>
      </c>
      <c r="DT11" s="691">
        <v>123</v>
      </c>
      <c r="DU11" s="690">
        <v>124</v>
      </c>
      <c r="DV11" s="691">
        <v>125</v>
      </c>
      <c r="DW11" s="690">
        <v>126</v>
      </c>
      <c r="DX11" s="691">
        <v>127</v>
      </c>
      <c r="DY11" s="690">
        <v>128</v>
      </c>
      <c r="DZ11" s="691">
        <v>129</v>
      </c>
      <c r="EA11" s="690">
        <v>130</v>
      </c>
      <c r="EB11" s="691">
        <v>131</v>
      </c>
      <c r="EC11" s="690">
        <v>132</v>
      </c>
      <c r="ED11" s="691">
        <v>133</v>
      </c>
      <c r="EE11" s="690">
        <v>134</v>
      </c>
      <c r="EF11" s="691">
        <v>135</v>
      </c>
      <c r="EG11" s="690">
        <v>136</v>
      </c>
      <c r="EH11" s="691">
        <v>137</v>
      </c>
      <c r="EI11" s="690">
        <v>138</v>
      </c>
      <c r="EJ11" s="691">
        <v>139</v>
      </c>
      <c r="EK11" s="690">
        <v>140</v>
      </c>
      <c r="EL11" s="691">
        <v>141</v>
      </c>
      <c r="EM11" s="690">
        <v>142</v>
      </c>
      <c r="EN11" s="691">
        <v>143</v>
      </c>
      <c r="EO11" s="690">
        <v>144</v>
      </c>
      <c r="EP11" s="691">
        <v>145</v>
      </c>
      <c r="EQ11" s="690">
        <v>146</v>
      </c>
      <c r="ER11" s="691">
        <v>147</v>
      </c>
      <c r="ES11" s="690">
        <v>148</v>
      </c>
      <c r="ET11" s="691">
        <v>149</v>
      </c>
      <c r="EU11" s="690">
        <v>150</v>
      </c>
      <c r="EV11" s="691">
        <v>151</v>
      </c>
    </row>
    <row r="12" spans="1:152" s="677" customFormat="1" ht="15.6" customHeight="1">
      <c r="A12" s="695">
        <v>1</v>
      </c>
      <c r="B12" s="696" t="s">
        <v>841</v>
      </c>
      <c r="C12" s="146" t="s">
        <v>845</v>
      </c>
      <c r="D12" s="146" t="s">
        <v>127</v>
      </c>
      <c r="E12" s="697" t="s">
        <v>846</v>
      </c>
      <c r="F12" s="698">
        <v>200903</v>
      </c>
      <c r="G12" s="699" t="s">
        <v>462</v>
      </c>
      <c r="H12" s="700" t="s">
        <v>520</v>
      </c>
      <c r="I12" s="700" t="s">
        <v>521</v>
      </c>
      <c r="J12" s="698"/>
      <c r="K12" s="701"/>
      <c r="L12" s="702"/>
      <c r="M12" s="702"/>
      <c r="N12" s="703"/>
      <c r="O12" s="704"/>
      <c r="P12" s="704"/>
      <c r="Q12" s="705"/>
      <c r="R12" s="705"/>
      <c r="S12" s="704"/>
      <c r="T12" s="704"/>
      <c r="U12" s="705"/>
      <c r="V12" s="705"/>
      <c r="W12" s="704">
        <v>13</v>
      </c>
      <c r="X12" s="704"/>
      <c r="Y12" s="705"/>
      <c r="Z12" s="705"/>
      <c r="AA12" s="704"/>
      <c r="AB12" s="704"/>
      <c r="AC12" s="705"/>
      <c r="AD12" s="705"/>
      <c r="AE12" s="706"/>
      <c r="AF12" s="706"/>
      <c r="AG12" s="706"/>
      <c r="AH12" s="706"/>
      <c r="AI12" s="707"/>
      <c r="AJ12" s="707"/>
      <c r="AK12" s="708"/>
      <c r="AL12" s="708"/>
      <c r="AM12" s="709"/>
      <c r="AN12" s="709"/>
      <c r="AO12" s="710"/>
      <c r="AP12" s="710"/>
      <c r="AQ12" s="704"/>
      <c r="AR12" s="704"/>
      <c r="AS12" s="705"/>
      <c r="AT12" s="705"/>
      <c r="AU12" s="704"/>
      <c r="AV12" s="704"/>
      <c r="AW12" s="705"/>
      <c r="AX12" s="705"/>
      <c r="AY12" s="704"/>
      <c r="AZ12" s="704"/>
      <c r="BA12" s="705"/>
      <c r="BB12" s="705"/>
      <c r="BC12" s="711"/>
      <c r="BD12" s="711"/>
      <c r="BE12" s="705"/>
      <c r="BF12" s="705"/>
      <c r="BG12" s="711"/>
      <c r="BH12" s="711"/>
      <c r="BI12" s="705"/>
      <c r="BJ12" s="705"/>
      <c r="BK12" s="707"/>
      <c r="BL12" s="707"/>
      <c r="BM12" s="708"/>
      <c r="BN12" s="708"/>
      <c r="BO12" s="100"/>
      <c r="BP12" s="704"/>
      <c r="BQ12" s="705"/>
      <c r="BR12" s="705"/>
      <c r="BS12" s="711"/>
      <c r="BT12" s="704"/>
      <c r="BU12" s="705"/>
      <c r="BV12" s="705"/>
      <c r="BW12" s="704"/>
      <c r="BX12" s="712"/>
      <c r="BY12" s="713"/>
      <c r="BZ12" s="714"/>
      <c r="CA12" s="704"/>
      <c r="CB12" s="712"/>
      <c r="CC12" s="713"/>
      <c r="CD12" s="714"/>
      <c r="CE12" s="704"/>
      <c r="CF12" s="712"/>
      <c r="CG12" s="713"/>
      <c r="CH12" s="714"/>
      <c r="CI12" s="707"/>
      <c r="CJ12" s="707"/>
      <c r="CK12" s="708"/>
      <c r="CL12" s="708"/>
      <c r="CM12" s="707"/>
      <c r="CN12" s="707"/>
      <c r="CO12" s="708"/>
      <c r="CP12" s="708"/>
      <c r="CQ12" s="709"/>
      <c r="CR12" s="709"/>
      <c r="CS12" s="710"/>
      <c r="CT12" s="710"/>
      <c r="CU12" s="712"/>
      <c r="CV12" s="712"/>
      <c r="CW12" s="710"/>
      <c r="CX12" s="710"/>
      <c r="CY12" s="712"/>
      <c r="CZ12" s="712"/>
      <c r="DA12" s="710"/>
      <c r="DB12" s="710"/>
      <c r="DC12" s="712"/>
      <c r="DD12" s="712"/>
      <c r="DE12" s="710"/>
      <c r="DF12" s="710"/>
      <c r="DG12" s="711"/>
      <c r="DH12" s="715"/>
      <c r="DI12" s="710"/>
      <c r="DJ12" s="710"/>
      <c r="DK12" s="711"/>
      <c r="DL12" s="715"/>
      <c r="DM12" s="710"/>
      <c r="DN12" s="710"/>
      <c r="DO12" s="707"/>
      <c r="DP12" s="707"/>
      <c r="DQ12" s="708"/>
      <c r="DR12" s="708"/>
      <c r="DS12" s="709"/>
      <c r="DT12" s="709"/>
      <c r="DU12" s="710"/>
      <c r="DV12" s="710"/>
      <c r="DW12" s="711"/>
      <c r="DX12" s="712"/>
      <c r="DY12" s="710"/>
      <c r="DZ12" s="710"/>
      <c r="EA12" s="711"/>
      <c r="EB12" s="712"/>
      <c r="EC12" s="710"/>
      <c r="ED12" s="710"/>
      <c r="EE12" s="711"/>
      <c r="EF12" s="712"/>
      <c r="EG12" s="710"/>
      <c r="EH12" s="710"/>
      <c r="EI12" s="716">
        <f t="shared" ref="EI12:EI19" si="0">COUNTIF(O12:EH12,"8")</f>
        <v>0</v>
      </c>
      <c r="EJ12" s="716">
        <f t="shared" ref="EJ12:EJ19" si="1">COUNTIF(O12:EH12,"11")</f>
        <v>0</v>
      </c>
      <c r="EK12" s="716">
        <f t="shared" ref="EK12:EK19" si="2">COUNTIF(O12:EH12,"13")</f>
        <v>1</v>
      </c>
      <c r="EL12" s="717">
        <f t="shared" ref="EL12:EL19" si="3">(EI12*$EI$10)+(EJ12*$EJ$10)+(EK12*$EK$10)</f>
        <v>314000</v>
      </c>
      <c r="EM12" s="718" t="s">
        <v>639</v>
      </c>
      <c r="EN12" s="107">
        <f t="shared" ref="EN12:EN19" si="4">IF(EM12="Đ",EL12,0)</f>
        <v>314000</v>
      </c>
      <c r="EO12" s="718"/>
      <c r="EP12" s="718"/>
      <c r="EQ12" s="718"/>
      <c r="ER12" s="718"/>
      <c r="ES12" s="719"/>
      <c r="ET12" s="719"/>
      <c r="EU12" s="147"/>
      <c r="EV12" s="720"/>
    </row>
    <row r="13" spans="1:152" s="677" customFormat="1" ht="15.6" customHeight="1">
      <c r="A13" s="695">
        <v>2</v>
      </c>
      <c r="B13" s="696" t="s">
        <v>851</v>
      </c>
      <c r="C13" s="146" t="s">
        <v>853</v>
      </c>
      <c r="D13" s="146" t="s">
        <v>478</v>
      </c>
      <c r="E13" s="697" t="s">
        <v>0</v>
      </c>
      <c r="F13" s="698">
        <v>200910</v>
      </c>
      <c r="G13" s="699" t="s">
        <v>463</v>
      </c>
      <c r="H13" s="700" t="s">
        <v>522</v>
      </c>
      <c r="I13" s="700" t="s">
        <v>136</v>
      </c>
      <c r="J13" s="698"/>
      <c r="K13" s="701"/>
      <c r="L13" s="702"/>
      <c r="M13" s="702"/>
      <c r="N13" s="703"/>
      <c r="O13" s="704"/>
      <c r="P13" s="704"/>
      <c r="Q13" s="705"/>
      <c r="R13" s="705"/>
      <c r="S13" s="704"/>
      <c r="T13" s="704"/>
      <c r="U13" s="705"/>
      <c r="V13" s="705"/>
      <c r="W13" s="704"/>
      <c r="X13" s="704"/>
      <c r="Y13" s="705"/>
      <c r="Z13" s="705"/>
      <c r="AA13" s="704"/>
      <c r="AB13" s="704"/>
      <c r="AC13" s="705"/>
      <c r="AD13" s="705"/>
      <c r="AE13" s="706"/>
      <c r="AF13" s="706"/>
      <c r="AG13" s="706"/>
      <c r="AH13" s="706"/>
      <c r="AI13" s="707"/>
      <c r="AJ13" s="707"/>
      <c r="AK13" s="708"/>
      <c r="AL13" s="708"/>
      <c r="AM13" s="709"/>
      <c r="AN13" s="709"/>
      <c r="AO13" s="710"/>
      <c r="AP13" s="710"/>
      <c r="AQ13" s="704"/>
      <c r="AR13" s="704"/>
      <c r="AS13" s="705"/>
      <c r="AT13" s="705"/>
      <c r="AU13" s="704"/>
      <c r="AV13" s="704"/>
      <c r="AW13" s="705"/>
      <c r="AX13" s="705"/>
      <c r="AY13" s="704">
        <v>11</v>
      </c>
      <c r="AZ13" s="704"/>
      <c r="BA13" s="705"/>
      <c r="BB13" s="705"/>
      <c r="BC13" s="711">
        <v>11</v>
      </c>
      <c r="BD13" s="711"/>
      <c r="BE13" s="705"/>
      <c r="BF13" s="705"/>
      <c r="BG13" s="711">
        <v>11</v>
      </c>
      <c r="BH13" s="711"/>
      <c r="BI13" s="705"/>
      <c r="BJ13" s="705"/>
      <c r="BK13" s="707">
        <v>8</v>
      </c>
      <c r="BL13" s="707">
        <v>0</v>
      </c>
      <c r="BM13" s="708"/>
      <c r="BN13" s="708"/>
      <c r="BO13" s="100">
        <v>11</v>
      </c>
      <c r="BP13" s="704"/>
      <c r="BQ13" s="705"/>
      <c r="BR13" s="705"/>
      <c r="BS13" s="704">
        <v>11</v>
      </c>
      <c r="BT13" s="704"/>
      <c r="BU13" s="705"/>
      <c r="BV13" s="705"/>
      <c r="BW13" s="704">
        <v>11</v>
      </c>
      <c r="BX13" s="712"/>
      <c r="BY13" s="713"/>
      <c r="BZ13" s="714"/>
      <c r="CA13" s="704">
        <v>11</v>
      </c>
      <c r="CB13" s="712"/>
      <c r="CC13" s="713"/>
      <c r="CD13" s="714"/>
      <c r="CE13" s="704">
        <v>11</v>
      </c>
      <c r="CF13" s="712"/>
      <c r="CG13" s="713"/>
      <c r="CH13" s="714"/>
      <c r="CI13" s="707">
        <v>11</v>
      </c>
      <c r="CJ13" s="707"/>
      <c r="CK13" s="708"/>
      <c r="CL13" s="708"/>
      <c r="CM13" s="707"/>
      <c r="CN13" s="707"/>
      <c r="CO13" s="708"/>
      <c r="CP13" s="708"/>
      <c r="CQ13" s="709"/>
      <c r="CR13" s="709"/>
      <c r="CS13" s="710"/>
      <c r="CT13" s="710"/>
      <c r="CU13" s="712"/>
      <c r="CV13" s="712"/>
      <c r="CW13" s="710"/>
      <c r="CX13" s="710"/>
      <c r="CY13" s="712"/>
      <c r="CZ13" s="712"/>
      <c r="DA13" s="710"/>
      <c r="DB13" s="710"/>
      <c r="DC13" s="712"/>
      <c r="DD13" s="712"/>
      <c r="DE13" s="710"/>
      <c r="DF13" s="710"/>
      <c r="DG13" s="715"/>
      <c r="DH13" s="715"/>
      <c r="DI13" s="710"/>
      <c r="DJ13" s="710"/>
      <c r="DK13" s="715"/>
      <c r="DL13" s="715"/>
      <c r="DM13" s="710"/>
      <c r="DN13" s="710"/>
      <c r="DO13" s="707"/>
      <c r="DP13" s="707"/>
      <c r="DQ13" s="708"/>
      <c r="DR13" s="708"/>
      <c r="DS13" s="709"/>
      <c r="DT13" s="709"/>
      <c r="DU13" s="710"/>
      <c r="DV13" s="710"/>
      <c r="DW13" s="712"/>
      <c r="DX13" s="712"/>
      <c r="DY13" s="710"/>
      <c r="DZ13" s="710"/>
      <c r="EA13" s="712"/>
      <c r="EB13" s="712"/>
      <c r="EC13" s="710"/>
      <c r="ED13" s="710"/>
      <c r="EE13" s="712"/>
      <c r="EF13" s="712"/>
      <c r="EG13" s="710"/>
      <c r="EH13" s="710"/>
      <c r="EI13" s="716">
        <f>COUNTIF(O13:EH13,"8")</f>
        <v>1</v>
      </c>
      <c r="EJ13" s="716">
        <f t="shared" si="1"/>
        <v>9</v>
      </c>
      <c r="EK13" s="716">
        <f t="shared" si="2"/>
        <v>0</v>
      </c>
      <c r="EL13" s="717">
        <f>(EI13*$EI$10)+(EJ13*$EJ$10)+(EK13*$EK$10)</f>
        <v>2450000</v>
      </c>
      <c r="EM13" s="718" t="s">
        <v>639</v>
      </c>
      <c r="EN13" s="107">
        <f t="shared" si="4"/>
        <v>2450000</v>
      </c>
      <c r="EO13" s="718"/>
      <c r="EP13" s="718"/>
      <c r="EQ13" s="718"/>
      <c r="ER13" s="718"/>
      <c r="ES13" s="719"/>
      <c r="ET13" s="719"/>
      <c r="EU13" s="147"/>
      <c r="EV13" s="720"/>
    </row>
    <row r="14" spans="1:152" s="694" customFormat="1" ht="15.6" customHeight="1">
      <c r="A14" s="695">
        <v>3</v>
      </c>
      <c r="B14" s="721"/>
      <c r="C14" s="722" t="s">
        <v>875</v>
      </c>
      <c r="D14" s="722" t="s">
        <v>123</v>
      </c>
      <c r="E14" s="723" t="s">
        <v>567</v>
      </c>
      <c r="F14" s="698"/>
      <c r="G14" s="699" t="s">
        <v>464</v>
      </c>
      <c r="H14" s="700" t="s">
        <v>499</v>
      </c>
      <c r="I14" s="700" t="s">
        <v>136</v>
      </c>
      <c r="J14" s="698"/>
      <c r="K14" s="701"/>
      <c r="L14" s="702"/>
      <c r="M14" s="702"/>
      <c r="N14" s="703"/>
      <c r="O14" s="100"/>
      <c r="P14" s="100"/>
      <c r="Q14" s="101"/>
      <c r="R14" s="101"/>
      <c r="S14" s="100"/>
      <c r="T14" s="100"/>
      <c r="U14" s="101"/>
      <c r="V14" s="101"/>
      <c r="W14" s="100"/>
      <c r="X14" s="100"/>
      <c r="Y14" s="101"/>
      <c r="Z14" s="101"/>
      <c r="AA14" s="100"/>
      <c r="AB14" s="100"/>
      <c r="AC14" s="101"/>
      <c r="AD14" s="101"/>
      <c r="AE14" s="98"/>
      <c r="AF14" s="98"/>
      <c r="AG14" s="98"/>
      <c r="AH14" s="98"/>
      <c r="AI14" s="724"/>
      <c r="AJ14" s="724"/>
      <c r="AK14" s="725"/>
      <c r="AL14" s="725"/>
      <c r="AM14" s="726"/>
      <c r="AN14" s="726"/>
      <c r="AO14" s="727"/>
      <c r="AP14" s="727"/>
      <c r="AQ14" s="100"/>
      <c r="AR14" s="100"/>
      <c r="AS14" s="101"/>
      <c r="AT14" s="101"/>
      <c r="AU14" s="100"/>
      <c r="AV14" s="100"/>
      <c r="AW14" s="101"/>
      <c r="AX14" s="101"/>
      <c r="AY14" s="100"/>
      <c r="AZ14" s="100"/>
      <c r="BA14" s="101"/>
      <c r="BB14" s="101"/>
      <c r="BC14" s="711"/>
      <c r="BD14" s="711"/>
      <c r="BE14" s="101"/>
      <c r="BF14" s="101"/>
      <c r="BG14" s="711"/>
      <c r="BH14" s="711"/>
      <c r="BI14" s="101"/>
      <c r="BJ14" s="101"/>
      <c r="BK14" s="724"/>
      <c r="BL14" s="724"/>
      <c r="BM14" s="725"/>
      <c r="BN14" s="725"/>
      <c r="BO14" s="100"/>
      <c r="BP14" s="100"/>
      <c r="BQ14" s="101"/>
      <c r="BR14" s="101"/>
      <c r="BS14" s="711">
        <v>13</v>
      </c>
      <c r="BT14" s="100"/>
      <c r="BU14" s="101"/>
      <c r="BV14" s="101"/>
      <c r="BW14" s="100"/>
      <c r="BX14" s="728"/>
      <c r="BY14" s="729"/>
      <c r="BZ14" s="730"/>
      <c r="CA14" s="100"/>
      <c r="CB14" s="728"/>
      <c r="CC14" s="729"/>
      <c r="CD14" s="730"/>
      <c r="CE14" s="100"/>
      <c r="CF14" s="728"/>
      <c r="CG14" s="729"/>
      <c r="CH14" s="730"/>
      <c r="CI14" s="724"/>
      <c r="CJ14" s="724"/>
      <c r="CK14" s="725"/>
      <c r="CL14" s="725"/>
      <c r="CM14" s="724"/>
      <c r="CN14" s="724"/>
      <c r="CO14" s="725"/>
      <c r="CP14" s="725"/>
      <c r="CQ14" s="726"/>
      <c r="CR14" s="726"/>
      <c r="CS14" s="727"/>
      <c r="CT14" s="727"/>
      <c r="CU14" s="728"/>
      <c r="CV14" s="728"/>
      <c r="CW14" s="727"/>
      <c r="CX14" s="727"/>
      <c r="CY14" s="728"/>
      <c r="CZ14" s="728"/>
      <c r="DA14" s="727"/>
      <c r="DB14" s="727"/>
      <c r="DC14" s="728"/>
      <c r="DD14" s="728"/>
      <c r="DE14" s="727"/>
      <c r="DF14" s="727"/>
      <c r="DG14" s="711"/>
      <c r="DH14" s="731"/>
      <c r="DI14" s="727"/>
      <c r="DJ14" s="727"/>
      <c r="DK14" s="711"/>
      <c r="DL14" s="731"/>
      <c r="DM14" s="727">
        <v>10</v>
      </c>
      <c r="DN14" s="727"/>
      <c r="DO14" s="724"/>
      <c r="DP14" s="724"/>
      <c r="DQ14" s="725"/>
      <c r="DR14" s="725"/>
      <c r="DS14" s="726"/>
      <c r="DT14" s="726"/>
      <c r="DU14" s="727"/>
      <c r="DV14" s="727"/>
      <c r="DW14" s="711"/>
      <c r="DX14" s="732"/>
      <c r="DY14" s="727"/>
      <c r="DZ14" s="727"/>
      <c r="EA14" s="711"/>
      <c r="EB14" s="732"/>
      <c r="EC14" s="727"/>
      <c r="ED14" s="727"/>
      <c r="EE14" s="711"/>
      <c r="EF14" s="732"/>
      <c r="EG14" s="727"/>
      <c r="EH14" s="727"/>
      <c r="EI14" s="716">
        <f>COUNTIF(O14:EH14,"8")</f>
        <v>0</v>
      </c>
      <c r="EJ14" s="716">
        <f t="shared" si="1"/>
        <v>0</v>
      </c>
      <c r="EK14" s="716">
        <f t="shared" si="2"/>
        <v>1</v>
      </c>
      <c r="EL14" s="717">
        <f t="shared" si="3"/>
        <v>314000</v>
      </c>
      <c r="EM14" s="718" t="s">
        <v>639</v>
      </c>
      <c r="EN14" s="107">
        <f t="shared" si="4"/>
        <v>314000</v>
      </c>
      <c r="EO14" s="107"/>
      <c r="EP14" s="107"/>
      <c r="EQ14" s="107"/>
      <c r="ER14" s="107"/>
      <c r="ES14" s="733"/>
      <c r="ET14" s="733"/>
      <c r="EU14" s="734"/>
      <c r="EV14" s="735" t="s">
        <v>956</v>
      </c>
    </row>
    <row r="15" spans="1:152" s="694" customFormat="1" ht="15.6" customHeight="1">
      <c r="A15" s="695">
        <v>4</v>
      </c>
      <c r="B15" s="696" t="s">
        <v>882</v>
      </c>
      <c r="C15" s="146" t="s">
        <v>883</v>
      </c>
      <c r="D15" s="146" t="s">
        <v>127</v>
      </c>
      <c r="E15" s="736" t="s">
        <v>846</v>
      </c>
      <c r="F15" s="698">
        <v>200919</v>
      </c>
      <c r="G15" s="699" t="s">
        <v>465</v>
      </c>
      <c r="H15" s="700" t="s">
        <v>526</v>
      </c>
      <c r="I15" s="700" t="s">
        <v>136</v>
      </c>
      <c r="J15" s="698"/>
      <c r="K15" s="737"/>
      <c r="L15" s="737"/>
      <c r="M15" s="737"/>
      <c r="N15" s="703"/>
      <c r="O15" s="100"/>
      <c r="P15" s="100"/>
      <c r="Q15" s="101"/>
      <c r="R15" s="101"/>
      <c r="S15" s="100"/>
      <c r="T15" s="100"/>
      <c r="U15" s="101"/>
      <c r="V15" s="101"/>
      <c r="W15" s="100"/>
      <c r="X15" s="100"/>
      <c r="Y15" s="101"/>
      <c r="Z15" s="101"/>
      <c r="AA15" s="100"/>
      <c r="AB15" s="100"/>
      <c r="AC15" s="101"/>
      <c r="AD15" s="101"/>
      <c r="AE15" s="98"/>
      <c r="AF15" s="98"/>
      <c r="AG15" s="98"/>
      <c r="AH15" s="98"/>
      <c r="AI15" s="724"/>
      <c r="AJ15" s="724"/>
      <c r="AK15" s="725"/>
      <c r="AL15" s="725"/>
      <c r="AM15" s="726"/>
      <c r="AN15" s="726"/>
      <c r="AO15" s="727"/>
      <c r="AP15" s="727"/>
      <c r="AQ15" s="100"/>
      <c r="AR15" s="100"/>
      <c r="AS15" s="101"/>
      <c r="AT15" s="101"/>
      <c r="AU15" s="100"/>
      <c r="AV15" s="100"/>
      <c r="AW15" s="101"/>
      <c r="AX15" s="101"/>
      <c r="AY15" s="100"/>
      <c r="AZ15" s="100"/>
      <c r="BA15" s="101"/>
      <c r="BB15" s="101"/>
      <c r="BC15" s="711"/>
      <c r="BD15" s="711"/>
      <c r="BE15" s="101"/>
      <c r="BF15" s="101"/>
      <c r="BG15" s="711"/>
      <c r="BH15" s="711"/>
      <c r="BI15" s="101"/>
      <c r="BJ15" s="101"/>
      <c r="BK15" s="724"/>
      <c r="BL15" s="724"/>
      <c r="BM15" s="725"/>
      <c r="BN15" s="725"/>
      <c r="BO15" s="100"/>
      <c r="BP15" s="100"/>
      <c r="BQ15" s="101"/>
      <c r="BR15" s="101"/>
      <c r="BS15" s="100"/>
      <c r="BT15" s="100"/>
      <c r="BU15" s="101"/>
      <c r="BV15" s="101"/>
      <c r="BW15" s="100"/>
      <c r="BX15" s="728"/>
      <c r="BY15" s="738"/>
      <c r="BZ15" s="730"/>
      <c r="CA15" s="100"/>
      <c r="CB15" s="728"/>
      <c r="CC15" s="738"/>
      <c r="CD15" s="730"/>
      <c r="CE15" s="100"/>
      <c r="CF15" s="728"/>
      <c r="CG15" s="738"/>
      <c r="CH15" s="730"/>
      <c r="CI15" s="724">
        <v>13</v>
      </c>
      <c r="CJ15" s="724"/>
      <c r="CK15" s="725"/>
      <c r="CL15" s="725"/>
      <c r="CM15" s="724"/>
      <c r="CN15" s="724"/>
      <c r="CO15" s="725"/>
      <c r="CP15" s="725"/>
      <c r="CQ15" s="726"/>
      <c r="CR15" s="726"/>
      <c r="CS15" s="727"/>
      <c r="CT15" s="727"/>
      <c r="CU15" s="728"/>
      <c r="CV15" s="728"/>
      <c r="CW15" s="729"/>
      <c r="CX15" s="729"/>
      <c r="CY15" s="728"/>
      <c r="CZ15" s="728"/>
      <c r="DA15" s="729"/>
      <c r="DB15" s="729"/>
      <c r="DC15" s="728"/>
      <c r="DD15" s="728"/>
      <c r="DE15" s="729"/>
      <c r="DF15" s="729"/>
      <c r="DG15" s="731"/>
      <c r="DH15" s="731"/>
      <c r="DI15" s="727"/>
      <c r="DJ15" s="727"/>
      <c r="DK15" s="731"/>
      <c r="DL15" s="731"/>
      <c r="DM15" s="727"/>
      <c r="DN15" s="727"/>
      <c r="DO15" s="724"/>
      <c r="DP15" s="724"/>
      <c r="DQ15" s="725"/>
      <c r="DR15" s="725"/>
      <c r="DS15" s="726"/>
      <c r="DT15" s="726"/>
      <c r="DU15" s="727"/>
      <c r="DV15" s="727"/>
      <c r="DW15" s="732"/>
      <c r="DX15" s="732"/>
      <c r="DY15" s="727"/>
      <c r="DZ15" s="727"/>
      <c r="EA15" s="732"/>
      <c r="EB15" s="732"/>
      <c r="EC15" s="727"/>
      <c r="ED15" s="727"/>
      <c r="EE15" s="732"/>
      <c r="EF15" s="732"/>
      <c r="EG15" s="727"/>
      <c r="EH15" s="727"/>
      <c r="EI15" s="716">
        <f t="shared" si="0"/>
        <v>0</v>
      </c>
      <c r="EJ15" s="716">
        <f t="shared" si="1"/>
        <v>0</v>
      </c>
      <c r="EK15" s="716">
        <f t="shared" si="2"/>
        <v>1</v>
      </c>
      <c r="EL15" s="717">
        <f t="shared" si="3"/>
        <v>314000</v>
      </c>
      <c r="EM15" s="718" t="s">
        <v>639</v>
      </c>
      <c r="EN15" s="107">
        <f t="shared" si="4"/>
        <v>314000</v>
      </c>
      <c r="EO15" s="107"/>
      <c r="EP15" s="107"/>
      <c r="EQ15" s="107"/>
      <c r="ER15" s="107"/>
      <c r="ES15" s="739"/>
      <c r="ET15" s="739"/>
      <c r="EU15" s="740"/>
      <c r="EV15" s="741"/>
    </row>
    <row r="16" spans="1:152" s="694" customFormat="1" ht="15.6" customHeight="1">
      <c r="A16" s="695">
        <v>5</v>
      </c>
      <c r="B16" s="696" t="s">
        <v>905</v>
      </c>
      <c r="C16" s="146" t="s">
        <v>907</v>
      </c>
      <c r="D16" s="146" t="s">
        <v>0</v>
      </c>
      <c r="E16" s="697" t="s">
        <v>0</v>
      </c>
      <c r="F16" s="698">
        <v>200925</v>
      </c>
      <c r="G16" s="699" t="s">
        <v>466</v>
      </c>
      <c r="H16" s="700" t="s">
        <v>481</v>
      </c>
      <c r="I16" s="700" t="s">
        <v>136</v>
      </c>
      <c r="J16" s="698"/>
      <c r="K16" s="701"/>
      <c r="L16" s="702"/>
      <c r="M16" s="702"/>
      <c r="N16" s="703"/>
      <c r="O16" s="100"/>
      <c r="P16" s="100"/>
      <c r="Q16" s="101"/>
      <c r="R16" s="101"/>
      <c r="S16" s="100"/>
      <c r="T16" s="100"/>
      <c r="U16" s="101"/>
      <c r="V16" s="101"/>
      <c r="W16" s="100"/>
      <c r="X16" s="100"/>
      <c r="Y16" s="101"/>
      <c r="Z16" s="101"/>
      <c r="AA16" s="100"/>
      <c r="AB16" s="100"/>
      <c r="AC16" s="101"/>
      <c r="AD16" s="101"/>
      <c r="AE16" s="98"/>
      <c r="AF16" s="98"/>
      <c r="AG16" s="98"/>
      <c r="AH16" s="98"/>
      <c r="AI16" s="724"/>
      <c r="AJ16" s="724"/>
      <c r="AK16" s="725"/>
      <c r="AL16" s="725"/>
      <c r="AM16" s="742"/>
      <c r="AN16" s="742"/>
      <c r="AO16" s="727"/>
      <c r="AP16" s="727"/>
      <c r="AQ16" s="100"/>
      <c r="AR16" s="100"/>
      <c r="AS16" s="101"/>
      <c r="AT16" s="101"/>
      <c r="AU16" s="100"/>
      <c r="AV16" s="100"/>
      <c r="AW16" s="101"/>
      <c r="AX16" s="101"/>
      <c r="AY16" s="100"/>
      <c r="AZ16" s="100"/>
      <c r="BA16" s="101"/>
      <c r="BB16" s="101"/>
      <c r="BC16" s="711"/>
      <c r="BD16" s="711"/>
      <c r="BE16" s="101"/>
      <c r="BF16" s="101"/>
      <c r="BG16" s="711"/>
      <c r="BH16" s="711"/>
      <c r="BI16" s="101"/>
      <c r="BJ16" s="101"/>
      <c r="BK16" s="724"/>
      <c r="BL16" s="724"/>
      <c r="BM16" s="725"/>
      <c r="BN16" s="725"/>
      <c r="BO16" s="100"/>
      <c r="BP16" s="100"/>
      <c r="BQ16" s="101"/>
      <c r="BR16" s="101"/>
      <c r="BS16" s="100"/>
      <c r="BT16" s="100"/>
      <c r="BU16" s="101"/>
      <c r="BV16" s="101"/>
      <c r="BW16" s="743"/>
      <c r="BX16" s="728"/>
      <c r="BY16" s="729"/>
      <c r="BZ16" s="730"/>
      <c r="CA16" s="743"/>
      <c r="CB16" s="728"/>
      <c r="CC16" s="729"/>
      <c r="CD16" s="730"/>
      <c r="CE16" s="743"/>
      <c r="CF16" s="728"/>
      <c r="CG16" s="729"/>
      <c r="CH16" s="730"/>
      <c r="CI16" s="724"/>
      <c r="CJ16" s="724"/>
      <c r="CK16" s="725"/>
      <c r="CL16" s="725"/>
      <c r="CM16" s="724"/>
      <c r="CN16" s="724"/>
      <c r="CO16" s="725"/>
      <c r="CP16" s="725"/>
      <c r="CQ16" s="742"/>
      <c r="CR16" s="742"/>
      <c r="CS16" s="727"/>
      <c r="CT16" s="727"/>
      <c r="CU16" s="728"/>
      <c r="CV16" s="728"/>
      <c r="CW16" s="727"/>
      <c r="CX16" s="727"/>
      <c r="CY16" s="728"/>
      <c r="CZ16" s="728"/>
      <c r="DA16" s="727"/>
      <c r="DB16" s="727"/>
      <c r="DC16" s="728"/>
      <c r="DD16" s="728"/>
      <c r="DE16" s="727"/>
      <c r="DF16" s="727"/>
      <c r="DG16" s="744">
        <v>10</v>
      </c>
      <c r="DH16" s="744"/>
      <c r="DI16" s="727"/>
      <c r="DJ16" s="727"/>
      <c r="DK16" s="744"/>
      <c r="DL16" s="744"/>
      <c r="DM16" s="727"/>
      <c r="DN16" s="727"/>
      <c r="DO16" s="724"/>
      <c r="DP16" s="724"/>
      <c r="DQ16" s="725"/>
      <c r="DR16" s="725"/>
      <c r="DS16" s="742"/>
      <c r="DT16" s="742"/>
      <c r="DU16" s="727"/>
      <c r="DV16" s="727"/>
      <c r="DW16" s="728"/>
      <c r="DX16" s="728"/>
      <c r="DY16" s="727"/>
      <c r="DZ16" s="727"/>
      <c r="EA16" s="728"/>
      <c r="EB16" s="728"/>
      <c r="EC16" s="727"/>
      <c r="ED16" s="727"/>
      <c r="EE16" s="728"/>
      <c r="EF16" s="728"/>
      <c r="EG16" s="727"/>
      <c r="EH16" s="727"/>
      <c r="EI16" s="716">
        <f t="shared" si="0"/>
        <v>0</v>
      </c>
      <c r="EJ16" s="716">
        <f t="shared" si="1"/>
        <v>0</v>
      </c>
      <c r="EK16" s="716">
        <f t="shared" si="2"/>
        <v>0</v>
      </c>
      <c r="EL16" s="717">
        <f t="shared" si="3"/>
        <v>0</v>
      </c>
      <c r="EM16" s="718" t="s">
        <v>639</v>
      </c>
      <c r="EN16" s="107">
        <v>225000</v>
      </c>
      <c r="EO16" s="107"/>
      <c r="EP16" s="107"/>
      <c r="EQ16" s="107"/>
      <c r="ER16" s="107"/>
      <c r="ES16" s="739"/>
      <c r="ET16" s="739"/>
      <c r="EU16" s="745"/>
      <c r="EV16" s="741"/>
    </row>
    <row r="17" spans="1:152" s="694" customFormat="1" ht="15.6" customHeight="1">
      <c r="A17" s="695">
        <v>6</v>
      </c>
      <c r="B17" s="696" t="s">
        <v>908</v>
      </c>
      <c r="C17" s="146" t="s">
        <v>910</v>
      </c>
      <c r="D17" s="146" t="s">
        <v>125</v>
      </c>
      <c r="E17" s="697" t="s">
        <v>846</v>
      </c>
      <c r="F17" s="698">
        <v>200926</v>
      </c>
      <c r="G17" s="699" t="s">
        <v>467</v>
      </c>
      <c r="H17" s="700" t="s">
        <v>527</v>
      </c>
      <c r="I17" s="700" t="s">
        <v>136</v>
      </c>
      <c r="J17" s="698"/>
      <c r="K17" s="701"/>
      <c r="L17" s="702"/>
      <c r="M17" s="702"/>
      <c r="N17" s="703"/>
      <c r="O17" s="100"/>
      <c r="P17" s="100"/>
      <c r="Q17" s="101"/>
      <c r="R17" s="101"/>
      <c r="S17" s="100"/>
      <c r="T17" s="100"/>
      <c r="U17" s="101"/>
      <c r="V17" s="101"/>
      <c r="W17" s="100"/>
      <c r="X17" s="100"/>
      <c r="Y17" s="101"/>
      <c r="Z17" s="101"/>
      <c r="AA17" s="100"/>
      <c r="AB17" s="100"/>
      <c r="AC17" s="101"/>
      <c r="AD17" s="101"/>
      <c r="AE17" s="98"/>
      <c r="AF17" s="98"/>
      <c r="AG17" s="98"/>
      <c r="AH17" s="98"/>
      <c r="AI17" s="724"/>
      <c r="AJ17" s="724"/>
      <c r="AK17" s="725"/>
      <c r="AL17" s="725"/>
      <c r="AM17" s="742"/>
      <c r="AN17" s="742"/>
      <c r="AO17" s="727"/>
      <c r="AP17" s="727"/>
      <c r="AQ17" s="100"/>
      <c r="AR17" s="100"/>
      <c r="AS17" s="101"/>
      <c r="AT17" s="101"/>
      <c r="AU17" s="100"/>
      <c r="AV17" s="100"/>
      <c r="AW17" s="101"/>
      <c r="AX17" s="101"/>
      <c r="AY17" s="100"/>
      <c r="AZ17" s="100"/>
      <c r="BA17" s="101"/>
      <c r="BB17" s="101"/>
      <c r="BC17" s="711"/>
      <c r="BD17" s="711"/>
      <c r="BE17" s="101"/>
      <c r="BF17" s="101"/>
      <c r="BG17" s="711"/>
      <c r="BH17" s="711"/>
      <c r="BI17" s="101"/>
      <c r="BJ17" s="101"/>
      <c r="BK17" s="724"/>
      <c r="BL17" s="724"/>
      <c r="BM17" s="725"/>
      <c r="BN17" s="725"/>
      <c r="BO17" s="100"/>
      <c r="BP17" s="100"/>
      <c r="BQ17" s="101"/>
      <c r="BR17" s="101"/>
      <c r="BS17" s="100"/>
      <c r="BT17" s="100"/>
      <c r="BU17" s="101"/>
      <c r="BV17" s="101"/>
      <c r="BW17" s="743"/>
      <c r="BX17" s="728"/>
      <c r="BY17" s="729"/>
      <c r="BZ17" s="730"/>
      <c r="CA17" s="743"/>
      <c r="CB17" s="728"/>
      <c r="CC17" s="729"/>
      <c r="CD17" s="730"/>
      <c r="CE17" s="743"/>
      <c r="CF17" s="728"/>
      <c r="CG17" s="729"/>
      <c r="CH17" s="730"/>
      <c r="CI17" s="724"/>
      <c r="CJ17" s="724"/>
      <c r="CK17" s="725"/>
      <c r="CL17" s="725"/>
      <c r="CM17" s="724"/>
      <c r="CN17" s="724"/>
      <c r="CO17" s="725"/>
      <c r="CP17" s="725"/>
      <c r="CQ17" s="742"/>
      <c r="CR17" s="742"/>
      <c r="CS17" s="727"/>
      <c r="CT17" s="727"/>
      <c r="CU17" s="728"/>
      <c r="CV17" s="728"/>
      <c r="CW17" s="727"/>
      <c r="CX17" s="727"/>
      <c r="CY17" s="728"/>
      <c r="CZ17" s="728"/>
      <c r="DA17" s="727"/>
      <c r="DB17" s="727"/>
      <c r="DC17" s="728"/>
      <c r="DD17" s="728"/>
      <c r="DE17" s="727"/>
      <c r="DF17" s="727"/>
      <c r="DG17" s="744"/>
      <c r="DH17" s="744"/>
      <c r="DI17" s="727"/>
      <c r="DJ17" s="727"/>
      <c r="DK17" s="744">
        <v>11</v>
      </c>
      <c r="DL17" s="744"/>
      <c r="DM17" s="727"/>
      <c r="DN17" s="727"/>
      <c r="DO17" s="724"/>
      <c r="DP17" s="724"/>
      <c r="DQ17" s="725"/>
      <c r="DR17" s="725"/>
      <c r="DS17" s="742"/>
      <c r="DT17" s="742"/>
      <c r="DU17" s="727"/>
      <c r="DV17" s="727"/>
      <c r="DW17" s="728"/>
      <c r="DX17" s="728"/>
      <c r="DY17" s="727"/>
      <c r="DZ17" s="727"/>
      <c r="EA17" s="728"/>
      <c r="EB17" s="728"/>
      <c r="EC17" s="727"/>
      <c r="ED17" s="727"/>
      <c r="EE17" s="728"/>
      <c r="EF17" s="728"/>
      <c r="EG17" s="727"/>
      <c r="EH17" s="727"/>
      <c r="EI17" s="716">
        <f t="shared" si="0"/>
        <v>0</v>
      </c>
      <c r="EJ17" s="716">
        <f t="shared" si="1"/>
        <v>1</v>
      </c>
      <c r="EK17" s="716">
        <f t="shared" si="2"/>
        <v>0</v>
      </c>
      <c r="EL17" s="717">
        <f t="shared" si="3"/>
        <v>250000</v>
      </c>
      <c r="EM17" s="718" t="s">
        <v>639</v>
      </c>
      <c r="EN17" s="107">
        <f t="shared" si="4"/>
        <v>250000</v>
      </c>
      <c r="EO17" s="107"/>
      <c r="EP17" s="107"/>
      <c r="EQ17" s="107"/>
      <c r="ER17" s="107"/>
      <c r="ES17" s="739"/>
      <c r="ET17" s="739"/>
      <c r="EU17" s="745"/>
      <c r="EV17" s="741"/>
    </row>
    <row r="18" spans="1:152" s="694" customFormat="1" ht="15.6" customHeight="1">
      <c r="A18" s="695"/>
      <c r="B18" s="146"/>
      <c r="C18" s="146"/>
      <c r="D18" s="146"/>
      <c r="E18" s="736"/>
      <c r="F18" s="698"/>
      <c r="G18" s="746"/>
      <c r="H18" s="746"/>
      <c r="I18" s="747"/>
      <c r="J18" s="698"/>
      <c r="K18" s="737"/>
      <c r="L18" s="737"/>
      <c r="M18" s="737"/>
      <c r="N18" s="703"/>
      <c r="O18" s="100"/>
      <c r="P18" s="100"/>
      <c r="Q18" s="101"/>
      <c r="R18" s="101"/>
      <c r="S18" s="100"/>
      <c r="T18" s="100"/>
      <c r="U18" s="101"/>
      <c r="V18" s="101"/>
      <c r="W18" s="100"/>
      <c r="X18" s="100"/>
      <c r="Y18" s="101"/>
      <c r="Z18" s="101"/>
      <c r="AA18" s="100"/>
      <c r="AB18" s="100"/>
      <c r="AC18" s="101"/>
      <c r="AD18" s="101"/>
      <c r="AE18" s="98"/>
      <c r="AF18" s="98"/>
      <c r="AG18" s="98"/>
      <c r="AH18" s="98"/>
      <c r="AI18" s="724"/>
      <c r="AJ18" s="724"/>
      <c r="AK18" s="725"/>
      <c r="AL18" s="725"/>
      <c r="AM18" s="726"/>
      <c r="AN18" s="726"/>
      <c r="AO18" s="727"/>
      <c r="AP18" s="727"/>
      <c r="AQ18" s="100"/>
      <c r="AR18" s="100"/>
      <c r="AS18" s="101"/>
      <c r="AT18" s="101"/>
      <c r="AU18" s="100"/>
      <c r="AV18" s="100"/>
      <c r="AW18" s="101"/>
      <c r="AX18" s="101"/>
      <c r="AY18" s="100"/>
      <c r="AZ18" s="100"/>
      <c r="BA18" s="101"/>
      <c r="BB18" s="101"/>
      <c r="BC18" s="100"/>
      <c r="BD18" s="100"/>
      <c r="BE18" s="101"/>
      <c r="BF18" s="101"/>
      <c r="BG18" s="100"/>
      <c r="BH18" s="100"/>
      <c r="BI18" s="101"/>
      <c r="BJ18" s="101"/>
      <c r="BK18" s="724"/>
      <c r="BL18" s="724"/>
      <c r="BM18" s="725"/>
      <c r="BN18" s="725"/>
      <c r="BO18" s="100"/>
      <c r="BP18" s="100"/>
      <c r="BQ18" s="101"/>
      <c r="BR18" s="101"/>
      <c r="BS18" s="100"/>
      <c r="BT18" s="100"/>
      <c r="BU18" s="101"/>
      <c r="BV18" s="101"/>
      <c r="BW18" s="100"/>
      <c r="BX18" s="728"/>
      <c r="BY18" s="729"/>
      <c r="BZ18" s="730"/>
      <c r="CA18" s="100"/>
      <c r="CB18" s="728"/>
      <c r="CC18" s="729"/>
      <c r="CD18" s="730"/>
      <c r="CE18" s="100"/>
      <c r="CF18" s="728"/>
      <c r="CG18" s="729"/>
      <c r="CH18" s="730"/>
      <c r="CI18" s="724"/>
      <c r="CJ18" s="724"/>
      <c r="CK18" s="725"/>
      <c r="CL18" s="725"/>
      <c r="CM18" s="724"/>
      <c r="CN18" s="724"/>
      <c r="CO18" s="725"/>
      <c r="CP18" s="725"/>
      <c r="CQ18" s="726"/>
      <c r="CR18" s="726"/>
      <c r="CS18" s="727"/>
      <c r="CT18" s="727"/>
      <c r="CU18" s="728"/>
      <c r="CV18" s="728"/>
      <c r="CW18" s="727"/>
      <c r="CX18" s="727"/>
      <c r="CY18" s="728"/>
      <c r="CZ18" s="728"/>
      <c r="DA18" s="727"/>
      <c r="DB18" s="727"/>
      <c r="DC18" s="728"/>
      <c r="DD18" s="728"/>
      <c r="DE18" s="727"/>
      <c r="DF18" s="727"/>
      <c r="DG18" s="731"/>
      <c r="DH18" s="731"/>
      <c r="DI18" s="727"/>
      <c r="DJ18" s="727"/>
      <c r="DK18" s="731"/>
      <c r="DL18" s="731"/>
      <c r="DM18" s="727"/>
      <c r="DN18" s="727"/>
      <c r="DO18" s="724"/>
      <c r="DP18" s="724"/>
      <c r="DQ18" s="725"/>
      <c r="DR18" s="725"/>
      <c r="DS18" s="726"/>
      <c r="DT18" s="726"/>
      <c r="DU18" s="727"/>
      <c r="DV18" s="727"/>
      <c r="DW18" s="728"/>
      <c r="DX18" s="728"/>
      <c r="DY18" s="727"/>
      <c r="DZ18" s="727"/>
      <c r="EA18" s="728"/>
      <c r="EB18" s="728"/>
      <c r="EC18" s="727"/>
      <c r="ED18" s="727"/>
      <c r="EE18" s="728"/>
      <c r="EF18" s="728"/>
      <c r="EG18" s="727"/>
      <c r="EH18" s="727"/>
      <c r="EI18" s="716">
        <f t="shared" si="0"/>
        <v>0</v>
      </c>
      <c r="EJ18" s="716">
        <f t="shared" si="1"/>
        <v>0</v>
      </c>
      <c r="EK18" s="716">
        <f t="shared" si="2"/>
        <v>0</v>
      </c>
      <c r="EL18" s="717">
        <f t="shared" si="3"/>
        <v>0</v>
      </c>
      <c r="EM18" s="718" t="s">
        <v>639</v>
      </c>
      <c r="EN18" s="107">
        <f t="shared" si="4"/>
        <v>0</v>
      </c>
      <c r="EO18" s="107"/>
      <c r="EP18" s="107"/>
      <c r="EQ18" s="107"/>
      <c r="ER18" s="107"/>
      <c r="ES18" s="739"/>
      <c r="ET18" s="739"/>
      <c r="EU18" s="740"/>
      <c r="EV18" s="741"/>
    </row>
    <row r="19" spans="1:152" s="694" customFormat="1" ht="15.6" customHeight="1">
      <c r="A19" s="695"/>
      <c r="B19" s="146"/>
      <c r="C19" s="748"/>
      <c r="D19" s="146"/>
      <c r="E19" s="736"/>
      <c r="F19" s="698"/>
      <c r="G19" s="446"/>
      <c r="H19" s="446"/>
      <c r="I19" s="749"/>
      <c r="J19" s="698"/>
      <c r="K19" s="737"/>
      <c r="L19" s="750"/>
      <c r="M19" s="750"/>
      <c r="N19" s="703"/>
      <c r="O19" s="100"/>
      <c r="P19" s="100"/>
      <c r="Q19" s="101"/>
      <c r="R19" s="101"/>
      <c r="S19" s="100"/>
      <c r="T19" s="100"/>
      <c r="U19" s="101"/>
      <c r="V19" s="101"/>
      <c r="W19" s="100"/>
      <c r="X19" s="100"/>
      <c r="Y19" s="101"/>
      <c r="Z19" s="101"/>
      <c r="AA19" s="100"/>
      <c r="AB19" s="100"/>
      <c r="AC19" s="101"/>
      <c r="AD19" s="101"/>
      <c r="AE19" s="98"/>
      <c r="AF19" s="98"/>
      <c r="AG19" s="98"/>
      <c r="AH19" s="98"/>
      <c r="AI19" s="724"/>
      <c r="AJ19" s="724"/>
      <c r="AK19" s="725"/>
      <c r="AL19" s="725"/>
      <c r="AM19" s="726"/>
      <c r="AN19" s="726"/>
      <c r="AO19" s="727"/>
      <c r="AP19" s="727"/>
      <c r="AQ19" s="100"/>
      <c r="AR19" s="100"/>
      <c r="AS19" s="101"/>
      <c r="AT19" s="101"/>
      <c r="AU19" s="100"/>
      <c r="AV19" s="100"/>
      <c r="AW19" s="101"/>
      <c r="AX19" s="101"/>
      <c r="AY19" s="100"/>
      <c r="AZ19" s="100"/>
      <c r="BA19" s="101"/>
      <c r="BB19" s="101"/>
      <c r="BC19" s="100"/>
      <c r="BD19" s="100"/>
      <c r="BE19" s="101"/>
      <c r="BF19" s="101"/>
      <c r="BG19" s="100"/>
      <c r="BH19" s="100"/>
      <c r="BI19" s="101"/>
      <c r="BJ19" s="101"/>
      <c r="BK19" s="724"/>
      <c r="BL19" s="724"/>
      <c r="BM19" s="725"/>
      <c r="BN19" s="725"/>
      <c r="BO19" s="100"/>
      <c r="BP19" s="100"/>
      <c r="BQ19" s="101"/>
      <c r="BR19" s="101"/>
      <c r="BS19" s="100"/>
      <c r="BT19" s="100"/>
      <c r="BU19" s="101"/>
      <c r="BV19" s="101"/>
      <c r="BW19" s="100"/>
      <c r="BX19" s="728"/>
      <c r="BY19" s="729"/>
      <c r="BZ19" s="730"/>
      <c r="CA19" s="100"/>
      <c r="CB19" s="728"/>
      <c r="CC19" s="729"/>
      <c r="CD19" s="730"/>
      <c r="CE19" s="100"/>
      <c r="CF19" s="728"/>
      <c r="CG19" s="729"/>
      <c r="CH19" s="730"/>
      <c r="CI19" s="724"/>
      <c r="CJ19" s="724"/>
      <c r="CK19" s="725"/>
      <c r="CL19" s="725"/>
      <c r="CM19" s="724"/>
      <c r="CN19" s="724"/>
      <c r="CO19" s="725"/>
      <c r="CP19" s="725"/>
      <c r="CQ19" s="726"/>
      <c r="CR19" s="726"/>
      <c r="CS19" s="727"/>
      <c r="CT19" s="727"/>
      <c r="CU19" s="728"/>
      <c r="CV19" s="728"/>
      <c r="CW19" s="727"/>
      <c r="CX19" s="727"/>
      <c r="CY19" s="728"/>
      <c r="CZ19" s="728"/>
      <c r="DA19" s="727"/>
      <c r="DB19" s="727"/>
      <c r="DC19" s="728"/>
      <c r="DD19" s="728"/>
      <c r="DE19" s="727"/>
      <c r="DF19" s="727"/>
      <c r="DG19" s="731"/>
      <c r="DH19" s="731"/>
      <c r="DI19" s="727"/>
      <c r="DJ19" s="727"/>
      <c r="DK19" s="731"/>
      <c r="DL19" s="731"/>
      <c r="DM19" s="727"/>
      <c r="DN19" s="727"/>
      <c r="DO19" s="724"/>
      <c r="DP19" s="724"/>
      <c r="DQ19" s="725"/>
      <c r="DR19" s="725"/>
      <c r="DS19" s="726"/>
      <c r="DT19" s="726"/>
      <c r="DU19" s="727"/>
      <c r="DV19" s="727"/>
      <c r="DW19" s="728"/>
      <c r="DX19" s="728"/>
      <c r="DY19" s="727"/>
      <c r="DZ19" s="727"/>
      <c r="EA19" s="728"/>
      <c r="EB19" s="728"/>
      <c r="EC19" s="727"/>
      <c r="ED19" s="727"/>
      <c r="EE19" s="728"/>
      <c r="EF19" s="728"/>
      <c r="EG19" s="727"/>
      <c r="EH19" s="727"/>
      <c r="EI19" s="716">
        <f t="shared" si="0"/>
        <v>0</v>
      </c>
      <c r="EJ19" s="716">
        <f t="shared" si="1"/>
        <v>0</v>
      </c>
      <c r="EK19" s="716">
        <f t="shared" si="2"/>
        <v>0</v>
      </c>
      <c r="EL19" s="717">
        <f t="shared" si="3"/>
        <v>0</v>
      </c>
      <c r="EM19" s="718" t="s">
        <v>639</v>
      </c>
      <c r="EN19" s="107">
        <f t="shared" si="4"/>
        <v>0</v>
      </c>
      <c r="EO19" s="107"/>
      <c r="EP19" s="107"/>
      <c r="EQ19" s="107"/>
      <c r="ER19" s="107"/>
      <c r="ES19" s="739"/>
      <c r="ET19" s="739"/>
      <c r="EU19" s="740"/>
      <c r="EV19" s="741"/>
    </row>
    <row r="20" spans="1:152" s="694" customFormat="1" ht="15.6" customHeight="1">
      <c r="A20" s="751"/>
      <c r="B20" s="748"/>
      <c r="C20" s="748"/>
      <c r="D20" s="752"/>
      <c r="E20" s="736"/>
      <c r="F20" s="698"/>
      <c r="G20" s="446"/>
      <c r="H20" s="446"/>
      <c r="I20" s="749"/>
      <c r="J20" s="698"/>
      <c r="K20" s="701"/>
      <c r="L20" s="701"/>
      <c r="M20" s="701"/>
      <c r="N20" s="703"/>
      <c r="O20" s="100"/>
      <c r="P20" s="100"/>
      <c r="Q20" s="101"/>
      <c r="R20" s="101"/>
      <c r="S20" s="100"/>
      <c r="T20" s="100"/>
      <c r="U20" s="101"/>
      <c r="V20" s="101"/>
      <c r="W20" s="100"/>
      <c r="X20" s="100"/>
      <c r="Y20" s="101"/>
      <c r="Z20" s="101"/>
      <c r="AA20" s="100"/>
      <c r="AB20" s="100"/>
      <c r="AC20" s="101"/>
      <c r="AD20" s="101"/>
      <c r="AE20" s="98"/>
      <c r="AF20" s="98"/>
      <c r="AG20" s="98"/>
      <c r="AH20" s="98"/>
      <c r="AI20" s="724"/>
      <c r="AJ20" s="724"/>
      <c r="AK20" s="725"/>
      <c r="AL20" s="725"/>
      <c r="AM20" s="726"/>
      <c r="AN20" s="726"/>
      <c r="AO20" s="727"/>
      <c r="AP20" s="727"/>
      <c r="AQ20" s="100"/>
      <c r="AR20" s="100"/>
      <c r="AS20" s="101"/>
      <c r="AT20" s="101"/>
      <c r="AU20" s="100"/>
      <c r="AV20" s="100"/>
      <c r="AW20" s="101"/>
      <c r="AX20" s="101"/>
      <c r="AY20" s="100"/>
      <c r="AZ20" s="100"/>
      <c r="BA20" s="101"/>
      <c r="BB20" s="101"/>
      <c r="BC20" s="100"/>
      <c r="BD20" s="100"/>
      <c r="BE20" s="101"/>
      <c r="BF20" s="101"/>
      <c r="BG20" s="100"/>
      <c r="BH20" s="100"/>
      <c r="BI20" s="101"/>
      <c r="BJ20" s="101"/>
      <c r="BK20" s="724"/>
      <c r="BL20" s="724"/>
      <c r="BM20" s="725"/>
      <c r="BN20" s="725"/>
      <c r="BO20" s="100"/>
      <c r="BP20" s="100"/>
      <c r="BQ20" s="101"/>
      <c r="BR20" s="101"/>
      <c r="BS20" s="100"/>
      <c r="BT20" s="100"/>
      <c r="BU20" s="101"/>
      <c r="BV20" s="101"/>
      <c r="BW20" s="100"/>
      <c r="BX20" s="728"/>
      <c r="BY20" s="729"/>
      <c r="BZ20" s="730"/>
      <c r="CA20" s="100"/>
      <c r="CB20" s="728"/>
      <c r="CC20" s="729"/>
      <c r="CD20" s="730"/>
      <c r="CE20" s="100"/>
      <c r="CF20" s="728"/>
      <c r="CG20" s="729"/>
      <c r="CH20" s="730"/>
      <c r="CI20" s="724"/>
      <c r="CJ20" s="724"/>
      <c r="CK20" s="725"/>
      <c r="CL20" s="725"/>
      <c r="CM20" s="724"/>
      <c r="CN20" s="724"/>
      <c r="CO20" s="725"/>
      <c r="CP20" s="725"/>
      <c r="CQ20" s="726"/>
      <c r="CR20" s="726"/>
      <c r="CS20" s="727"/>
      <c r="CT20" s="727"/>
      <c r="CU20" s="728"/>
      <c r="CV20" s="728"/>
      <c r="CW20" s="727"/>
      <c r="CX20" s="727"/>
      <c r="CY20" s="728"/>
      <c r="CZ20" s="728"/>
      <c r="DA20" s="727"/>
      <c r="DB20" s="727"/>
      <c r="DC20" s="728"/>
      <c r="DD20" s="728"/>
      <c r="DE20" s="727"/>
      <c r="DF20" s="727"/>
      <c r="DG20" s="731"/>
      <c r="DH20" s="744"/>
      <c r="DI20" s="727"/>
      <c r="DJ20" s="727"/>
      <c r="DK20" s="731"/>
      <c r="DL20" s="744"/>
      <c r="DM20" s="727"/>
      <c r="DN20" s="727"/>
      <c r="DO20" s="724"/>
      <c r="DP20" s="724"/>
      <c r="DQ20" s="725"/>
      <c r="DR20" s="725"/>
      <c r="DS20" s="726"/>
      <c r="DT20" s="726"/>
      <c r="DU20" s="727"/>
      <c r="DV20" s="727"/>
      <c r="DW20" s="728"/>
      <c r="DX20" s="728"/>
      <c r="DY20" s="727"/>
      <c r="DZ20" s="727"/>
      <c r="EA20" s="728"/>
      <c r="EB20" s="728"/>
      <c r="EC20" s="727"/>
      <c r="ED20" s="727"/>
      <c r="EE20" s="728"/>
      <c r="EF20" s="728"/>
      <c r="EG20" s="727"/>
      <c r="EH20" s="727"/>
      <c r="EI20" s="753"/>
      <c r="EJ20" s="753"/>
      <c r="EK20" s="753"/>
      <c r="EL20" s="754"/>
      <c r="EM20" s="107"/>
      <c r="EN20" s="107"/>
      <c r="EO20" s="107"/>
      <c r="EP20" s="107"/>
      <c r="EQ20" s="107"/>
      <c r="ER20" s="107"/>
      <c r="ES20" s="739"/>
      <c r="ET20" s="739"/>
      <c r="EU20" s="740"/>
      <c r="EV20" s="741"/>
    </row>
    <row r="21" spans="1:152" s="763" customFormat="1" ht="21.95" customHeight="1">
      <c r="A21" s="755"/>
      <c r="B21" s="756"/>
      <c r="C21" s="757" t="s">
        <v>957</v>
      </c>
      <c r="D21" s="757"/>
      <c r="E21" s="758"/>
      <c r="F21" s="757"/>
      <c r="G21" s="757"/>
      <c r="H21" s="757"/>
      <c r="I21" s="757"/>
      <c r="J21" s="757"/>
      <c r="K21" s="757"/>
      <c r="L21" s="757"/>
      <c r="M21" s="757"/>
      <c r="N21" s="757"/>
      <c r="O21" s="716">
        <f t="shared" ref="O21:AT21" si="5">SUM(O12:O20)</f>
        <v>0</v>
      </c>
      <c r="P21" s="716">
        <f t="shared" si="5"/>
        <v>0</v>
      </c>
      <c r="Q21" s="759">
        <f t="shared" si="5"/>
        <v>0</v>
      </c>
      <c r="R21" s="759">
        <f t="shared" si="5"/>
        <v>0</v>
      </c>
      <c r="S21" s="716">
        <f t="shared" si="5"/>
        <v>0</v>
      </c>
      <c r="T21" s="716">
        <f t="shared" si="5"/>
        <v>0</v>
      </c>
      <c r="U21" s="759">
        <f t="shared" si="5"/>
        <v>0</v>
      </c>
      <c r="V21" s="759">
        <f t="shared" si="5"/>
        <v>0</v>
      </c>
      <c r="W21" s="716">
        <f t="shared" si="5"/>
        <v>13</v>
      </c>
      <c r="X21" s="716">
        <f t="shared" si="5"/>
        <v>0</v>
      </c>
      <c r="Y21" s="759">
        <f t="shared" si="5"/>
        <v>0</v>
      </c>
      <c r="Z21" s="759">
        <f t="shared" si="5"/>
        <v>0</v>
      </c>
      <c r="AA21" s="716">
        <f t="shared" si="5"/>
        <v>0</v>
      </c>
      <c r="AB21" s="716">
        <f t="shared" si="5"/>
        <v>0</v>
      </c>
      <c r="AC21" s="759">
        <f t="shared" si="5"/>
        <v>0</v>
      </c>
      <c r="AD21" s="759">
        <f t="shared" si="5"/>
        <v>0</v>
      </c>
      <c r="AE21" s="760">
        <f t="shared" si="5"/>
        <v>0</v>
      </c>
      <c r="AF21" s="760">
        <f t="shared" si="5"/>
        <v>0</v>
      </c>
      <c r="AG21" s="760">
        <f t="shared" si="5"/>
        <v>0</v>
      </c>
      <c r="AH21" s="760">
        <f t="shared" si="5"/>
        <v>0</v>
      </c>
      <c r="AI21" s="760">
        <f t="shared" si="5"/>
        <v>0</v>
      </c>
      <c r="AJ21" s="760">
        <f t="shared" si="5"/>
        <v>0</v>
      </c>
      <c r="AK21" s="760">
        <f t="shared" si="5"/>
        <v>0</v>
      </c>
      <c r="AL21" s="760">
        <f t="shared" si="5"/>
        <v>0</v>
      </c>
      <c r="AM21" s="716">
        <f t="shared" si="5"/>
        <v>0</v>
      </c>
      <c r="AN21" s="716">
        <f t="shared" si="5"/>
        <v>0</v>
      </c>
      <c r="AO21" s="759">
        <f t="shared" si="5"/>
        <v>0</v>
      </c>
      <c r="AP21" s="759">
        <f t="shared" si="5"/>
        <v>0</v>
      </c>
      <c r="AQ21" s="716">
        <f t="shared" si="5"/>
        <v>0</v>
      </c>
      <c r="AR21" s="716">
        <f t="shared" si="5"/>
        <v>0</v>
      </c>
      <c r="AS21" s="759">
        <f t="shared" si="5"/>
        <v>0</v>
      </c>
      <c r="AT21" s="759">
        <f t="shared" si="5"/>
        <v>0</v>
      </c>
      <c r="AU21" s="716">
        <f t="shared" ref="AU21:DF21" si="6">SUM(AU12:AU20)</f>
        <v>0</v>
      </c>
      <c r="AV21" s="716">
        <f t="shared" si="6"/>
        <v>0</v>
      </c>
      <c r="AW21" s="759">
        <f t="shared" si="6"/>
        <v>0</v>
      </c>
      <c r="AX21" s="759">
        <f t="shared" si="6"/>
        <v>0</v>
      </c>
      <c r="AY21" s="716">
        <f t="shared" si="6"/>
        <v>11</v>
      </c>
      <c r="AZ21" s="716">
        <f t="shared" si="6"/>
        <v>0</v>
      </c>
      <c r="BA21" s="759">
        <f t="shared" si="6"/>
        <v>0</v>
      </c>
      <c r="BB21" s="759">
        <f t="shared" si="6"/>
        <v>0</v>
      </c>
      <c r="BC21" s="716">
        <f t="shared" si="6"/>
        <v>11</v>
      </c>
      <c r="BD21" s="716">
        <f t="shared" si="6"/>
        <v>0</v>
      </c>
      <c r="BE21" s="759">
        <f t="shared" si="6"/>
        <v>0</v>
      </c>
      <c r="BF21" s="759">
        <f t="shared" si="6"/>
        <v>0</v>
      </c>
      <c r="BG21" s="716">
        <f t="shared" si="6"/>
        <v>11</v>
      </c>
      <c r="BH21" s="716">
        <f t="shared" si="6"/>
        <v>0</v>
      </c>
      <c r="BI21" s="759">
        <f t="shared" si="6"/>
        <v>0</v>
      </c>
      <c r="BJ21" s="759">
        <f t="shared" si="6"/>
        <v>0</v>
      </c>
      <c r="BK21" s="760">
        <f t="shared" si="6"/>
        <v>8</v>
      </c>
      <c r="BL21" s="760">
        <f t="shared" si="6"/>
        <v>0</v>
      </c>
      <c r="BM21" s="760">
        <f t="shared" si="6"/>
        <v>0</v>
      </c>
      <c r="BN21" s="760">
        <f t="shared" si="6"/>
        <v>0</v>
      </c>
      <c r="BO21" s="716">
        <f t="shared" si="6"/>
        <v>11</v>
      </c>
      <c r="BP21" s="716">
        <f t="shared" si="6"/>
        <v>0</v>
      </c>
      <c r="BQ21" s="759">
        <f t="shared" si="6"/>
        <v>0</v>
      </c>
      <c r="BR21" s="759">
        <f t="shared" si="6"/>
        <v>0</v>
      </c>
      <c r="BS21" s="716">
        <f t="shared" si="6"/>
        <v>24</v>
      </c>
      <c r="BT21" s="716">
        <f t="shared" si="6"/>
        <v>0</v>
      </c>
      <c r="BU21" s="759">
        <f t="shared" si="6"/>
        <v>0</v>
      </c>
      <c r="BV21" s="759">
        <f t="shared" si="6"/>
        <v>0</v>
      </c>
      <c r="BW21" s="716">
        <f t="shared" si="6"/>
        <v>11</v>
      </c>
      <c r="BX21" s="716">
        <f t="shared" si="6"/>
        <v>0</v>
      </c>
      <c r="BY21" s="759">
        <f t="shared" si="6"/>
        <v>0</v>
      </c>
      <c r="BZ21" s="759">
        <f t="shared" si="6"/>
        <v>0</v>
      </c>
      <c r="CA21" s="716">
        <f t="shared" si="6"/>
        <v>11</v>
      </c>
      <c r="CB21" s="716">
        <f t="shared" si="6"/>
        <v>0</v>
      </c>
      <c r="CC21" s="759">
        <f t="shared" si="6"/>
        <v>0</v>
      </c>
      <c r="CD21" s="759">
        <f t="shared" si="6"/>
        <v>0</v>
      </c>
      <c r="CE21" s="716">
        <f t="shared" si="6"/>
        <v>11</v>
      </c>
      <c r="CF21" s="716">
        <f t="shared" si="6"/>
        <v>0</v>
      </c>
      <c r="CG21" s="759">
        <f t="shared" si="6"/>
        <v>0</v>
      </c>
      <c r="CH21" s="759">
        <f t="shared" si="6"/>
        <v>0</v>
      </c>
      <c r="CI21" s="760">
        <f t="shared" si="6"/>
        <v>24</v>
      </c>
      <c r="CJ21" s="760">
        <f t="shared" si="6"/>
        <v>0</v>
      </c>
      <c r="CK21" s="760">
        <f t="shared" si="6"/>
        <v>0</v>
      </c>
      <c r="CL21" s="760">
        <f t="shared" si="6"/>
        <v>0</v>
      </c>
      <c r="CM21" s="760">
        <f t="shared" si="6"/>
        <v>0</v>
      </c>
      <c r="CN21" s="760">
        <f t="shared" si="6"/>
        <v>0</v>
      </c>
      <c r="CO21" s="760">
        <f t="shared" si="6"/>
        <v>0</v>
      </c>
      <c r="CP21" s="760">
        <f t="shared" si="6"/>
        <v>0</v>
      </c>
      <c r="CQ21" s="716">
        <f t="shared" si="6"/>
        <v>0</v>
      </c>
      <c r="CR21" s="716">
        <f t="shared" si="6"/>
        <v>0</v>
      </c>
      <c r="CS21" s="759">
        <f t="shared" si="6"/>
        <v>0</v>
      </c>
      <c r="CT21" s="759">
        <f t="shared" si="6"/>
        <v>0</v>
      </c>
      <c r="CU21" s="716">
        <f t="shared" si="6"/>
        <v>0</v>
      </c>
      <c r="CV21" s="716">
        <f t="shared" si="6"/>
        <v>0</v>
      </c>
      <c r="CW21" s="759">
        <f t="shared" si="6"/>
        <v>0</v>
      </c>
      <c r="CX21" s="759">
        <f t="shared" si="6"/>
        <v>0</v>
      </c>
      <c r="CY21" s="716">
        <f t="shared" si="6"/>
        <v>0</v>
      </c>
      <c r="CZ21" s="716">
        <f t="shared" si="6"/>
        <v>0</v>
      </c>
      <c r="DA21" s="759">
        <f t="shared" si="6"/>
        <v>0</v>
      </c>
      <c r="DB21" s="759">
        <f t="shared" si="6"/>
        <v>0</v>
      </c>
      <c r="DC21" s="716">
        <f t="shared" si="6"/>
        <v>0</v>
      </c>
      <c r="DD21" s="716">
        <f t="shared" si="6"/>
        <v>0</v>
      </c>
      <c r="DE21" s="759">
        <f t="shared" si="6"/>
        <v>0</v>
      </c>
      <c r="DF21" s="759">
        <f t="shared" si="6"/>
        <v>0</v>
      </c>
      <c r="DG21" s="716">
        <f t="shared" ref="DG21:EH21" si="7">SUM(DG12:DG20)</f>
        <v>10</v>
      </c>
      <c r="DH21" s="716">
        <f t="shared" si="7"/>
        <v>0</v>
      </c>
      <c r="DI21" s="759">
        <f t="shared" si="7"/>
        <v>0</v>
      </c>
      <c r="DJ21" s="759">
        <f t="shared" si="7"/>
        <v>0</v>
      </c>
      <c r="DK21" s="716">
        <f t="shared" si="7"/>
        <v>11</v>
      </c>
      <c r="DL21" s="716">
        <f t="shared" si="7"/>
        <v>0</v>
      </c>
      <c r="DM21" s="759">
        <f t="shared" si="7"/>
        <v>10</v>
      </c>
      <c r="DN21" s="759">
        <f t="shared" si="7"/>
        <v>0</v>
      </c>
      <c r="DO21" s="760">
        <f t="shared" si="7"/>
        <v>0</v>
      </c>
      <c r="DP21" s="760">
        <f t="shared" si="7"/>
        <v>0</v>
      </c>
      <c r="DQ21" s="760">
        <f t="shared" si="7"/>
        <v>0</v>
      </c>
      <c r="DR21" s="760">
        <f t="shared" si="7"/>
        <v>0</v>
      </c>
      <c r="DS21" s="716">
        <f t="shared" si="7"/>
        <v>0</v>
      </c>
      <c r="DT21" s="716">
        <f t="shared" si="7"/>
        <v>0</v>
      </c>
      <c r="DU21" s="759">
        <f t="shared" si="7"/>
        <v>0</v>
      </c>
      <c r="DV21" s="759">
        <f t="shared" si="7"/>
        <v>0</v>
      </c>
      <c r="DW21" s="716">
        <f t="shared" si="7"/>
        <v>0</v>
      </c>
      <c r="DX21" s="716">
        <f t="shared" si="7"/>
        <v>0</v>
      </c>
      <c r="DY21" s="759">
        <f t="shared" si="7"/>
        <v>0</v>
      </c>
      <c r="DZ21" s="759">
        <f t="shared" si="7"/>
        <v>0</v>
      </c>
      <c r="EA21" s="716">
        <f t="shared" si="7"/>
        <v>0</v>
      </c>
      <c r="EB21" s="716">
        <f t="shared" si="7"/>
        <v>0</v>
      </c>
      <c r="EC21" s="759">
        <f t="shared" si="7"/>
        <v>0</v>
      </c>
      <c r="ED21" s="759">
        <f t="shared" si="7"/>
        <v>0</v>
      </c>
      <c r="EE21" s="716">
        <f t="shared" si="7"/>
        <v>0</v>
      </c>
      <c r="EF21" s="716">
        <f t="shared" si="7"/>
        <v>0</v>
      </c>
      <c r="EG21" s="759">
        <f t="shared" si="7"/>
        <v>0</v>
      </c>
      <c r="EH21" s="759">
        <f t="shared" si="7"/>
        <v>0</v>
      </c>
      <c r="EI21" s="716"/>
      <c r="EJ21" s="716"/>
      <c r="EK21" s="716"/>
      <c r="EL21" s="761"/>
      <c r="EM21" s="758"/>
      <c r="EN21" s="758"/>
      <c r="EO21" s="758"/>
      <c r="EP21" s="758"/>
      <c r="EQ21" s="758"/>
      <c r="ER21" s="758"/>
      <c r="ES21" s="758"/>
      <c r="ET21" s="758"/>
      <c r="EU21" s="758"/>
      <c r="EV21" s="762"/>
    </row>
    <row r="22" spans="1:152" s="763" customFormat="1" ht="21.95" customHeight="1">
      <c r="A22" s="755"/>
      <c r="B22" s="756"/>
      <c r="C22" s="757" t="s">
        <v>958</v>
      </c>
      <c r="D22" s="757"/>
      <c r="E22" s="758"/>
      <c r="F22" s="757"/>
      <c r="G22" s="757"/>
      <c r="H22" s="757"/>
      <c r="I22" s="757"/>
      <c r="J22" s="757"/>
      <c r="K22" s="757"/>
      <c r="L22" s="757"/>
      <c r="M22" s="757"/>
      <c r="N22" s="757"/>
      <c r="O22" s="764">
        <f>+COUNT(O12:O20)-Q22</f>
        <v>0</v>
      </c>
      <c r="P22" s="764">
        <f>+COUNT(P12:P20)-R22</f>
        <v>0</v>
      </c>
      <c r="Q22" s="765"/>
      <c r="R22" s="765"/>
      <c r="S22" s="764">
        <f>+COUNT(S12:S20)-U22</f>
        <v>0</v>
      </c>
      <c r="T22" s="764">
        <f>+COUNT(T12:T20)-V22</f>
        <v>0</v>
      </c>
      <c r="U22" s="765"/>
      <c r="V22" s="765"/>
      <c r="W22" s="764">
        <f>+COUNT(W12:W20)-Y22</f>
        <v>1</v>
      </c>
      <c r="X22" s="764">
        <f>+COUNT(X12:X20)-Z22</f>
        <v>0</v>
      </c>
      <c r="Y22" s="765"/>
      <c r="Z22" s="765"/>
      <c r="AA22" s="764">
        <f>+COUNT(AA12:AA20)-AC22</f>
        <v>0</v>
      </c>
      <c r="AB22" s="764">
        <f>+COUNT(AB12:AB20)-AD22</f>
        <v>0</v>
      </c>
      <c r="AC22" s="765"/>
      <c r="AD22" s="765"/>
      <c r="AE22" s="766">
        <f>+COUNT(AE12:AE20)-AG22</f>
        <v>0</v>
      </c>
      <c r="AF22" s="766">
        <f>+COUNT(AF12:AF20)-AH22</f>
        <v>0</v>
      </c>
      <c r="AG22" s="766"/>
      <c r="AH22" s="766"/>
      <c r="AI22" s="766">
        <f t="shared" ref="AI22:AP22" si="8">+COUNT(AI12:AI20)</f>
        <v>0</v>
      </c>
      <c r="AJ22" s="766">
        <f t="shared" si="8"/>
        <v>0</v>
      </c>
      <c r="AK22" s="766">
        <f t="shared" si="8"/>
        <v>0</v>
      </c>
      <c r="AL22" s="766">
        <f t="shared" si="8"/>
        <v>0</v>
      </c>
      <c r="AM22" s="764">
        <f t="shared" si="8"/>
        <v>0</v>
      </c>
      <c r="AN22" s="764">
        <f t="shared" si="8"/>
        <v>0</v>
      </c>
      <c r="AO22" s="765">
        <f t="shared" si="8"/>
        <v>0</v>
      </c>
      <c r="AP22" s="765">
        <f t="shared" si="8"/>
        <v>0</v>
      </c>
      <c r="AQ22" s="764">
        <f>+COUNT(AQ12:AQ20)-AS22</f>
        <v>0</v>
      </c>
      <c r="AR22" s="764">
        <f>+COUNT(AR12:AR20)-AT22</f>
        <v>0</v>
      </c>
      <c r="AS22" s="765"/>
      <c r="AT22" s="765"/>
      <c r="AU22" s="764">
        <f>+COUNT(AU12:AU20)-AW22</f>
        <v>0</v>
      </c>
      <c r="AV22" s="764">
        <f>+COUNT(AV12:AV20)-AX22</f>
        <v>0</v>
      </c>
      <c r="AW22" s="765"/>
      <c r="AX22" s="765"/>
      <c r="AY22" s="764">
        <f>+COUNT(AY12:AY20)-BA22</f>
        <v>1</v>
      </c>
      <c r="AZ22" s="764">
        <f>+COUNT(AZ12:AZ20)-BB22</f>
        <v>0</v>
      </c>
      <c r="BA22" s="765"/>
      <c r="BB22" s="765"/>
      <c r="BC22" s="764">
        <f>+COUNT(BC12:BC20)-BE22</f>
        <v>1</v>
      </c>
      <c r="BD22" s="764">
        <f>+COUNT(BD12:BD20)-BF22</f>
        <v>0</v>
      </c>
      <c r="BE22" s="765"/>
      <c r="BF22" s="765"/>
      <c r="BG22" s="764">
        <f>+COUNT(BG12:BG20)-BI22</f>
        <v>1</v>
      </c>
      <c r="BH22" s="764">
        <f>+COUNT(BH12:BH20)-BJ22</f>
        <v>0</v>
      </c>
      <c r="BI22" s="765"/>
      <c r="BJ22" s="765"/>
      <c r="BK22" s="766">
        <f>+COUNT(BK12:BK20)</f>
        <v>1</v>
      </c>
      <c r="BL22" s="766">
        <f>+COUNT(BL12:BL20)</f>
        <v>1</v>
      </c>
      <c r="BM22" s="766"/>
      <c r="BN22" s="766"/>
      <c r="BO22" s="764">
        <f>+COUNT(BO12:BO20)</f>
        <v>1</v>
      </c>
      <c r="BP22" s="764">
        <f>+COUNT(BP12:BP20)</f>
        <v>0</v>
      </c>
      <c r="BQ22" s="765"/>
      <c r="BR22" s="765"/>
      <c r="BS22" s="764">
        <f>+COUNT(BS12:BS20)</f>
        <v>2</v>
      </c>
      <c r="BT22" s="764">
        <f>+COUNT(BT12:BT20)</f>
        <v>0</v>
      </c>
      <c r="BU22" s="765"/>
      <c r="BV22" s="765"/>
      <c r="BW22" s="764">
        <f>+COUNT(BW12:BW20)</f>
        <v>1</v>
      </c>
      <c r="BX22" s="764">
        <f>+COUNT(BX12:BX20)</f>
        <v>0</v>
      </c>
      <c r="BY22" s="765">
        <f>+COUNT(BZ12:BZ20)</f>
        <v>0</v>
      </c>
      <c r="BZ22" s="765">
        <f>+COUNT(BZ12:BZ20)</f>
        <v>0</v>
      </c>
      <c r="CA22" s="764">
        <f>+COUNT(CA12:CA20)</f>
        <v>1</v>
      </c>
      <c r="CB22" s="764">
        <f>+COUNT(CB12:CB20)</f>
        <v>0</v>
      </c>
      <c r="CC22" s="765">
        <f>+COUNT(CD12:CD20)</f>
        <v>0</v>
      </c>
      <c r="CD22" s="765">
        <f>+COUNT(CD12:CD20)</f>
        <v>0</v>
      </c>
      <c r="CE22" s="764">
        <f>+COUNT(CE12:CE20)-CG22</f>
        <v>1</v>
      </c>
      <c r="CF22" s="764">
        <f>+COUNT(CF12:CF20)-CH22</f>
        <v>0</v>
      </c>
      <c r="CG22" s="765"/>
      <c r="CH22" s="765"/>
      <c r="CI22" s="766">
        <f>+COUNT(CI12:CI20)-CK22</f>
        <v>2</v>
      </c>
      <c r="CJ22" s="766">
        <f>+COUNT(CJ12:CJ20)-CL22</f>
        <v>0</v>
      </c>
      <c r="CK22" s="766"/>
      <c r="CL22" s="766"/>
      <c r="CM22" s="766">
        <f t="shared" ref="CM22:DJ22" si="9">+COUNT(CM12:CM20)</f>
        <v>0</v>
      </c>
      <c r="CN22" s="766">
        <f t="shared" si="9"/>
        <v>0</v>
      </c>
      <c r="CO22" s="766">
        <f t="shared" si="9"/>
        <v>0</v>
      </c>
      <c r="CP22" s="766">
        <f t="shared" si="9"/>
        <v>0</v>
      </c>
      <c r="CQ22" s="764">
        <f t="shared" si="9"/>
        <v>0</v>
      </c>
      <c r="CR22" s="764">
        <f t="shared" si="9"/>
        <v>0</v>
      </c>
      <c r="CS22" s="765">
        <f t="shared" si="9"/>
        <v>0</v>
      </c>
      <c r="CT22" s="765">
        <f t="shared" si="9"/>
        <v>0</v>
      </c>
      <c r="CU22" s="764">
        <f t="shared" si="9"/>
        <v>0</v>
      </c>
      <c r="CV22" s="764">
        <f t="shared" si="9"/>
        <v>0</v>
      </c>
      <c r="CW22" s="765">
        <f t="shared" si="9"/>
        <v>0</v>
      </c>
      <c r="CX22" s="765">
        <f t="shared" si="9"/>
        <v>0</v>
      </c>
      <c r="CY22" s="764">
        <f t="shared" si="9"/>
        <v>0</v>
      </c>
      <c r="CZ22" s="764">
        <f t="shared" si="9"/>
        <v>0</v>
      </c>
      <c r="DA22" s="765">
        <f t="shared" si="9"/>
        <v>0</v>
      </c>
      <c r="DB22" s="765">
        <f t="shared" si="9"/>
        <v>0</v>
      </c>
      <c r="DC22" s="764">
        <f t="shared" si="9"/>
        <v>0</v>
      </c>
      <c r="DD22" s="764">
        <f t="shared" si="9"/>
        <v>0</v>
      </c>
      <c r="DE22" s="765">
        <f t="shared" si="9"/>
        <v>0</v>
      </c>
      <c r="DF22" s="765">
        <f t="shared" si="9"/>
        <v>0</v>
      </c>
      <c r="DG22" s="764">
        <f t="shared" si="9"/>
        <v>1</v>
      </c>
      <c r="DH22" s="764">
        <f t="shared" si="9"/>
        <v>0</v>
      </c>
      <c r="DI22" s="765">
        <f t="shared" si="9"/>
        <v>0</v>
      </c>
      <c r="DJ22" s="765">
        <f t="shared" si="9"/>
        <v>0</v>
      </c>
      <c r="DK22" s="764">
        <f>+COUNT(DK12:DK20)-DM22</f>
        <v>1</v>
      </c>
      <c r="DL22" s="764">
        <f>+COUNT(DL12:DL20)-DN22</f>
        <v>0</v>
      </c>
      <c r="DM22" s="765"/>
      <c r="DN22" s="765"/>
      <c r="DO22" s="766">
        <f t="shared" ref="DO22:EH22" si="10">+COUNT(DO12:DO20)</f>
        <v>0</v>
      </c>
      <c r="DP22" s="766">
        <f t="shared" si="10"/>
        <v>0</v>
      </c>
      <c r="DQ22" s="766">
        <f t="shared" si="10"/>
        <v>0</v>
      </c>
      <c r="DR22" s="766">
        <f t="shared" si="10"/>
        <v>0</v>
      </c>
      <c r="DS22" s="764">
        <f t="shared" si="10"/>
        <v>0</v>
      </c>
      <c r="DT22" s="764">
        <f t="shared" si="10"/>
        <v>0</v>
      </c>
      <c r="DU22" s="765">
        <f t="shared" si="10"/>
        <v>0</v>
      </c>
      <c r="DV22" s="765">
        <f t="shared" si="10"/>
        <v>0</v>
      </c>
      <c r="DW22" s="764">
        <f t="shared" si="10"/>
        <v>0</v>
      </c>
      <c r="DX22" s="764">
        <f t="shared" si="10"/>
        <v>0</v>
      </c>
      <c r="DY22" s="765">
        <f t="shared" si="10"/>
        <v>0</v>
      </c>
      <c r="DZ22" s="765">
        <f t="shared" si="10"/>
        <v>0</v>
      </c>
      <c r="EA22" s="764">
        <f t="shared" si="10"/>
        <v>0</v>
      </c>
      <c r="EB22" s="764">
        <f t="shared" si="10"/>
        <v>0</v>
      </c>
      <c r="EC22" s="765">
        <f t="shared" si="10"/>
        <v>0</v>
      </c>
      <c r="ED22" s="765">
        <f t="shared" si="10"/>
        <v>0</v>
      </c>
      <c r="EE22" s="764">
        <f t="shared" si="10"/>
        <v>0</v>
      </c>
      <c r="EF22" s="764">
        <f t="shared" si="10"/>
        <v>0</v>
      </c>
      <c r="EG22" s="765">
        <f t="shared" si="10"/>
        <v>0</v>
      </c>
      <c r="EH22" s="765">
        <f t="shared" si="10"/>
        <v>0</v>
      </c>
      <c r="EI22" s="764"/>
      <c r="EJ22" s="764"/>
      <c r="EK22" s="764"/>
      <c r="EL22" s="758"/>
      <c r="EM22" s="758"/>
      <c r="EN22" s="758"/>
      <c r="EO22" s="758"/>
      <c r="EP22" s="758"/>
      <c r="EQ22" s="758"/>
      <c r="ER22" s="758"/>
      <c r="ES22" s="755"/>
      <c r="ET22" s="767"/>
      <c r="EU22" s="758"/>
      <c r="EV22" s="762"/>
    </row>
    <row r="23" spans="1:152" s="763" customFormat="1" ht="21.95" customHeight="1">
      <c r="A23" s="768"/>
      <c r="B23" s="769"/>
      <c r="C23" s="770" t="s">
        <v>819</v>
      </c>
      <c r="D23" s="770"/>
      <c r="E23" s="771"/>
      <c r="F23" s="771"/>
      <c r="G23" s="770"/>
      <c r="H23" s="770"/>
      <c r="I23" s="770"/>
      <c r="J23" s="770"/>
      <c r="K23" s="770"/>
      <c r="L23" s="770"/>
      <c r="M23" s="770"/>
      <c r="N23" s="770"/>
      <c r="O23" s="772"/>
      <c r="P23" s="772"/>
      <c r="Q23" s="773"/>
      <c r="R23" s="773"/>
      <c r="S23" s="772"/>
      <c r="T23" s="772"/>
      <c r="U23" s="773"/>
      <c r="V23" s="773"/>
      <c r="W23" s="772"/>
      <c r="X23" s="772"/>
      <c r="Y23" s="773"/>
      <c r="Z23" s="773"/>
      <c r="AA23" s="772"/>
      <c r="AB23" s="772"/>
      <c r="AC23" s="773"/>
      <c r="AD23" s="773"/>
      <c r="AE23" s="774"/>
      <c r="AF23" s="774"/>
      <c r="AG23" s="774"/>
      <c r="AH23" s="774"/>
      <c r="AI23" s="774"/>
      <c r="AJ23" s="774"/>
      <c r="AK23" s="774"/>
      <c r="AL23" s="774"/>
      <c r="AM23" s="775"/>
      <c r="AN23" s="775"/>
      <c r="AO23" s="773"/>
      <c r="AP23" s="773"/>
      <c r="AQ23" s="772"/>
      <c r="AR23" s="772"/>
      <c r="AS23" s="773"/>
      <c r="AT23" s="773"/>
      <c r="AU23" s="772"/>
      <c r="AV23" s="772"/>
      <c r="AW23" s="773"/>
      <c r="AX23" s="773"/>
      <c r="AY23" s="772"/>
      <c r="AZ23" s="772"/>
      <c r="BA23" s="773"/>
      <c r="BB23" s="773"/>
      <c r="BC23" s="772"/>
      <c r="BD23" s="772"/>
      <c r="BE23" s="773"/>
      <c r="BF23" s="773"/>
      <c r="BG23" s="772"/>
      <c r="BH23" s="772"/>
      <c r="BI23" s="773"/>
      <c r="BJ23" s="773"/>
      <c r="BK23" s="774"/>
      <c r="BL23" s="774"/>
      <c r="BM23" s="774"/>
      <c r="BN23" s="774"/>
      <c r="BO23" s="776"/>
      <c r="BP23" s="776"/>
      <c r="BQ23" s="777"/>
      <c r="BR23" s="773"/>
      <c r="BS23" s="776"/>
      <c r="BT23" s="776"/>
      <c r="BU23" s="777"/>
      <c r="BV23" s="773"/>
      <c r="BW23" s="772"/>
      <c r="BX23" s="772"/>
      <c r="BY23" s="773"/>
      <c r="BZ23" s="773"/>
      <c r="CA23" s="772"/>
      <c r="CB23" s="772"/>
      <c r="CC23" s="773"/>
      <c r="CD23" s="773"/>
      <c r="CE23" s="772"/>
      <c r="CF23" s="772"/>
      <c r="CG23" s="773"/>
      <c r="CH23" s="773"/>
      <c r="CI23" s="774"/>
      <c r="CJ23" s="774"/>
      <c r="CK23" s="774"/>
      <c r="CL23" s="774"/>
      <c r="CM23" s="774"/>
      <c r="CN23" s="774"/>
      <c r="CO23" s="774"/>
      <c r="CP23" s="774"/>
      <c r="CQ23" s="775"/>
      <c r="CR23" s="775"/>
      <c r="CS23" s="773"/>
      <c r="CT23" s="773"/>
      <c r="CU23" s="775"/>
      <c r="CV23" s="775"/>
      <c r="CW23" s="773"/>
      <c r="CX23" s="773"/>
      <c r="CY23" s="775"/>
      <c r="CZ23" s="775"/>
      <c r="DA23" s="773"/>
      <c r="DB23" s="773"/>
      <c r="DC23" s="775"/>
      <c r="DD23" s="775"/>
      <c r="DE23" s="773"/>
      <c r="DF23" s="773"/>
      <c r="DG23" s="775"/>
      <c r="DH23" s="775"/>
      <c r="DI23" s="773"/>
      <c r="DJ23" s="773"/>
      <c r="DK23" s="775"/>
      <c r="DL23" s="775"/>
      <c r="DM23" s="773"/>
      <c r="DN23" s="773"/>
      <c r="DO23" s="774"/>
      <c r="DP23" s="774"/>
      <c r="DQ23" s="774"/>
      <c r="DR23" s="774"/>
      <c r="DS23" s="775"/>
      <c r="DT23" s="775"/>
      <c r="DU23" s="773"/>
      <c r="DV23" s="773"/>
      <c r="DW23" s="775"/>
      <c r="DX23" s="775"/>
      <c r="DY23" s="773"/>
      <c r="DZ23" s="773"/>
      <c r="EA23" s="775"/>
      <c r="EB23" s="775"/>
      <c r="EC23" s="773"/>
      <c r="ED23" s="773"/>
      <c r="EE23" s="775"/>
      <c r="EF23" s="775"/>
      <c r="EG23" s="773"/>
      <c r="EH23" s="773"/>
      <c r="EI23" s="772"/>
      <c r="EJ23" s="772"/>
      <c r="EK23" s="772"/>
      <c r="EL23" s="778">
        <f>SUM(EL12:EL22)</f>
        <v>3642000</v>
      </c>
      <c r="EM23" s="771"/>
      <c r="EN23" s="778">
        <f>SUM(EN12:EN22)</f>
        <v>3867000</v>
      </c>
      <c r="EO23" s="778"/>
      <c r="EP23" s="778"/>
      <c r="EQ23" s="778"/>
      <c r="ER23" s="778"/>
      <c r="ES23" s="771"/>
      <c r="ET23" s="771"/>
      <c r="EU23" s="771"/>
      <c r="EV23" s="779"/>
    </row>
    <row r="24" spans="1:152" s="664" customFormat="1" ht="21.95" customHeight="1">
      <c r="A24" s="671"/>
      <c r="B24" s="670"/>
      <c r="C24" s="663" t="s">
        <v>959</v>
      </c>
      <c r="D24" s="780"/>
      <c r="F24" s="781"/>
      <c r="G24" s="782"/>
      <c r="H24" s="782"/>
      <c r="I24" s="782"/>
      <c r="J24" s="782"/>
      <c r="K24" s="782"/>
      <c r="L24" s="782"/>
      <c r="M24" s="782"/>
      <c r="N24" s="782"/>
      <c r="O24" s="783"/>
      <c r="P24" s="783"/>
      <c r="Q24" s="671"/>
      <c r="R24" s="783"/>
      <c r="S24" s="783"/>
      <c r="T24" s="783"/>
      <c r="U24" s="671"/>
      <c r="V24" s="783"/>
      <c r="W24" s="783"/>
      <c r="X24" s="783"/>
      <c r="Y24" s="671"/>
      <c r="Z24" s="671"/>
      <c r="AA24" s="783"/>
      <c r="AB24" s="783"/>
      <c r="AC24" s="671"/>
      <c r="AD24" s="671"/>
      <c r="AE24" s="783"/>
      <c r="AF24" s="783"/>
      <c r="AG24" s="671"/>
      <c r="AH24" s="671"/>
      <c r="AI24" s="783"/>
      <c r="AJ24" s="783"/>
      <c r="AK24" s="671"/>
      <c r="AL24" s="783"/>
      <c r="AM24" s="783"/>
      <c r="AN24" s="783"/>
      <c r="AO24" s="671"/>
      <c r="AP24" s="783"/>
      <c r="AQ24" s="783"/>
      <c r="AR24" s="783"/>
      <c r="AS24" s="671"/>
      <c r="AT24" s="783"/>
      <c r="AU24" s="783"/>
      <c r="AV24" s="783"/>
      <c r="AW24" s="671"/>
      <c r="AX24" s="783"/>
      <c r="AY24" s="783"/>
      <c r="AZ24" s="783"/>
      <c r="BA24" s="671"/>
      <c r="BB24" s="783"/>
      <c r="BC24" s="783"/>
      <c r="BD24" s="783"/>
      <c r="BE24" s="671"/>
      <c r="BF24" s="783"/>
      <c r="BG24" s="783"/>
      <c r="BH24" s="783"/>
      <c r="BI24" s="671"/>
      <c r="BJ24" s="783"/>
      <c r="BK24" s="783"/>
      <c r="BL24" s="783"/>
      <c r="BM24" s="671"/>
      <c r="BN24" s="783"/>
      <c r="BO24" s="783"/>
      <c r="BP24" s="783"/>
      <c r="BQ24" s="671"/>
      <c r="BR24" s="783"/>
      <c r="BS24" s="783"/>
      <c r="BT24" s="783"/>
      <c r="BU24" s="671"/>
      <c r="BV24" s="783"/>
      <c r="BW24" s="783"/>
      <c r="BX24" s="783"/>
      <c r="BY24" s="671"/>
      <c r="BZ24" s="783"/>
      <c r="CA24" s="783"/>
      <c r="CB24" s="783"/>
      <c r="CC24" s="671"/>
      <c r="CD24" s="783"/>
      <c r="CE24" s="783"/>
      <c r="CF24" s="783"/>
      <c r="CG24" s="671"/>
      <c r="CH24" s="783"/>
      <c r="CI24" s="783"/>
      <c r="CJ24" s="783"/>
      <c r="CK24" s="671"/>
      <c r="CL24" s="783"/>
      <c r="CM24" s="783"/>
      <c r="CN24" s="783"/>
      <c r="CO24" s="671"/>
      <c r="CP24" s="783"/>
      <c r="CQ24" s="783"/>
      <c r="CR24" s="783"/>
      <c r="CS24" s="671"/>
      <c r="CT24" s="783"/>
      <c r="CU24" s="783"/>
      <c r="CV24" s="783"/>
      <c r="CW24" s="783"/>
      <c r="CX24" s="783"/>
      <c r="CY24" s="783"/>
      <c r="CZ24" s="783"/>
      <c r="DA24" s="783"/>
      <c r="DB24" s="783"/>
      <c r="DC24" s="783"/>
      <c r="DD24" s="783"/>
      <c r="DE24" s="670"/>
      <c r="DF24" s="783"/>
      <c r="DG24" s="783"/>
      <c r="DH24" s="783"/>
      <c r="DI24" s="783"/>
      <c r="DJ24" s="783"/>
      <c r="DK24" s="783"/>
      <c r="DL24" s="783"/>
      <c r="DM24" s="783"/>
      <c r="DN24" s="783"/>
      <c r="DO24" s="783"/>
      <c r="DP24" s="783"/>
      <c r="DQ24" s="671"/>
      <c r="DR24" s="783"/>
      <c r="DS24" s="783"/>
      <c r="DT24" s="783"/>
      <c r="DU24" s="671"/>
      <c r="DV24" s="783"/>
      <c r="DW24" s="783"/>
      <c r="DX24" s="783"/>
      <c r="DY24" s="783"/>
      <c r="DZ24" s="783"/>
      <c r="EA24" s="783"/>
      <c r="EB24" s="783"/>
      <c r="EC24" s="671"/>
      <c r="ED24" s="783"/>
      <c r="EE24" s="783"/>
      <c r="EF24" s="783"/>
      <c r="EG24" s="671"/>
      <c r="EH24" s="783"/>
      <c r="EI24" s="784"/>
      <c r="EJ24" s="671"/>
      <c r="EK24" s="671"/>
    </row>
    <row r="25" spans="1:152" s="763" customFormat="1" ht="21.95" customHeight="1">
      <c r="A25" s="669"/>
      <c r="B25" s="669"/>
      <c r="C25" s="677"/>
      <c r="D25" s="677"/>
      <c r="E25" s="669"/>
      <c r="F25" s="677"/>
      <c r="G25" s="677"/>
      <c r="H25" s="677"/>
      <c r="I25" s="677"/>
      <c r="J25" s="677"/>
      <c r="K25" s="677"/>
      <c r="L25" s="677"/>
      <c r="M25" s="677"/>
      <c r="N25" s="677"/>
      <c r="O25" s="675"/>
      <c r="P25" s="675"/>
      <c r="Q25" s="669"/>
      <c r="R25" s="675"/>
      <c r="S25" s="675"/>
      <c r="T25" s="675"/>
      <c r="U25" s="669"/>
      <c r="V25" s="675"/>
      <c r="W25" s="675"/>
      <c r="X25" s="675"/>
      <c r="Y25" s="669"/>
      <c r="Z25" s="669"/>
      <c r="AA25" s="675"/>
      <c r="AB25" s="675"/>
      <c r="AC25" s="669"/>
      <c r="AD25" s="669"/>
      <c r="AE25" s="675"/>
      <c r="AF25" s="675"/>
      <c r="AG25" s="669"/>
      <c r="AH25" s="669"/>
      <c r="AI25" s="675"/>
      <c r="AJ25" s="675"/>
      <c r="AK25" s="669"/>
      <c r="AL25" s="675"/>
      <c r="AM25" s="675"/>
      <c r="AN25" s="675"/>
      <c r="AO25" s="669"/>
      <c r="AP25" s="675"/>
      <c r="AQ25" s="675"/>
      <c r="AR25" s="675"/>
      <c r="AS25" s="669"/>
      <c r="AT25" s="675"/>
      <c r="AU25" s="675"/>
      <c r="AV25" s="675"/>
      <c r="AW25" s="669"/>
      <c r="AX25" s="675"/>
      <c r="AY25" s="675"/>
      <c r="AZ25" s="675"/>
      <c r="BA25" s="669"/>
      <c r="BB25" s="675"/>
      <c r="BC25" s="675"/>
      <c r="BD25" s="675"/>
      <c r="BE25" s="669"/>
      <c r="BF25" s="675"/>
      <c r="BG25" s="675"/>
      <c r="BH25" s="675"/>
      <c r="BI25" s="669"/>
      <c r="BJ25" s="675"/>
      <c r="BK25" s="675"/>
      <c r="BL25" s="675"/>
      <c r="BM25" s="669"/>
      <c r="BN25" s="675"/>
      <c r="BO25" s="675"/>
      <c r="BP25" s="675"/>
      <c r="BQ25" s="669"/>
      <c r="BR25" s="675"/>
      <c r="BS25" s="675"/>
      <c r="BT25" s="675"/>
      <c r="BU25" s="669"/>
      <c r="BV25" s="675"/>
      <c r="BW25" s="675"/>
      <c r="BX25" s="675"/>
      <c r="BY25" s="669"/>
      <c r="BZ25" s="675"/>
      <c r="CA25" s="675"/>
      <c r="CB25" s="675"/>
      <c r="CC25" s="669"/>
      <c r="CD25" s="675"/>
      <c r="CE25" s="675"/>
      <c r="CF25" s="675"/>
      <c r="CG25" s="669"/>
      <c r="CH25" s="675"/>
      <c r="CI25" s="675"/>
      <c r="CJ25" s="675"/>
      <c r="CK25" s="669"/>
      <c r="CL25" s="675"/>
      <c r="CM25" s="675"/>
      <c r="CN25" s="675"/>
      <c r="CO25" s="669"/>
      <c r="CP25" s="675"/>
      <c r="CQ25" s="675"/>
      <c r="CR25" s="675"/>
      <c r="CS25" s="669"/>
      <c r="CT25" s="675"/>
      <c r="CU25" s="675"/>
      <c r="CV25" s="675"/>
      <c r="CW25" s="675"/>
      <c r="CX25" s="675"/>
      <c r="CY25" s="675"/>
      <c r="CZ25" s="675"/>
      <c r="DA25" s="675"/>
      <c r="DB25" s="675"/>
      <c r="DC25" s="675"/>
      <c r="DD25" s="675"/>
      <c r="DE25" s="669"/>
      <c r="DF25" s="675"/>
      <c r="DG25" s="675"/>
      <c r="DH25" s="675"/>
      <c r="DI25" s="675"/>
      <c r="DJ25" s="675"/>
      <c r="DK25" s="675"/>
      <c r="DL25" s="675"/>
      <c r="DM25" s="675"/>
      <c r="DN25" s="675"/>
      <c r="DO25" s="675"/>
      <c r="DP25" s="675"/>
      <c r="DQ25" s="669"/>
      <c r="DR25" s="675"/>
      <c r="DS25" s="675"/>
      <c r="DT25" s="675"/>
      <c r="DU25" s="669"/>
      <c r="DV25" s="675"/>
      <c r="DW25" s="675"/>
      <c r="DX25" s="675"/>
      <c r="DY25" s="675"/>
      <c r="DZ25" s="675"/>
      <c r="EA25" s="675"/>
      <c r="EB25" s="675"/>
      <c r="EC25" s="669"/>
      <c r="ED25" s="675"/>
      <c r="EE25" s="675"/>
      <c r="EF25" s="675"/>
      <c r="EG25" s="669"/>
      <c r="EH25" s="675"/>
    </row>
    <row r="26" spans="1:152" ht="21.95" customHeight="1"/>
    <row r="27" spans="1:152" ht="21.95" customHeight="1"/>
    <row r="28" spans="1:152" ht="21.95" customHeight="1"/>
    <row r="29" spans="1:152" ht="21.95" customHeight="1"/>
    <row r="30" spans="1:152" ht="21.95" customHeight="1"/>
    <row r="31" spans="1:152" ht="21.95" customHeight="1"/>
    <row r="32" spans="1:152" ht="21.95" customHeight="1"/>
    <row r="33" ht="21.95" customHeight="1"/>
    <row r="34" ht="21.95" customHeight="1"/>
    <row r="35" ht="21.95" customHeight="1"/>
    <row r="36" ht="21.95" customHeight="1"/>
    <row r="37" ht="21.95" customHeight="1"/>
    <row r="38" ht="21.95" customHeight="1"/>
    <row r="39" ht="21.95" customHeight="1"/>
    <row r="40" ht="21.95" customHeight="1"/>
    <row r="41" ht="21.95" customHeight="1"/>
    <row r="42" ht="21.95" customHeight="1"/>
    <row r="43" ht="21.95" customHeight="1"/>
    <row r="44" ht="21.95" customHeight="1"/>
    <row r="45" ht="21.95" customHeight="1"/>
    <row r="46" ht="21.95" customHeight="1"/>
    <row r="47" ht="21.95" customHeight="1"/>
    <row r="48" ht="21.95" customHeight="1"/>
    <row r="49" ht="21.95" customHeight="1"/>
    <row r="50" ht="21.95" customHeight="1"/>
    <row r="51" ht="21.95" customHeight="1"/>
    <row r="52" ht="21.95" customHeight="1"/>
    <row r="53" ht="21.95" customHeight="1"/>
    <row r="54" ht="21.95" customHeight="1"/>
    <row r="55" ht="21.95" customHeight="1"/>
    <row r="56" ht="21.95" customHeight="1"/>
    <row r="57" ht="21.95" customHeight="1"/>
    <row r="58" ht="21.95" customHeight="1"/>
    <row r="59" ht="21.95" customHeight="1"/>
    <row r="60" ht="21.95" customHeight="1"/>
    <row r="61" ht="21.95" customHeight="1"/>
    <row r="62" ht="21.95" customHeight="1"/>
    <row r="63" ht="21.95" customHeight="1"/>
    <row r="64" ht="21.95" customHeight="1"/>
    <row r="65" ht="21.95" customHeight="1"/>
    <row r="66" ht="21.95" customHeight="1"/>
    <row r="67" ht="21.95" customHeight="1"/>
    <row r="68" ht="21.95" customHeight="1"/>
    <row r="69" ht="21.95" customHeight="1"/>
    <row r="70" ht="21.95" customHeight="1"/>
    <row r="71" ht="21.95" customHeight="1"/>
    <row r="72" ht="21.95" customHeight="1"/>
    <row r="73" ht="21.95" customHeight="1"/>
    <row r="74" ht="21.95" customHeight="1"/>
    <row r="75" ht="21.95" customHeight="1"/>
    <row r="76" ht="21.95" customHeight="1"/>
    <row r="77" ht="21.95" customHeight="1"/>
    <row r="78" ht="21.95" customHeight="1"/>
    <row r="79" ht="21.95" customHeight="1"/>
    <row r="80" ht="21.95" customHeight="1"/>
    <row r="81" ht="21.95" customHeight="1"/>
    <row r="82" ht="21.95" customHeight="1"/>
    <row r="83" ht="21.95" customHeight="1"/>
    <row r="84" ht="21.95" customHeight="1"/>
    <row r="85" ht="21.95" customHeight="1"/>
    <row r="86" ht="21.95" customHeight="1"/>
    <row r="87" ht="21.95" customHeight="1"/>
    <row r="88" ht="21.95" customHeight="1"/>
    <row r="89" ht="21.95" customHeight="1"/>
    <row r="90" ht="21.95" customHeight="1"/>
    <row r="91" ht="21.95" customHeight="1"/>
    <row r="92" ht="21.95" customHeight="1"/>
    <row r="93" ht="21.95" customHeight="1"/>
    <row r="94" ht="21.95" customHeight="1"/>
    <row r="95" ht="21.95" customHeight="1"/>
    <row r="96" ht="21.95" customHeight="1"/>
    <row r="97" ht="21.95" customHeight="1"/>
    <row r="98" ht="21.95" customHeight="1"/>
    <row r="99" ht="21.95" customHeight="1"/>
    <row r="100" ht="21.95" customHeight="1"/>
    <row r="101" ht="21.95" customHeight="1"/>
    <row r="102" ht="21.95" customHeight="1"/>
    <row r="103" ht="21.95" customHeight="1"/>
    <row r="104" ht="21.95" customHeight="1"/>
    <row r="105" ht="21.95" customHeight="1"/>
    <row r="106" ht="21.95" customHeight="1"/>
    <row r="107" ht="21.95" customHeight="1"/>
    <row r="108" ht="21.95" customHeight="1"/>
    <row r="109" ht="21.95" customHeight="1"/>
    <row r="110" ht="21.95" customHeight="1"/>
    <row r="111" ht="21.95" customHeight="1"/>
    <row r="112" ht="21.95" customHeight="1"/>
    <row r="113" ht="21.95" customHeight="1"/>
    <row r="114" ht="21.95" customHeight="1"/>
    <row r="115" ht="21.95" customHeight="1"/>
    <row r="116" ht="21.95" customHeight="1"/>
    <row r="117" ht="21.95" customHeight="1"/>
    <row r="118" ht="21.95" customHeight="1"/>
    <row r="119" ht="21.95" customHeight="1"/>
    <row r="120" ht="21.95" customHeight="1"/>
    <row r="121" ht="21.95" customHeight="1"/>
    <row r="122" ht="21.95" customHeight="1"/>
    <row r="123" ht="21.95" customHeight="1"/>
    <row r="124" ht="21.95" customHeight="1"/>
    <row r="125" ht="21.95" customHeight="1"/>
    <row r="126" ht="21.95" customHeight="1"/>
    <row r="127" ht="21.95" customHeight="1"/>
    <row r="128" ht="21.95" customHeight="1"/>
    <row r="129" ht="21.95" customHeight="1"/>
    <row r="130" ht="21.95" customHeight="1"/>
    <row r="131" ht="21.95" customHeight="1"/>
    <row r="132" ht="21.95" customHeight="1"/>
    <row r="133" ht="21.95" customHeight="1"/>
    <row r="134" ht="21.95" customHeight="1"/>
    <row r="135" ht="21.95" customHeight="1"/>
    <row r="136" ht="21.95" customHeight="1"/>
    <row r="137" ht="21.95" customHeight="1"/>
    <row r="138" ht="21.95" customHeight="1"/>
    <row r="139" ht="21.95" customHeight="1"/>
    <row r="140" ht="21.95" customHeight="1"/>
    <row r="141" ht="21.95" customHeight="1"/>
    <row r="142" ht="21.95" customHeight="1"/>
    <row r="143" ht="21.95" customHeight="1"/>
    <row r="144" ht="21.95" customHeight="1"/>
    <row r="145" ht="21.95" customHeight="1"/>
    <row r="146" ht="21.95" customHeight="1"/>
    <row r="147" ht="21.95" customHeight="1"/>
    <row r="148" ht="21.95" customHeight="1"/>
    <row r="149" ht="21.95" customHeight="1"/>
    <row r="150" ht="21.95" customHeight="1"/>
    <row r="151" ht="21.95" customHeight="1"/>
    <row r="152" ht="21.95" customHeight="1"/>
    <row r="153" ht="21.95" customHeight="1"/>
    <row r="154" ht="21.95" customHeight="1"/>
    <row r="155" ht="21.95" customHeight="1"/>
    <row r="156" ht="21.95" customHeight="1"/>
    <row r="157" ht="21.95" customHeight="1"/>
    <row r="158" ht="21.95" customHeight="1"/>
    <row r="159" ht="21.95" customHeight="1"/>
    <row r="160" ht="21.95" customHeight="1"/>
    <row r="161" ht="21.95" customHeight="1"/>
    <row r="162" ht="21.95" customHeight="1"/>
    <row r="163" ht="21.95" customHeight="1"/>
    <row r="164" ht="21.95" customHeight="1"/>
    <row r="165" ht="21.95" customHeight="1"/>
    <row r="166" ht="21.95" customHeight="1"/>
    <row r="167" ht="21.95" customHeight="1"/>
    <row r="168" ht="21.95" customHeight="1"/>
    <row r="169" ht="21.95" customHeight="1"/>
  </sheetData>
  <mergeCells count="115">
    <mergeCell ref="DU9:DV9"/>
    <mergeCell ref="DW9:DX9"/>
    <mergeCell ref="DY9:DZ9"/>
    <mergeCell ref="EA9:EB9"/>
    <mergeCell ref="BU9:BV9"/>
    <mergeCell ref="BW9:BX9"/>
    <mergeCell ref="BY9:BZ9"/>
    <mergeCell ref="CA9:CB9"/>
    <mergeCell ref="CC9:CD9"/>
    <mergeCell ref="CE9:CF9"/>
    <mergeCell ref="DE9:DF9"/>
    <mergeCell ref="DG9:DH9"/>
    <mergeCell ref="DI9:DJ9"/>
    <mergeCell ref="CS9:CT9"/>
    <mergeCell ref="CU9:CV9"/>
    <mergeCell ref="CW9:CX9"/>
    <mergeCell ref="CY9:CZ9"/>
    <mergeCell ref="DA9:DB9"/>
    <mergeCell ref="DC9:DD9"/>
    <mergeCell ref="BI9:BJ9"/>
    <mergeCell ref="BK9:BL9"/>
    <mergeCell ref="BM9:BN9"/>
    <mergeCell ref="BO9:BP9"/>
    <mergeCell ref="BQ9:BR9"/>
    <mergeCell ref="BS9:BT9"/>
    <mergeCell ref="AW9:AX9"/>
    <mergeCell ref="AY9:AZ9"/>
    <mergeCell ref="BA9:BB9"/>
    <mergeCell ref="BC9:BD9"/>
    <mergeCell ref="BE9:BF9"/>
    <mergeCell ref="BG9:BH9"/>
    <mergeCell ref="ET8:ET10"/>
    <mergeCell ref="EU8:EU10"/>
    <mergeCell ref="EV8:EV10"/>
    <mergeCell ref="EL8:EL10"/>
    <mergeCell ref="EM8:EM10"/>
    <mergeCell ref="EN8:EN10"/>
    <mergeCell ref="ES8:ES10"/>
    <mergeCell ref="BW8:BZ8"/>
    <mergeCell ref="CA8:CD8"/>
    <mergeCell ref="CE8:CH8"/>
    <mergeCell ref="CG9:CH9"/>
    <mergeCell ref="CI9:CJ9"/>
    <mergeCell ref="CK9:CL9"/>
    <mergeCell ref="CM9:CN9"/>
    <mergeCell ref="CO9:CP9"/>
    <mergeCell ref="CQ9:CR9"/>
    <mergeCell ref="DK9:DL9"/>
    <mergeCell ref="DM9:DN9"/>
    <mergeCell ref="DO9:DP9"/>
    <mergeCell ref="EC9:ED9"/>
    <mergeCell ref="EE9:EF9"/>
    <mergeCell ref="EG9:EH9"/>
    <mergeCell ref="DQ9:DR9"/>
    <mergeCell ref="DS9:DT9"/>
    <mergeCell ref="BK8:BN8"/>
    <mergeCell ref="BO8:BR8"/>
    <mergeCell ref="BS8:BV8"/>
    <mergeCell ref="N9:N10"/>
    <mergeCell ref="O9:P9"/>
    <mergeCell ref="Q9:R9"/>
    <mergeCell ref="S9:T9"/>
    <mergeCell ref="U9:V9"/>
    <mergeCell ref="W9:X9"/>
    <mergeCell ref="AM8:AP8"/>
    <mergeCell ref="AQ8:AT8"/>
    <mergeCell ref="AU8:AX8"/>
    <mergeCell ref="AY8:BB8"/>
    <mergeCell ref="BC8:BF8"/>
    <mergeCell ref="BG8:BJ8"/>
    <mergeCell ref="O8:R8"/>
    <mergeCell ref="S8:V8"/>
    <mergeCell ref="AK9:AL9"/>
    <mergeCell ref="AM9:AN9"/>
    <mergeCell ref="AO9:AP9"/>
    <mergeCell ref="AQ9:AR9"/>
    <mergeCell ref="AS9:AT9"/>
    <mergeCell ref="AU9:AV9"/>
    <mergeCell ref="Y9:Z9"/>
    <mergeCell ref="EE8:EH8"/>
    <mergeCell ref="EI8:EK8"/>
    <mergeCell ref="DG8:DJ8"/>
    <mergeCell ref="DK8:DN8"/>
    <mergeCell ref="DO8:DR8"/>
    <mergeCell ref="DS8:DV8"/>
    <mergeCell ref="DW8:DZ8"/>
    <mergeCell ref="EA8:ED8"/>
    <mergeCell ref="CI8:CL8"/>
    <mergeCell ref="CM8:CP8"/>
    <mergeCell ref="CQ8:CT8"/>
    <mergeCell ref="CU8:CX8"/>
    <mergeCell ref="CY8:DB8"/>
    <mergeCell ref="DC8:DF8"/>
    <mergeCell ref="W8:Z8"/>
    <mergeCell ref="AA8:AD8"/>
    <mergeCell ref="AE8:AH8"/>
    <mergeCell ref="AI8:AL8"/>
    <mergeCell ref="A8:A10"/>
    <mergeCell ref="B8:B10"/>
    <mergeCell ref="C8:C10"/>
    <mergeCell ref="D8:D10"/>
    <mergeCell ref="E8:E10"/>
    <mergeCell ref="F8:F10"/>
    <mergeCell ref="G9:G10"/>
    <mergeCell ref="H9:H10"/>
    <mergeCell ref="I9:I10"/>
    <mergeCell ref="J9:J10"/>
    <mergeCell ref="K9:K10"/>
    <mergeCell ref="L9:L10"/>
    <mergeCell ref="M9:M10"/>
    <mergeCell ref="AA9:AB9"/>
    <mergeCell ref="AC9:AD9"/>
    <mergeCell ref="AE9:AF9"/>
    <mergeCell ref="AG9:AH9"/>
    <mergeCell ref="AI9:AJ9"/>
  </mergeCells>
  <dataValidations count="2">
    <dataValidation type="list" allowBlank="1" showInputMessage="1" showErrorMessage="1" sqref="N12:N20">
      <formula1>"Đang làm viêc,Đã nghỉ việc"</formula1>
    </dataValidation>
    <dataValidation type="list" allowBlank="1" showInputMessage="1" showErrorMessage="1" sqref="D24 D20 D12 D14">
      <formula1>"Máy, Line1,Line 2,Line 3,Line 4"</formula1>
    </dataValidation>
  </dataValidations>
  <pageMargins left="0.15748031496062992" right="0" top="0" bottom="0" header="0.31496062992125984" footer="0.31496062992125984"/>
  <pageSetup paperSize="9" scale="5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Ginex_ UNC</vt:lpstr>
      <vt:lpstr>Chuyển khoản</vt:lpstr>
      <vt:lpstr>Tiền mặt</vt:lpstr>
      <vt:lpstr>Phiếu lương</vt:lpstr>
      <vt:lpstr>Bảng lương</vt:lpstr>
      <vt:lpstr>Bảng công T9</vt:lpstr>
      <vt:lpstr>Chưa trả đồ</vt:lpstr>
      <vt:lpstr>Nghỉ việc</vt:lpstr>
      <vt:lpstr>Công &amp; lương tăng cường</vt:lpstr>
      <vt:lpstr>Tham gia BH T9</vt:lpstr>
      <vt:lpstr>data nguồn</vt:lpstr>
      <vt:lpstr>TT OS &amp; TK</vt:lpstr>
      <vt:lpstr>'Chưa trả đồ'!Print_Area</vt:lpstr>
      <vt:lpstr>'Công &amp; lương tăng cường'!Print_Area</vt:lpstr>
      <vt:lpstr>'data nguồn'!Print_Area</vt:lpstr>
      <vt:lpstr>'Ginex_ UNC'!Print_Area</vt:lpstr>
      <vt:lpstr>'Phiếu lương'!Print_Area</vt:lpstr>
      <vt:lpstr>'Tham gia BH T9'!Print_Area</vt:lpstr>
      <vt:lpstr>'TT OS &amp; TK'!Print_Area</vt:lpstr>
      <vt:lpstr>'Chưa trả đồ'!Print_Titles</vt:lpstr>
      <vt:lpstr>'Chuyển khoản'!Print_Titles</vt:lpstr>
      <vt:lpstr>'Công &amp; lương tăng cường'!Print_Titles</vt:lpstr>
      <vt:lpstr>'Tiền mặt'!Print_Titles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toan_cao</cp:lastModifiedBy>
  <cp:lastPrinted>2020-09-11T08:45:29Z</cp:lastPrinted>
  <dcterms:created xsi:type="dcterms:W3CDTF">2019-06-29T06:31:43Z</dcterms:created>
  <dcterms:modified xsi:type="dcterms:W3CDTF">2020-10-17T07:29:21Z</dcterms:modified>
</cp:coreProperties>
</file>