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defaultThemeVersion="124226"/>
  <mc:AlternateContent xmlns:mc="http://schemas.openxmlformats.org/markup-compatibility/2006">
    <mc:Choice Requires="x15">
      <x15ac:absPath xmlns:x15ac="http://schemas.microsoft.com/office/spreadsheetml/2010/11/ac" url="\\file\Usersc$\cpa148\Home\My Documents\GitHub\GMMs_Northern-South-America\Crustal GMM\"/>
    </mc:Choice>
  </mc:AlternateContent>
  <xr:revisionPtr revIDLastSave="0" documentId="8_{DD393011-3AF0-4CCB-990D-89D637A3D5BB}" xr6:coauthVersionLast="47" xr6:coauthVersionMax="47" xr10:uidLastSave="{00000000-0000-0000-0000-000000000000}"/>
  <bookViews>
    <workbookView xWindow="-120" yWindow="-120" windowWidth="29040" windowHeight="15840" tabRatio="735" activeTab="1" xr2:uid="{00000000-000D-0000-FFFF-FFFF00000000}"/>
  </bookViews>
  <sheets>
    <sheet name="MAIN" sheetId="7" r:id="rId1"/>
    <sheet name="Coefficients" sheetId="2" r:id="rId2"/>
    <sheet name="Sigma" sheetId="6" r:id="rId3"/>
  </sheets>
  <definedNames>
    <definedName name="_xlnm._FilterDatabase" localSheetId="1" hidden="1">Coefficients!$A$2:$K$24</definedName>
    <definedName name="_Ref3397147" localSheetId="1">Coefficients!$F$28</definedName>
    <definedName name="Cat" localSheetId="1">Coefficients!$L$1</definedName>
    <definedName name="M" localSheetId="1">Coefficients!$B$1</definedName>
    <definedName name="P">Coefficients!$N$1</definedName>
    <definedName name="Pstar">Coefficients!$N$1</definedName>
    <definedName name="Rhypo" localSheetId="1">Coefficients!$D$1</definedName>
    <definedName name="Rrup">Coefficients!$D$1</definedName>
    <definedName name="Rvolc">Coefficients!$I$1</definedName>
    <definedName name="Zhypo">Coefficients!$G$1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 i="2" l="1"/>
  <c r="I14" i="7"/>
  <c r="AB2" i="2" s="1"/>
  <c r="H14" i="7"/>
  <c r="AA2" i="2" s="1"/>
  <c r="G14" i="7"/>
  <c r="Z2" i="2" s="1"/>
  <c r="F14" i="7"/>
  <c r="Y2" i="2" s="1"/>
  <c r="B22" i="7"/>
  <c r="B28" i="7" l="1"/>
  <c r="B1" i="2"/>
  <c r="I1" i="2" l="1"/>
  <c r="N1" i="2"/>
  <c r="G1" i="2"/>
  <c r="T6" i="2" l="1"/>
  <c r="T10" i="2"/>
  <c r="T14" i="2"/>
  <c r="T18" i="2"/>
  <c r="T22" i="2"/>
  <c r="T7" i="2"/>
  <c r="T11" i="2"/>
  <c r="T15" i="2"/>
  <c r="T19" i="2"/>
  <c r="T23" i="2"/>
  <c r="T4" i="2"/>
  <c r="T8" i="2"/>
  <c r="T12" i="2"/>
  <c r="T16" i="2"/>
  <c r="T20" i="2"/>
  <c r="T24" i="2"/>
  <c r="T13" i="2"/>
  <c r="T17" i="2"/>
  <c r="T21" i="2"/>
  <c r="T3" i="2"/>
  <c r="T5" i="2"/>
  <c r="T9" i="2"/>
  <c r="U6" i="2"/>
  <c r="U7" i="2"/>
  <c r="U4" i="2"/>
  <c r="U8" i="2"/>
  <c r="U12" i="2"/>
  <c r="U16" i="2"/>
  <c r="U20" i="2"/>
  <c r="U24" i="2"/>
  <c r="U5" i="2"/>
  <c r="U9" i="2"/>
  <c r="U13" i="2"/>
  <c r="U17" i="2"/>
  <c r="U21" i="2"/>
  <c r="U3" i="2"/>
  <c r="U10" i="2"/>
  <c r="U14" i="2"/>
  <c r="U18" i="2"/>
  <c r="U22" i="2"/>
  <c r="U11" i="2"/>
  <c r="U15" i="2"/>
  <c r="U19" i="2"/>
  <c r="U23" i="2"/>
  <c r="L1" i="2"/>
  <c r="V4" i="2" l="1"/>
  <c r="V8" i="2"/>
  <c r="V12" i="2"/>
  <c r="V16" i="2"/>
  <c r="V20" i="2"/>
  <c r="V24" i="2"/>
  <c r="V5" i="2"/>
  <c r="V9" i="2"/>
  <c r="V13" i="2"/>
  <c r="V17" i="2"/>
  <c r="V21" i="2"/>
  <c r="V3" i="2"/>
  <c r="V6" i="2"/>
  <c r="V10" i="2"/>
  <c r="V14" i="2"/>
  <c r="V18" i="2"/>
  <c r="V22" i="2"/>
  <c r="V7" i="2"/>
  <c r="V11" i="2"/>
  <c r="V15" i="2"/>
  <c r="V19" i="2"/>
  <c r="V23" i="2"/>
  <c r="D16" i="7"/>
  <c r="D17" i="7"/>
  <c r="D18" i="7"/>
  <c r="D19" i="7"/>
  <c r="D20" i="7"/>
  <c r="D21" i="7"/>
  <c r="D22" i="7"/>
  <c r="D23" i="7"/>
  <c r="D24" i="7"/>
  <c r="D25" i="7"/>
  <c r="D26" i="7"/>
  <c r="D27" i="7"/>
  <c r="D28" i="7"/>
  <c r="D29" i="7"/>
  <c r="D30" i="7"/>
  <c r="D31" i="7"/>
  <c r="D32" i="7"/>
  <c r="D33" i="7"/>
  <c r="D34" i="7"/>
  <c r="D35" i="7"/>
  <c r="D36" i="7"/>
  <c r="D15" i="7"/>
  <c r="O24" i="7" l="1"/>
  <c r="D1" i="2"/>
  <c r="S4" i="2" l="1"/>
  <c r="S8" i="2"/>
  <c r="S12" i="2"/>
  <c r="S16" i="2"/>
  <c r="S20" i="2"/>
  <c r="S24" i="2"/>
  <c r="S5" i="2"/>
  <c r="S9" i="2"/>
  <c r="S13" i="2"/>
  <c r="S17" i="2"/>
  <c r="S21" i="2"/>
  <c r="S3" i="2"/>
  <c r="S6" i="2"/>
  <c r="S10" i="2"/>
  <c r="S14" i="2"/>
  <c r="S18" i="2"/>
  <c r="S22" i="2"/>
  <c r="S7" i="2"/>
  <c r="S11" i="2"/>
  <c r="S15" i="2"/>
  <c r="S19" i="2"/>
  <c r="S23" i="2"/>
  <c r="R6" i="2"/>
  <c r="R22" i="2"/>
  <c r="R19" i="2"/>
  <c r="R16" i="2"/>
  <c r="R9" i="2"/>
  <c r="R3" i="2"/>
  <c r="R24" i="2"/>
  <c r="R15" i="2"/>
  <c r="R5" i="2"/>
  <c r="R21" i="2"/>
  <c r="R10" i="2"/>
  <c r="R7" i="2"/>
  <c r="R4" i="2"/>
  <c r="R20" i="2"/>
  <c r="R13" i="2"/>
  <c r="R23" i="2"/>
  <c r="R14" i="2"/>
  <c r="R11" i="2"/>
  <c r="R8" i="2"/>
  <c r="R17" i="2"/>
  <c r="R18" i="2"/>
  <c r="R12" i="2"/>
  <c r="P11" i="2"/>
  <c r="P19" i="2"/>
  <c r="P18" i="2"/>
  <c r="P4" i="2"/>
  <c r="P12" i="2"/>
  <c r="P20" i="2"/>
  <c r="P5" i="2"/>
  <c r="P13" i="2"/>
  <c r="P21" i="2"/>
  <c r="P6" i="2"/>
  <c r="P14" i="2"/>
  <c r="P22" i="2"/>
  <c r="P7" i="2"/>
  <c r="P15" i="2"/>
  <c r="P23" i="2"/>
  <c r="P8" i="2"/>
  <c r="P16" i="2"/>
  <c r="P24" i="2"/>
  <c r="P9" i="2"/>
  <c r="P17" i="2"/>
  <c r="P3" i="2"/>
  <c r="P10" i="2"/>
  <c r="Q4" i="2"/>
  <c r="Q12" i="2"/>
  <c r="Q20" i="2"/>
  <c r="Q17" i="2"/>
  <c r="Q5" i="2"/>
  <c r="Q6" i="2"/>
  <c r="Q14" i="2"/>
  <c r="Q22" i="2"/>
  <c r="Q16" i="2"/>
  <c r="Q24" i="2"/>
  <c r="Q7" i="2"/>
  <c r="Q15" i="2"/>
  <c r="Q23" i="2"/>
  <c r="Q8" i="2"/>
  <c r="Q9" i="2"/>
  <c r="Q10" i="2"/>
  <c r="Q18" i="2"/>
  <c r="Q21" i="2"/>
  <c r="Q11" i="2"/>
  <c r="Q19" i="2"/>
  <c r="Q13" i="2"/>
  <c r="Q3" i="2"/>
  <c r="O3" i="2"/>
  <c r="W3" i="2" l="1"/>
  <c r="X3" i="2" s="1"/>
  <c r="E15" i="7" s="1"/>
  <c r="Z3" i="2" l="1"/>
  <c r="G15" i="7" s="1"/>
  <c r="AA3" i="2"/>
  <c r="H15" i="7" s="1"/>
  <c r="AB3" i="2"/>
  <c r="I15" i="7" s="1"/>
  <c r="Y3" i="2"/>
  <c r="F15" i="7" s="1"/>
  <c r="O24" i="2" l="1"/>
  <c r="O23" i="2"/>
  <c r="O22" i="2"/>
  <c r="O21" i="2"/>
  <c r="O20" i="2"/>
  <c r="O19" i="2"/>
  <c r="O18" i="2"/>
  <c r="O17" i="2"/>
  <c r="O16" i="2"/>
  <c r="O15" i="2"/>
  <c r="O14" i="2"/>
  <c r="O13" i="2"/>
  <c r="O12" i="2"/>
  <c r="O11" i="2"/>
  <c r="O10" i="2"/>
  <c r="O9" i="2"/>
  <c r="O8" i="2"/>
  <c r="O7" i="2"/>
  <c r="O6" i="2"/>
  <c r="O5" i="2"/>
  <c r="O4" i="2"/>
  <c r="W7" i="2" l="1"/>
  <c r="X7" i="2" s="1"/>
  <c r="W11" i="2"/>
  <c r="X11" i="2" s="1"/>
  <c r="W15" i="2"/>
  <c r="X15" i="2" s="1"/>
  <c r="W19" i="2"/>
  <c r="X19" i="2" s="1"/>
  <c r="W4" i="2"/>
  <c r="X4" i="2" s="1"/>
  <c r="W20" i="2"/>
  <c r="X20" i="2" s="1"/>
  <c r="W8" i="2"/>
  <c r="X8" i="2" s="1"/>
  <c r="W16" i="2"/>
  <c r="X16" i="2" s="1"/>
  <c r="W12" i="2"/>
  <c r="X12" i="2" s="1"/>
  <c r="W5" i="2"/>
  <c r="X5" i="2" s="1"/>
  <c r="W13" i="2"/>
  <c r="X13" i="2" s="1"/>
  <c r="W9" i="2"/>
  <c r="X9" i="2" s="1"/>
  <c r="W21" i="2"/>
  <c r="X21" i="2" s="1"/>
  <c r="W23" i="2"/>
  <c r="X23" i="2" s="1"/>
  <c r="W17" i="2"/>
  <c r="X17" i="2" s="1"/>
  <c r="W24" i="2"/>
  <c r="X24" i="2" s="1"/>
  <c r="E36" i="7" s="1"/>
  <c r="W22" i="2"/>
  <c r="X22" i="2" s="1"/>
  <c r="W10" i="2"/>
  <c r="X10" i="2" s="1"/>
  <c r="W14" i="2"/>
  <c r="X14" i="2" s="1"/>
  <c r="W18" i="2"/>
  <c r="X18" i="2" s="1"/>
  <c r="W6" i="2"/>
  <c r="X6" i="2" s="1"/>
  <c r="Z15" i="2" l="1"/>
  <c r="G27" i="7" s="1"/>
  <c r="E27" i="7"/>
  <c r="Y15" i="2"/>
  <c r="F27" i="7" s="1"/>
  <c r="AA15" i="2"/>
  <c r="H27" i="7" s="1"/>
  <c r="AB15" i="2"/>
  <c r="I27" i="7" s="1"/>
  <c r="AB5" i="2"/>
  <c r="I17" i="7" s="1"/>
  <c r="AA5" i="2"/>
  <c r="H17" i="7" s="1"/>
  <c r="E17" i="7"/>
  <c r="Y5" i="2"/>
  <c r="F17" i="7" s="1"/>
  <c r="Z5" i="2"/>
  <c r="G17" i="7" s="1"/>
  <c r="E24" i="7"/>
  <c r="Y12" i="2"/>
  <c r="F24" i="7" s="1"/>
  <c r="Z12" i="2"/>
  <c r="G24" i="7" s="1"/>
  <c r="AB12" i="2"/>
  <c r="I24" i="7" s="1"/>
  <c r="AA12" i="2"/>
  <c r="H24" i="7" s="1"/>
  <c r="Z11" i="2"/>
  <c r="G23" i="7" s="1"/>
  <c r="AA11" i="2"/>
  <c r="H23" i="7" s="1"/>
  <c r="E23" i="7"/>
  <c r="Y11" i="2"/>
  <c r="F23" i="7" s="1"/>
  <c r="AB11" i="2"/>
  <c r="I23" i="7" s="1"/>
  <c r="Z23" i="2"/>
  <c r="G35" i="7" s="1"/>
  <c r="E35" i="7"/>
  <c r="AA23" i="2"/>
  <c r="H35" i="7" s="1"/>
  <c r="Y23" i="2"/>
  <c r="F35" i="7" s="1"/>
  <c r="AB23" i="2"/>
  <c r="I35" i="7" s="1"/>
  <c r="AB17" i="2"/>
  <c r="I29" i="7" s="1"/>
  <c r="E29" i="7"/>
  <c r="Y17" i="2"/>
  <c r="F29" i="7" s="1"/>
  <c r="AA17" i="2"/>
  <c r="H29" i="7" s="1"/>
  <c r="Z17" i="2"/>
  <c r="G29" i="7" s="1"/>
  <c r="AA10" i="2"/>
  <c r="H22" i="7" s="1"/>
  <c r="Y10" i="2"/>
  <c r="F22" i="7" s="1"/>
  <c r="AB10" i="2"/>
  <c r="I22" i="7" s="1"/>
  <c r="Z10" i="2"/>
  <c r="G22" i="7" s="1"/>
  <c r="E22" i="7"/>
  <c r="AB13" i="2"/>
  <c r="I25" i="7" s="1"/>
  <c r="AA13" i="2"/>
  <c r="H25" i="7" s="1"/>
  <c r="E25" i="7"/>
  <c r="Y13" i="2"/>
  <c r="F25" i="7" s="1"/>
  <c r="Z13" i="2"/>
  <c r="G25" i="7" s="1"/>
  <c r="AA6" i="2"/>
  <c r="H18" i="7" s="1"/>
  <c r="AB6" i="2"/>
  <c r="I18" i="7" s="1"/>
  <c r="Z6" i="2"/>
  <c r="G18" i="7" s="1"/>
  <c r="E18" i="7"/>
  <c r="Y6" i="2"/>
  <c r="F18" i="7" s="1"/>
  <c r="Y24" i="2"/>
  <c r="F36" i="7" s="1"/>
  <c r="AB24" i="2"/>
  <c r="I36" i="7" s="1"/>
  <c r="Z24" i="2"/>
  <c r="G36" i="7" s="1"/>
  <c r="AA24" i="2"/>
  <c r="H36" i="7" s="1"/>
  <c r="Z19" i="2"/>
  <c r="G31" i="7" s="1"/>
  <c r="AA19" i="2"/>
  <c r="H31" i="7" s="1"/>
  <c r="E31" i="7"/>
  <c r="Y19" i="2"/>
  <c r="F31" i="7" s="1"/>
  <c r="AB19" i="2"/>
  <c r="I31" i="7" s="1"/>
  <c r="AB9" i="2"/>
  <c r="I21" i="7" s="1"/>
  <c r="E21" i="7"/>
  <c r="Y9" i="2"/>
  <c r="F21" i="7" s="1"/>
  <c r="AA9" i="2"/>
  <c r="H21" i="7" s="1"/>
  <c r="Z9" i="2"/>
  <c r="G21" i="7" s="1"/>
  <c r="E28" i="7"/>
  <c r="Y16" i="2"/>
  <c r="F28" i="7" s="1"/>
  <c r="AB16" i="2"/>
  <c r="I28" i="7" s="1"/>
  <c r="Z16" i="2"/>
  <c r="G28" i="7" s="1"/>
  <c r="AA16" i="2"/>
  <c r="H28" i="7" s="1"/>
  <c r="Z7" i="2"/>
  <c r="G19" i="7" s="1"/>
  <c r="E19" i="7"/>
  <c r="AA7" i="2"/>
  <c r="H19" i="7" s="1"/>
  <c r="Y7" i="2"/>
  <c r="F19" i="7" s="1"/>
  <c r="AB7" i="2"/>
  <c r="I19" i="7" s="1"/>
  <c r="AA18" i="2"/>
  <c r="H30" i="7" s="1"/>
  <c r="Z18" i="2"/>
  <c r="G30" i="7" s="1"/>
  <c r="AB18" i="2"/>
  <c r="I30" i="7" s="1"/>
  <c r="E30" i="7"/>
  <c r="Y18" i="2"/>
  <c r="F30" i="7" s="1"/>
  <c r="E16" i="7"/>
  <c r="Y4" i="2"/>
  <c r="F16" i="7" s="1"/>
  <c r="Z4" i="2"/>
  <c r="G16" i="7" s="1"/>
  <c r="AB4" i="2"/>
  <c r="I16" i="7" s="1"/>
  <c r="AA4" i="2"/>
  <c r="H16" i="7" s="1"/>
  <c r="AA22" i="2"/>
  <c r="H34" i="7" s="1"/>
  <c r="Y22" i="2"/>
  <c r="F34" i="7" s="1"/>
  <c r="AB22" i="2"/>
  <c r="I34" i="7" s="1"/>
  <c r="Z22" i="2"/>
  <c r="G34" i="7" s="1"/>
  <c r="E34" i="7"/>
  <c r="E20" i="7"/>
  <c r="Y8" i="2"/>
  <c r="F20" i="7" s="1"/>
  <c r="AB8" i="2"/>
  <c r="I20" i="7" s="1"/>
  <c r="Z8" i="2"/>
  <c r="G20" i="7" s="1"/>
  <c r="AA8" i="2"/>
  <c r="H20" i="7" s="1"/>
  <c r="AA14" i="2"/>
  <c r="H26" i="7" s="1"/>
  <c r="AB14" i="2"/>
  <c r="I26" i="7" s="1"/>
  <c r="Y14" i="2"/>
  <c r="F26" i="7" s="1"/>
  <c r="Z14" i="2"/>
  <c r="G26" i="7" s="1"/>
  <c r="E26" i="7"/>
  <c r="AB21" i="2"/>
  <c r="I33" i="7" s="1"/>
  <c r="E33" i="7"/>
  <c r="Y21" i="2"/>
  <c r="F33" i="7" s="1"/>
  <c r="AA21" i="2"/>
  <c r="H33" i="7" s="1"/>
  <c r="Z21" i="2"/>
  <c r="G33" i="7" s="1"/>
  <c r="E32" i="7"/>
  <c r="Y20" i="2"/>
  <c r="F32" i="7" s="1"/>
  <c r="Z20" i="2"/>
  <c r="G32" i="7" s="1"/>
  <c r="AB20" i="2"/>
  <c r="I32" i="7" s="1"/>
  <c r="AA20" i="2"/>
  <c r="H3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Cesar</author>
    <author>Carlos Arteta</author>
  </authors>
  <commentList>
    <comment ref="A16" authorId="0" shapeId="0" xr:uid="{032CCCCB-5980-47E8-8AF0-00CFB16ECE48}">
      <text>
        <r>
          <rPr>
            <b/>
            <sz val="9"/>
            <color indexed="81"/>
            <rFont val="Tahoma"/>
            <family val="2"/>
          </rPr>
          <t>4.5 &lt; M &lt; 8.0</t>
        </r>
        <r>
          <rPr>
            <sz val="9"/>
            <color indexed="81"/>
            <rFont val="Tahoma"/>
            <family val="2"/>
          </rPr>
          <t xml:space="preserve">
</t>
        </r>
      </text>
    </comment>
    <comment ref="A19" authorId="1" shapeId="0" xr:uid="{C840CBB4-DD26-4BA3-AE05-BA8AC84D6CDB}">
      <text>
        <r>
          <rPr>
            <b/>
            <sz val="9"/>
            <color indexed="81"/>
            <rFont val="Tahoma"/>
            <family val="2"/>
          </rPr>
          <t>5 &lt; Rrup &lt; 450 km</t>
        </r>
      </text>
    </comment>
    <comment ref="A22" authorId="1" shapeId="0" xr:uid="{542C98D7-BC39-4B9C-B25E-34133A56FD4E}">
      <text>
        <r>
          <rPr>
            <b/>
            <sz val="9"/>
            <color indexed="81"/>
            <rFont val="Tahoma"/>
            <family val="2"/>
          </rPr>
          <t>0 &lt; Zhypo &lt; 60 km</t>
        </r>
        <r>
          <rPr>
            <sz val="9"/>
            <color indexed="81"/>
            <rFont val="Tahoma"/>
            <family val="2"/>
          </rPr>
          <t xml:space="preserve">
</t>
        </r>
      </text>
    </comment>
    <comment ref="A25" authorId="1" shapeId="0" xr:uid="{02B4A680-F72E-4359-B8AA-67A1C0A06A37}">
      <text>
        <r>
          <rPr>
            <b/>
            <sz val="9"/>
            <color indexed="81"/>
            <rFont val="Tahoma"/>
            <family val="2"/>
          </rPr>
          <t>Cat s1 s2 s3 s4 s5</t>
        </r>
      </text>
    </comment>
    <comment ref="A28" authorId="1" shapeId="0" xr:uid="{B1817DDF-BA01-49FA-9B76-BC0722C72738}">
      <text>
        <r>
          <rPr>
            <b/>
            <sz val="9"/>
            <color indexed="81"/>
            <rFont val="Tahoma"/>
            <family val="2"/>
          </rPr>
          <t>See Table 1</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thecat0000</author>
  </authors>
  <commentList>
    <comment ref="L1" authorId="0" shapeId="0" xr:uid="{00000000-0006-0000-0100-000001000000}">
      <text>
        <r>
          <rPr>
            <b/>
            <sz val="8"/>
            <color indexed="81"/>
            <rFont val="Tahoma"/>
            <family val="2"/>
          </rPr>
          <t xml:space="preserve">Rock 0
Soil 1
</t>
        </r>
      </text>
    </comment>
    <comment ref="N1" authorId="0" shapeId="0" xr:uid="{00000000-0006-0000-0100-000002000000}">
      <text>
        <r>
          <rPr>
            <b/>
            <sz val="8"/>
            <color indexed="81"/>
            <rFont val="Tahoma"/>
            <family val="2"/>
          </rPr>
          <t xml:space="preserve">ForeArc 0
BackArc 1
</t>
        </r>
      </text>
    </comment>
  </commentList>
</comments>
</file>

<file path=xl/sharedStrings.xml><?xml version="1.0" encoding="utf-8"?>
<sst xmlns="http://schemas.openxmlformats.org/spreadsheetml/2006/main" count="57" uniqueCount="54">
  <si>
    <t>Period</t>
  </si>
  <si>
    <t>ln(PSA)</t>
  </si>
  <si>
    <t>PSA Median</t>
  </si>
  <si>
    <t>Mw</t>
  </si>
  <si>
    <t>Prediction by parts</t>
  </si>
  <si>
    <t>t</t>
  </si>
  <si>
    <t>f</t>
  </si>
  <si>
    <t>s</t>
  </si>
  <si>
    <t>PSa (g)</t>
  </si>
  <si>
    <t>PSa Median for 5% damping</t>
  </si>
  <si>
    <t>Input Parameters</t>
  </si>
  <si>
    <r>
      <t>T</t>
    </r>
    <r>
      <rPr>
        <b/>
        <sz val="11"/>
        <rFont val="Times New Roman"/>
        <family val="1"/>
      </rPr>
      <t xml:space="preserve"> (s)</t>
    </r>
  </si>
  <si>
    <r>
      <t>M</t>
    </r>
    <r>
      <rPr>
        <b/>
        <vertAlign val="subscript"/>
        <sz val="11"/>
        <rFont val="Times New Roman"/>
        <family val="1"/>
      </rPr>
      <t>w</t>
    </r>
  </si>
  <si>
    <t>P*</t>
  </si>
  <si>
    <t>Soil Cat</t>
  </si>
  <si>
    <t>Soil</t>
  </si>
  <si>
    <r>
      <t>R</t>
    </r>
    <r>
      <rPr>
        <b/>
        <vertAlign val="subscript"/>
        <sz val="11"/>
        <rFont val="Times New Roman"/>
        <family val="1"/>
      </rPr>
      <t>RUP</t>
    </r>
    <r>
      <rPr>
        <b/>
        <sz val="11"/>
        <rFont val="Times New Roman"/>
        <family val="1"/>
      </rPr>
      <t xml:space="preserve"> (km)</t>
    </r>
  </si>
  <si>
    <t>s2</t>
  </si>
  <si>
    <t>s3</t>
  </si>
  <si>
    <t>s4</t>
  </si>
  <si>
    <t>s5</t>
  </si>
  <si>
    <t>Carlos A. Arteta, Cesar A. Pajaro, Vicente Mercado, Julián Montejo, Mónica Arcila, Norman A. Abrahamson</t>
  </si>
  <si>
    <t>Rrup [km]</t>
  </si>
  <si>
    <t>Zhypo</t>
  </si>
  <si>
    <r>
      <t>Z</t>
    </r>
    <r>
      <rPr>
        <b/>
        <vertAlign val="subscript"/>
        <sz val="11"/>
        <rFont val="Times New Roman"/>
        <family val="1"/>
      </rPr>
      <t>hypo</t>
    </r>
    <r>
      <rPr>
        <b/>
        <sz val="11"/>
        <rFont val="Times New Roman"/>
        <family val="1"/>
      </rPr>
      <t xml:space="preserve"> (km)</t>
    </r>
  </si>
  <si>
    <t>Rvolc</t>
  </si>
  <si>
    <t>Rvolc (km)</t>
  </si>
  <si>
    <t>2023 NoSAm - Crustal Model</t>
  </si>
  <si>
    <t>Recommended</t>
  </si>
  <si>
    <r>
      <t xml:space="preserve">Average </t>
    </r>
    <r>
      <rPr>
        <b/>
        <i/>
        <sz val="10"/>
        <color theme="0"/>
        <rFont val="Times New Roman"/>
        <family val="1"/>
      </rPr>
      <t>P*</t>
    </r>
  </si>
  <si>
    <t>V1.0 04AGO-2023</t>
  </si>
  <si>
    <r>
      <rPr>
        <b/>
        <sz val="11"/>
        <color theme="1"/>
        <rFont val="Times New Roman"/>
        <family val="1"/>
      </rPr>
      <t>USER GUIDANCE</t>
    </r>
    <r>
      <rPr>
        <sz val="11"/>
        <color theme="1"/>
        <rFont val="Times New Roman"/>
        <family val="1"/>
      </rPr>
      <t xml:space="preserve">
The NoSAm crustal model estimates the horizontal-component RotD50, 5%-damped, spectral acceleration of crustal earthquakes in NoSAm for spectral periods ≤10 s. The range of magnitudes for applying the NoSAm crustal GMM is 4:5 ≤ Mw ≤ 8:0. The rupture distance range is 5 ≤ Rrup ≤ 350 km. This model is only intended for applications in NoSAm. The global GMMs should be considered for other regions without region-specific models.
The input parameters required are:
             1. the moment magnitude Mw;
             2. the rupture distance to the site Rrup (km);
             3. site category based on the predominant period according to Table 1;
             4. the hypocentral depth of the earthquake Zhypo (km);
             5. the horizontal portion of the ray path crossing the volcanic regions, Rvolc (km). The median Rvolc value of 31 km may be  used when estimates for ray paths crossing the arc                           are unavailable.</t>
    </r>
  </si>
  <si>
    <r>
      <t>q</t>
    </r>
    <r>
      <rPr>
        <b/>
        <vertAlign val="subscript"/>
        <sz val="12"/>
        <color theme="1"/>
        <rFont val="Symbol"/>
        <family val="1"/>
        <charset val="2"/>
      </rPr>
      <t>1</t>
    </r>
  </si>
  <si>
    <r>
      <t>q</t>
    </r>
    <r>
      <rPr>
        <b/>
        <vertAlign val="subscript"/>
        <sz val="12"/>
        <color theme="1"/>
        <rFont val="Symbol"/>
        <family val="1"/>
        <charset val="2"/>
      </rPr>
      <t>2</t>
    </r>
  </si>
  <si>
    <r>
      <t>q</t>
    </r>
    <r>
      <rPr>
        <b/>
        <vertAlign val="subscript"/>
        <sz val="12"/>
        <color theme="1"/>
        <rFont val="Symbol"/>
        <family val="1"/>
        <charset val="2"/>
      </rPr>
      <t>3</t>
    </r>
  </si>
  <si>
    <r>
      <t>q</t>
    </r>
    <r>
      <rPr>
        <b/>
        <vertAlign val="subscript"/>
        <sz val="12"/>
        <color theme="1"/>
        <rFont val="Symbol"/>
        <family val="1"/>
        <charset val="2"/>
      </rPr>
      <t>4</t>
    </r>
  </si>
  <si>
    <r>
      <t>q</t>
    </r>
    <r>
      <rPr>
        <b/>
        <vertAlign val="subscript"/>
        <sz val="12"/>
        <color theme="1"/>
        <rFont val="Symbol"/>
        <family val="1"/>
        <charset val="2"/>
      </rPr>
      <t>5</t>
    </r>
  </si>
  <si>
    <r>
      <t>q</t>
    </r>
    <r>
      <rPr>
        <b/>
        <vertAlign val="subscript"/>
        <sz val="12"/>
        <color theme="1"/>
        <rFont val="Symbol"/>
        <family val="1"/>
        <charset val="2"/>
      </rPr>
      <t>6</t>
    </r>
  </si>
  <si>
    <r>
      <t>q</t>
    </r>
    <r>
      <rPr>
        <b/>
        <vertAlign val="subscript"/>
        <sz val="12"/>
        <color theme="1"/>
        <rFont val="Symbol"/>
        <family val="1"/>
        <charset val="2"/>
      </rPr>
      <t>7</t>
    </r>
  </si>
  <si>
    <r>
      <t>M</t>
    </r>
    <r>
      <rPr>
        <b/>
        <vertAlign val="subscript"/>
        <sz val="12"/>
        <color theme="1"/>
        <rFont val="Times New Roman"/>
        <family val="1"/>
      </rPr>
      <t>1</t>
    </r>
  </si>
  <si>
    <r>
      <t>s</t>
    </r>
    <r>
      <rPr>
        <b/>
        <vertAlign val="subscript"/>
        <sz val="12"/>
        <color theme="1"/>
        <rFont val="Times New Roman"/>
        <family val="1"/>
      </rPr>
      <t>1</t>
    </r>
  </si>
  <si>
    <r>
      <rPr>
        <b/>
        <sz val="12"/>
        <color theme="1"/>
        <rFont val="Symbol"/>
        <family val="1"/>
        <charset val="2"/>
      </rPr>
      <t>q</t>
    </r>
    <r>
      <rPr>
        <b/>
        <vertAlign val="subscript"/>
        <sz val="12"/>
        <color theme="1"/>
        <rFont val="Times New Roman"/>
        <family val="1"/>
      </rPr>
      <t>2</t>
    </r>
    <r>
      <rPr>
        <b/>
        <sz val="12"/>
        <color theme="1"/>
        <rFont val="Times New Roman"/>
        <family val="1"/>
      </rPr>
      <t>(M-M</t>
    </r>
    <r>
      <rPr>
        <b/>
        <vertAlign val="subscript"/>
        <sz val="12"/>
        <color theme="1"/>
        <rFont val="Times New Roman"/>
        <family val="1"/>
      </rPr>
      <t>1</t>
    </r>
    <r>
      <rPr>
        <b/>
        <sz val="12"/>
        <color theme="1"/>
        <rFont val="Times New Roman"/>
        <family val="1"/>
      </rPr>
      <t>)*H(M-M1)</t>
    </r>
  </si>
  <si>
    <r>
      <rPr>
        <b/>
        <sz val="12"/>
        <color theme="1"/>
        <rFont val="Symbol"/>
        <family val="1"/>
        <charset val="2"/>
      </rPr>
      <t>q</t>
    </r>
    <r>
      <rPr>
        <b/>
        <vertAlign val="subscript"/>
        <sz val="12"/>
        <color theme="1"/>
        <rFont val="Times New Roman"/>
        <family val="1"/>
      </rPr>
      <t>3</t>
    </r>
    <r>
      <rPr>
        <b/>
        <sz val="12"/>
        <color theme="1"/>
        <rFont val="Times New Roman"/>
        <family val="1"/>
      </rPr>
      <t>(8.5-M)</t>
    </r>
    <r>
      <rPr>
        <b/>
        <vertAlign val="superscript"/>
        <sz val="12"/>
        <color theme="1"/>
        <rFont val="Times New Roman"/>
        <family val="1"/>
      </rPr>
      <t>2</t>
    </r>
  </si>
  <si>
    <r>
      <t>(</t>
    </r>
    <r>
      <rPr>
        <b/>
        <sz val="12"/>
        <color theme="1"/>
        <rFont val="Symbol"/>
        <family val="1"/>
        <charset val="2"/>
      </rPr>
      <t>q</t>
    </r>
    <r>
      <rPr>
        <b/>
        <vertAlign val="subscript"/>
        <sz val="12"/>
        <color theme="1"/>
        <rFont val="Times New Roman"/>
        <family val="1"/>
      </rPr>
      <t>4</t>
    </r>
    <r>
      <rPr>
        <b/>
        <sz val="12"/>
        <color theme="1"/>
        <rFont val="Times New Roman"/>
        <family val="1"/>
      </rPr>
      <t>+0.275(M-M</t>
    </r>
    <r>
      <rPr>
        <b/>
        <vertAlign val="subscript"/>
        <sz val="12"/>
        <color theme="1"/>
        <rFont val="Times New Roman"/>
        <family val="1"/>
      </rPr>
      <t>1</t>
    </r>
    <r>
      <rPr>
        <b/>
        <sz val="12"/>
        <color theme="1"/>
        <rFont val="Times New Roman"/>
        <family val="1"/>
      </rPr>
      <t>)Ln(sqrt(Rrup</t>
    </r>
    <r>
      <rPr>
        <b/>
        <vertAlign val="superscript"/>
        <sz val="12"/>
        <color theme="1"/>
        <rFont val="Times New Roman"/>
        <family val="1"/>
      </rPr>
      <t>2</t>
    </r>
    <r>
      <rPr>
        <b/>
        <sz val="12"/>
        <color theme="1"/>
        <rFont val="Times New Roman"/>
        <family val="1"/>
      </rPr>
      <t xml:space="preserve"> + 4.5</t>
    </r>
    <r>
      <rPr>
        <b/>
        <vertAlign val="superscript"/>
        <sz val="12"/>
        <color theme="1"/>
        <rFont val="Times New Roman"/>
        <family val="1"/>
      </rPr>
      <t>2</t>
    </r>
    <r>
      <rPr>
        <b/>
        <sz val="12"/>
        <color theme="1"/>
        <rFont val="Times New Roman"/>
        <family val="1"/>
      </rPr>
      <t>))</t>
    </r>
  </si>
  <si>
    <r>
      <rPr>
        <b/>
        <sz val="12"/>
        <color theme="1"/>
        <rFont val="Symbol"/>
        <family val="1"/>
        <charset val="2"/>
      </rPr>
      <t>q</t>
    </r>
    <r>
      <rPr>
        <b/>
        <vertAlign val="subscript"/>
        <sz val="12"/>
        <color theme="1"/>
        <rFont val="Times New Roman"/>
        <family val="1"/>
      </rPr>
      <t>5</t>
    </r>
    <r>
      <rPr>
        <b/>
        <sz val="12"/>
        <color theme="1"/>
        <rFont val="Times New Roman"/>
        <family val="1"/>
      </rPr>
      <t>R</t>
    </r>
    <r>
      <rPr>
        <b/>
        <vertAlign val="subscript"/>
        <sz val="12"/>
        <color theme="1"/>
        <rFont val="Times New Roman"/>
        <family val="1"/>
      </rPr>
      <t>Rup</t>
    </r>
  </si>
  <si>
    <r>
      <rPr>
        <b/>
        <sz val="12"/>
        <color theme="1"/>
        <rFont val="Symbol"/>
        <family val="1"/>
        <charset val="2"/>
      </rPr>
      <t>q</t>
    </r>
    <r>
      <rPr>
        <b/>
        <vertAlign val="subscript"/>
        <sz val="12"/>
        <color theme="1"/>
        <rFont val="Times New Roman"/>
        <family val="1"/>
      </rPr>
      <t>6</t>
    </r>
    <r>
      <rPr>
        <b/>
        <sz val="12"/>
        <color theme="1"/>
        <rFont val="Times New Roman"/>
        <family val="1"/>
      </rPr>
      <t>Rvolc</t>
    </r>
  </si>
  <si>
    <r>
      <rPr>
        <b/>
        <sz val="12"/>
        <color theme="1"/>
        <rFont val="Symbol"/>
        <family val="1"/>
        <charset val="2"/>
      </rPr>
      <t>q</t>
    </r>
    <r>
      <rPr>
        <b/>
        <vertAlign val="subscript"/>
        <sz val="12"/>
        <color theme="1"/>
        <rFont val="Times New Roman"/>
        <family val="1"/>
      </rPr>
      <t>7</t>
    </r>
    <r>
      <rPr>
        <b/>
        <sz val="12"/>
        <color theme="1"/>
        <rFont val="Times New Roman"/>
        <family val="1"/>
      </rPr>
      <t>Z</t>
    </r>
    <r>
      <rPr>
        <b/>
        <vertAlign val="subscript"/>
        <sz val="12"/>
        <color theme="1"/>
        <rFont val="Times New Roman"/>
        <family val="1"/>
      </rPr>
      <t>Hypo</t>
    </r>
  </si>
  <si>
    <r>
      <t>f</t>
    </r>
    <r>
      <rPr>
        <b/>
        <vertAlign val="subscript"/>
        <sz val="12"/>
        <color rgb="FF000000"/>
        <rFont val="Times New Roman"/>
        <family val="1"/>
      </rPr>
      <t>s2s</t>
    </r>
  </si>
  <si>
    <r>
      <t>f</t>
    </r>
    <r>
      <rPr>
        <b/>
        <vertAlign val="subscript"/>
        <sz val="12"/>
        <color rgb="FF000000"/>
        <rFont val="Times New Roman"/>
        <family val="1"/>
      </rPr>
      <t>ss</t>
    </r>
  </si>
  <si>
    <r>
      <t>s</t>
    </r>
    <r>
      <rPr>
        <b/>
        <vertAlign val="subscript"/>
        <sz val="12"/>
        <color rgb="FF000000"/>
        <rFont val="Times New Roman"/>
        <family val="1"/>
      </rPr>
      <t>ss</t>
    </r>
  </si>
  <si>
    <t>Period 
(sec)</t>
  </si>
  <si>
    <r>
      <t>Check Input 
Z</t>
    </r>
    <r>
      <rPr>
        <vertAlign val="subscript"/>
        <sz val="11"/>
        <color theme="0"/>
        <rFont val="Calibri"/>
        <family val="2"/>
        <scheme val="minor"/>
      </rPr>
      <t>hypo</t>
    </r>
    <r>
      <rPr>
        <sz val="11"/>
        <color theme="0"/>
        <rFont val="Calibri"/>
        <family val="2"/>
        <scheme val="minor"/>
      </rPr>
      <t xml:space="preserve"> &lt; R</t>
    </r>
    <r>
      <rPr>
        <vertAlign val="subscript"/>
        <sz val="11"/>
        <color theme="0"/>
        <rFont val="Calibri"/>
        <family val="2"/>
        <scheme val="minor"/>
      </rPr>
      <t>Rup</t>
    </r>
  </si>
  <si>
    <t>Bulletin of the Seismological Society of America (2023) 113 (1): 186–203.
https://doi.org/10.1785/0120220168</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</si>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</sst>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
    <numFmt numFmtId="167" formatCode="0.0000"/>
  </numFmts>
  <fonts count="6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indexed="81"/>
      <name val="Tahoma"/>
      <family val="2"/>
    </font>
    <font>
      <sz val="14"/>
      <color theme="1"/>
      <name val="Calibri"/>
      <family val="2"/>
      <scheme val="minor"/>
    </font>
    <font>
      <sz val="9"/>
      <color rgb="FF000000"/>
      <name val="Times New Roman"/>
      <family val="1"/>
    </font>
    <font>
      <b/>
      <sz val="11"/>
      <name val="Calibri"/>
      <family val="2"/>
      <scheme val="minor"/>
    </font>
    <font>
      <b/>
      <i/>
      <sz val="11"/>
      <name val="Arial"/>
      <family val="2"/>
    </font>
    <font>
      <b/>
      <i/>
      <sz val="11"/>
      <color rgb="FFFF0000"/>
      <name val="Calibri"/>
      <family val="2"/>
      <scheme val="minor"/>
    </font>
    <font>
      <sz val="10"/>
      <name val="Arial"/>
      <family val="2"/>
    </font>
    <font>
      <i/>
      <sz val="11"/>
      <color theme="1"/>
      <name val="Calibri"/>
      <family val="2"/>
      <scheme val="minor"/>
    </font>
    <font>
      <i/>
      <sz val="11"/>
      <color rgb="FFFF0000"/>
      <name val="Calibri"/>
      <family val="2"/>
      <scheme val="minor"/>
    </font>
    <font>
      <b/>
      <i/>
      <sz val="10"/>
      <name val="Arial"/>
      <family val="2"/>
    </font>
    <font>
      <b/>
      <sz val="9"/>
      <color indexed="81"/>
      <name val="Tahoma"/>
      <family val="2"/>
    </font>
    <font>
      <b/>
      <sz val="22"/>
      <color theme="1"/>
      <name val="Times New Roman"/>
      <family val="1"/>
    </font>
    <font>
      <sz val="10"/>
      <color theme="1"/>
      <name val="Times New Roman"/>
      <family val="1"/>
    </font>
    <font>
      <u/>
      <sz val="11"/>
      <color theme="10"/>
      <name val="Calibri"/>
      <family val="2"/>
      <scheme val="minor"/>
    </font>
    <font>
      <b/>
      <sz val="16"/>
      <color theme="1"/>
      <name val="Times New Roman"/>
      <family val="1"/>
    </font>
    <font>
      <sz val="11"/>
      <color theme="1"/>
      <name val="Times New Roman"/>
      <family val="1"/>
    </font>
    <font>
      <b/>
      <sz val="11"/>
      <color theme="1"/>
      <name val="Times New Roman"/>
      <family val="1"/>
    </font>
    <font>
      <b/>
      <sz val="11"/>
      <name val="Times New Roman"/>
      <family val="1"/>
    </font>
    <font>
      <b/>
      <sz val="11"/>
      <name val="Calibri"/>
      <family val="1"/>
      <scheme val="minor"/>
    </font>
    <font>
      <b/>
      <i/>
      <sz val="11"/>
      <name val="Times New Roman"/>
      <family val="1"/>
    </font>
    <font>
      <b/>
      <sz val="10"/>
      <color theme="1"/>
      <name val="Times New Roman"/>
      <family val="1"/>
    </font>
    <font>
      <sz val="10"/>
      <name val="Times New Roman"/>
      <family val="1"/>
    </font>
    <font>
      <b/>
      <vertAlign val="subscript"/>
      <sz val="11"/>
      <name val="Times New Roman"/>
      <family val="1"/>
    </font>
    <font>
      <sz val="11"/>
      <name val="Times New Roman"/>
      <family val="1"/>
    </font>
    <font>
      <sz val="8"/>
      <name val="Calibri"/>
      <family val="2"/>
      <scheme val="minor"/>
    </font>
    <font>
      <sz val="9"/>
      <color indexed="81"/>
      <name val="Tahoma"/>
      <family val="2"/>
    </font>
    <font>
      <b/>
      <i/>
      <sz val="10"/>
      <color theme="0"/>
      <name val="Times New Roman"/>
      <family val="1"/>
    </font>
    <font>
      <b/>
      <sz val="11"/>
      <color rgb="FFC00000"/>
      <name val="Calibri"/>
      <family val="2"/>
      <scheme val="minor"/>
    </font>
    <font>
      <b/>
      <sz val="12"/>
      <color theme="1"/>
      <name val="Symbol"/>
      <family val="1"/>
      <charset val="2"/>
    </font>
    <font>
      <b/>
      <vertAlign val="subscript"/>
      <sz val="12"/>
      <color theme="1"/>
      <name val="Symbol"/>
      <family val="1"/>
      <charset val="2"/>
    </font>
    <font>
      <b/>
      <sz val="12"/>
      <color theme="1"/>
      <name val="Times New Roman"/>
      <family val="1"/>
    </font>
    <font>
      <b/>
      <sz val="12"/>
      <color rgb="FF00B050"/>
      <name val="Times New Roman"/>
      <family val="1"/>
    </font>
    <font>
      <sz val="12"/>
      <color theme="1"/>
      <name val="Times New Roman"/>
      <family val="1"/>
    </font>
    <font>
      <b/>
      <vertAlign val="subscript"/>
      <sz val="12"/>
      <color theme="1"/>
      <name val="Times New Roman"/>
      <family val="1"/>
    </font>
    <font>
      <b/>
      <vertAlign val="superscript"/>
      <sz val="12"/>
      <color theme="1"/>
      <name val="Times New Roman"/>
      <family val="1"/>
    </font>
    <font>
      <b/>
      <sz val="12"/>
      <color theme="1"/>
      <name val="Times New Roman"/>
      <family val="1"/>
      <charset val="2"/>
    </font>
    <font>
      <vertAlign val="subscript"/>
      <sz val="11"/>
      <color theme="0"/>
      <name val="Calibri"/>
      <family val="2"/>
      <scheme val="minor"/>
    </font>
    <font>
      <sz val="12"/>
      <color rgb="FF000000"/>
      <name val="Times New Roman"/>
      <family val="1"/>
    </font>
    <font>
      <b/>
      <sz val="12"/>
      <color rgb="FF000000"/>
      <name val="Times New Roman"/>
      <family val="1"/>
    </font>
    <font>
      <b/>
      <i/>
      <sz val="12"/>
      <color rgb="FF000000"/>
      <name val="Symbol"/>
      <family val="1"/>
      <charset val="2"/>
    </font>
    <font>
      <b/>
      <vertAlign val="subscript"/>
      <sz val="12"/>
      <color rgb="FF000000"/>
      <name val="Times New Roman"/>
      <family val="1"/>
    </font>
    <font>
      <b/>
      <i/>
      <sz val="11"/>
      <color theme="3"/>
      <name val="Calibri"/>
      <family val="2"/>
      <scheme val="minor"/>
    </font>
    <font>
      <b/>
      <sz val="11"/>
      <name val="Symbol"/>
      <family val="1"/>
      <charset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
      <patternFill patternType="solid">
        <fgColor theme="7"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1" fillId="0" borderId="0" applyNumberFormat="0" applyFill="0" applyBorder="0" applyAlignment="0" applyProtection="0"/>
  </cellStyleXfs>
  <cellXfs count="124">
    <xf numFmtId="0" fontId="0" fillId="0" borderId="0" xfId="0"/>
    <xf numFmtId="0" fontId="21" fillId="33" borderId="0" xfId="0" applyFont="1" applyFill="1" applyAlignment="1">
      <alignment horizontal="center" vertical="top" wrapText="1"/>
    </xf>
    <xf numFmtId="0" fontId="23" fillId="33" borderId="0" xfId="0" applyFont="1" applyFill="1" applyAlignment="1">
      <alignment horizontal="center" vertical="center"/>
    </xf>
    <xf numFmtId="165" fontId="24" fillId="33" borderId="0" xfId="0" applyNumberFormat="1" applyFont="1" applyFill="1" applyAlignment="1">
      <alignment horizontal="center" vertical="center"/>
    </xf>
    <xf numFmtId="0" fontId="23" fillId="33" borderId="0" xfId="0" applyFont="1" applyFill="1" applyAlignment="1">
      <alignment horizontal="left" vertical="center"/>
    </xf>
    <xf numFmtId="0" fontId="27" fillId="33" borderId="0" xfId="0" applyFont="1" applyFill="1" applyAlignment="1">
      <alignment horizontal="center"/>
    </xf>
    <xf numFmtId="0" fontId="0" fillId="33" borderId="0" xfId="0" applyFill="1" applyAlignment="1">
      <alignment horizontal="center"/>
    </xf>
    <xf numFmtId="0" fontId="0" fillId="33" borderId="0" xfId="0" applyFill="1"/>
    <xf numFmtId="0" fontId="24" fillId="33" borderId="0" xfId="0" applyFont="1" applyFill="1" applyAlignment="1">
      <alignment horizontal="center"/>
    </xf>
    <xf numFmtId="0" fontId="25" fillId="33" borderId="0" xfId="0" applyFont="1" applyFill="1" applyAlignment="1">
      <alignment horizontal="left" vertical="center"/>
    </xf>
    <xf numFmtId="0" fontId="0" fillId="33" borderId="0" xfId="0" applyFill="1" applyAlignment="1">
      <alignment horizontal="left"/>
    </xf>
    <xf numFmtId="0" fontId="26" fillId="33" borderId="0" xfId="0" applyFont="1" applyFill="1" applyAlignment="1">
      <alignment horizontal="left" vertical="center"/>
    </xf>
    <xf numFmtId="0" fontId="21" fillId="33" borderId="0" xfId="0" applyFont="1" applyFill="1" applyAlignment="1">
      <alignment horizontal="center"/>
    </xf>
    <xf numFmtId="0" fontId="35" fillId="33" borderId="15" xfId="0" applyFont="1" applyFill="1" applyBorder="1" applyAlignment="1">
      <alignment horizontal="center" wrapText="1"/>
    </xf>
    <xf numFmtId="0" fontId="36" fillId="33" borderId="15" xfId="0" applyFont="1" applyFill="1" applyBorder="1" applyAlignment="1">
      <alignment horizontal="center" wrapText="1"/>
    </xf>
    <xf numFmtId="0" fontId="37" fillId="33" borderId="15" xfId="0" applyFont="1" applyFill="1" applyBorder="1" applyAlignment="1">
      <alignment horizontal="center"/>
    </xf>
    <xf numFmtId="165" fontId="39" fillId="33" borderId="15" xfId="0" applyNumberFormat="1" applyFont="1" applyFill="1" applyBorder="1" applyAlignment="1">
      <alignment horizontal="center" vertical="center"/>
    </xf>
    <xf numFmtId="0" fontId="38" fillId="33" borderId="15" xfId="0" applyFont="1" applyFill="1" applyBorder="1"/>
    <xf numFmtId="0" fontId="22" fillId="33" borderId="0" xfId="0" applyFont="1" applyFill="1"/>
    <xf numFmtId="0" fontId="0" fillId="33" borderId="0" xfId="0" applyFill="1" applyAlignment="1">
      <alignment vertical="top"/>
    </xf>
    <xf numFmtId="0" fontId="37" fillId="33" borderId="28" xfId="0" applyFont="1" applyFill="1" applyBorder="1" applyAlignment="1">
      <alignment horizontal="center" vertical="center"/>
    </xf>
    <xf numFmtId="0" fontId="41" fillId="34" borderId="28" xfId="0" applyFont="1" applyFill="1" applyBorder="1" applyAlignment="1" applyProtection="1">
      <alignment horizontal="center" vertical="center"/>
      <protection locked="0"/>
    </xf>
    <xf numFmtId="0" fontId="41" fillId="33" borderId="28" xfId="0" applyFont="1" applyFill="1" applyBorder="1" applyAlignment="1">
      <alignment horizontal="center" vertical="center"/>
    </xf>
    <xf numFmtId="0" fontId="35" fillId="33" borderId="28" xfId="0" applyFont="1" applyFill="1" applyBorder="1" applyAlignment="1">
      <alignment horizontal="center" vertical="center"/>
    </xf>
    <xf numFmtId="0" fontId="41" fillId="34" borderId="29" xfId="0" applyFont="1" applyFill="1" applyBorder="1" applyAlignment="1" applyProtection="1">
      <alignment horizontal="center" vertical="center"/>
      <protection locked="0"/>
    </xf>
    <xf numFmtId="0" fontId="0" fillId="33" borderId="28" xfId="0" applyFill="1" applyBorder="1"/>
    <xf numFmtId="0" fontId="34" fillId="33" borderId="28" xfId="0" applyFont="1" applyFill="1" applyBorder="1" applyAlignment="1">
      <alignment horizontal="center"/>
    </xf>
    <xf numFmtId="0" fontId="41" fillId="34" borderId="13" xfId="0" applyFont="1" applyFill="1" applyBorder="1" applyAlignment="1" applyProtection="1">
      <alignment horizontal="center" vertical="center"/>
      <protection locked="0"/>
    </xf>
    <xf numFmtId="0" fontId="34" fillId="33" borderId="27" xfId="0" applyFont="1" applyFill="1" applyBorder="1" applyAlignment="1">
      <alignment horizontal="center" vertical="center" wrapText="1"/>
    </xf>
    <xf numFmtId="0" fontId="17" fillId="33" borderId="0" xfId="0" applyFont="1" applyFill="1"/>
    <xf numFmtId="0" fontId="45" fillId="33" borderId="0" xfId="0" applyFont="1" applyFill="1" applyAlignment="1">
      <alignment horizontal="right"/>
    </xf>
    <xf numFmtId="0" fontId="48" fillId="33" borderId="10" xfId="0" applyFont="1" applyFill="1" applyBorder="1" applyAlignment="1">
      <alignment horizontal="center"/>
    </xf>
    <xf numFmtId="0" fontId="49" fillId="33" borderId="26" xfId="0" applyFont="1" applyFill="1" applyBorder="1" applyAlignment="1">
      <alignment horizontal="center"/>
    </xf>
    <xf numFmtId="0" fontId="48" fillId="33" borderId="26" xfId="0" applyFont="1" applyFill="1" applyBorder="1" applyAlignment="1">
      <alignment horizontal="center"/>
    </xf>
    <xf numFmtId="0" fontId="50" fillId="33" borderId="0" xfId="0" applyFont="1" applyFill="1"/>
    <xf numFmtId="0" fontId="48" fillId="33" borderId="10" xfId="0" applyFont="1" applyFill="1" applyBorder="1"/>
    <xf numFmtId="0" fontId="48" fillId="33" borderId="26" xfId="0" applyFont="1" applyFill="1" applyBorder="1"/>
    <xf numFmtId="0" fontId="48" fillId="33" borderId="11" xfId="0" applyFont="1" applyFill="1" applyBorder="1"/>
    <xf numFmtId="0" fontId="46" fillId="33" borderId="26" xfId="0" applyFont="1" applyFill="1" applyBorder="1" applyAlignment="1">
      <alignment horizontal="center"/>
    </xf>
    <xf numFmtId="0" fontId="48" fillId="33" borderId="11" xfId="0" applyFont="1" applyFill="1" applyBorder="1" applyAlignment="1">
      <alignment horizontal="center"/>
    </xf>
    <xf numFmtId="0" fontId="50" fillId="0" borderId="22" xfId="0" applyFont="1" applyBorder="1" applyAlignment="1">
      <alignment horizontal="center"/>
    </xf>
    <xf numFmtId="166" fontId="50" fillId="0" borderId="0" xfId="0" applyNumberFormat="1" applyFont="1" applyAlignment="1">
      <alignment horizontal="center"/>
    </xf>
    <xf numFmtId="0" fontId="50" fillId="0" borderId="0" xfId="0" applyFont="1" applyAlignment="1">
      <alignment horizontal="center"/>
    </xf>
    <xf numFmtId="165" fontId="50" fillId="0" borderId="0" xfId="0" applyNumberFormat="1" applyFont="1" applyAlignment="1">
      <alignment horizontal="center"/>
    </xf>
    <xf numFmtId="167" fontId="50" fillId="0" borderId="0" xfId="0" applyNumberFormat="1" applyFont="1" applyAlignment="1">
      <alignment horizontal="center"/>
    </xf>
    <xf numFmtId="2" fontId="50" fillId="0" borderId="0" xfId="0" applyNumberFormat="1" applyFont="1" applyAlignment="1">
      <alignment horizontal="center"/>
    </xf>
    <xf numFmtId="166" fontId="50" fillId="0" borderId="23" xfId="0" applyNumberFormat="1" applyFont="1" applyBorder="1" applyAlignment="1">
      <alignment horizontal="center"/>
    </xf>
    <xf numFmtId="0" fontId="50" fillId="0" borderId="24" xfId="0" applyFont="1" applyBorder="1" applyAlignment="1">
      <alignment horizontal="center"/>
    </xf>
    <xf numFmtId="166" fontId="50" fillId="0" borderId="25" xfId="0" applyNumberFormat="1" applyFont="1" applyBorder="1" applyAlignment="1">
      <alignment horizontal="center"/>
    </xf>
    <xf numFmtId="0" fontId="50" fillId="0" borderId="25" xfId="0" applyFont="1" applyBorder="1" applyAlignment="1">
      <alignment horizontal="center"/>
    </xf>
    <xf numFmtId="165" fontId="50" fillId="0" borderId="25" xfId="0" applyNumberFormat="1" applyFont="1" applyBorder="1" applyAlignment="1">
      <alignment horizontal="center"/>
    </xf>
    <xf numFmtId="167" fontId="50" fillId="0" borderId="25" xfId="0" applyNumberFormat="1" applyFont="1" applyBorder="1" applyAlignment="1">
      <alignment horizontal="center"/>
    </xf>
    <xf numFmtId="2" fontId="50" fillId="0" borderId="25" xfId="0" applyNumberFormat="1" applyFont="1" applyBorder="1" applyAlignment="1">
      <alignment horizontal="center"/>
    </xf>
    <xf numFmtId="166" fontId="50" fillId="0" borderId="14" xfId="0" applyNumberFormat="1" applyFont="1" applyBorder="1" applyAlignment="1">
      <alignment horizontal="center"/>
    </xf>
    <xf numFmtId="2" fontId="50" fillId="33" borderId="22" xfId="0" applyNumberFormat="1" applyFont="1" applyFill="1" applyBorder="1" applyAlignment="1">
      <alignment horizontal="center"/>
    </xf>
    <xf numFmtId="2" fontId="50" fillId="33" borderId="0" xfId="0" applyNumberFormat="1" applyFont="1" applyFill="1" applyAlignment="1">
      <alignment horizontal="center"/>
    </xf>
    <xf numFmtId="2" fontId="50" fillId="33" borderId="24" xfId="0" applyNumberFormat="1" applyFont="1" applyFill="1" applyBorder="1" applyAlignment="1">
      <alignment horizontal="center"/>
    </xf>
    <xf numFmtId="2" fontId="50" fillId="33" borderId="25" xfId="0" applyNumberFormat="1" applyFont="1" applyFill="1" applyBorder="1" applyAlignment="1">
      <alignment horizontal="center"/>
    </xf>
    <xf numFmtId="0" fontId="46" fillId="33" borderId="10" xfId="0" applyFont="1" applyFill="1" applyBorder="1" applyAlignment="1">
      <alignment horizontal="center"/>
    </xf>
    <xf numFmtId="0" fontId="53" fillId="33" borderId="26" xfId="0" applyFont="1" applyFill="1" applyBorder="1" applyAlignment="1">
      <alignment horizontal="center"/>
    </xf>
    <xf numFmtId="164" fontId="50" fillId="33" borderId="23" xfId="0" applyNumberFormat="1" applyFont="1" applyFill="1" applyBorder="1" applyAlignment="1">
      <alignment horizontal="center"/>
    </xf>
    <xf numFmtId="164" fontId="50" fillId="33" borderId="14" xfId="0" applyNumberFormat="1" applyFont="1" applyFill="1" applyBorder="1" applyAlignment="1">
      <alignment horizontal="center"/>
    </xf>
    <xf numFmtId="165" fontId="50" fillId="33" borderId="22" xfId="0" applyNumberFormat="1" applyFont="1" applyFill="1" applyBorder="1" applyAlignment="1">
      <alignment horizontal="center"/>
    </xf>
    <xf numFmtId="165" fontId="50" fillId="33" borderId="0" xfId="0" applyNumberFormat="1" applyFont="1" applyFill="1" applyAlignment="1">
      <alignment horizontal="center"/>
    </xf>
    <xf numFmtId="165" fontId="50" fillId="33" borderId="23" xfId="0" applyNumberFormat="1" applyFont="1" applyFill="1" applyBorder="1" applyAlignment="1">
      <alignment horizontal="center"/>
    </xf>
    <xf numFmtId="165" fontId="50" fillId="33" borderId="24" xfId="0" applyNumberFormat="1" applyFont="1" applyFill="1" applyBorder="1" applyAlignment="1">
      <alignment horizontal="center"/>
    </xf>
    <xf numFmtId="165" fontId="50" fillId="33" borderId="25" xfId="0" applyNumberFormat="1" applyFont="1" applyFill="1" applyBorder="1" applyAlignment="1">
      <alignment horizontal="center"/>
    </xf>
    <xf numFmtId="165" fontId="50" fillId="33" borderId="14" xfId="0" applyNumberFormat="1" applyFont="1" applyFill="1" applyBorder="1" applyAlignment="1">
      <alignment horizontal="center"/>
    </xf>
    <xf numFmtId="2" fontId="50" fillId="33" borderId="19" xfId="0" applyNumberFormat="1" applyFont="1" applyFill="1" applyBorder="1" applyAlignment="1">
      <alignment horizontal="center"/>
    </xf>
    <xf numFmtId="2" fontId="50" fillId="33" borderId="20" xfId="0" applyNumberFormat="1" applyFont="1" applyFill="1" applyBorder="1" applyAlignment="1">
      <alignment horizontal="center"/>
    </xf>
    <xf numFmtId="164" fontId="50" fillId="33" borderId="21" xfId="0" applyNumberFormat="1" applyFont="1" applyFill="1" applyBorder="1" applyAlignment="1">
      <alignment horizontal="center"/>
    </xf>
    <xf numFmtId="166" fontId="55" fillId="0" borderId="28" xfId="0" applyNumberFormat="1" applyFont="1" applyBorder="1" applyAlignment="1">
      <alignment horizontal="center" vertical="center"/>
    </xf>
    <xf numFmtId="2" fontId="55" fillId="0" borderId="19" xfId="0" applyNumberFormat="1" applyFont="1" applyBorder="1" applyAlignment="1">
      <alignment horizontal="center" vertical="center"/>
    </xf>
    <xf numFmtId="2" fontId="55" fillId="0" borderId="20" xfId="0" applyNumberFormat="1" applyFont="1" applyBorder="1" applyAlignment="1">
      <alignment horizontal="center" vertical="center"/>
    </xf>
    <xf numFmtId="2" fontId="55" fillId="0" borderId="20" xfId="0" applyNumberFormat="1" applyFont="1" applyBorder="1" applyAlignment="1">
      <alignment horizontal="center" vertical="center" wrapText="1"/>
    </xf>
    <xf numFmtId="2" fontId="55" fillId="0" borderId="21" xfId="0" applyNumberFormat="1" applyFont="1" applyBorder="1" applyAlignment="1">
      <alignment horizontal="center" vertical="center"/>
    </xf>
    <xf numFmtId="2" fontId="55" fillId="0" borderId="22" xfId="0" applyNumberFormat="1" applyFont="1" applyBorder="1" applyAlignment="1">
      <alignment horizontal="center" vertical="center"/>
    </xf>
    <xf numFmtId="2" fontId="55" fillId="0" borderId="0" xfId="0" applyNumberFormat="1" applyFont="1" applyAlignment="1">
      <alignment horizontal="center" vertical="center"/>
    </xf>
    <xf numFmtId="2" fontId="55" fillId="0" borderId="0" xfId="0" applyNumberFormat="1" applyFont="1" applyAlignment="1">
      <alignment horizontal="center" vertical="center" wrapText="1"/>
    </xf>
    <xf numFmtId="2" fontId="55" fillId="0" borderId="23" xfId="0" applyNumberFormat="1" applyFont="1" applyBorder="1" applyAlignment="1">
      <alignment horizontal="center" vertical="center"/>
    </xf>
    <xf numFmtId="166" fontId="55" fillId="0" borderId="13" xfId="0" applyNumberFormat="1" applyFont="1" applyBorder="1" applyAlignment="1">
      <alignment horizontal="center" vertical="center"/>
    </xf>
    <xf numFmtId="2" fontId="55" fillId="0" borderId="24" xfId="0" applyNumberFormat="1" applyFont="1" applyBorder="1" applyAlignment="1">
      <alignment horizontal="center" vertical="center"/>
    </xf>
    <xf numFmtId="2" fontId="55" fillId="0" borderId="25" xfId="0" applyNumberFormat="1" applyFont="1" applyBorder="1" applyAlignment="1">
      <alignment horizontal="center" vertical="center"/>
    </xf>
    <xf numFmtId="2" fontId="55" fillId="0" borderId="25" xfId="0" applyNumberFormat="1" applyFont="1" applyBorder="1" applyAlignment="1">
      <alignment horizontal="center" vertical="center" wrapText="1"/>
    </xf>
    <xf numFmtId="2" fontId="55" fillId="0" borderId="14" xfId="0" applyNumberFormat="1" applyFont="1" applyBorder="1" applyAlignment="1">
      <alignment horizontal="center" vertical="center"/>
    </xf>
    <xf numFmtId="0" fontId="17" fillId="33" borderId="0" xfId="0" applyFont="1" applyFill="1" applyAlignment="1">
      <alignment horizontal="center" vertical="center" wrapText="1"/>
    </xf>
    <xf numFmtId="0" fontId="23" fillId="33" borderId="30" xfId="0" applyFont="1" applyFill="1" applyBorder="1" applyAlignment="1">
      <alignment horizontal="center" vertical="center" wrapText="1"/>
    </xf>
    <xf numFmtId="0" fontId="23" fillId="33" borderId="30" xfId="0" applyFont="1" applyFill="1" applyBorder="1" applyAlignment="1">
      <alignment vertical="center" wrapText="1"/>
    </xf>
    <xf numFmtId="0" fontId="0" fillId="33" borderId="0" xfId="0" applyFill="1" applyProtection="1">
      <protection hidden="1"/>
    </xf>
    <xf numFmtId="0" fontId="30" fillId="33" borderId="0" xfId="0" applyFont="1" applyFill="1" applyAlignment="1" applyProtection="1">
      <alignment horizontal="left" vertical="center"/>
      <protection hidden="1"/>
    </xf>
    <xf numFmtId="0" fontId="31" fillId="33" borderId="0" xfId="42" applyFill="1" applyAlignment="1" applyProtection="1">
      <alignment horizontal="left" vertical="center"/>
      <protection hidden="1"/>
    </xf>
    <xf numFmtId="0" fontId="31" fillId="33" borderId="0" xfId="42" applyFill="1" applyAlignment="1" applyProtection="1">
      <alignment vertical="center"/>
      <protection hidden="1"/>
    </xf>
    <xf numFmtId="0" fontId="31" fillId="33" borderId="0" xfId="42" applyFill="1" applyAlignment="1" applyProtection="1">
      <alignment horizontal="left" vertical="center" indent="2"/>
      <protection hidden="1"/>
    </xf>
    <xf numFmtId="0" fontId="0" fillId="33" borderId="0" xfId="0" applyFill="1" applyAlignment="1" applyProtection="1">
      <alignment horizontal="center"/>
      <protection hidden="1"/>
    </xf>
    <xf numFmtId="0" fontId="0" fillId="0" borderId="0" xfId="0" applyProtection="1">
      <protection hidden="1"/>
    </xf>
    <xf numFmtId="0" fontId="19" fillId="0" borderId="0" xfId="0" applyFont="1" applyProtection="1">
      <protection hidden="1"/>
    </xf>
    <xf numFmtId="0" fontId="20" fillId="0" borderId="0" xfId="0" applyFont="1" applyAlignment="1" applyProtection="1">
      <alignment vertical="center"/>
      <protection hidden="1"/>
    </xf>
    <xf numFmtId="0" fontId="20" fillId="0" borderId="0" xfId="0" applyFont="1" applyAlignment="1" applyProtection="1">
      <alignment vertical="center" wrapText="1"/>
      <protection hidden="1"/>
    </xf>
    <xf numFmtId="0" fontId="0" fillId="0" borderId="0" xfId="0" applyAlignment="1" applyProtection="1">
      <alignment vertical="center"/>
      <protection hidden="1"/>
    </xf>
    <xf numFmtId="0" fontId="60" fillId="33" borderId="28" xfId="0" applyFont="1" applyFill="1" applyBorder="1" applyAlignment="1">
      <alignment horizontal="center" vertical="center"/>
    </xf>
    <xf numFmtId="166" fontId="39" fillId="33" borderId="15" xfId="0" applyNumberFormat="1" applyFont="1" applyFill="1" applyBorder="1" applyAlignment="1">
      <alignment horizontal="center" vertical="center"/>
    </xf>
    <xf numFmtId="0" fontId="32" fillId="33" borderId="31" xfId="0" applyFont="1" applyFill="1" applyBorder="1" applyAlignment="1">
      <alignment horizontal="center" vertical="center"/>
    </xf>
    <xf numFmtId="0" fontId="35" fillId="33" borderId="18" xfId="0" applyFont="1" applyFill="1" applyBorder="1" applyAlignment="1">
      <alignment horizontal="center" vertical="center" textRotation="90"/>
    </xf>
    <xf numFmtId="0" fontId="35" fillId="33" borderId="16" xfId="0" applyFont="1" applyFill="1" applyBorder="1" applyAlignment="1">
      <alignment horizontal="center" vertical="center" textRotation="90"/>
    </xf>
    <xf numFmtId="0" fontId="35" fillId="33" borderId="17" xfId="0" applyFont="1" applyFill="1" applyBorder="1" applyAlignment="1">
      <alignment horizontal="center" vertical="center" textRotation="90"/>
    </xf>
    <xf numFmtId="0" fontId="33" fillId="35" borderId="19" xfId="0" applyFont="1" applyFill="1" applyBorder="1" applyAlignment="1">
      <alignment horizontal="left" vertical="top" wrapText="1"/>
    </xf>
    <xf numFmtId="0" fontId="33" fillId="35" borderId="20" xfId="0" applyFont="1" applyFill="1" applyBorder="1" applyAlignment="1">
      <alignment horizontal="left" vertical="top" wrapText="1"/>
    </xf>
    <xf numFmtId="0" fontId="33" fillId="35" borderId="21" xfId="0" applyFont="1" applyFill="1" applyBorder="1" applyAlignment="1">
      <alignment horizontal="left" vertical="top" wrapText="1"/>
    </xf>
    <xf numFmtId="0" fontId="33" fillId="35" borderId="22" xfId="0" applyFont="1" applyFill="1" applyBorder="1" applyAlignment="1">
      <alignment horizontal="left" vertical="top" wrapText="1"/>
    </xf>
    <xf numFmtId="0" fontId="33" fillId="35" borderId="0" xfId="0" applyFont="1" applyFill="1" applyAlignment="1">
      <alignment horizontal="left" vertical="top" wrapText="1"/>
    </xf>
    <xf numFmtId="0" fontId="33" fillId="35" borderId="23" xfId="0" applyFont="1" applyFill="1" applyBorder="1" applyAlignment="1">
      <alignment horizontal="left" vertical="top" wrapText="1"/>
    </xf>
    <xf numFmtId="0" fontId="33" fillId="35" borderId="24" xfId="0" applyFont="1" applyFill="1" applyBorder="1" applyAlignment="1">
      <alignment horizontal="left" vertical="top" wrapText="1"/>
    </xf>
    <xf numFmtId="0" fontId="33" fillId="35" borderId="25" xfId="0" applyFont="1" applyFill="1" applyBorder="1" applyAlignment="1">
      <alignment horizontal="left" vertical="top" wrapText="1"/>
    </xf>
    <xf numFmtId="0" fontId="33" fillId="35" borderId="14" xfId="0" applyFont="1" applyFill="1" applyBorder="1" applyAlignment="1">
      <alignment horizontal="left" vertical="top" wrapText="1"/>
    </xf>
    <xf numFmtId="0" fontId="29" fillId="0" borderId="0" xfId="0" applyFont="1" applyAlignment="1">
      <alignment horizontal="center" vertical="center"/>
    </xf>
    <xf numFmtId="0" fontId="59" fillId="33" borderId="0" xfId="0" applyFont="1" applyFill="1" applyAlignment="1">
      <alignment horizontal="center" wrapText="1"/>
    </xf>
    <xf numFmtId="0" fontId="56" fillId="0" borderId="12" xfId="0" applyFont="1" applyBorder="1" applyAlignment="1">
      <alignment horizontal="center" vertical="center" wrapText="1"/>
    </xf>
    <xf numFmtId="0" fontId="56" fillId="0" borderId="13" xfId="0" applyFont="1" applyBorder="1" applyAlignment="1">
      <alignment horizontal="center" vertical="center"/>
    </xf>
    <xf numFmtId="0" fontId="57" fillId="0" borderId="21" xfId="0" applyFont="1" applyBorder="1" applyAlignment="1">
      <alignment vertical="center"/>
    </xf>
    <xf numFmtId="0" fontId="57" fillId="0" borderId="14" xfId="0" applyFont="1" applyBorder="1" applyAlignment="1">
      <alignment vertical="center"/>
    </xf>
    <xf numFmtId="0" fontId="57" fillId="0" borderId="20" xfId="0" applyFont="1" applyBorder="1" applyAlignment="1">
      <alignment vertical="center"/>
    </xf>
    <xf numFmtId="0" fontId="57" fillId="0" borderId="25" xfId="0" applyFont="1" applyBorder="1" applyAlignment="1">
      <alignment vertical="center"/>
    </xf>
    <xf numFmtId="0" fontId="57" fillId="0" borderId="20" xfId="0" applyFont="1" applyBorder="1" applyAlignment="1">
      <alignment vertical="center" wrapText="1"/>
    </xf>
    <xf numFmtId="0" fontId="57" fillId="0" borderId="25"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ndense val="0"/>
        <extend val="0"/>
        <color rgb="FF9C0006"/>
      </font>
      <fill>
        <patternFill>
          <bgColor rgb="FFFFC7CE"/>
        </patternFill>
      </fill>
    </dxf>
  </dxfs>
  <tableStyles count="0" defaultTableStyle="TableStyleMedium2" defaultPivotStyle="PivotStyleLight16"/>
  <colors>
    <mruColors>
      <color rgb="FFFF3399"/>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91304347826464"/>
          <c:y val="9.2872796947897698E-2"/>
          <c:w val="0.7665903890160175"/>
          <c:h val="0.73074222093728602"/>
        </c:manualLayout>
      </c:layout>
      <c:scatterChart>
        <c:scatterStyle val="lineMarker"/>
        <c:varyColors val="0"/>
        <c:ser>
          <c:idx val="0"/>
          <c:order val="0"/>
          <c:tx>
            <c:v>PSa Median for 5% damping</c:v>
          </c:tx>
          <c:spPr>
            <a:ln w="50800">
              <a:solidFill>
                <a:srgbClr val="FF3300"/>
              </a:solidFill>
              <a:prstDash val="solid"/>
            </a:ln>
          </c:spPr>
          <c:marker>
            <c:symbol val="none"/>
          </c:marker>
          <c:xVal>
            <c:numRef>
              <c:f>MAIN!$D$15:$D$37</c:f>
              <c:numCache>
                <c:formatCode>General</c:formatCode>
                <c:ptCount val="23"/>
                <c:pt idx="0">
                  <c:v>0.01</c:v>
                </c:pt>
                <c:pt idx="1">
                  <c:v>0.02</c:v>
                </c:pt>
                <c:pt idx="2">
                  <c:v>0.03</c:v>
                </c:pt>
                <c:pt idx="3">
                  <c:v>0.05</c:v>
                </c:pt>
                <c:pt idx="4">
                  <c:v>7.4999999999999997E-2</c:v>
                </c:pt>
                <c:pt idx="5">
                  <c:v>0.1</c:v>
                </c:pt>
                <c:pt idx="6">
                  <c:v>0.15</c:v>
                </c:pt>
                <c:pt idx="7">
                  <c:v>0.2</c:v>
                </c:pt>
                <c:pt idx="8">
                  <c:v>0.25</c:v>
                </c:pt>
                <c:pt idx="9">
                  <c:v>0.3</c:v>
                </c:pt>
                <c:pt idx="10">
                  <c:v>0.4</c:v>
                </c:pt>
                <c:pt idx="11">
                  <c:v>0.5</c:v>
                </c:pt>
                <c:pt idx="12">
                  <c:v>0.75</c:v>
                </c:pt>
                <c:pt idx="13">
                  <c:v>1</c:v>
                </c:pt>
                <c:pt idx="14">
                  <c:v>1.5</c:v>
                </c:pt>
                <c:pt idx="15">
                  <c:v>2</c:v>
                </c:pt>
                <c:pt idx="16">
                  <c:v>3</c:v>
                </c:pt>
                <c:pt idx="17">
                  <c:v>4</c:v>
                </c:pt>
                <c:pt idx="18">
                  <c:v>5</c:v>
                </c:pt>
                <c:pt idx="19">
                  <c:v>6</c:v>
                </c:pt>
                <c:pt idx="20">
                  <c:v>7.5</c:v>
                </c:pt>
                <c:pt idx="21">
                  <c:v>10</c:v>
                </c:pt>
              </c:numCache>
            </c:numRef>
          </c:xVal>
          <c:yVal>
            <c:numRef>
              <c:f>MAIN!$E$15:$E$37</c:f>
              <c:numCache>
                <c:formatCode>0.000</c:formatCode>
                <c:ptCount val="23"/>
                <c:pt idx="0">
                  <c:v>0.13466802073269674</c:v>
                </c:pt>
                <c:pt idx="1">
                  <c:v>0.14281384752813409</c:v>
                </c:pt>
                <c:pt idx="2">
                  <c:v>0.15286674785766158</c:v>
                </c:pt>
                <c:pt idx="3">
                  <c:v>0.19221483505019787</c:v>
                </c:pt>
                <c:pt idx="4">
                  <c:v>0.26553811494377844</c:v>
                </c:pt>
                <c:pt idx="5">
                  <c:v>0.3235504759671346</c:v>
                </c:pt>
                <c:pt idx="6">
                  <c:v>0.42942474426802923</c:v>
                </c:pt>
                <c:pt idx="7">
                  <c:v>0.39532447182510128</c:v>
                </c:pt>
                <c:pt idx="8">
                  <c:v>0.30884583213346639</c:v>
                </c:pt>
                <c:pt idx="9">
                  <c:v>0.24217692844870692</c:v>
                </c:pt>
                <c:pt idx="10">
                  <c:v>0.17624911701421003</c:v>
                </c:pt>
                <c:pt idx="11">
                  <c:v>0.14112662245552071</c:v>
                </c:pt>
                <c:pt idx="12">
                  <c:v>9.4045648104648494E-2</c:v>
                </c:pt>
                <c:pt idx="13">
                  <c:v>7.0285964130968298E-2</c:v>
                </c:pt>
                <c:pt idx="14">
                  <c:v>4.4038268834915413E-2</c:v>
                </c:pt>
                <c:pt idx="15">
                  <c:v>3.0993930778081276E-2</c:v>
                </c:pt>
                <c:pt idx="16">
                  <c:v>1.7990453331219545E-2</c:v>
                </c:pt>
                <c:pt idx="17">
                  <c:v>1.2237126012238852E-2</c:v>
                </c:pt>
                <c:pt idx="18">
                  <c:v>8.4891125105373191E-3</c:v>
                </c:pt>
                <c:pt idx="19">
                  <c:v>5.9004100665932596E-3</c:v>
                </c:pt>
                <c:pt idx="20">
                  <c:v>3.5653925774758576E-3</c:v>
                </c:pt>
                <c:pt idx="21">
                  <c:v>1.907795601783229E-3</c:v>
                </c:pt>
              </c:numCache>
            </c:numRef>
          </c:yVal>
          <c:smooth val="1"/>
          <c:extLst>
            <c:ext xmlns:c16="http://schemas.microsoft.com/office/drawing/2014/chart" uri="{C3380CC4-5D6E-409C-BE32-E72D297353CC}">
              <c16:uniqueId val="{00000000-CD8A-4C81-B6B6-41537535C9D7}"/>
            </c:ext>
          </c:extLst>
        </c:ser>
        <c:ser>
          <c:idx val="1"/>
          <c:order val="1"/>
          <c:tx>
            <c:v>PSa Median + 1.σ for 5 % damping</c:v>
          </c:tx>
          <c:spPr>
            <a:ln w="38100">
              <a:solidFill>
                <a:schemeClr val="tx1"/>
              </a:solidFill>
              <a:prstDash val="sysDash"/>
            </a:ln>
          </c:spPr>
          <c:marker>
            <c:symbol val="none"/>
          </c:marker>
          <c:xVal>
            <c:numRef>
              <c:f>MAIN!$D$15:$D$37</c:f>
              <c:numCache>
                <c:formatCode>General</c:formatCode>
                <c:ptCount val="23"/>
                <c:pt idx="0">
                  <c:v>0.01</c:v>
                </c:pt>
                <c:pt idx="1">
                  <c:v>0.02</c:v>
                </c:pt>
                <c:pt idx="2">
                  <c:v>0.03</c:v>
                </c:pt>
                <c:pt idx="3">
                  <c:v>0.05</c:v>
                </c:pt>
                <c:pt idx="4">
                  <c:v>7.4999999999999997E-2</c:v>
                </c:pt>
                <c:pt idx="5">
                  <c:v>0.1</c:v>
                </c:pt>
                <c:pt idx="6">
                  <c:v>0.15</c:v>
                </c:pt>
                <c:pt idx="7">
                  <c:v>0.2</c:v>
                </c:pt>
                <c:pt idx="8">
                  <c:v>0.25</c:v>
                </c:pt>
                <c:pt idx="9">
                  <c:v>0.3</c:v>
                </c:pt>
                <c:pt idx="10">
                  <c:v>0.4</c:v>
                </c:pt>
                <c:pt idx="11">
                  <c:v>0.5</c:v>
                </c:pt>
                <c:pt idx="12">
                  <c:v>0.75</c:v>
                </c:pt>
                <c:pt idx="13">
                  <c:v>1</c:v>
                </c:pt>
                <c:pt idx="14">
                  <c:v>1.5</c:v>
                </c:pt>
                <c:pt idx="15">
                  <c:v>2</c:v>
                </c:pt>
                <c:pt idx="16">
                  <c:v>3</c:v>
                </c:pt>
                <c:pt idx="17">
                  <c:v>4</c:v>
                </c:pt>
                <c:pt idx="18">
                  <c:v>5</c:v>
                </c:pt>
                <c:pt idx="19">
                  <c:v>6</c:v>
                </c:pt>
                <c:pt idx="20">
                  <c:v>7.5</c:v>
                </c:pt>
                <c:pt idx="21">
                  <c:v>10</c:v>
                </c:pt>
              </c:numCache>
            </c:numRef>
          </c:xVal>
          <c:yVal>
            <c:numRef>
              <c:f>MAIN!$F$15:$F$37</c:f>
              <c:numCache>
                <c:formatCode>0.000</c:formatCode>
                <c:ptCount val="23"/>
                <c:pt idx="0">
                  <c:v>0.32344164439710038</c:v>
                </c:pt>
                <c:pt idx="1">
                  <c:v>0.34481019337604757</c:v>
                </c:pt>
                <c:pt idx="2">
                  <c:v>0.37231620710905378</c:v>
                </c:pt>
                <c:pt idx="3">
                  <c:v>0.47985522449658424</c:v>
                </c:pt>
                <c:pt idx="4">
                  <c:v>0.70221318177169534</c:v>
                </c:pt>
                <c:pt idx="5">
                  <c:v>0.87514644530006047</c:v>
                </c:pt>
                <c:pt idx="6">
                  <c:v>1.1726457280190083</c:v>
                </c:pt>
                <c:pt idx="7">
                  <c:v>1.0537074996663616</c:v>
                </c:pt>
                <c:pt idx="8">
                  <c:v>0.79096994543948929</c:v>
                </c:pt>
                <c:pt idx="9">
                  <c:v>0.60889009403712602</c:v>
                </c:pt>
                <c:pt idx="10">
                  <c:v>0.43766636012692767</c:v>
                </c:pt>
                <c:pt idx="11">
                  <c:v>0.3466763304155267</c:v>
                </c:pt>
                <c:pt idx="12">
                  <c:v>0.2141844956976989</c:v>
                </c:pt>
                <c:pt idx="13">
                  <c:v>0.15727814401387361</c:v>
                </c:pt>
                <c:pt idx="14">
                  <c:v>9.7722306515038659E-2</c:v>
                </c:pt>
                <c:pt idx="15">
                  <c:v>6.7769826314020218E-2</c:v>
                </c:pt>
                <c:pt idx="16">
                  <c:v>3.6944968824033669E-2</c:v>
                </c:pt>
                <c:pt idx="17">
                  <c:v>2.4022077455938647E-2</c:v>
                </c:pt>
                <c:pt idx="18">
                  <c:v>1.6663684869879437E-2</c:v>
                </c:pt>
                <c:pt idx="19">
                  <c:v>1.1453710783815338E-2</c:v>
                </c:pt>
                <c:pt idx="20">
                  <c:v>6.8006704872091506E-3</c:v>
                </c:pt>
                <c:pt idx="21">
                  <c:v>3.7690269692532692E-3</c:v>
                </c:pt>
              </c:numCache>
            </c:numRef>
          </c:yVal>
          <c:smooth val="1"/>
          <c:extLst>
            <c:ext xmlns:c16="http://schemas.microsoft.com/office/drawing/2014/chart" uri="{C3380CC4-5D6E-409C-BE32-E72D297353CC}">
              <c16:uniqueId val="{00000001-CD8A-4C81-B6B6-41537535C9D7}"/>
            </c:ext>
          </c:extLst>
        </c:ser>
        <c:ser>
          <c:idx val="2"/>
          <c:order val="2"/>
          <c:tx>
            <c:v>PSa Median - 1.σ for 5 % damping</c:v>
          </c:tx>
          <c:spPr>
            <a:ln w="38100">
              <a:solidFill>
                <a:schemeClr val="tx1"/>
              </a:solidFill>
              <a:prstDash val="dash"/>
            </a:ln>
          </c:spPr>
          <c:marker>
            <c:symbol val="none"/>
          </c:marker>
          <c:xVal>
            <c:numRef>
              <c:f>MAIN!$D$15:$D$37</c:f>
              <c:numCache>
                <c:formatCode>General</c:formatCode>
                <c:ptCount val="23"/>
                <c:pt idx="0">
                  <c:v>0.01</c:v>
                </c:pt>
                <c:pt idx="1">
                  <c:v>0.02</c:v>
                </c:pt>
                <c:pt idx="2">
                  <c:v>0.03</c:v>
                </c:pt>
                <c:pt idx="3">
                  <c:v>0.05</c:v>
                </c:pt>
                <c:pt idx="4">
                  <c:v>7.4999999999999997E-2</c:v>
                </c:pt>
                <c:pt idx="5">
                  <c:v>0.1</c:v>
                </c:pt>
                <c:pt idx="6">
                  <c:v>0.15</c:v>
                </c:pt>
                <c:pt idx="7">
                  <c:v>0.2</c:v>
                </c:pt>
                <c:pt idx="8">
                  <c:v>0.25</c:v>
                </c:pt>
                <c:pt idx="9">
                  <c:v>0.3</c:v>
                </c:pt>
                <c:pt idx="10">
                  <c:v>0.4</c:v>
                </c:pt>
                <c:pt idx="11">
                  <c:v>0.5</c:v>
                </c:pt>
                <c:pt idx="12">
                  <c:v>0.75</c:v>
                </c:pt>
                <c:pt idx="13">
                  <c:v>1</c:v>
                </c:pt>
                <c:pt idx="14">
                  <c:v>1.5</c:v>
                </c:pt>
                <c:pt idx="15">
                  <c:v>2</c:v>
                </c:pt>
                <c:pt idx="16">
                  <c:v>3</c:v>
                </c:pt>
                <c:pt idx="17">
                  <c:v>4</c:v>
                </c:pt>
                <c:pt idx="18">
                  <c:v>5</c:v>
                </c:pt>
                <c:pt idx="19">
                  <c:v>6</c:v>
                </c:pt>
                <c:pt idx="20">
                  <c:v>7.5</c:v>
                </c:pt>
                <c:pt idx="21">
                  <c:v>10</c:v>
                </c:pt>
              </c:numCache>
            </c:numRef>
          </c:xVal>
          <c:yVal>
            <c:numRef>
              <c:f>MAIN!$G$15:$G$37</c:f>
              <c:numCache>
                <c:formatCode>0.000</c:formatCode>
                <c:ptCount val="23"/>
                <c:pt idx="0">
                  <c:v>5.607031785244232E-2</c:v>
                </c:pt>
                <c:pt idx="1">
                  <c:v>5.9150789151832354E-2</c:v>
                </c:pt>
                <c:pt idx="2">
                  <c:v>6.2764505424103598E-2</c:v>
                </c:pt>
                <c:pt idx="3">
                  <c:v>7.69951871465719E-2</c:v>
                </c:pt>
                <c:pt idx="4">
                  <c:v>0.10041180131366399</c:v>
                </c:pt>
                <c:pt idx="5">
                  <c:v>0.11961987740539376</c:v>
                </c:pt>
                <c:pt idx="6">
                  <c:v>0.15725602932198898</c:v>
                </c:pt>
                <c:pt idx="7">
                  <c:v>0.14831576891431361</c:v>
                </c:pt>
                <c:pt idx="8">
                  <c:v>0.12059339116003175</c:v>
                </c:pt>
                <c:pt idx="9">
                  <c:v>9.6322251334366518E-2</c:v>
                </c:pt>
                <c:pt idx="10">
                  <c:v>7.0975871299041343E-2</c:v>
                </c:pt>
                <c:pt idx="11">
                  <c:v>5.7450485707607649E-2</c:v>
                </c:pt>
                <c:pt idx="12">
                  <c:v>4.1294230465246495E-2</c:v>
                </c:pt>
                <c:pt idx="13">
                  <c:v>3.1410065173352958E-2</c:v>
                </c:pt>
                <c:pt idx="14">
                  <c:v>1.9845715795480421E-2</c:v>
                </c:pt>
                <c:pt idx="15">
                  <c:v>1.4174800162912031E-2</c:v>
                </c:pt>
                <c:pt idx="16">
                  <c:v>8.7605003161415982E-3</c:v>
                </c:pt>
                <c:pt idx="17">
                  <c:v>6.2337345016924336E-3</c:v>
                </c:pt>
                <c:pt idx="18">
                  <c:v>4.3246755912206957E-3</c:v>
                </c:pt>
                <c:pt idx="19">
                  <c:v>3.0396121930326863E-3</c:v>
                </c:pt>
                <c:pt idx="20">
                  <c:v>1.8692310200044235E-3</c:v>
                </c:pt>
                <c:pt idx="21">
                  <c:v>9.6568267828142857E-4</c:v>
                </c:pt>
              </c:numCache>
            </c:numRef>
          </c:yVal>
          <c:smooth val="1"/>
          <c:extLst>
            <c:ext xmlns:c16="http://schemas.microsoft.com/office/drawing/2014/chart" uri="{C3380CC4-5D6E-409C-BE32-E72D297353CC}">
              <c16:uniqueId val="{00000002-CD8A-4C81-B6B6-41537535C9D7}"/>
            </c:ext>
          </c:extLst>
        </c:ser>
        <c:dLbls>
          <c:showLegendKey val="0"/>
          <c:showVal val="0"/>
          <c:showCatName val="0"/>
          <c:showSerName val="0"/>
          <c:showPercent val="0"/>
          <c:showBubbleSize val="0"/>
        </c:dLbls>
        <c:axId val="541243960"/>
        <c:axId val="541242784"/>
      </c:scatterChart>
      <c:valAx>
        <c:axId val="541243960"/>
        <c:scaling>
          <c:logBase val="10"/>
          <c:orientation val="minMax"/>
          <c:max val="10"/>
          <c:min val="1.0000000000000005E-2"/>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sz="1200"/>
                  <a:t>Period (sec)</a:t>
                </a:r>
              </a:p>
            </c:rich>
          </c:tx>
          <c:layout>
            <c:manualLayout>
              <c:xMode val="edge"/>
              <c:yMode val="edge"/>
              <c:x val="0.48283763391056561"/>
              <c:y val="0.86177196532939671"/>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41242784"/>
        <c:crossesAt val="1.0000000000000026E-3"/>
        <c:crossBetween val="midCat"/>
      </c:valAx>
      <c:valAx>
        <c:axId val="541242784"/>
        <c:scaling>
          <c:logBase val="10"/>
          <c:orientation val="minMax"/>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strRef>
              <c:f>"Pseudo Spectral Acceleration (5% damping) (g)"</c:f>
              <c:strCache>
                <c:ptCount val="1"/>
                <c:pt idx="0">
                  <c:v>Pseudo Spectral Acceleration (5% damping) (g)</c:v>
                </c:pt>
              </c:strCache>
            </c:strRef>
          </c:tx>
          <c:overlay val="0"/>
          <c:txPr>
            <a:bodyPr rot="-5400000" vert="horz"/>
            <a:lstStyle/>
            <a:p>
              <a:pPr>
                <a:defRPr sz="1200" b="1"/>
              </a:pPr>
              <a:endParaRPr lang="en-US"/>
            </a:p>
          </c:txPr>
        </c:title>
        <c:numFmt formatCode="General" sourceLinked="0"/>
        <c:majorTickMark val="out"/>
        <c:minorTickMark val="out"/>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541243960"/>
        <c:crossesAt val="1.0000000000000026E-3"/>
        <c:crossBetween val="midCat"/>
      </c:valAx>
      <c:spPr>
        <a:solidFill>
          <a:schemeClr val="bg2">
            <a:lumMod val="90000"/>
          </a:schemeClr>
        </a:solidFill>
        <a:ln w="12700">
          <a:solidFill>
            <a:srgbClr val="808080"/>
          </a:solidFill>
          <a:prstDash val="solid"/>
        </a:ln>
      </c:spPr>
    </c:plotArea>
    <c:legend>
      <c:legendPos val="b"/>
      <c:layout>
        <c:manualLayout>
          <c:xMode val="edge"/>
          <c:yMode val="edge"/>
          <c:x val="4.2226027056352512E-2"/>
          <c:y val="0.92582199294054135"/>
          <c:w val="0.91643110982808496"/>
          <c:h val="4.7516198704103722E-2"/>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8100" cmpd="thickThin">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622" r="0.750000000000006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184150</xdr:colOff>
      <xdr:row>12</xdr:row>
      <xdr:rowOff>173565</xdr:rowOff>
    </xdr:from>
    <xdr:to>
      <xdr:col>18</xdr:col>
      <xdr:colOff>24190</xdr:colOff>
      <xdr:row>36</xdr:row>
      <xdr:rowOff>135465</xdr:rowOff>
    </xdr:to>
    <xdr:graphicFrame macro="">
      <xdr:nvGraphicFramePr>
        <xdr:cNvPr id="7" name="Chart 4">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102644</xdr:colOff>
      <xdr:row>0</xdr:row>
      <xdr:rowOff>121228</xdr:rowOff>
    </xdr:from>
    <xdr:to>
      <xdr:col>18</xdr:col>
      <xdr:colOff>26445</xdr:colOff>
      <xdr:row>5</xdr:row>
      <xdr:rowOff>327222</xdr:rowOff>
    </xdr:to>
    <xdr:pic>
      <xdr:nvPicPr>
        <xdr:cNvPr id="4" name="Picture 3">
          <a:extLst>
            <a:ext uri="{FF2B5EF4-FFF2-40B4-BE49-F238E27FC236}">
              <a16:creationId xmlns:a16="http://schemas.microsoft.com/office/drawing/2014/main" id="{47D702BB-A660-443C-B3A1-3A62504927D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29280" y="121228"/>
          <a:ext cx="2105892" cy="1158494"/>
        </a:xfrm>
        <a:prstGeom prst="rect">
          <a:avLst/>
        </a:prstGeom>
      </xdr:spPr>
    </xdr:pic>
    <xdr:clientData/>
  </xdr:twoCellAnchor>
  <xdr:twoCellAnchor editAs="oneCell">
    <xdr:from>
      <xdr:col>0</xdr:col>
      <xdr:colOff>204108</xdr:colOff>
      <xdr:row>1</xdr:row>
      <xdr:rowOff>13607</xdr:rowOff>
    </xdr:from>
    <xdr:to>
      <xdr:col>2</xdr:col>
      <xdr:colOff>48102</xdr:colOff>
      <xdr:row>5</xdr:row>
      <xdr:rowOff>170997</xdr:rowOff>
    </xdr:to>
    <xdr:pic>
      <xdr:nvPicPr>
        <xdr:cNvPr id="6" name="image10.png">
          <a:extLst>
            <a:ext uri="{FF2B5EF4-FFF2-40B4-BE49-F238E27FC236}">
              <a16:creationId xmlns:a16="http://schemas.microsoft.com/office/drawing/2014/main" id="{F9713647-1D32-4C15-A44F-768A75ECDECF}"/>
            </a:ext>
          </a:extLst>
        </xdr:cNvPr>
        <xdr:cNvPicPr/>
      </xdr:nvPicPr>
      <xdr:blipFill>
        <a:blip xmlns:r="http://schemas.openxmlformats.org/officeDocument/2006/relationships" r:embed="rId3"/>
        <a:srcRect/>
        <a:stretch>
          <a:fillRect/>
        </a:stretch>
      </xdr:blipFill>
      <xdr:spPr>
        <a:xfrm>
          <a:off x="204108" y="204107"/>
          <a:ext cx="2281915" cy="919390"/>
        </a:xfrm>
        <a:prstGeom prst="rect">
          <a:avLst/>
        </a:prstGeom>
        <a:ln/>
      </xdr:spPr>
    </xdr:pic>
    <xdr:clientData/>
  </xdr:twoCellAnchor>
  <xdr:twoCellAnchor editAs="oneCell">
    <xdr:from>
      <xdr:col>3</xdr:col>
      <xdr:colOff>450273</xdr:colOff>
      <xdr:row>42</xdr:row>
      <xdr:rowOff>51956</xdr:rowOff>
    </xdr:from>
    <xdr:to>
      <xdr:col>14</xdr:col>
      <xdr:colOff>466725</xdr:colOff>
      <xdr:row>56</xdr:row>
      <xdr:rowOff>1954</xdr:rowOff>
    </xdr:to>
    <xdr:pic>
      <xdr:nvPicPr>
        <xdr:cNvPr id="2" name="Picture 1">
          <a:extLst>
            <a:ext uri="{FF2B5EF4-FFF2-40B4-BE49-F238E27FC236}">
              <a16:creationId xmlns:a16="http://schemas.microsoft.com/office/drawing/2014/main" id="{AE31E44A-6968-1137-11B1-E8D1969F01B3}"/>
            </a:ext>
          </a:extLst>
        </xdr:cNvPr>
        <xdr:cNvPicPr>
          <a:picLocks noChangeAspect="1"/>
        </xdr:cNvPicPr>
      </xdr:nvPicPr>
      <xdr:blipFill>
        <a:blip xmlns:r="http://schemas.openxmlformats.org/officeDocument/2006/relationships" r:embed="rId4"/>
        <a:stretch>
          <a:fillRect/>
        </a:stretch>
      </xdr:blipFill>
      <xdr:spPr>
        <a:xfrm>
          <a:off x="3612573" y="11310506"/>
          <a:ext cx="8274627" cy="282654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6:S51"/>
  <sheetViews>
    <sheetView topLeftCell="A25" zoomScaleNormal="100" workbookViewId="0">
      <selection activeCell="G25" sqref="G25"/>
    </sheetView>
  </sheetViews>
  <sheetFormatPr defaultColWidth="10.85546875" defaultRowHeight="15"/>
  <cols>
    <col min="1" max="1" width="16.28515625" style="7" customWidth="1"/>
    <col min="2" max="2" width="20.28515625" style="7" customWidth="1"/>
    <col min="3" max="4" width="10.85546875" style="7"/>
    <col min="5" max="5" width="12.5703125" style="7" customWidth="1"/>
    <col min="6" max="6" width="11.42578125" style="7" customWidth="1"/>
    <col min="7" max="7" width="11.140625" style="7" customWidth="1"/>
    <col min="8" max="8" width="11.5703125" style="7" customWidth="1"/>
    <col min="9" max="9" width="12" style="7" customWidth="1"/>
    <col min="10" max="18" width="10.85546875" style="7"/>
    <col min="19" max="16384" width="10.85546875" style="88"/>
  </cols>
  <sheetData>
    <row r="6" spans="1:19" ht="26.25" customHeight="1"/>
    <row r="9" spans="1:19" ht="27">
      <c r="A9" s="114" t="s">
        <v>27</v>
      </c>
      <c r="B9" s="114"/>
      <c r="C9" s="114"/>
      <c r="D9" s="114"/>
      <c r="E9" s="114"/>
      <c r="F9" s="114"/>
      <c r="G9" s="114"/>
      <c r="H9" s="114"/>
      <c r="I9" s="114"/>
      <c r="J9" s="114"/>
      <c r="K9" s="114"/>
      <c r="L9" s="114"/>
      <c r="M9" s="114"/>
      <c r="N9" s="114"/>
      <c r="O9" s="114"/>
      <c r="P9" s="114"/>
      <c r="Q9" s="114"/>
      <c r="R9" s="114"/>
    </row>
    <row r="10" spans="1:19" ht="20.25">
      <c r="A10" s="101" t="s">
        <v>21</v>
      </c>
      <c r="B10" s="101"/>
      <c r="C10" s="101"/>
      <c r="D10" s="101"/>
      <c r="E10" s="101"/>
      <c r="F10" s="101"/>
      <c r="G10" s="101"/>
      <c r="H10" s="101"/>
      <c r="I10" s="101"/>
      <c r="J10" s="101"/>
      <c r="K10" s="101"/>
      <c r="L10" s="101"/>
      <c r="M10" s="101"/>
      <c r="N10" s="101"/>
      <c r="O10" s="101"/>
      <c r="P10" s="101"/>
      <c r="Q10" s="101"/>
      <c r="R10" s="101"/>
    </row>
    <row r="11" spans="1:19" ht="15" customHeight="1">
      <c r="A11" s="115" t="s">
        <v>52</v>
      </c>
      <c r="B11" s="115"/>
      <c r="C11" s="115"/>
      <c r="D11" s="115"/>
      <c r="E11" s="115"/>
      <c r="F11" s="115"/>
      <c r="G11" s="115"/>
      <c r="H11" s="115"/>
      <c r="I11" s="115"/>
      <c r="J11" s="115"/>
      <c r="K11" s="115"/>
      <c r="L11" s="115"/>
      <c r="M11" s="115"/>
      <c r="N11" s="115"/>
      <c r="O11" s="115"/>
      <c r="P11" s="115"/>
      <c r="Q11" s="115"/>
      <c r="R11" s="115"/>
    </row>
    <row r="12" spans="1:19">
      <c r="A12" s="115"/>
      <c r="B12" s="115"/>
      <c r="C12" s="115"/>
      <c r="D12" s="115"/>
      <c r="E12" s="115"/>
      <c r="F12" s="115"/>
      <c r="G12" s="115"/>
      <c r="H12" s="115"/>
      <c r="I12" s="115"/>
      <c r="J12" s="115"/>
      <c r="K12" s="115"/>
      <c r="L12" s="115"/>
      <c r="M12" s="115"/>
      <c r="N12" s="115"/>
      <c r="O12" s="115"/>
      <c r="P12" s="115"/>
      <c r="Q12" s="115"/>
      <c r="R12" s="115"/>
    </row>
    <row r="13" spans="1:19" ht="15.75" thickBot="1">
      <c r="R13" s="30" t="s">
        <v>30</v>
      </c>
      <c r="S13" s="89"/>
    </row>
    <row r="14" spans="1:19" ht="57.95" customHeight="1" thickBot="1">
      <c r="A14" s="28" t="s">
        <v>10</v>
      </c>
      <c r="C14" s="12"/>
      <c r="D14" s="15" t="s">
        <v>11</v>
      </c>
      <c r="E14" s="13" t="s">
        <v>9</v>
      </c>
      <c r="F14" s="14" t="str">
        <f>+_xlfn.CONCAT("PSa Median + ", A34,".σ for 5% damping")</f>
        <v>PSa Median + 1.σ for 5% damping</v>
      </c>
      <c r="G14" s="14" t="str">
        <f>+_xlfn.CONCAT("PSa Median - ", A34,".σ for 5% damping")</f>
        <v>PSa Median - 1.σ for 5% damping</v>
      </c>
      <c r="H14" s="14" t="str">
        <f>+_xlfn.CONCAT("PSa Median + ",A34,".σss for 5% damping")</f>
        <v>PSa Median + 1.σss for 5% damping</v>
      </c>
      <c r="I14" s="14" t="str">
        <f>+_xlfn.CONCAT("PSa Median - ",A34,".σss for 5% damping")</f>
        <v>PSa Median - 1.σss for 5% damping</v>
      </c>
      <c r="J14" s="1"/>
      <c r="K14" s="1"/>
      <c r="L14" s="1"/>
      <c r="S14" s="90"/>
    </row>
    <row r="15" spans="1:19" ht="17.25" customHeight="1">
      <c r="A15" s="20" t="s">
        <v>12</v>
      </c>
      <c r="B15" s="2"/>
      <c r="C15" s="102" t="s">
        <v>8</v>
      </c>
      <c r="D15" s="17">
        <f>+Coefficients!A3</f>
        <v>0.01</v>
      </c>
      <c r="E15" s="100">
        <f>Coefficients!X3</f>
        <v>0.13466802073269674</v>
      </c>
      <c r="F15" s="100">
        <f>Coefficients!Y3</f>
        <v>0.32344164439710038</v>
      </c>
      <c r="G15" s="100">
        <f>Coefficients!Z3</f>
        <v>5.607031785244232E-2</v>
      </c>
      <c r="H15" s="100">
        <f>Coefficients!AA3</f>
        <v>0.26219226915946786</v>
      </c>
      <c r="I15" s="100">
        <f>Coefficients!AB3</f>
        <v>6.9168613804672735E-2</v>
      </c>
      <c r="J15" s="3"/>
      <c r="K15" s="3"/>
      <c r="L15" s="3"/>
      <c r="S15" s="91"/>
    </row>
    <row r="16" spans="1:19">
      <c r="A16" s="21">
        <v>6.5</v>
      </c>
      <c r="B16" s="4"/>
      <c r="C16" s="103"/>
      <c r="D16" s="17">
        <f>+Coefficients!A4</f>
        <v>0.02</v>
      </c>
      <c r="E16" s="100">
        <f>Coefficients!X4</f>
        <v>0.14281384752813409</v>
      </c>
      <c r="F16" s="100">
        <f>Coefficients!Y4</f>
        <v>0.34481019337604757</v>
      </c>
      <c r="G16" s="100">
        <f>Coefficients!Z4</f>
        <v>5.9150789151832354E-2</v>
      </c>
      <c r="H16" s="100">
        <f>Coefficients!AA4</f>
        <v>0.27600575534652888</v>
      </c>
      <c r="I16" s="100">
        <f>Coefficients!AB4</f>
        <v>7.3896267199870316E-2</v>
      </c>
      <c r="J16" s="3"/>
      <c r="K16" s="3"/>
      <c r="L16" s="3"/>
      <c r="S16" s="92"/>
    </row>
    <row r="17" spans="1:19">
      <c r="A17" s="22"/>
      <c r="B17" s="4"/>
      <c r="C17" s="103"/>
      <c r="D17" s="17">
        <f>+Coefficients!A5</f>
        <v>0.03</v>
      </c>
      <c r="E17" s="100">
        <f>Coefficients!X5</f>
        <v>0.15286674785766158</v>
      </c>
      <c r="F17" s="100">
        <f>Coefficients!Y5</f>
        <v>0.37231620710905378</v>
      </c>
      <c r="G17" s="100">
        <f>Coefficients!Z5</f>
        <v>6.2764505424103598E-2</v>
      </c>
      <c r="H17" s="100">
        <f>Coefficients!AA5</f>
        <v>0.29991328369349302</v>
      </c>
      <c r="I17" s="100">
        <f>Coefficients!AB5</f>
        <v>7.7916664153028586E-2</v>
      </c>
      <c r="J17" s="3"/>
      <c r="K17" s="3"/>
      <c r="L17" s="3"/>
      <c r="S17" s="90"/>
    </row>
    <row r="18" spans="1:19" ht="17.25">
      <c r="A18" s="23" t="s">
        <v>16</v>
      </c>
      <c r="B18" s="4"/>
      <c r="C18" s="103"/>
      <c r="D18" s="17">
        <f>+Coefficients!A6</f>
        <v>0.05</v>
      </c>
      <c r="E18" s="100">
        <f>Coefficients!X6</f>
        <v>0.19221483505019787</v>
      </c>
      <c r="F18" s="100">
        <f>Coefficients!Y6</f>
        <v>0.47985522449658424</v>
      </c>
      <c r="G18" s="100">
        <f>Coefficients!Z6</f>
        <v>7.69951871465719E-2</v>
      </c>
      <c r="H18" s="100">
        <f>Coefficients!AA6</f>
        <v>0.39269722472735036</v>
      </c>
      <c r="I18" s="100">
        <f>Coefficients!AB6</f>
        <v>9.4084043601343897E-2</v>
      </c>
      <c r="J18" s="3"/>
      <c r="K18" s="3"/>
      <c r="L18" s="3"/>
    </row>
    <row r="19" spans="1:19">
      <c r="A19" s="21">
        <v>15</v>
      </c>
      <c r="B19" s="4"/>
      <c r="C19" s="103"/>
      <c r="D19" s="17">
        <f>+Coefficients!A7</f>
        <v>7.4999999999999997E-2</v>
      </c>
      <c r="E19" s="100">
        <f>Coefficients!X7</f>
        <v>0.26553811494377844</v>
      </c>
      <c r="F19" s="100">
        <f>Coefficients!Y7</f>
        <v>0.70221318177169534</v>
      </c>
      <c r="G19" s="100">
        <f>Coefficients!Z7</f>
        <v>0.10041180131366399</v>
      </c>
      <c r="H19" s="100">
        <f>Coefficients!AA7</f>
        <v>0.57299896713737464</v>
      </c>
      <c r="I19" s="100">
        <f>Coefficients!AB7</f>
        <v>0.12305517903488757</v>
      </c>
      <c r="J19" s="3"/>
      <c r="K19" s="3"/>
      <c r="L19" s="3"/>
    </row>
    <row r="20" spans="1:19">
      <c r="A20" s="22"/>
      <c r="B20" s="4"/>
      <c r="C20" s="103"/>
      <c r="D20" s="17">
        <f>+Coefficients!A8</f>
        <v>0.1</v>
      </c>
      <c r="E20" s="100">
        <f>Coefficients!X8</f>
        <v>0.3235504759671346</v>
      </c>
      <c r="F20" s="100">
        <f>Coefficients!Y8</f>
        <v>0.87514644530006047</v>
      </c>
      <c r="G20" s="100">
        <f>Coefficients!Z8</f>
        <v>0.11961987740539376</v>
      </c>
      <c r="H20" s="100">
        <f>Coefficients!AA8</f>
        <v>0.7209553039377653</v>
      </c>
      <c r="I20" s="100">
        <f>Coefficients!AB8</f>
        <v>0.14520305201554634</v>
      </c>
      <c r="J20" s="3"/>
      <c r="K20" s="3"/>
      <c r="L20" s="3"/>
    </row>
    <row r="21" spans="1:19" ht="17.25">
      <c r="A21" s="23" t="s">
        <v>24</v>
      </c>
      <c r="B21" s="4"/>
      <c r="C21" s="103"/>
      <c r="D21" s="17">
        <f>+Coefficients!A9</f>
        <v>0.15</v>
      </c>
      <c r="E21" s="100">
        <f>Coefficients!X9</f>
        <v>0.42942474426802923</v>
      </c>
      <c r="F21" s="100">
        <f>Coefficients!Y9</f>
        <v>1.1726457280190083</v>
      </c>
      <c r="G21" s="100">
        <f>Coefficients!Z9</f>
        <v>0.15725602932198898</v>
      </c>
      <c r="H21" s="100">
        <f>Coefficients!AA9</f>
        <v>0.98439994523000574</v>
      </c>
      <c r="I21" s="100">
        <f>Coefficients!AB9</f>
        <v>0.18732793706787113</v>
      </c>
      <c r="J21" s="3"/>
      <c r="K21" s="5"/>
      <c r="L21" s="5"/>
      <c r="M21" s="6"/>
      <c r="N21" s="6"/>
      <c r="P21" s="6"/>
      <c r="Q21" s="6"/>
      <c r="R21" s="6"/>
      <c r="S21" s="93"/>
    </row>
    <row r="22" spans="1:19">
      <c r="A22" s="24">
        <v>9</v>
      </c>
      <c r="B22" s="86" t="str">
        <f>+IF(A22&gt;A19,A35,"")</f>
        <v/>
      </c>
      <c r="C22" s="103"/>
      <c r="D22" s="17">
        <f>+Coefficients!A10</f>
        <v>0.2</v>
      </c>
      <c r="E22" s="100">
        <f>Coefficients!X10</f>
        <v>0.39532447182510128</v>
      </c>
      <c r="F22" s="100">
        <f>Coefficients!Y10</f>
        <v>1.0537074996663616</v>
      </c>
      <c r="G22" s="100">
        <f>Coefficients!Z10</f>
        <v>0.14831576891431361</v>
      </c>
      <c r="H22" s="100">
        <f>Coefficients!AA10</f>
        <v>0.86442020146300724</v>
      </c>
      <c r="I22" s="100">
        <f>Coefficients!AB10</f>
        <v>0.1807933661884501</v>
      </c>
      <c r="J22" s="3"/>
      <c r="K22" s="8"/>
      <c r="L22" s="8"/>
      <c r="M22" s="6"/>
      <c r="N22" s="6"/>
      <c r="O22" s="6"/>
      <c r="P22" s="6"/>
      <c r="Q22" s="6"/>
      <c r="R22" s="6"/>
      <c r="S22" s="93"/>
    </row>
    <row r="23" spans="1:19">
      <c r="A23" s="25"/>
      <c r="B23" s="87"/>
      <c r="C23" s="103"/>
      <c r="D23" s="17">
        <f>+Coefficients!A11</f>
        <v>0.25</v>
      </c>
      <c r="E23" s="100">
        <f>Coefficients!X11</f>
        <v>0.30884583213346639</v>
      </c>
      <c r="F23" s="100">
        <f>Coefficients!Y11</f>
        <v>0.79096994543948929</v>
      </c>
      <c r="G23" s="100">
        <f>Coefficients!Z11</f>
        <v>0.12059339116003175</v>
      </c>
      <c r="H23" s="100">
        <f>Coefficients!AA11</f>
        <v>0.64569018890249819</v>
      </c>
      <c r="I23" s="100">
        <f>Coefficients!AB11</f>
        <v>0.14772680407045327</v>
      </c>
      <c r="J23" s="3"/>
      <c r="K23" s="6"/>
      <c r="L23" s="6"/>
      <c r="M23" s="6"/>
      <c r="N23" s="6"/>
      <c r="O23" s="6"/>
      <c r="P23" s="6"/>
      <c r="Q23" s="6"/>
      <c r="R23" s="6"/>
      <c r="S23" s="93"/>
    </row>
    <row r="24" spans="1:19" ht="15.75" customHeight="1">
      <c r="A24" s="26" t="s">
        <v>14</v>
      </c>
      <c r="B24" s="4"/>
      <c r="C24" s="103"/>
      <c r="D24" s="17">
        <f>+Coefficients!A12</f>
        <v>0.3</v>
      </c>
      <c r="E24" s="100">
        <f>Coefficients!X12</f>
        <v>0.24217692844870692</v>
      </c>
      <c r="F24" s="100">
        <f>Coefficients!Y12</f>
        <v>0.60889009403712602</v>
      </c>
      <c r="G24" s="100">
        <f>Coefficients!Z12</f>
        <v>9.6322251334366518E-2</v>
      </c>
      <c r="H24" s="100">
        <f>Coefficients!AA12</f>
        <v>0.49323239585919293</v>
      </c>
      <c r="I24" s="100">
        <f>Coefficients!AB12</f>
        <v>0.11890878451056429</v>
      </c>
      <c r="J24" s="3"/>
      <c r="K24" s="6"/>
      <c r="L24" s="6"/>
      <c r="M24" s="6"/>
      <c r="N24" s="6"/>
      <c r="O24" s="1" t="str">
        <f>"Pseudo Spectral Acceleration ("  &amp;$C$17 &amp; "% damping) (g)"</f>
        <v>Pseudo Spectral Acceleration (% damping) (g)</v>
      </c>
      <c r="P24" s="6"/>
      <c r="Q24" s="6"/>
      <c r="R24" s="6"/>
      <c r="S24" s="93"/>
    </row>
    <row r="25" spans="1:19">
      <c r="A25" s="21">
        <v>2</v>
      </c>
      <c r="B25" s="4"/>
      <c r="C25" s="103"/>
      <c r="D25" s="17">
        <f>+Coefficients!A13</f>
        <v>0.4</v>
      </c>
      <c r="E25" s="100">
        <f>Coefficients!X13</f>
        <v>0.17624911701421003</v>
      </c>
      <c r="F25" s="100">
        <f>Coefficients!Y13</f>
        <v>0.43766636012692767</v>
      </c>
      <c r="G25" s="100">
        <f>Coefficients!Z13</f>
        <v>7.0975871299041343E-2</v>
      </c>
      <c r="H25" s="100">
        <f>Coefficients!AA13</f>
        <v>0.34804826376539999</v>
      </c>
      <c r="I25" s="100">
        <f>Coefficients!AB13</f>
        <v>8.9251274843959727E-2</v>
      </c>
      <c r="J25" s="3"/>
      <c r="K25" s="6"/>
      <c r="L25" s="6"/>
      <c r="M25" s="6"/>
      <c r="N25" s="6"/>
      <c r="O25" s="6"/>
      <c r="P25" s="6"/>
      <c r="Q25" s="6"/>
      <c r="R25" s="6"/>
      <c r="S25" s="93"/>
    </row>
    <row r="26" spans="1:19">
      <c r="A26" s="22"/>
      <c r="B26" s="4"/>
      <c r="C26" s="103"/>
      <c r="D26" s="17">
        <f>+Coefficients!A14</f>
        <v>0.5</v>
      </c>
      <c r="E26" s="100">
        <f>Coefficients!X14</f>
        <v>0.14112662245552071</v>
      </c>
      <c r="F26" s="100">
        <f>Coefficients!Y14</f>
        <v>0.3466763304155267</v>
      </c>
      <c r="G26" s="100">
        <f>Coefficients!Z14</f>
        <v>5.7450485707607649E-2</v>
      </c>
      <c r="H26" s="100">
        <f>Coefficients!AA14</f>
        <v>0.27627855532368623</v>
      </c>
      <c r="I26" s="100">
        <f>Coefficients!AB14</f>
        <v>7.208928518671591E-2</v>
      </c>
      <c r="J26" s="3"/>
      <c r="K26" s="6"/>
      <c r="L26" s="6"/>
      <c r="M26" s="6"/>
      <c r="N26" s="6"/>
      <c r="O26" s="6"/>
      <c r="P26" s="6"/>
      <c r="Q26" s="6"/>
      <c r="R26" s="6"/>
      <c r="S26" s="93"/>
    </row>
    <row r="27" spans="1:19">
      <c r="A27" s="23" t="s">
        <v>13</v>
      </c>
      <c r="B27" s="2" t="s">
        <v>28</v>
      </c>
      <c r="C27" s="103"/>
      <c r="D27" s="17">
        <f>+Coefficients!A15</f>
        <v>0.75</v>
      </c>
      <c r="E27" s="100">
        <f>Coefficients!X15</f>
        <v>9.4045648104648494E-2</v>
      </c>
      <c r="F27" s="100">
        <f>Coefficients!Y15</f>
        <v>0.2141844956976989</v>
      </c>
      <c r="G27" s="100">
        <f>Coefficients!Z15</f>
        <v>4.1294230465246495E-2</v>
      </c>
      <c r="H27" s="100">
        <f>Coefficients!AA15</f>
        <v>0.1743546675450679</v>
      </c>
      <c r="I27" s="100">
        <f>Coefficients!AB15</f>
        <v>5.0727543185141236E-2</v>
      </c>
      <c r="J27" s="3"/>
      <c r="K27" s="6"/>
      <c r="L27" s="6"/>
      <c r="M27" s="6"/>
      <c r="N27" s="6"/>
      <c r="O27" s="6"/>
      <c r="P27" s="6"/>
      <c r="Q27" s="6"/>
      <c r="R27" s="6"/>
      <c r="S27" s="93"/>
    </row>
    <row r="28" spans="1:19" ht="15.75" thickBot="1">
      <c r="A28" s="27">
        <v>3.29</v>
      </c>
      <c r="B28" s="6">
        <f>+VLOOKUP($A$25,A44:B49,2,0)</f>
        <v>3.29</v>
      </c>
      <c r="C28" s="103"/>
      <c r="D28" s="17">
        <f>+Coefficients!A16</f>
        <v>1</v>
      </c>
      <c r="E28" s="100">
        <f>Coefficients!X16</f>
        <v>7.0285964130968298E-2</v>
      </c>
      <c r="F28" s="100">
        <f>Coefficients!Y16</f>
        <v>0.15727814401387361</v>
      </c>
      <c r="G28" s="100">
        <f>Coefficients!Z16</f>
        <v>3.1410065173352958E-2</v>
      </c>
      <c r="H28" s="100">
        <f>Coefficients!AA16</f>
        <v>0.12894736829284104</v>
      </c>
      <c r="I28" s="100">
        <f>Coefficients!AB16</f>
        <v>3.8311109557511068E-2</v>
      </c>
      <c r="J28" s="3"/>
      <c r="K28" s="6"/>
      <c r="L28" s="6"/>
      <c r="M28" s="6"/>
      <c r="N28" s="6"/>
      <c r="O28" s="6"/>
      <c r="P28" s="6"/>
      <c r="Q28" s="6"/>
      <c r="R28" s="6"/>
      <c r="S28" s="93"/>
    </row>
    <row r="29" spans="1:19">
      <c r="A29" s="22"/>
      <c r="B29" s="2"/>
      <c r="C29" s="103"/>
      <c r="D29" s="17">
        <f>+Coefficients!A17</f>
        <v>1.5</v>
      </c>
      <c r="E29" s="100">
        <f>Coefficients!X17</f>
        <v>4.4038268834915413E-2</v>
      </c>
      <c r="F29" s="100">
        <f>Coefficients!Y17</f>
        <v>9.7722306515038659E-2</v>
      </c>
      <c r="G29" s="100">
        <f>Coefficients!Z17</f>
        <v>1.9845715795480421E-2</v>
      </c>
      <c r="H29" s="100">
        <f>Coefficients!AA17</f>
        <v>7.8987157785599324E-2</v>
      </c>
      <c r="I29" s="100">
        <f>Coefficients!AB17</f>
        <v>2.4552967549996606E-2</v>
      </c>
      <c r="J29" s="3"/>
      <c r="K29" s="6"/>
      <c r="L29" s="6"/>
      <c r="M29" s="6"/>
      <c r="N29" s="6"/>
      <c r="O29" s="6"/>
      <c r="P29" s="6"/>
      <c r="Q29" s="6"/>
      <c r="R29" s="6"/>
      <c r="S29" s="93"/>
    </row>
    <row r="30" spans="1:19">
      <c r="A30" s="23" t="s">
        <v>26</v>
      </c>
      <c r="C30" s="103"/>
      <c r="D30" s="17">
        <f>+Coefficients!A18</f>
        <v>2</v>
      </c>
      <c r="E30" s="100">
        <f>Coefficients!X18</f>
        <v>3.0993930778081276E-2</v>
      </c>
      <c r="F30" s="100">
        <f>Coefficients!Y18</f>
        <v>6.7769826314020218E-2</v>
      </c>
      <c r="G30" s="100">
        <f>Coefficients!Z18</f>
        <v>1.4174800162912031E-2</v>
      </c>
      <c r="H30" s="100">
        <f>Coefficients!AA18</f>
        <v>5.4580133383032942E-2</v>
      </c>
      <c r="I30" s="100">
        <f>Coefficients!AB18</f>
        <v>1.7600245465415408E-2</v>
      </c>
      <c r="J30" s="3"/>
      <c r="K30" s="6"/>
      <c r="L30" s="6"/>
      <c r="M30" s="6"/>
      <c r="N30" s="6"/>
      <c r="O30" s="6"/>
      <c r="P30" s="6"/>
      <c r="Q30" s="6"/>
      <c r="R30" s="6"/>
      <c r="S30" s="93"/>
    </row>
    <row r="31" spans="1:19" ht="15.75" thickBot="1">
      <c r="A31" s="27">
        <v>0</v>
      </c>
      <c r="B31" s="10"/>
      <c r="C31" s="103"/>
      <c r="D31" s="17">
        <f>+Coefficients!A19</f>
        <v>3</v>
      </c>
      <c r="E31" s="100">
        <f>Coefficients!X19</f>
        <v>1.7990453331219545E-2</v>
      </c>
      <c r="F31" s="100">
        <f>Coefficients!Y19</f>
        <v>3.6944968824033669E-2</v>
      </c>
      <c r="G31" s="100">
        <f>Coefficients!Z19</f>
        <v>8.7605003161415982E-3</v>
      </c>
      <c r="H31" s="100">
        <f>Coefficients!AA19</f>
        <v>3.0463258492932244E-2</v>
      </c>
      <c r="I31" s="100">
        <f>Coefficients!AB19</f>
        <v>1.0624484282857649E-2</v>
      </c>
      <c r="J31" s="3"/>
      <c r="K31" s="6"/>
      <c r="L31" s="6"/>
      <c r="M31" s="6"/>
      <c r="N31" s="6"/>
      <c r="O31" s="6"/>
      <c r="P31" s="6"/>
      <c r="Q31" s="6"/>
      <c r="R31" s="6"/>
      <c r="S31" s="93"/>
    </row>
    <row r="32" spans="1:19">
      <c r="A32" s="22"/>
      <c r="B32" s="11"/>
      <c r="C32" s="103"/>
      <c r="D32" s="17">
        <f>+Coefficients!A20</f>
        <v>4</v>
      </c>
      <c r="E32" s="100">
        <f>Coefficients!X20</f>
        <v>1.2237126012238852E-2</v>
      </c>
      <c r="F32" s="100">
        <f>Coefficients!Y20</f>
        <v>2.4022077455938647E-2</v>
      </c>
      <c r="G32" s="100">
        <f>Coefficients!Z20</f>
        <v>6.2337345016924336E-3</v>
      </c>
      <c r="H32" s="100">
        <f>Coefficients!AA20</f>
        <v>1.9795516397859259E-2</v>
      </c>
      <c r="I32" s="100">
        <f>Coefficients!AB20</f>
        <v>7.5647055641148526E-3</v>
      </c>
      <c r="J32" s="3"/>
      <c r="K32" s="6"/>
      <c r="L32" s="6"/>
      <c r="M32" s="6"/>
      <c r="N32" s="6"/>
      <c r="O32" s="6"/>
      <c r="P32" s="6"/>
      <c r="Q32" s="6"/>
      <c r="R32" s="6"/>
      <c r="S32" s="93"/>
    </row>
    <row r="33" spans="1:19">
      <c r="A33" s="99" t="s">
        <v>53</v>
      </c>
      <c r="B33" s="9"/>
      <c r="C33" s="103"/>
      <c r="D33" s="17">
        <f>+Coefficients!A21</f>
        <v>5</v>
      </c>
      <c r="E33" s="100">
        <f>Coefficients!X21</f>
        <v>8.4891125105373191E-3</v>
      </c>
      <c r="F33" s="100">
        <f>Coefficients!Y21</f>
        <v>1.6663684869879437E-2</v>
      </c>
      <c r="G33" s="100">
        <f>Coefficients!Z21</f>
        <v>4.3246755912206957E-3</v>
      </c>
      <c r="H33" s="100">
        <f>Coefficients!AA21</f>
        <v>1.3683856759938218E-2</v>
      </c>
      <c r="I33" s="100">
        <f>Coefficients!AB21</f>
        <v>5.266426891250695E-3</v>
      </c>
      <c r="J33" s="3"/>
      <c r="K33" s="6"/>
      <c r="L33" s="6"/>
      <c r="M33" s="6"/>
      <c r="N33" s="6"/>
      <c r="O33" s="6"/>
      <c r="P33" s="6"/>
      <c r="Q33" s="6"/>
      <c r="R33" s="6"/>
      <c r="S33" s="93"/>
    </row>
    <row r="34" spans="1:19" ht="15.75" thickBot="1">
      <c r="A34" s="27">
        <v>1</v>
      </c>
      <c r="B34" s="4"/>
      <c r="C34" s="103"/>
      <c r="D34" s="17">
        <f>+Coefficients!A22</f>
        <v>6</v>
      </c>
      <c r="E34" s="100">
        <f>Coefficients!X22</f>
        <v>5.9004100665932596E-3</v>
      </c>
      <c r="F34" s="100">
        <f>Coefficients!Y22</f>
        <v>1.1453710783815338E-2</v>
      </c>
      <c r="G34" s="100">
        <f>Coefficients!Z22</f>
        <v>3.0396121930326863E-3</v>
      </c>
      <c r="H34" s="100">
        <f>Coefficients!AA22</f>
        <v>9.4109237347100253E-3</v>
      </c>
      <c r="I34" s="100">
        <f>Coefficients!AB22</f>
        <v>3.6994071926806241E-3</v>
      </c>
      <c r="J34" s="3"/>
      <c r="K34" s="6"/>
      <c r="L34" s="6"/>
      <c r="M34" s="6"/>
      <c r="N34" s="6"/>
      <c r="O34" s="6"/>
      <c r="P34" s="6"/>
      <c r="Q34" s="6"/>
      <c r="R34" s="6"/>
      <c r="S34" s="93"/>
    </row>
    <row r="35" spans="1:19" ht="33">
      <c r="A35" s="85" t="s">
        <v>51</v>
      </c>
      <c r="B35" s="4"/>
      <c r="C35" s="103"/>
      <c r="D35" s="17">
        <f>+Coefficients!A23</f>
        <v>7.5</v>
      </c>
      <c r="E35" s="100">
        <f>Coefficients!X23</f>
        <v>3.5653925774758576E-3</v>
      </c>
      <c r="F35" s="100">
        <f>Coefficients!Y23</f>
        <v>6.8006704872091506E-3</v>
      </c>
      <c r="G35" s="100">
        <f>Coefficients!Z23</f>
        <v>1.8692310200044235E-3</v>
      </c>
      <c r="H35" s="100">
        <f>Coefficients!AA23</f>
        <v>5.566367124301373E-3</v>
      </c>
      <c r="I35" s="100">
        <f>Coefficients!AB23</f>
        <v>2.2837200543281465E-3</v>
      </c>
      <c r="J35" s="3"/>
      <c r="K35" s="6"/>
      <c r="L35" s="6"/>
      <c r="M35" s="6"/>
      <c r="N35" s="6"/>
      <c r="O35" s="6"/>
      <c r="P35" s="6"/>
      <c r="Q35" s="6"/>
      <c r="R35" s="6"/>
      <c r="S35" s="93"/>
    </row>
    <row r="36" spans="1:19">
      <c r="B36" s="18"/>
      <c r="C36" s="103"/>
      <c r="D36" s="17">
        <f>+Coefficients!A24</f>
        <v>10</v>
      </c>
      <c r="E36" s="100">
        <f>Coefficients!X24</f>
        <v>1.907795601783229E-3</v>
      </c>
      <c r="F36" s="100">
        <f>Coefficients!Y24</f>
        <v>3.7690269692532692E-3</v>
      </c>
      <c r="G36" s="100">
        <f>Coefficients!Z24</f>
        <v>9.6568267828142857E-4</v>
      </c>
      <c r="H36" s="100">
        <f>Coefficients!AA24</f>
        <v>2.9230352188126221E-3</v>
      </c>
      <c r="I36" s="100">
        <f>Coefficients!AB24</f>
        <v>1.2451728377265068E-3</v>
      </c>
      <c r="K36" s="6"/>
      <c r="L36" s="6"/>
      <c r="M36" s="6"/>
      <c r="N36" s="6"/>
      <c r="O36" s="6"/>
      <c r="P36" s="6"/>
      <c r="Q36" s="6"/>
      <c r="R36" s="6"/>
      <c r="S36" s="93"/>
    </row>
    <row r="37" spans="1:19">
      <c r="C37" s="104"/>
      <c r="D37" s="17"/>
      <c r="E37" s="16"/>
      <c r="F37" s="16"/>
      <c r="G37" s="16"/>
      <c r="H37" s="16"/>
      <c r="I37" s="16"/>
      <c r="K37" s="6"/>
      <c r="L37" s="6"/>
      <c r="M37" s="6"/>
      <c r="N37" s="6"/>
      <c r="O37" s="6"/>
      <c r="P37" s="6"/>
      <c r="Q37" s="6"/>
      <c r="R37" s="6"/>
      <c r="S37" s="93"/>
    </row>
    <row r="38" spans="1:19" ht="15.75" thickBot="1">
      <c r="K38" s="6"/>
      <c r="L38" s="6"/>
      <c r="M38" s="6"/>
      <c r="N38" s="6"/>
      <c r="O38" s="6"/>
      <c r="P38" s="6"/>
      <c r="Q38" s="6"/>
      <c r="R38" s="6"/>
      <c r="S38" s="93"/>
    </row>
    <row r="39" spans="1:19" ht="22.35" customHeight="1">
      <c r="C39" s="105" t="s">
        <v>31</v>
      </c>
      <c r="D39" s="106"/>
      <c r="E39" s="106"/>
      <c r="F39" s="106"/>
      <c r="G39" s="106"/>
      <c r="H39" s="106"/>
      <c r="I39" s="106"/>
      <c r="J39" s="106"/>
      <c r="K39" s="106"/>
      <c r="L39" s="106"/>
      <c r="M39" s="106"/>
      <c r="N39" s="106"/>
      <c r="O39" s="106"/>
      <c r="P39" s="106"/>
      <c r="Q39" s="106"/>
      <c r="R39" s="107"/>
      <c r="S39" s="93"/>
    </row>
    <row r="40" spans="1:19">
      <c r="C40" s="108"/>
      <c r="D40" s="109"/>
      <c r="E40" s="109"/>
      <c r="F40" s="109"/>
      <c r="G40" s="109"/>
      <c r="H40" s="109"/>
      <c r="I40" s="109"/>
      <c r="J40" s="109"/>
      <c r="K40" s="109"/>
      <c r="L40" s="109"/>
      <c r="M40" s="109"/>
      <c r="N40" s="109"/>
      <c r="O40" s="109"/>
      <c r="P40" s="109"/>
      <c r="Q40" s="109"/>
      <c r="R40" s="110"/>
      <c r="S40" s="93"/>
    </row>
    <row r="41" spans="1:19">
      <c r="C41" s="108"/>
      <c r="D41" s="109"/>
      <c r="E41" s="109"/>
      <c r="F41" s="109"/>
      <c r="G41" s="109"/>
      <c r="H41" s="109"/>
      <c r="I41" s="109"/>
      <c r="J41" s="109"/>
      <c r="K41" s="109"/>
      <c r="L41" s="109"/>
      <c r="M41" s="109"/>
      <c r="N41" s="109"/>
      <c r="O41" s="109"/>
      <c r="P41" s="109"/>
      <c r="Q41" s="109"/>
      <c r="R41" s="110"/>
      <c r="S41" s="93"/>
    </row>
    <row r="42" spans="1:19" ht="150" customHeight="1" thickBot="1">
      <c r="C42" s="111"/>
      <c r="D42" s="112"/>
      <c r="E42" s="112"/>
      <c r="F42" s="112"/>
      <c r="G42" s="112"/>
      <c r="H42" s="112"/>
      <c r="I42" s="112"/>
      <c r="J42" s="112"/>
      <c r="K42" s="112"/>
      <c r="L42" s="112"/>
      <c r="M42" s="112"/>
      <c r="N42" s="112"/>
      <c r="O42" s="112"/>
      <c r="P42" s="112"/>
      <c r="Q42" s="112"/>
      <c r="R42" s="113"/>
      <c r="S42" s="93"/>
    </row>
    <row r="43" spans="1:19" ht="15" customHeight="1">
      <c r="C43" s="19"/>
      <c r="D43" s="19"/>
      <c r="E43" s="19"/>
      <c r="F43" s="19"/>
      <c r="G43" s="19"/>
      <c r="H43" s="19"/>
      <c r="I43" s="19"/>
      <c r="J43" s="19"/>
      <c r="K43" s="19"/>
      <c r="L43" s="19"/>
      <c r="M43" s="19"/>
      <c r="N43" s="19"/>
      <c r="O43" s="19"/>
      <c r="P43" s="19"/>
      <c r="Q43" s="19"/>
      <c r="R43" s="19"/>
      <c r="S43" s="93"/>
    </row>
    <row r="44" spans="1:19" ht="31.5" customHeight="1">
      <c r="A44" s="29"/>
      <c r="B44" s="29" t="s">
        <v>29</v>
      </c>
      <c r="D44" s="19"/>
      <c r="E44" s="19"/>
      <c r="F44" s="19"/>
      <c r="G44" s="19"/>
      <c r="H44" s="19"/>
      <c r="I44" s="19"/>
      <c r="J44" s="19"/>
      <c r="K44" s="19"/>
      <c r="L44" s="19"/>
      <c r="M44" s="19"/>
      <c r="N44" s="19"/>
      <c r="O44" s="19"/>
      <c r="P44" s="19"/>
      <c r="Q44" s="19"/>
      <c r="R44" s="19"/>
      <c r="S44" s="93"/>
    </row>
    <row r="45" spans="1:19">
      <c r="A45" s="29">
        <v>1</v>
      </c>
      <c r="B45" s="29">
        <v>1.9</v>
      </c>
      <c r="D45" s="19"/>
      <c r="E45" s="19"/>
      <c r="F45" s="19"/>
      <c r="G45" s="19"/>
      <c r="H45" s="19"/>
      <c r="I45" s="19"/>
      <c r="J45" s="19"/>
      <c r="K45" s="19"/>
      <c r="L45" s="19"/>
      <c r="M45" s="19"/>
      <c r="N45" s="19"/>
      <c r="O45" s="19"/>
      <c r="P45" s="19"/>
      <c r="Q45" s="19"/>
      <c r="R45" s="19"/>
      <c r="S45" s="93"/>
    </row>
    <row r="46" spans="1:19">
      <c r="A46" s="29">
        <v>2</v>
      </c>
      <c r="B46" s="29">
        <v>3.29</v>
      </c>
      <c r="D46" s="19"/>
      <c r="E46" s="19"/>
      <c r="F46" s="19"/>
      <c r="G46" s="19"/>
      <c r="H46" s="19"/>
      <c r="I46" s="19"/>
      <c r="J46" s="19"/>
      <c r="K46" s="19"/>
      <c r="L46" s="19"/>
      <c r="M46" s="19"/>
      <c r="N46" s="19"/>
      <c r="O46" s="19"/>
      <c r="P46" s="19"/>
      <c r="Q46" s="19"/>
      <c r="R46" s="19"/>
      <c r="S46" s="93"/>
    </row>
    <row r="47" spans="1:19">
      <c r="A47" s="29">
        <v>3</v>
      </c>
      <c r="B47" s="29">
        <v>4.4800000000000004</v>
      </c>
      <c r="D47" s="19"/>
      <c r="E47" s="19"/>
      <c r="F47" s="19"/>
      <c r="G47" s="19"/>
      <c r="H47" s="19"/>
      <c r="I47" s="19"/>
      <c r="J47" s="19"/>
      <c r="K47" s="19"/>
      <c r="L47" s="19"/>
      <c r="M47" s="19"/>
      <c r="N47" s="19"/>
      <c r="O47" s="19"/>
      <c r="P47" s="19"/>
      <c r="Q47" s="19"/>
      <c r="R47" s="19"/>
    </row>
    <row r="48" spans="1:19">
      <c r="A48" s="29">
        <v>4</v>
      </c>
      <c r="B48" s="29">
        <v>4.24</v>
      </c>
      <c r="D48" s="19"/>
      <c r="E48" s="19"/>
      <c r="F48" s="19"/>
      <c r="G48" s="19"/>
      <c r="H48" s="19"/>
      <c r="I48" s="19"/>
      <c r="J48" s="19"/>
      <c r="K48" s="19"/>
      <c r="L48" s="19"/>
      <c r="M48" s="19"/>
      <c r="N48" s="19"/>
      <c r="O48" s="19"/>
      <c r="P48" s="19"/>
      <c r="Q48" s="19"/>
      <c r="R48" s="19"/>
    </row>
    <row r="49" spans="1:2">
      <c r="A49" s="29">
        <v>5</v>
      </c>
      <c r="B49" s="29">
        <v>3.47</v>
      </c>
    </row>
    <row r="50" spans="1:2">
      <c r="A50" s="29"/>
      <c r="B50" s="29"/>
    </row>
    <row r="51" spans="1:2">
      <c r="A51" s="29"/>
      <c r="B51" s="29"/>
    </row>
  </sheetData>
  <sheetProtection algorithmName="SHA-512" hashValue="B2t9i9ubPFckHhQuABbacpOB0XqfDVrVzdBcKrgWyeRjDs8k/HgiSAcdHLQarmyLFNEfVtBMVauDde3ksgb9MA==" saltValue="I2PGDPylkDKAAgSAamfDng==" spinCount="100000" sheet="1" objects="1" scenarios="1"/>
  <protectedRanges>
    <protectedRange algorithmName="SHA-512" hashValue="XcaR/Lf9Ecb1DzeP+lk+cgrEj+LEK2O7XXr64OrEgGQSyuhpafsPugDIzeYX67+SSe04Y0YQQaXY8v5VSd/SdA==" saltValue="522fcX5rTUrzVXT1A+DbRw==" spinCount="100000" sqref="R13" name="Figure"/>
  </protectedRanges>
  <mergeCells count="5">
    <mergeCell ref="A10:R10"/>
    <mergeCell ref="C15:C37"/>
    <mergeCell ref="C39:R42"/>
    <mergeCell ref="A9:R9"/>
    <mergeCell ref="A11:R12"/>
  </mergeCells>
  <conditionalFormatting sqref="B16 B19 B22">
    <cfRule type="containsText" dxfId="0" priority="1" operator="containsText" text="! Not Applicable !">
      <formula>NOT(ISERROR(SEARCH("! Not Applicable !",B16)))</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A1:AB24"/>
  <sheetViews>
    <sheetView tabSelected="1" zoomScaleNormal="100" workbookViewId="0">
      <selection activeCell="X30" sqref="X30"/>
    </sheetView>
  </sheetViews>
  <sheetFormatPr defaultColWidth="9.140625" defaultRowHeight="15.75"/>
  <cols>
    <col min="1" max="1" width="9.140625" style="34" bestFit="1" customWidth="1"/>
    <col min="2" max="2" width="7.85546875" style="34" bestFit="1" customWidth="1"/>
    <col min="3" max="3" width="14.28515625" style="34" bestFit="1" customWidth="1"/>
    <col min="4" max="4" width="15.85546875" style="34" bestFit="1" customWidth="1"/>
    <col min="5" max="5" width="7.85546875" style="34" bestFit="1" customWidth="1"/>
    <col min="6" max="6" width="10.28515625" style="34" bestFit="1" customWidth="1"/>
    <col min="7" max="7" width="11.140625" style="34" bestFit="1" customWidth="1"/>
    <col min="8" max="9" width="11.140625" style="34" customWidth="1"/>
    <col min="10" max="10" width="11.5703125" style="34" bestFit="1" customWidth="1"/>
    <col min="11" max="14" width="11.42578125" style="34" bestFit="1" customWidth="1"/>
    <col min="15" max="15" width="23.42578125" style="34" bestFit="1" customWidth="1"/>
    <col min="16" max="16" width="22.140625" style="34" bestFit="1" customWidth="1"/>
    <col min="17" max="17" width="14.28515625" style="34" bestFit="1" customWidth="1"/>
    <col min="18" max="18" width="49.7109375" style="34" bestFit="1" customWidth="1"/>
    <col min="19" max="19" width="12" style="34" bestFit="1" customWidth="1"/>
    <col min="20" max="21" width="12" style="34" customWidth="1"/>
    <col min="22" max="22" width="6" style="34" bestFit="1" customWidth="1"/>
    <col min="23" max="23" width="13.5703125" style="34" bestFit="1" customWidth="1"/>
    <col min="24" max="24" width="15.42578125" style="34" bestFit="1" customWidth="1"/>
    <col min="25" max="25" width="34.85546875" style="34" bestFit="1" customWidth="1"/>
    <col min="26" max="26" width="34.28515625" style="34" bestFit="1" customWidth="1"/>
    <col min="27" max="27" width="36.85546875" style="34" bestFit="1" customWidth="1"/>
    <col min="28" max="28" width="36.28515625" style="34" bestFit="1" customWidth="1"/>
    <col min="29" max="29" width="9.140625" style="34"/>
    <col min="30" max="30" width="17.140625" style="34" bestFit="1" customWidth="1"/>
    <col min="31" max="16384" width="9.140625" style="34"/>
  </cols>
  <sheetData>
    <row r="1" spans="1:28" ht="16.5" thickBot="1">
      <c r="A1" s="31" t="s">
        <v>3</v>
      </c>
      <c r="B1" s="32">
        <f>MAIN!A16</f>
        <v>6.5</v>
      </c>
      <c r="C1" s="33" t="s">
        <v>22</v>
      </c>
      <c r="D1" s="32">
        <f>MAIN!A19</f>
        <v>15</v>
      </c>
      <c r="E1" s="33"/>
      <c r="F1" s="33" t="s">
        <v>23</v>
      </c>
      <c r="G1" s="32">
        <f>+MAIN!A22</f>
        <v>9</v>
      </c>
      <c r="H1" s="33" t="s">
        <v>25</v>
      </c>
      <c r="I1" s="32">
        <f>+MAIN!A31</f>
        <v>0</v>
      </c>
      <c r="K1" s="33" t="s">
        <v>14</v>
      </c>
      <c r="L1" s="32">
        <f>MAIN!A25</f>
        <v>2</v>
      </c>
      <c r="M1" s="33" t="s">
        <v>13</v>
      </c>
      <c r="N1" s="32">
        <f>+MAIN!A28</f>
        <v>3.29</v>
      </c>
      <c r="O1" s="35" t="s">
        <v>4</v>
      </c>
      <c r="P1" s="36"/>
      <c r="Q1" s="36"/>
      <c r="R1" s="36"/>
      <c r="S1" s="36"/>
      <c r="T1" s="36"/>
      <c r="U1" s="36"/>
      <c r="V1" s="36"/>
      <c r="W1" s="37"/>
      <c r="Y1" s="34">
        <f>+MAIN!A34</f>
        <v>1</v>
      </c>
    </row>
    <row r="2" spans="1:28" ht="20.25" thickBot="1">
      <c r="A2" s="31" t="s">
        <v>0</v>
      </c>
      <c r="B2" s="38" t="s">
        <v>32</v>
      </c>
      <c r="C2" s="38" t="s">
        <v>33</v>
      </c>
      <c r="D2" s="38" t="s">
        <v>34</v>
      </c>
      <c r="E2" s="38" t="s">
        <v>35</v>
      </c>
      <c r="F2" s="38" t="s">
        <v>36</v>
      </c>
      <c r="G2" s="38" t="s">
        <v>37</v>
      </c>
      <c r="H2" s="38" t="s">
        <v>38</v>
      </c>
      <c r="I2" s="33" t="s">
        <v>39</v>
      </c>
      <c r="J2" s="33" t="s">
        <v>40</v>
      </c>
      <c r="K2" s="33" t="s">
        <v>17</v>
      </c>
      <c r="L2" s="33" t="s">
        <v>18</v>
      </c>
      <c r="M2" s="33" t="s">
        <v>19</v>
      </c>
      <c r="N2" s="39" t="s">
        <v>20</v>
      </c>
      <c r="O2" s="58" t="s">
        <v>32</v>
      </c>
      <c r="P2" s="59" t="s">
        <v>41</v>
      </c>
      <c r="Q2" s="59" t="s">
        <v>42</v>
      </c>
      <c r="R2" s="33" t="s">
        <v>43</v>
      </c>
      <c r="S2" s="59" t="s">
        <v>44</v>
      </c>
      <c r="T2" s="59" t="s">
        <v>45</v>
      </c>
      <c r="U2" s="59" t="s">
        <v>46</v>
      </c>
      <c r="V2" s="33" t="s">
        <v>15</v>
      </c>
      <c r="W2" s="39" t="s">
        <v>1</v>
      </c>
      <c r="X2" s="31" t="s">
        <v>2</v>
      </c>
      <c r="Y2" s="33" t="str">
        <f>+MAIN!F14</f>
        <v>PSa Median + 1.σ for 5% damping</v>
      </c>
      <c r="Z2" s="33" t="str">
        <f>+MAIN!G14</f>
        <v>PSa Median - 1.σ for 5% damping</v>
      </c>
      <c r="AA2" s="33" t="str">
        <f>+MAIN!H14</f>
        <v>PSa Median + 1.σss for 5% damping</v>
      </c>
      <c r="AB2" s="39" t="str">
        <f>+MAIN!I14</f>
        <v>PSa Median - 1.σss for 5% damping</v>
      </c>
    </row>
    <row r="3" spans="1:28">
      <c r="A3" s="40">
        <v>0.01</v>
      </c>
      <c r="B3" s="41">
        <v>-9.0364137150352145E-2</v>
      </c>
      <c r="C3" s="42">
        <v>-0.1</v>
      </c>
      <c r="D3" s="41">
        <v>0</v>
      </c>
      <c r="E3" s="41">
        <v>-0.79</v>
      </c>
      <c r="F3" s="43">
        <v>-3.5229053928522822E-3</v>
      </c>
      <c r="G3" s="44">
        <v>-5.4656142406936488E-3</v>
      </c>
      <c r="H3" s="44">
        <v>8.2751813821487132E-3</v>
      </c>
      <c r="I3" s="45">
        <v>6.75</v>
      </c>
      <c r="J3" s="41">
        <v>0</v>
      </c>
      <c r="K3" s="41">
        <v>0.33700000000000002</v>
      </c>
      <c r="L3" s="41">
        <v>0.69199999999999995</v>
      </c>
      <c r="M3" s="41">
        <v>0.67900000000000005</v>
      </c>
      <c r="N3" s="46">
        <v>0.60899999999999999</v>
      </c>
      <c r="O3" s="68">
        <f t="shared" ref="O3:O24" si="0">B3</f>
        <v>-9.0364137150352145E-2</v>
      </c>
      <c r="P3" s="69">
        <f t="shared" ref="P3:P24" si="1">IF(M&lt;=I3,C3*(M-I3),0)</f>
        <v>2.5000000000000001E-2</v>
      </c>
      <c r="Q3" s="69">
        <f t="shared" ref="Q3:Q24" si="2">D3*(8.5-M)^2</f>
        <v>0</v>
      </c>
      <c r="R3" s="69">
        <f t="shared" ref="R3:R24" si="3">(E3+0.275*(M-I3))*LN(SQRT(Rrup^2+4.5^2))</f>
        <v>-2.3625406585200248</v>
      </c>
      <c r="S3" s="69">
        <f t="shared" ref="S3:S24" si="4">F3*Rrup</f>
        <v>-5.284358089278423E-2</v>
      </c>
      <c r="T3" s="69">
        <f t="shared" ref="T3:T24" si="5">+G3*Rvolc</f>
        <v>0</v>
      </c>
      <c r="U3" s="69">
        <f t="shared" ref="U3:U24" si="6">+H3*Zhypo</f>
        <v>7.4476632439338414E-2</v>
      </c>
      <c r="V3" s="69">
        <f t="shared" ref="V3:V24" si="7">IF(Cat=1,J3,IF(Cat=2,K3,IF(Cat=3,L3,IF(Cat=4,M3,N3))))*LN(Pstar)</f>
        <v>0.40132910932994359</v>
      </c>
      <c r="W3" s="70">
        <f t="shared" ref="W3:W24" si="8">SUM(O3:V3)</f>
        <v>-2.0049426347938795</v>
      </c>
      <c r="X3" s="62">
        <f t="shared" ref="X3:X24" si="9">+EXP(W3)</f>
        <v>0.13466802073269674</v>
      </c>
      <c r="Y3" s="63">
        <f>X3*EXP($Y$1*Sigma!D3)</f>
        <v>0.32344164439710038</v>
      </c>
      <c r="Z3" s="63">
        <f>X3*EXP(-$Y$1*Sigma!D3)</f>
        <v>5.607031785244232E-2</v>
      </c>
      <c r="AA3" s="63">
        <f>X3*EXP($Y$1*Sigma!G3)</f>
        <v>0.26219226915946786</v>
      </c>
      <c r="AB3" s="64">
        <f>X3*EXP(-$Y$1*Sigma!G3)</f>
        <v>6.9168613804672735E-2</v>
      </c>
    </row>
    <row r="4" spans="1:28">
      <c r="A4" s="40">
        <v>0.02</v>
      </c>
      <c r="B4" s="41">
        <v>-3.1634764649023782E-2</v>
      </c>
      <c r="C4" s="42">
        <v>-0.1</v>
      </c>
      <c r="D4" s="41">
        <v>0</v>
      </c>
      <c r="E4" s="41">
        <v>-0.79</v>
      </c>
      <c r="F4" s="43">
        <v>-3.5229053928522822E-3</v>
      </c>
      <c r="G4" s="44">
        <v>-5.3197175051301979E-3</v>
      </c>
      <c r="H4" s="44">
        <v>8.2751813821487132E-3</v>
      </c>
      <c r="I4" s="45">
        <v>6.75</v>
      </c>
      <c r="J4" s="41">
        <v>0</v>
      </c>
      <c r="K4" s="41">
        <v>0.33700000000000002</v>
      </c>
      <c r="L4" s="41">
        <v>0.68300000000000005</v>
      </c>
      <c r="M4" s="41">
        <v>0.67200000000000004</v>
      </c>
      <c r="N4" s="46">
        <v>0.60899999999999999</v>
      </c>
      <c r="O4" s="54">
        <f t="shared" si="0"/>
        <v>-3.1634764649023782E-2</v>
      </c>
      <c r="P4" s="55">
        <f t="shared" si="1"/>
        <v>2.5000000000000001E-2</v>
      </c>
      <c r="Q4" s="55">
        <f t="shared" si="2"/>
        <v>0</v>
      </c>
      <c r="R4" s="55">
        <f t="shared" si="3"/>
        <v>-2.3625406585200248</v>
      </c>
      <c r="S4" s="55">
        <f t="shared" si="4"/>
        <v>-5.284358089278423E-2</v>
      </c>
      <c r="T4" s="55">
        <f t="shared" si="5"/>
        <v>0</v>
      </c>
      <c r="U4" s="55">
        <f t="shared" si="6"/>
        <v>7.4476632439338414E-2</v>
      </c>
      <c r="V4" s="55">
        <f t="shared" si="7"/>
        <v>0.40132910932994359</v>
      </c>
      <c r="W4" s="60">
        <f t="shared" si="8"/>
        <v>-1.9462132622925508</v>
      </c>
      <c r="X4" s="62">
        <f t="shared" si="9"/>
        <v>0.14281384752813409</v>
      </c>
      <c r="Y4" s="63">
        <f>X4*EXP($Y$1*Sigma!D4)</f>
        <v>0.34481019337604757</v>
      </c>
      <c r="Z4" s="63">
        <f>X4*EXP(-$Y$1*Sigma!D4)</f>
        <v>5.9150789151832354E-2</v>
      </c>
      <c r="AA4" s="63">
        <f>X4*EXP($Y$1*Sigma!G4)</f>
        <v>0.27600575534652888</v>
      </c>
      <c r="AB4" s="64">
        <f>X4*EXP(-$Y$1*Sigma!G4)</f>
        <v>7.3896267199870316E-2</v>
      </c>
    </row>
    <row r="5" spans="1:28">
      <c r="A5" s="40">
        <v>0.03</v>
      </c>
      <c r="B5" s="41">
        <v>3.8039831539893397E-2</v>
      </c>
      <c r="C5" s="42">
        <v>-0.1</v>
      </c>
      <c r="D5" s="41">
        <v>0</v>
      </c>
      <c r="E5" s="41">
        <v>-0.79</v>
      </c>
      <c r="F5" s="43">
        <v>-3.632905392852282E-3</v>
      </c>
      <c r="G5" s="44">
        <v>-5.2343733858479487E-3</v>
      </c>
      <c r="H5" s="44">
        <v>8.2751813821487132E-3</v>
      </c>
      <c r="I5" s="45">
        <v>6.75</v>
      </c>
      <c r="J5" s="41">
        <v>0</v>
      </c>
      <c r="K5" s="41">
        <v>0.33700000000000002</v>
      </c>
      <c r="L5" s="41">
        <v>0.67200000000000004</v>
      </c>
      <c r="M5" s="41">
        <v>0.65800000000000003</v>
      </c>
      <c r="N5" s="46">
        <v>0.57799999999999996</v>
      </c>
      <c r="O5" s="54">
        <f t="shared" si="0"/>
        <v>3.8039831539893397E-2</v>
      </c>
      <c r="P5" s="55">
        <f t="shared" si="1"/>
        <v>2.5000000000000001E-2</v>
      </c>
      <c r="Q5" s="55">
        <f t="shared" si="2"/>
        <v>0</v>
      </c>
      <c r="R5" s="55">
        <f t="shared" si="3"/>
        <v>-2.3625406585200248</v>
      </c>
      <c r="S5" s="55">
        <f t="shared" si="4"/>
        <v>-5.4493580892784228E-2</v>
      </c>
      <c r="T5" s="55">
        <f t="shared" si="5"/>
        <v>0</v>
      </c>
      <c r="U5" s="55">
        <f t="shared" si="6"/>
        <v>7.4476632439338414E-2</v>
      </c>
      <c r="V5" s="55">
        <f t="shared" si="7"/>
        <v>0.40132910932994359</v>
      </c>
      <c r="W5" s="60">
        <f t="shared" si="8"/>
        <v>-1.878188666103634</v>
      </c>
      <c r="X5" s="62">
        <f t="shared" si="9"/>
        <v>0.15286674785766158</v>
      </c>
      <c r="Y5" s="63">
        <f>X5*EXP($Y$1*Sigma!D5)</f>
        <v>0.37231620710905378</v>
      </c>
      <c r="Z5" s="63">
        <f>X5*EXP(-$Y$1*Sigma!D5)</f>
        <v>6.2764505424103598E-2</v>
      </c>
      <c r="AA5" s="63">
        <f>X5*EXP($Y$1*Sigma!G5)</f>
        <v>0.29991328369349302</v>
      </c>
      <c r="AB5" s="64">
        <f>X5*EXP(-$Y$1*Sigma!G5)</f>
        <v>7.7916664153028586E-2</v>
      </c>
    </row>
    <row r="6" spans="1:28">
      <c r="A6" s="40">
        <v>0.05</v>
      </c>
      <c r="B6" s="41">
        <v>0.27268932473004842</v>
      </c>
      <c r="C6" s="42">
        <v>-0.1</v>
      </c>
      <c r="D6" s="41">
        <v>0</v>
      </c>
      <c r="E6" s="41">
        <v>-0.79</v>
      </c>
      <c r="F6" s="43">
        <v>-4.0064005279330872E-3</v>
      </c>
      <c r="G6" s="44">
        <v>-5.1268525114365211E-3</v>
      </c>
      <c r="H6" s="44">
        <v>8.2751813821487132E-3</v>
      </c>
      <c r="I6" s="45">
        <v>6.75</v>
      </c>
      <c r="J6" s="41">
        <v>0</v>
      </c>
      <c r="K6" s="41">
        <v>0.33700000000000002</v>
      </c>
      <c r="L6" s="41">
        <v>0.64300000000000002</v>
      </c>
      <c r="M6" s="41">
        <v>0.57999999999999996</v>
      </c>
      <c r="N6" s="46">
        <v>0.505</v>
      </c>
      <c r="O6" s="54">
        <f t="shared" si="0"/>
        <v>0.27268932473004842</v>
      </c>
      <c r="P6" s="55">
        <f t="shared" si="1"/>
        <v>2.5000000000000001E-2</v>
      </c>
      <c r="Q6" s="55">
        <f t="shared" si="2"/>
        <v>0</v>
      </c>
      <c r="R6" s="55">
        <f t="shared" si="3"/>
        <v>-2.3625406585200248</v>
      </c>
      <c r="S6" s="55">
        <f t="shared" si="4"/>
        <v>-6.009600791899631E-2</v>
      </c>
      <c r="T6" s="55">
        <f t="shared" si="5"/>
        <v>0</v>
      </c>
      <c r="U6" s="55">
        <f t="shared" si="6"/>
        <v>7.4476632439338414E-2</v>
      </c>
      <c r="V6" s="55">
        <f t="shared" si="7"/>
        <v>0.40132910932994359</v>
      </c>
      <c r="W6" s="60">
        <f t="shared" si="8"/>
        <v>-1.6491415999396908</v>
      </c>
      <c r="X6" s="62">
        <f t="shared" si="9"/>
        <v>0.19221483505019787</v>
      </c>
      <c r="Y6" s="63">
        <f>X6*EXP($Y$1*Sigma!D6)</f>
        <v>0.47985522449658424</v>
      </c>
      <c r="Z6" s="63">
        <f>X6*EXP(-$Y$1*Sigma!D6)</f>
        <v>7.69951871465719E-2</v>
      </c>
      <c r="AA6" s="63">
        <f>X6*EXP($Y$1*Sigma!G6)</f>
        <v>0.39269722472735036</v>
      </c>
      <c r="AB6" s="64">
        <f>X6*EXP(-$Y$1*Sigma!G6)</f>
        <v>9.4084043601343897E-2</v>
      </c>
    </row>
    <row r="7" spans="1:28">
      <c r="A7" s="40">
        <v>7.4999999999999997E-2</v>
      </c>
      <c r="B7" s="41">
        <v>0.60357889389201691</v>
      </c>
      <c r="C7" s="42">
        <v>-0.1</v>
      </c>
      <c r="D7" s="41">
        <v>0</v>
      </c>
      <c r="E7" s="41">
        <v>-0.79</v>
      </c>
      <c r="F7" s="43">
        <v>-4.5227244423175989E-3</v>
      </c>
      <c r="G7" s="44">
        <v>-5.041508392154271E-3</v>
      </c>
      <c r="H7" s="44">
        <v>8.2751813821487132E-3</v>
      </c>
      <c r="I7" s="45">
        <v>6.75</v>
      </c>
      <c r="J7" s="41">
        <v>0</v>
      </c>
      <c r="K7" s="41">
        <v>0.33700000000000002</v>
      </c>
      <c r="L7" s="41">
        <v>0.61699999999999999</v>
      </c>
      <c r="M7" s="41">
        <v>0.5</v>
      </c>
      <c r="N7" s="46">
        <v>0.41799999999999998</v>
      </c>
      <c r="O7" s="54">
        <f t="shared" si="0"/>
        <v>0.60357889389201691</v>
      </c>
      <c r="P7" s="55">
        <f t="shared" si="1"/>
        <v>2.5000000000000001E-2</v>
      </c>
      <c r="Q7" s="55">
        <f t="shared" si="2"/>
        <v>0</v>
      </c>
      <c r="R7" s="55">
        <f t="shared" si="3"/>
        <v>-2.3625406585200248</v>
      </c>
      <c r="S7" s="55">
        <f t="shared" si="4"/>
        <v>-6.7840866634763977E-2</v>
      </c>
      <c r="T7" s="55">
        <f t="shared" si="5"/>
        <v>0</v>
      </c>
      <c r="U7" s="55">
        <f t="shared" si="6"/>
        <v>7.4476632439338414E-2</v>
      </c>
      <c r="V7" s="55">
        <f t="shared" si="7"/>
        <v>0.40132910932994359</v>
      </c>
      <c r="W7" s="60">
        <f t="shared" si="8"/>
        <v>-1.3259968894934899</v>
      </c>
      <c r="X7" s="62">
        <f t="shared" si="9"/>
        <v>0.26553811494377844</v>
      </c>
      <c r="Y7" s="63">
        <f>X7*EXP($Y$1*Sigma!D7)</f>
        <v>0.70221318177169534</v>
      </c>
      <c r="Z7" s="63">
        <f>X7*EXP(-$Y$1*Sigma!D7)</f>
        <v>0.10041180131366399</v>
      </c>
      <c r="AA7" s="63">
        <f>X7*EXP($Y$1*Sigma!G7)</f>
        <v>0.57299896713737464</v>
      </c>
      <c r="AB7" s="64">
        <f>X7*EXP(-$Y$1*Sigma!G7)</f>
        <v>0.12305517903488757</v>
      </c>
    </row>
    <row r="8" spans="1:28">
      <c r="A8" s="40">
        <v>0.1</v>
      </c>
      <c r="B8" s="41">
        <v>0.77250543153092877</v>
      </c>
      <c r="C8" s="42">
        <v>-0.1</v>
      </c>
      <c r="D8" s="41">
        <v>0</v>
      </c>
      <c r="E8" s="41">
        <v>-0.79</v>
      </c>
      <c r="F8" s="43">
        <v>-4.6755825244540116E-3</v>
      </c>
      <c r="G8" s="44">
        <v>-4.9809557758730702E-3</v>
      </c>
      <c r="H8" s="44">
        <v>8.2751813821487132E-3</v>
      </c>
      <c r="I8" s="45">
        <v>6.75</v>
      </c>
      <c r="J8" s="41">
        <v>0</v>
      </c>
      <c r="K8" s="41">
        <v>0.36299999999999999</v>
      </c>
      <c r="L8" s="41">
        <v>0.64900000000000002</v>
      </c>
      <c r="M8" s="41">
        <v>0.47699999999999998</v>
      </c>
      <c r="N8" s="46">
        <v>0.36599999999999999</v>
      </c>
      <c r="O8" s="54">
        <f t="shared" si="0"/>
        <v>0.77250543153092877</v>
      </c>
      <c r="P8" s="55">
        <f t="shared" si="1"/>
        <v>2.5000000000000001E-2</v>
      </c>
      <c r="Q8" s="55">
        <f t="shared" si="2"/>
        <v>0</v>
      </c>
      <c r="R8" s="55">
        <f t="shared" si="3"/>
        <v>-2.3625406585200248</v>
      </c>
      <c r="S8" s="55">
        <f t="shared" si="4"/>
        <v>-7.0133737866810181E-2</v>
      </c>
      <c r="T8" s="55">
        <f t="shared" si="5"/>
        <v>0</v>
      </c>
      <c r="U8" s="55">
        <f t="shared" si="6"/>
        <v>7.4476632439338414E-2</v>
      </c>
      <c r="V8" s="55">
        <f t="shared" si="7"/>
        <v>0.43229218601415281</v>
      </c>
      <c r="W8" s="60">
        <f t="shared" si="8"/>
        <v>-1.1284001464024147</v>
      </c>
      <c r="X8" s="62">
        <f t="shared" si="9"/>
        <v>0.3235504759671346</v>
      </c>
      <c r="Y8" s="63">
        <f>X8*EXP($Y$1*Sigma!D8)</f>
        <v>0.87514644530006047</v>
      </c>
      <c r="Z8" s="63">
        <f>X8*EXP(-$Y$1*Sigma!D8)</f>
        <v>0.11961987740539376</v>
      </c>
      <c r="AA8" s="63">
        <f>X8*EXP($Y$1*Sigma!G8)</f>
        <v>0.7209553039377653</v>
      </c>
      <c r="AB8" s="64">
        <f>X8*EXP(-$Y$1*Sigma!G8)</f>
        <v>0.14520305201554634</v>
      </c>
    </row>
    <row r="9" spans="1:28">
      <c r="A9" s="40">
        <v>0.15</v>
      </c>
      <c r="B9" s="41">
        <v>0.8303156912988704</v>
      </c>
      <c r="C9" s="42">
        <v>-0.1</v>
      </c>
      <c r="D9" s="41">
        <v>0</v>
      </c>
      <c r="E9" s="41">
        <v>-0.79</v>
      </c>
      <c r="F9" s="43">
        <v>-4.5826322261027846E-3</v>
      </c>
      <c r="G9" s="44">
        <v>-4.895611656590821E-3</v>
      </c>
      <c r="H9" s="44">
        <v>8.2751813821487132E-3</v>
      </c>
      <c r="I9" s="45">
        <v>6.75</v>
      </c>
      <c r="J9" s="41">
        <v>0</v>
      </c>
      <c r="K9" s="41">
        <v>0.55100000000000005</v>
      </c>
      <c r="L9" s="41">
        <v>0.75</v>
      </c>
      <c r="M9" s="41">
        <v>0.54600000000000004</v>
      </c>
      <c r="N9" s="46">
        <v>0.379</v>
      </c>
      <c r="O9" s="54">
        <f t="shared" si="0"/>
        <v>0.8303156912988704</v>
      </c>
      <c r="P9" s="55">
        <f t="shared" si="1"/>
        <v>2.5000000000000001E-2</v>
      </c>
      <c r="Q9" s="55">
        <f t="shared" si="2"/>
        <v>0</v>
      </c>
      <c r="R9" s="55">
        <f t="shared" si="3"/>
        <v>-2.3625406585200248</v>
      </c>
      <c r="S9" s="55">
        <f t="shared" si="4"/>
        <v>-6.8739483391541775E-2</v>
      </c>
      <c r="T9" s="55">
        <f t="shared" si="5"/>
        <v>0</v>
      </c>
      <c r="U9" s="55">
        <f t="shared" si="6"/>
        <v>7.4476632439338414E-2</v>
      </c>
      <c r="V9" s="55">
        <f t="shared" si="7"/>
        <v>0.65617904819228168</v>
      </c>
      <c r="W9" s="60">
        <f t="shared" si="8"/>
        <v>-0.84530876998107607</v>
      </c>
      <c r="X9" s="62">
        <f t="shared" si="9"/>
        <v>0.42942474426802923</v>
      </c>
      <c r="Y9" s="63">
        <f>X9*EXP($Y$1*Sigma!D9)</f>
        <v>1.1726457280190083</v>
      </c>
      <c r="Z9" s="63">
        <f>X9*EXP(-$Y$1*Sigma!D9)</f>
        <v>0.15725602932198898</v>
      </c>
      <c r="AA9" s="63">
        <f>X9*EXP($Y$1*Sigma!G9)</f>
        <v>0.98439994523000574</v>
      </c>
      <c r="AB9" s="64">
        <f>X9*EXP(-$Y$1*Sigma!G9)</f>
        <v>0.18732793706787113</v>
      </c>
    </row>
    <row r="10" spans="1:28">
      <c r="A10" s="40">
        <v>0.2</v>
      </c>
      <c r="B10" s="41">
        <v>0.77177417567008566</v>
      </c>
      <c r="C10" s="42">
        <v>-0.1</v>
      </c>
      <c r="D10" s="41">
        <v>0</v>
      </c>
      <c r="E10" s="41">
        <v>-0.79</v>
      </c>
      <c r="F10" s="43">
        <v>-4.2904199902022806E-3</v>
      </c>
      <c r="G10" s="44">
        <v>-4.8350590403096194E-3</v>
      </c>
      <c r="H10" s="44">
        <v>8.2751813821487132E-3</v>
      </c>
      <c r="I10" s="45">
        <v>6.75</v>
      </c>
      <c r="J10" s="41">
        <v>0</v>
      </c>
      <c r="K10" s="41">
        <v>0.52700000000000002</v>
      </c>
      <c r="L10" s="41">
        <v>0.83199999999999996</v>
      </c>
      <c r="M10" s="41">
        <v>0.62</v>
      </c>
      <c r="N10" s="46">
        <v>0.45700000000000002</v>
      </c>
      <c r="O10" s="54">
        <f t="shared" si="0"/>
        <v>0.77177417567008566</v>
      </c>
      <c r="P10" s="55">
        <f t="shared" si="1"/>
        <v>2.5000000000000001E-2</v>
      </c>
      <c r="Q10" s="55">
        <f t="shared" si="2"/>
        <v>0</v>
      </c>
      <c r="R10" s="55">
        <f t="shared" si="3"/>
        <v>-2.3625406585200248</v>
      </c>
      <c r="S10" s="55">
        <f t="shared" si="4"/>
        <v>-6.4356299853034205E-2</v>
      </c>
      <c r="T10" s="55">
        <f t="shared" si="5"/>
        <v>0</v>
      </c>
      <c r="U10" s="55">
        <f t="shared" si="6"/>
        <v>7.4476632439338414E-2</v>
      </c>
      <c r="V10" s="55">
        <f t="shared" si="7"/>
        <v>0.62759774663762691</v>
      </c>
      <c r="W10" s="60">
        <f t="shared" si="8"/>
        <v>-0.92804840362600804</v>
      </c>
      <c r="X10" s="62">
        <f t="shared" si="9"/>
        <v>0.39532447182510128</v>
      </c>
      <c r="Y10" s="63">
        <f>X10*EXP($Y$1*Sigma!D10)</f>
        <v>1.0537074996663616</v>
      </c>
      <c r="Z10" s="63">
        <f>X10*EXP(-$Y$1*Sigma!D10)</f>
        <v>0.14831576891431361</v>
      </c>
      <c r="AA10" s="63">
        <f>X10*EXP($Y$1*Sigma!G10)</f>
        <v>0.86442020146300724</v>
      </c>
      <c r="AB10" s="64">
        <f>X10*EXP(-$Y$1*Sigma!G10)</f>
        <v>0.1807933661884501</v>
      </c>
    </row>
    <row r="11" spans="1:28">
      <c r="A11" s="40">
        <v>0.25</v>
      </c>
      <c r="B11" s="41">
        <v>0.74406108525514758</v>
      </c>
      <c r="C11" s="42">
        <v>-0.1</v>
      </c>
      <c r="D11" s="41">
        <v>-2E-3</v>
      </c>
      <c r="E11" s="41">
        <v>-0.79</v>
      </c>
      <c r="F11" s="43">
        <v>-3.9177547163990866E-3</v>
      </c>
      <c r="G11" s="44">
        <v>-4.7880907821793916E-3</v>
      </c>
      <c r="H11" s="44">
        <v>8.2751813821487132E-3</v>
      </c>
      <c r="I11" s="45">
        <v>6.75</v>
      </c>
      <c r="J11" s="41">
        <v>0</v>
      </c>
      <c r="K11" s="41">
        <v>0.34499999999999997</v>
      </c>
      <c r="L11" s="41">
        <v>0.85699999999999998</v>
      </c>
      <c r="M11" s="41">
        <v>0.68</v>
      </c>
      <c r="N11" s="46">
        <v>0.51800000000000002</v>
      </c>
      <c r="O11" s="54">
        <f t="shared" si="0"/>
        <v>0.74406108525514758</v>
      </c>
      <c r="P11" s="55">
        <f t="shared" si="1"/>
        <v>2.5000000000000001E-2</v>
      </c>
      <c r="Q11" s="55">
        <f t="shared" si="2"/>
        <v>-8.0000000000000002E-3</v>
      </c>
      <c r="R11" s="55">
        <f t="shared" si="3"/>
        <v>-2.3625406585200248</v>
      </c>
      <c r="S11" s="55">
        <f t="shared" si="4"/>
        <v>-5.8766320745986297E-2</v>
      </c>
      <c r="T11" s="55">
        <f t="shared" si="5"/>
        <v>0</v>
      </c>
      <c r="U11" s="55">
        <f t="shared" si="6"/>
        <v>7.4476632439338414E-2</v>
      </c>
      <c r="V11" s="55">
        <f t="shared" si="7"/>
        <v>0.41085620984816174</v>
      </c>
      <c r="W11" s="60">
        <f t="shared" si="8"/>
        <v>-1.1749130517233635</v>
      </c>
      <c r="X11" s="62">
        <f t="shared" si="9"/>
        <v>0.30884583213346639</v>
      </c>
      <c r="Y11" s="63">
        <f>X11*EXP($Y$1*Sigma!D11)</f>
        <v>0.79096994543948929</v>
      </c>
      <c r="Z11" s="63">
        <f>X11*EXP(-$Y$1*Sigma!D11)</f>
        <v>0.12059339116003175</v>
      </c>
      <c r="AA11" s="63">
        <f>X11*EXP($Y$1*Sigma!G11)</f>
        <v>0.64569018890249819</v>
      </c>
      <c r="AB11" s="64">
        <f>X11*EXP(-$Y$1*Sigma!G11)</f>
        <v>0.14772680407045327</v>
      </c>
    </row>
    <row r="12" spans="1:28">
      <c r="A12" s="40">
        <v>0.3</v>
      </c>
      <c r="B12" s="41">
        <v>0.69821259132839975</v>
      </c>
      <c r="C12" s="42">
        <v>-0.1</v>
      </c>
      <c r="D12" s="41">
        <v>-5.0000000000000001E-3</v>
      </c>
      <c r="E12" s="41">
        <v>-0.79</v>
      </c>
      <c r="F12" s="43">
        <v>-3.649357530651091E-3</v>
      </c>
      <c r="G12" s="44">
        <v>-4.7497149210273702E-3</v>
      </c>
      <c r="H12" s="44">
        <v>8.2751813821487132E-3</v>
      </c>
      <c r="I12" s="45">
        <v>6.75</v>
      </c>
      <c r="J12" s="41">
        <v>0</v>
      </c>
      <c r="K12" s="41">
        <v>0.186</v>
      </c>
      <c r="L12" s="41">
        <v>0.83</v>
      </c>
      <c r="M12" s="41">
        <v>0.76910000000000001</v>
      </c>
      <c r="N12" s="46">
        <v>0.58199999999999996</v>
      </c>
      <c r="O12" s="54">
        <f t="shared" si="0"/>
        <v>0.69821259132839975</v>
      </c>
      <c r="P12" s="55">
        <f t="shared" si="1"/>
        <v>2.5000000000000001E-2</v>
      </c>
      <c r="Q12" s="55">
        <f t="shared" si="2"/>
        <v>-0.02</v>
      </c>
      <c r="R12" s="55">
        <f t="shared" si="3"/>
        <v>-2.3625406585200248</v>
      </c>
      <c r="S12" s="55">
        <f t="shared" si="4"/>
        <v>-5.4740362959766364E-2</v>
      </c>
      <c r="T12" s="55">
        <f t="shared" si="5"/>
        <v>0</v>
      </c>
      <c r="U12" s="55">
        <f t="shared" si="6"/>
        <v>7.4476632439338414E-2</v>
      </c>
      <c r="V12" s="55">
        <f t="shared" si="7"/>
        <v>0.22150508704857419</v>
      </c>
      <c r="W12" s="60">
        <f t="shared" si="8"/>
        <v>-1.4180867106634789</v>
      </c>
      <c r="X12" s="62">
        <f t="shared" si="9"/>
        <v>0.24217692844870692</v>
      </c>
      <c r="Y12" s="63">
        <f>X12*EXP($Y$1*Sigma!D12)</f>
        <v>0.60889009403712602</v>
      </c>
      <c r="Z12" s="63">
        <f>X12*EXP(-$Y$1*Sigma!D12)</f>
        <v>9.6322251334366518E-2</v>
      </c>
      <c r="AA12" s="63">
        <f>X12*EXP($Y$1*Sigma!G12)</f>
        <v>0.49323239585919293</v>
      </c>
      <c r="AB12" s="64">
        <f>X12*EXP(-$Y$1*Sigma!G12)</f>
        <v>0.11890878451056429</v>
      </c>
    </row>
    <row r="13" spans="1:28">
      <c r="A13" s="40">
        <v>0.4</v>
      </c>
      <c r="B13" s="41">
        <v>0.62586903534096483</v>
      </c>
      <c r="C13" s="42">
        <v>-0.1</v>
      </c>
      <c r="D13" s="41">
        <v>-1.9600095462833301E-2</v>
      </c>
      <c r="E13" s="41">
        <v>-0.79</v>
      </c>
      <c r="F13" s="43">
        <v>-3.0180075613353312E-3</v>
      </c>
      <c r="G13" s="44">
        <v>-4.6891623047461686E-3</v>
      </c>
      <c r="H13" s="44">
        <v>8.2751813821487132E-3</v>
      </c>
      <c r="I13" s="45">
        <v>6.75</v>
      </c>
      <c r="J13" s="41">
        <v>0</v>
      </c>
      <c r="K13" s="41">
        <v>2.1000000000000001E-2</v>
      </c>
      <c r="L13" s="41">
        <v>0.72799999999999998</v>
      </c>
      <c r="M13" s="41">
        <v>0.91300000000000003</v>
      </c>
      <c r="N13" s="46">
        <v>0.74099999999999999</v>
      </c>
      <c r="O13" s="54">
        <f t="shared" si="0"/>
        <v>0.62586903534096483</v>
      </c>
      <c r="P13" s="55">
        <f t="shared" si="1"/>
        <v>2.5000000000000001E-2</v>
      </c>
      <c r="Q13" s="55">
        <f t="shared" si="2"/>
        <v>-7.8400381851333203E-2</v>
      </c>
      <c r="R13" s="55">
        <f t="shared" si="3"/>
        <v>-2.3625406585200248</v>
      </c>
      <c r="S13" s="55">
        <f t="shared" si="4"/>
        <v>-4.527011342002997E-2</v>
      </c>
      <c r="T13" s="55">
        <f t="shared" si="5"/>
        <v>0</v>
      </c>
      <c r="U13" s="55">
        <f t="shared" si="6"/>
        <v>7.4476632439338414E-2</v>
      </c>
      <c r="V13" s="55">
        <f t="shared" si="7"/>
        <v>2.5008638860322892E-2</v>
      </c>
      <c r="W13" s="60">
        <f t="shared" si="8"/>
        <v>-1.7358568471507621</v>
      </c>
      <c r="X13" s="62">
        <f t="shared" si="9"/>
        <v>0.17624911701421003</v>
      </c>
      <c r="Y13" s="63">
        <f>X13*EXP($Y$1*Sigma!D13)</f>
        <v>0.43766636012692767</v>
      </c>
      <c r="Z13" s="63">
        <f>X13*EXP(-$Y$1*Sigma!D13)</f>
        <v>7.0975871299041343E-2</v>
      </c>
      <c r="AA13" s="63">
        <f>X13*EXP($Y$1*Sigma!G13)</f>
        <v>0.34804826376539999</v>
      </c>
      <c r="AB13" s="64">
        <f>X13*EXP(-$Y$1*Sigma!G13)</f>
        <v>8.9251274843959727E-2</v>
      </c>
    </row>
    <row r="14" spans="1:28">
      <c r="A14" s="40">
        <v>0.5</v>
      </c>
      <c r="B14" s="41">
        <v>0.56975501384440352</v>
      </c>
      <c r="C14" s="42">
        <v>-0.1</v>
      </c>
      <c r="D14" s="41">
        <v>-4.4999999999999998E-2</v>
      </c>
      <c r="E14" s="41">
        <v>-0.79</v>
      </c>
      <c r="F14" s="43">
        <v>-2.4768830110858228E-3</v>
      </c>
      <c r="G14" s="44">
        <v>-4.6421940466159434E-3</v>
      </c>
      <c r="H14" s="44">
        <v>8.2751813821487132E-3</v>
      </c>
      <c r="I14" s="45">
        <v>6.75</v>
      </c>
      <c r="J14" s="41">
        <v>0</v>
      </c>
      <c r="K14" s="41">
        <v>-0.04</v>
      </c>
      <c r="L14" s="41">
        <v>0.52900000000000003</v>
      </c>
      <c r="M14" s="41">
        <v>1</v>
      </c>
      <c r="N14" s="46">
        <v>0.84899999999999998</v>
      </c>
      <c r="O14" s="54">
        <f t="shared" si="0"/>
        <v>0.56975501384440352</v>
      </c>
      <c r="P14" s="55">
        <f t="shared" si="1"/>
        <v>2.5000000000000001E-2</v>
      </c>
      <c r="Q14" s="55">
        <f t="shared" si="2"/>
        <v>-0.18</v>
      </c>
      <c r="R14" s="55">
        <f t="shared" si="3"/>
        <v>-2.3625406585200248</v>
      </c>
      <c r="S14" s="55">
        <f t="shared" si="4"/>
        <v>-3.7153245166287339E-2</v>
      </c>
      <c r="T14" s="55">
        <f t="shared" si="5"/>
        <v>0</v>
      </c>
      <c r="U14" s="55">
        <f t="shared" si="6"/>
        <v>7.4476632439338414E-2</v>
      </c>
      <c r="V14" s="55">
        <f t="shared" si="7"/>
        <v>-4.7635502591091221E-2</v>
      </c>
      <c r="W14" s="60">
        <f t="shared" si="8"/>
        <v>-1.9580977599936613</v>
      </c>
      <c r="X14" s="62">
        <f t="shared" si="9"/>
        <v>0.14112662245552071</v>
      </c>
      <c r="Y14" s="63">
        <f>X14*EXP($Y$1*Sigma!D14)</f>
        <v>0.3466763304155267</v>
      </c>
      <c r="Z14" s="63">
        <f>X14*EXP(-$Y$1*Sigma!D14)</f>
        <v>5.7450485707607649E-2</v>
      </c>
      <c r="AA14" s="63">
        <f>X14*EXP($Y$1*Sigma!G14)</f>
        <v>0.27627855532368623</v>
      </c>
      <c r="AB14" s="64">
        <f>X14*EXP(-$Y$1*Sigma!G14)</f>
        <v>7.208928518671591E-2</v>
      </c>
    </row>
    <row r="15" spans="1:28">
      <c r="A15" s="40">
        <v>0.75</v>
      </c>
      <c r="B15" s="41">
        <v>0.46779249842109422</v>
      </c>
      <c r="C15" s="42">
        <v>-0.1</v>
      </c>
      <c r="D15" s="41">
        <v>-7.8118010338758467E-2</v>
      </c>
      <c r="E15" s="41">
        <v>-0.79</v>
      </c>
      <c r="F15" s="43">
        <v>-1.7162245413591629E-3</v>
      </c>
      <c r="G15" s="44">
        <v>-4.5568499273336933E-3</v>
      </c>
      <c r="H15" s="44">
        <v>6.2185066280896302E-3</v>
      </c>
      <c r="I15" s="45">
        <v>6.75</v>
      </c>
      <c r="J15" s="41">
        <v>0</v>
      </c>
      <c r="K15" s="41">
        <v>-0.17799999999999999</v>
      </c>
      <c r="L15" s="41">
        <v>0.28100000000000003</v>
      </c>
      <c r="M15" s="41">
        <v>0.95299999999999996</v>
      </c>
      <c r="N15" s="46">
        <v>1.087</v>
      </c>
      <c r="O15" s="54">
        <f t="shared" si="0"/>
        <v>0.46779249842109422</v>
      </c>
      <c r="P15" s="55">
        <f t="shared" si="1"/>
        <v>2.5000000000000001E-2</v>
      </c>
      <c r="Q15" s="55">
        <f t="shared" si="2"/>
        <v>-0.31247204135503387</v>
      </c>
      <c r="R15" s="55">
        <f t="shared" si="3"/>
        <v>-2.3625406585200248</v>
      </c>
      <c r="S15" s="55">
        <f t="shared" si="4"/>
        <v>-2.5743368120387446E-2</v>
      </c>
      <c r="T15" s="55">
        <f t="shared" si="5"/>
        <v>0</v>
      </c>
      <c r="U15" s="55">
        <f t="shared" si="6"/>
        <v>5.5966559652806669E-2</v>
      </c>
      <c r="V15" s="55">
        <f t="shared" si="7"/>
        <v>-0.21197798653035593</v>
      </c>
      <c r="W15" s="60">
        <f t="shared" si="8"/>
        <v>-2.3639749964519012</v>
      </c>
      <c r="X15" s="62">
        <f t="shared" si="9"/>
        <v>9.4045648104648494E-2</v>
      </c>
      <c r="Y15" s="63">
        <f>X15*EXP($Y$1*Sigma!D15)</f>
        <v>0.2141844956976989</v>
      </c>
      <c r="Z15" s="63">
        <f>X15*EXP(-$Y$1*Sigma!D15)</f>
        <v>4.1294230465246495E-2</v>
      </c>
      <c r="AA15" s="63">
        <f>X15*EXP($Y$1*Sigma!G15)</f>
        <v>0.1743546675450679</v>
      </c>
      <c r="AB15" s="64">
        <f>X15*EXP(-$Y$1*Sigma!G15)</f>
        <v>5.0727543185141236E-2</v>
      </c>
    </row>
    <row r="16" spans="1:28">
      <c r="A16" s="40">
        <v>1</v>
      </c>
      <c r="B16" s="41">
        <v>0.39544894243365952</v>
      </c>
      <c r="C16" s="42">
        <v>-0.1</v>
      </c>
      <c r="D16" s="41">
        <v>-0.10599108292670339</v>
      </c>
      <c r="E16" s="41">
        <v>-0.79</v>
      </c>
      <c r="F16" s="43">
        <v>-1.40926057663585E-3</v>
      </c>
      <c r="G16" s="44">
        <v>-4.3962973110524897E-3</v>
      </c>
      <c r="H16" s="44">
        <v>4.7592726674472348E-3</v>
      </c>
      <c r="I16" s="45">
        <v>6.75</v>
      </c>
      <c r="J16" s="41">
        <v>0</v>
      </c>
      <c r="K16" s="41">
        <v>-0.26100000000000001</v>
      </c>
      <c r="L16" s="41">
        <v>0.156</v>
      </c>
      <c r="M16" s="41">
        <v>0.69</v>
      </c>
      <c r="N16" s="46">
        <v>1.2789999999999999</v>
      </c>
      <c r="O16" s="54">
        <f t="shared" si="0"/>
        <v>0.39544894243365952</v>
      </c>
      <c r="P16" s="55">
        <f t="shared" si="1"/>
        <v>2.5000000000000001E-2</v>
      </c>
      <c r="Q16" s="55">
        <f t="shared" si="2"/>
        <v>-0.42396433170681358</v>
      </c>
      <c r="R16" s="55">
        <f t="shared" si="3"/>
        <v>-2.3625406585200248</v>
      </c>
      <c r="S16" s="55">
        <f t="shared" si="4"/>
        <v>-2.1138908649537751E-2</v>
      </c>
      <c r="T16" s="55">
        <f t="shared" si="5"/>
        <v>0</v>
      </c>
      <c r="U16" s="55">
        <f t="shared" si="6"/>
        <v>4.283345400702511E-2</v>
      </c>
      <c r="V16" s="55">
        <f t="shared" si="7"/>
        <v>-0.31082165440687021</v>
      </c>
      <c r="W16" s="60">
        <f t="shared" si="8"/>
        <v>-2.6551831568425617</v>
      </c>
      <c r="X16" s="62">
        <f t="shared" si="9"/>
        <v>7.0285964130968298E-2</v>
      </c>
      <c r="Y16" s="63">
        <f>X16*EXP($Y$1*Sigma!D16)</f>
        <v>0.15727814401387361</v>
      </c>
      <c r="Z16" s="63">
        <f>X16*EXP(-$Y$1*Sigma!D16)</f>
        <v>3.1410065173352958E-2</v>
      </c>
      <c r="AA16" s="63">
        <f>X16*EXP($Y$1*Sigma!G16)</f>
        <v>0.12894736829284104</v>
      </c>
      <c r="AB16" s="64">
        <f>X16*EXP(-$Y$1*Sigma!G16)</f>
        <v>3.8311109557511068E-2</v>
      </c>
    </row>
    <row r="17" spans="1:28">
      <c r="A17" s="40">
        <v>1.5</v>
      </c>
      <c r="B17" s="41">
        <v>0.1766406184630338</v>
      </c>
      <c r="C17" s="42">
        <v>-0.1</v>
      </c>
      <c r="D17" s="41">
        <v>-0.1468741721527837</v>
      </c>
      <c r="E17" s="41">
        <v>-0.79</v>
      </c>
      <c r="F17" s="43">
        <v>-1.1692605766358501E-3</v>
      </c>
      <c r="G17" s="44">
        <v>-3.9297707191983397E-3</v>
      </c>
      <c r="H17" s="44">
        <v>2.7025979133881522E-3</v>
      </c>
      <c r="I17" s="45">
        <v>6.75</v>
      </c>
      <c r="J17" s="41">
        <v>0</v>
      </c>
      <c r="K17" s="41">
        <v>-0.32</v>
      </c>
      <c r="L17" s="41">
        <v>0.113</v>
      </c>
      <c r="M17" s="41">
        <v>0.48799999999999999</v>
      </c>
      <c r="N17" s="46">
        <v>1.0649999999999999</v>
      </c>
      <c r="O17" s="54">
        <f t="shared" si="0"/>
        <v>0.1766406184630338</v>
      </c>
      <c r="P17" s="55">
        <f t="shared" si="1"/>
        <v>2.5000000000000001E-2</v>
      </c>
      <c r="Q17" s="55">
        <f t="shared" si="2"/>
        <v>-0.5874966886111348</v>
      </c>
      <c r="R17" s="55">
        <f t="shared" si="3"/>
        <v>-2.3625406585200248</v>
      </c>
      <c r="S17" s="55">
        <f t="shared" si="4"/>
        <v>-1.7538908649537752E-2</v>
      </c>
      <c r="T17" s="55">
        <f t="shared" si="5"/>
        <v>0</v>
      </c>
      <c r="U17" s="55">
        <f t="shared" si="6"/>
        <v>2.4323381220493368E-2</v>
      </c>
      <c r="V17" s="55">
        <f t="shared" si="7"/>
        <v>-0.38108402072872977</v>
      </c>
      <c r="W17" s="60">
        <f t="shared" si="8"/>
        <v>-3.1226962768259003</v>
      </c>
      <c r="X17" s="62">
        <f t="shared" si="9"/>
        <v>4.4038268834915413E-2</v>
      </c>
      <c r="Y17" s="63">
        <f>X17*EXP($Y$1*Sigma!D17)</f>
        <v>9.7722306515038659E-2</v>
      </c>
      <c r="Z17" s="63">
        <f>X17*EXP(-$Y$1*Sigma!D17)</f>
        <v>1.9845715795480421E-2</v>
      </c>
      <c r="AA17" s="63">
        <f>X17*EXP($Y$1*Sigma!G17)</f>
        <v>7.8987157785599324E-2</v>
      </c>
      <c r="AB17" s="64">
        <f>X17*EXP(-$Y$1*Sigma!G17)</f>
        <v>2.4552967549996606E-2</v>
      </c>
    </row>
    <row r="18" spans="1:28">
      <c r="A18" s="40">
        <v>2</v>
      </c>
      <c r="B18" s="41">
        <v>-8.1748021367707396E-2</v>
      </c>
      <c r="C18" s="42">
        <v>-0.1</v>
      </c>
      <c r="D18" s="41">
        <v>-0.1677590347355474</v>
      </c>
      <c r="E18" s="41">
        <v>-0.79</v>
      </c>
      <c r="F18" s="43">
        <v>-1.05926057663585E-3</v>
      </c>
      <c r="G18" s="44">
        <v>-3.09952154088998E-3</v>
      </c>
      <c r="H18" s="44">
        <v>1.2433639527457559E-3</v>
      </c>
      <c r="I18" s="45">
        <v>6.75</v>
      </c>
      <c r="J18" s="41">
        <v>0</v>
      </c>
      <c r="K18" s="41">
        <v>-0.31819999999999998</v>
      </c>
      <c r="L18" s="41">
        <v>7.0999999999999994E-2</v>
      </c>
      <c r="M18" s="41">
        <v>0.35</v>
      </c>
      <c r="N18" s="46">
        <v>0.84899999999999998</v>
      </c>
      <c r="O18" s="54">
        <f t="shared" si="0"/>
        <v>-8.1748021367707396E-2</v>
      </c>
      <c r="P18" s="55">
        <f t="shared" si="1"/>
        <v>2.5000000000000001E-2</v>
      </c>
      <c r="Q18" s="55">
        <f t="shared" si="2"/>
        <v>-0.67103613894218961</v>
      </c>
      <c r="R18" s="55">
        <f t="shared" si="3"/>
        <v>-2.3625406585200248</v>
      </c>
      <c r="S18" s="55">
        <f t="shared" si="4"/>
        <v>-1.588890864953775E-2</v>
      </c>
      <c r="T18" s="55">
        <f t="shared" si="5"/>
        <v>0</v>
      </c>
      <c r="U18" s="55">
        <f t="shared" si="6"/>
        <v>1.1190275574711804E-2</v>
      </c>
      <c r="V18" s="55">
        <f t="shared" si="7"/>
        <v>-0.37894042311213066</v>
      </c>
      <c r="W18" s="60">
        <f t="shared" si="8"/>
        <v>-3.4739638750168784</v>
      </c>
      <c r="X18" s="62">
        <f t="shared" si="9"/>
        <v>3.0993930778081276E-2</v>
      </c>
      <c r="Y18" s="63">
        <f>X18*EXP($Y$1*Sigma!D18)</f>
        <v>6.7769826314020218E-2</v>
      </c>
      <c r="Z18" s="63">
        <f>X18*EXP(-$Y$1*Sigma!D18)</f>
        <v>1.4174800162912031E-2</v>
      </c>
      <c r="AA18" s="63">
        <f>X18*EXP($Y$1*Sigma!G18)</f>
        <v>5.4580133383032942E-2</v>
      </c>
      <c r="AB18" s="64">
        <f>X18*EXP(-$Y$1*Sigma!G18)</f>
        <v>1.7600245465415408E-2</v>
      </c>
    </row>
    <row r="19" spans="1:28">
      <c r="A19" s="40">
        <v>3</v>
      </c>
      <c r="B19" s="41">
        <v>-0.57719785948712821</v>
      </c>
      <c r="C19" s="42">
        <v>-0.1</v>
      </c>
      <c r="D19" s="41">
        <v>-0.1850418164097844</v>
      </c>
      <c r="E19" s="41">
        <v>-0.79</v>
      </c>
      <c r="F19" s="43">
        <v>-9.5926057663584994E-4</v>
      </c>
      <c r="G19" s="44">
        <v>-1.1999999999999999E-3</v>
      </c>
      <c r="H19" s="44">
        <v>-8.1331080131332584E-4</v>
      </c>
      <c r="I19" s="45">
        <v>6.82</v>
      </c>
      <c r="J19" s="41">
        <v>0</v>
      </c>
      <c r="K19" s="41">
        <v>-0.248</v>
      </c>
      <c r="L19" s="41">
        <v>2.9000000000000001E-2</v>
      </c>
      <c r="M19" s="41">
        <v>0.26400000000000001</v>
      </c>
      <c r="N19" s="46">
        <v>0.70499999999999996</v>
      </c>
      <c r="O19" s="54">
        <f t="shared" si="0"/>
        <v>-0.57719785948712821</v>
      </c>
      <c r="P19" s="55">
        <f t="shared" si="1"/>
        <v>3.2000000000000028E-2</v>
      </c>
      <c r="Q19" s="55">
        <f t="shared" si="2"/>
        <v>-0.74016726563913759</v>
      </c>
      <c r="R19" s="55">
        <f t="shared" si="3"/>
        <v>-2.415500085217563</v>
      </c>
      <c r="S19" s="55">
        <f t="shared" si="4"/>
        <v>-1.4388908649537749E-2</v>
      </c>
      <c r="T19" s="55">
        <f t="shared" si="5"/>
        <v>0</v>
      </c>
      <c r="U19" s="55">
        <f t="shared" si="6"/>
        <v>-7.3197972118199325E-3</v>
      </c>
      <c r="V19" s="55">
        <f t="shared" si="7"/>
        <v>-0.29534011606476557</v>
      </c>
      <c r="W19" s="60">
        <f t="shared" si="8"/>
        <v>-4.0179140322699523</v>
      </c>
      <c r="X19" s="62">
        <f t="shared" si="9"/>
        <v>1.7990453331219545E-2</v>
      </c>
      <c r="Y19" s="63">
        <f>X19*EXP($Y$1*Sigma!D19)</f>
        <v>3.6944968824033669E-2</v>
      </c>
      <c r="Z19" s="63">
        <f>X19*EXP(-$Y$1*Sigma!D19)</f>
        <v>8.7605003161415982E-3</v>
      </c>
      <c r="AA19" s="63">
        <f>X19*EXP($Y$1*Sigma!G19)</f>
        <v>3.0463258492932244E-2</v>
      </c>
      <c r="AB19" s="64">
        <f>X19*EXP(-$Y$1*Sigma!G19)</f>
        <v>1.0624484282857649E-2</v>
      </c>
    </row>
    <row r="20" spans="1:28">
      <c r="A20" s="40">
        <v>4</v>
      </c>
      <c r="B20" s="41">
        <v>-0.87759786746456103</v>
      </c>
      <c r="C20" s="42">
        <v>-0.1</v>
      </c>
      <c r="D20" s="41">
        <v>-0.19730414515361749</v>
      </c>
      <c r="E20" s="41">
        <v>-0.79</v>
      </c>
      <c r="F20" s="43">
        <v>-9.5926057663584994E-4</v>
      </c>
      <c r="G20" s="44">
        <v>-3.5E-4</v>
      </c>
      <c r="H20" s="44">
        <v>-2.2725447619557221E-3</v>
      </c>
      <c r="I20" s="45">
        <v>6.92</v>
      </c>
      <c r="J20" s="41">
        <v>0</v>
      </c>
      <c r="K20" s="41">
        <v>-0.21199999999999999</v>
      </c>
      <c r="L20" s="41">
        <v>2.8000000000000001E-2</v>
      </c>
      <c r="M20" s="41">
        <v>0.22500000000000001</v>
      </c>
      <c r="N20" s="46">
        <v>0.64200000000000002</v>
      </c>
      <c r="O20" s="54">
        <f t="shared" si="0"/>
        <v>-0.87759786746456103</v>
      </c>
      <c r="P20" s="55">
        <f t="shared" si="1"/>
        <v>4.1999999999999996E-2</v>
      </c>
      <c r="Q20" s="55">
        <f t="shared" si="2"/>
        <v>-0.78921658061446998</v>
      </c>
      <c r="R20" s="55">
        <f t="shared" si="3"/>
        <v>-2.4911564090711877</v>
      </c>
      <c r="S20" s="55">
        <f t="shared" si="4"/>
        <v>-1.4388908649537749E-2</v>
      </c>
      <c r="T20" s="55">
        <f t="shared" si="5"/>
        <v>0</v>
      </c>
      <c r="U20" s="55">
        <f t="shared" si="6"/>
        <v>-2.0452902857601499E-2</v>
      </c>
      <c r="V20" s="55">
        <f t="shared" si="7"/>
        <v>-0.25246816373278347</v>
      </c>
      <c r="W20" s="60">
        <f t="shared" si="8"/>
        <v>-4.4032808323901413</v>
      </c>
      <c r="X20" s="62">
        <f t="shared" si="9"/>
        <v>1.2237126012238852E-2</v>
      </c>
      <c r="Y20" s="63">
        <f>X20*EXP($Y$1*Sigma!D20)</f>
        <v>2.4022077455938647E-2</v>
      </c>
      <c r="Z20" s="63">
        <f>X20*EXP(-$Y$1*Sigma!D20)</f>
        <v>6.2337345016924336E-3</v>
      </c>
      <c r="AA20" s="63">
        <f>X20*EXP($Y$1*Sigma!G20)</f>
        <v>1.9795516397859259E-2</v>
      </c>
      <c r="AB20" s="64">
        <f>X20*EXP(-$Y$1*Sigma!G20)</f>
        <v>7.5647055641148526E-3</v>
      </c>
    </row>
    <row r="21" spans="1:28">
      <c r="A21" s="40">
        <v>5</v>
      </c>
      <c r="B21" s="41">
        <v>-1.213690612390746</v>
      </c>
      <c r="C21" s="42">
        <v>-0.1</v>
      </c>
      <c r="D21" s="41">
        <v>-0.20681554626374371</v>
      </c>
      <c r="E21" s="41">
        <v>-0.76500000000000001</v>
      </c>
      <c r="F21" s="43">
        <v>-9.5926057663584994E-4</v>
      </c>
      <c r="G21" s="44">
        <v>-1E-4</v>
      </c>
      <c r="H21" s="44">
        <v>-3.404414556277444E-3</v>
      </c>
      <c r="I21" s="45">
        <v>7</v>
      </c>
      <c r="J21" s="41">
        <v>0</v>
      </c>
      <c r="K21" s="41">
        <v>-0.21</v>
      </c>
      <c r="L21" s="41">
        <v>2.8000000000000001E-2</v>
      </c>
      <c r="M21" s="41">
        <v>0.20300000000000001</v>
      </c>
      <c r="N21" s="46">
        <v>0.59699999999999998</v>
      </c>
      <c r="O21" s="54">
        <f t="shared" si="0"/>
        <v>-1.213690612390746</v>
      </c>
      <c r="P21" s="55">
        <f t="shared" si="1"/>
        <v>0.05</v>
      </c>
      <c r="Q21" s="55">
        <f t="shared" si="2"/>
        <v>-0.82726218505497484</v>
      </c>
      <c r="R21" s="55">
        <f t="shared" si="3"/>
        <v>-2.4829029919235199</v>
      </c>
      <c r="S21" s="55">
        <f t="shared" si="4"/>
        <v>-1.4388908649537749E-2</v>
      </c>
      <c r="T21" s="55">
        <f t="shared" si="5"/>
        <v>0</v>
      </c>
      <c r="U21" s="55">
        <f t="shared" si="6"/>
        <v>-3.0639731006496994E-2</v>
      </c>
      <c r="V21" s="55">
        <f t="shared" si="7"/>
        <v>-0.2500863886032289</v>
      </c>
      <c r="W21" s="60">
        <f t="shared" si="8"/>
        <v>-4.7689708176285048</v>
      </c>
      <c r="X21" s="62">
        <f t="shared" si="9"/>
        <v>8.4891125105373191E-3</v>
      </c>
      <c r="Y21" s="63">
        <f>X21*EXP($Y$1*Sigma!D21)</f>
        <v>1.6663684869879437E-2</v>
      </c>
      <c r="Z21" s="63">
        <f>X21*EXP(-$Y$1*Sigma!D21)</f>
        <v>4.3246755912206957E-3</v>
      </c>
      <c r="AA21" s="63">
        <f>X21*EXP($Y$1*Sigma!G21)</f>
        <v>1.3683856759938218E-2</v>
      </c>
      <c r="AB21" s="64">
        <f>X21*EXP(-$Y$1*Sigma!G21)</f>
        <v>5.266426891250695E-3</v>
      </c>
    </row>
    <row r="22" spans="1:28">
      <c r="A22" s="40">
        <v>6</v>
      </c>
      <c r="B22" s="41">
        <v>-1.6472121698872699</v>
      </c>
      <c r="C22" s="42">
        <v>-0.1</v>
      </c>
      <c r="D22" s="41">
        <v>-0.21458692682785449</v>
      </c>
      <c r="E22" s="41">
        <v>-0.71099999999999997</v>
      </c>
      <c r="F22" s="43">
        <v>-9.5926057663584994E-4</v>
      </c>
      <c r="G22" s="44">
        <v>0</v>
      </c>
      <c r="H22" s="44">
        <v>-4.329219516014806E-3</v>
      </c>
      <c r="I22" s="45">
        <v>7.06</v>
      </c>
      <c r="J22" s="41">
        <v>0</v>
      </c>
      <c r="K22" s="41">
        <v>-0.21</v>
      </c>
      <c r="L22" s="41">
        <v>2.8000000000000001E-2</v>
      </c>
      <c r="M22" s="41">
        <v>0.20300000000000001</v>
      </c>
      <c r="N22" s="46">
        <v>0.59699999999999998</v>
      </c>
      <c r="O22" s="54">
        <f t="shared" si="0"/>
        <v>-1.6472121698872699</v>
      </c>
      <c r="P22" s="55">
        <f t="shared" si="1"/>
        <v>5.5999999999999966E-2</v>
      </c>
      <c r="Q22" s="55">
        <f t="shared" si="2"/>
        <v>-0.85834770731141796</v>
      </c>
      <c r="R22" s="55">
        <f t="shared" si="3"/>
        <v>-2.3797352775776668</v>
      </c>
      <c r="S22" s="55">
        <f t="shared" si="4"/>
        <v>-1.4388908649537749E-2</v>
      </c>
      <c r="T22" s="55">
        <f t="shared" si="5"/>
        <v>0</v>
      </c>
      <c r="U22" s="55">
        <f t="shared" si="6"/>
        <v>-3.8962975644133258E-2</v>
      </c>
      <c r="V22" s="55">
        <f t="shared" si="7"/>
        <v>-0.2500863886032289</v>
      </c>
      <c r="W22" s="60">
        <f t="shared" si="8"/>
        <v>-5.132733427673255</v>
      </c>
      <c r="X22" s="62">
        <f t="shared" si="9"/>
        <v>5.9004100665932596E-3</v>
      </c>
      <c r="Y22" s="63">
        <f>X22*EXP($Y$1*Sigma!D22)</f>
        <v>1.1453710783815338E-2</v>
      </c>
      <c r="Z22" s="63">
        <f>X22*EXP(-$Y$1*Sigma!D22)</f>
        <v>3.0396121930326863E-3</v>
      </c>
      <c r="AA22" s="63">
        <f>X22*EXP($Y$1*Sigma!G22)</f>
        <v>9.4109237347100253E-3</v>
      </c>
      <c r="AB22" s="64">
        <f>X22*EXP(-$Y$1*Sigma!G22)</f>
        <v>3.6994071926806241E-3</v>
      </c>
    </row>
    <row r="23" spans="1:28">
      <c r="A23" s="40">
        <v>7.5</v>
      </c>
      <c r="B23" s="41">
        <v>-2.2554744362160561</v>
      </c>
      <c r="C23" s="42">
        <v>-0.1</v>
      </c>
      <c r="D23" s="41">
        <v>-0.2240983279379806</v>
      </c>
      <c r="E23" s="41">
        <v>-0.63400000000000001</v>
      </c>
      <c r="F23" s="43">
        <v>-9.5926057663584994E-4</v>
      </c>
      <c r="G23" s="44">
        <v>0</v>
      </c>
      <c r="H23" s="44">
        <v>-5.4610893103365279E-3</v>
      </c>
      <c r="I23" s="45">
        <v>7.15</v>
      </c>
      <c r="J23" s="41">
        <v>0</v>
      </c>
      <c r="K23" s="41">
        <v>-0.21</v>
      </c>
      <c r="L23" s="41">
        <v>2.8000000000000001E-2</v>
      </c>
      <c r="M23" s="41">
        <v>0.20300000000000001</v>
      </c>
      <c r="N23" s="46">
        <v>0.59699999999999998</v>
      </c>
      <c r="O23" s="54">
        <f t="shared" si="0"/>
        <v>-2.2554744362160561</v>
      </c>
      <c r="P23" s="55">
        <f t="shared" si="1"/>
        <v>6.5000000000000044E-2</v>
      </c>
      <c r="Q23" s="55">
        <f t="shared" si="2"/>
        <v>-0.89639331175192238</v>
      </c>
      <c r="R23" s="55">
        <f t="shared" si="3"/>
        <v>-2.2359882622557792</v>
      </c>
      <c r="S23" s="55">
        <f t="shared" si="4"/>
        <v>-1.4388908649537749E-2</v>
      </c>
      <c r="T23" s="55">
        <f t="shared" si="5"/>
        <v>0</v>
      </c>
      <c r="U23" s="55">
        <f t="shared" si="6"/>
        <v>-4.9149803793028753E-2</v>
      </c>
      <c r="V23" s="55">
        <f t="shared" si="7"/>
        <v>-0.2500863886032289</v>
      </c>
      <c r="W23" s="60">
        <f t="shared" si="8"/>
        <v>-5.6364811112695534</v>
      </c>
      <c r="X23" s="62">
        <f t="shared" si="9"/>
        <v>3.5653925774758576E-3</v>
      </c>
      <c r="Y23" s="63">
        <f>X23*EXP($Y$1*Sigma!D23)</f>
        <v>6.8006704872091506E-3</v>
      </c>
      <c r="Z23" s="63">
        <f>X23*EXP(-$Y$1*Sigma!D23)</f>
        <v>1.8692310200044235E-3</v>
      </c>
      <c r="AA23" s="63">
        <f>X23*EXP($Y$1*Sigma!G23)</f>
        <v>5.566367124301373E-3</v>
      </c>
      <c r="AB23" s="64">
        <f>X23*EXP(-$Y$1*Sigma!G23)</f>
        <v>2.2837200543281465E-3</v>
      </c>
    </row>
    <row r="24" spans="1:28" ht="16.5" thickBot="1">
      <c r="A24" s="47">
        <v>10</v>
      </c>
      <c r="B24" s="48">
        <v>-3.0418310192826872</v>
      </c>
      <c r="C24" s="49">
        <v>-0.1</v>
      </c>
      <c r="D24" s="48">
        <v>-0.2363606566818138</v>
      </c>
      <c r="E24" s="48">
        <v>-0.52900000000000003</v>
      </c>
      <c r="F24" s="50">
        <v>-9.5926057663584994E-4</v>
      </c>
      <c r="G24" s="51">
        <v>0</v>
      </c>
      <c r="H24" s="51">
        <v>-6.9203232709789241E-3</v>
      </c>
      <c r="I24" s="52">
        <v>7.25</v>
      </c>
      <c r="J24" s="48">
        <v>0</v>
      </c>
      <c r="K24" s="48">
        <v>-0.21</v>
      </c>
      <c r="L24" s="48">
        <v>2.8000000000000001E-2</v>
      </c>
      <c r="M24" s="48">
        <v>0.20300000000000001</v>
      </c>
      <c r="N24" s="53">
        <v>0.59699999999999998</v>
      </c>
      <c r="O24" s="56">
        <f t="shared" si="0"/>
        <v>-3.0418310192826872</v>
      </c>
      <c r="P24" s="57">
        <f t="shared" si="1"/>
        <v>7.5000000000000011E-2</v>
      </c>
      <c r="Q24" s="57">
        <f t="shared" si="2"/>
        <v>-0.94544262672725521</v>
      </c>
      <c r="R24" s="57">
        <f t="shared" si="3"/>
        <v>-2.0227749859410169</v>
      </c>
      <c r="S24" s="57">
        <f t="shared" si="4"/>
        <v>-1.4388908649537749E-2</v>
      </c>
      <c r="T24" s="57">
        <f t="shared" si="5"/>
        <v>0</v>
      </c>
      <c r="U24" s="57">
        <f t="shared" si="6"/>
        <v>-6.2282909438810319E-2</v>
      </c>
      <c r="V24" s="57">
        <f t="shared" si="7"/>
        <v>-0.2500863886032289</v>
      </c>
      <c r="W24" s="61">
        <f t="shared" si="8"/>
        <v>-6.2618068386425367</v>
      </c>
      <c r="X24" s="65">
        <f t="shared" si="9"/>
        <v>1.907795601783229E-3</v>
      </c>
      <c r="Y24" s="66">
        <f>X24*EXP($Y$1*Sigma!D24)</f>
        <v>3.7690269692532692E-3</v>
      </c>
      <c r="Z24" s="66">
        <f>X24*EXP(-$Y$1*Sigma!D24)</f>
        <v>9.6568267828142857E-4</v>
      </c>
      <c r="AA24" s="66">
        <f>X24*EXP($Y$1*Sigma!G24)</f>
        <v>2.9230352188126221E-3</v>
      </c>
      <c r="AB24" s="67">
        <f>X24*EXP(-$Y$1*Sigma!G24)</f>
        <v>1.2451728377265068E-3</v>
      </c>
    </row>
  </sheetData>
  <sheetProtection algorithmName="SHA-512" hashValue="hvJec6J2ma1LdaLTgu5MvOPONtEcjwTjkNg1SYNlUhsU9cxctKJ7eiaOAuJPRBwWa5JtwmBsc6M4GveAP/OZcA==" saltValue="O6KVw6tUBIowCEBQLEwqHA==" spinCount="100000" sheet="1" selectLockedCells="1" selectUnlockedCells="1"/>
  <phoneticPr fontId="42" type="noConversion"/>
  <pageMargins left="0.7" right="0.7" top="0.75" bottom="0.75" header="0.3" footer="0.3"/>
  <pageSetup orientation="landscape" horizont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2"/>
  </sheetPr>
  <dimension ref="A1:H26"/>
  <sheetViews>
    <sheetView zoomScaleNormal="100" workbookViewId="0">
      <selection activeCell="D3" sqref="D3"/>
    </sheetView>
  </sheetViews>
  <sheetFormatPr defaultColWidth="10.85546875" defaultRowHeight="15"/>
  <cols>
    <col min="1" max="1" width="12.5703125" style="94" customWidth="1"/>
    <col min="2" max="16384" width="10.85546875" style="94"/>
  </cols>
  <sheetData>
    <row r="1" spans="1:8" ht="14.45" customHeight="1">
      <c r="A1" s="116" t="s">
        <v>50</v>
      </c>
      <c r="B1" s="120" t="s">
        <v>5</v>
      </c>
      <c r="C1" s="120" t="s">
        <v>6</v>
      </c>
      <c r="D1" s="120" t="s">
        <v>7</v>
      </c>
      <c r="E1" s="122" t="s">
        <v>47</v>
      </c>
      <c r="F1" s="120" t="s">
        <v>48</v>
      </c>
      <c r="G1" s="118" t="s">
        <v>49</v>
      </c>
    </row>
    <row r="2" spans="1:8" ht="26.25" customHeight="1" thickBot="1">
      <c r="A2" s="117"/>
      <c r="B2" s="121"/>
      <c r="C2" s="121"/>
      <c r="D2" s="121"/>
      <c r="E2" s="123"/>
      <c r="F2" s="121"/>
      <c r="G2" s="119"/>
    </row>
    <row r="3" spans="1:8" ht="14.45" customHeight="1">
      <c r="A3" s="71">
        <v>0.01</v>
      </c>
      <c r="B3" s="72">
        <v>0.43</v>
      </c>
      <c r="C3" s="73">
        <v>0.76271689946231103</v>
      </c>
      <c r="D3" s="73">
        <v>0.87620606521833733</v>
      </c>
      <c r="E3" s="74">
        <v>0.56905837070558896</v>
      </c>
      <c r="F3" s="73">
        <v>0.5078480476041054</v>
      </c>
      <c r="G3" s="75">
        <v>0.66626544218899852</v>
      </c>
      <c r="H3" s="95"/>
    </row>
    <row r="4" spans="1:8" ht="14.45" customHeight="1">
      <c r="A4" s="71">
        <v>0.02</v>
      </c>
      <c r="B4" s="76">
        <v>0.4</v>
      </c>
      <c r="C4" s="77">
        <v>0.7829162010272791</v>
      </c>
      <c r="D4" s="77">
        <v>0.88145208481856063</v>
      </c>
      <c r="E4" s="78">
        <v>0.58552140589609458</v>
      </c>
      <c r="F4" s="77">
        <v>0.51973306713008716</v>
      </c>
      <c r="G4" s="79">
        <v>0.65887970151496378</v>
      </c>
      <c r="H4" s="95"/>
    </row>
    <row r="5" spans="1:8" ht="14.45" customHeight="1">
      <c r="A5" s="71">
        <v>0.03</v>
      </c>
      <c r="B5" s="76">
        <v>0.41</v>
      </c>
      <c r="C5" s="77">
        <v>0.78829874559241664</v>
      </c>
      <c r="D5" s="77">
        <v>0.89017689944335088</v>
      </c>
      <c r="E5" s="78">
        <v>0.58158200355472278</v>
      </c>
      <c r="F5" s="77">
        <v>0.53214404576566665</v>
      </c>
      <c r="G5" s="79">
        <v>0.67392676563841258</v>
      </c>
      <c r="H5" s="95"/>
    </row>
    <row r="6" spans="1:8" ht="14.45" customHeight="1">
      <c r="A6" s="71">
        <v>0.05</v>
      </c>
      <c r="B6" s="76">
        <v>0.44</v>
      </c>
      <c r="C6" s="77">
        <v>0.79999282142528994</v>
      </c>
      <c r="D6" s="77">
        <v>0.91487076373223108</v>
      </c>
      <c r="E6" s="78">
        <v>0.57147626896557269</v>
      </c>
      <c r="F6" s="77">
        <v>0.55982442635274876</v>
      </c>
      <c r="G6" s="79">
        <v>0.71442521535930137</v>
      </c>
      <c r="H6" s="95"/>
    </row>
    <row r="7" spans="1:8" ht="14.45" customHeight="1">
      <c r="A7" s="71">
        <v>7.4999999999999997E-2</v>
      </c>
      <c r="B7" s="76">
        <v>0.46</v>
      </c>
      <c r="C7" s="77">
        <v>0.85773814026436079</v>
      </c>
      <c r="D7" s="77">
        <v>0.97247864617387059</v>
      </c>
      <c r="E7" s="78">
        <v>0.59511397611075278</v>
      </c>
      <c r="F7" s="77">
        <v>0.61770063356112448</v>
      </c>
      <c r="G7" s="79">
        <v>0.76912552467189299</v>
      </c>
      <c r="H7" s="95"/>
    </row>
    <row r="8" spans="1:8" ht="14.45" customHeight="1">
      <c r="A8" s="71">
        <v>0.1</v>
      </c>
      <c r="B8" s="76">
        <v>0.49</v>
      </c>
      <c r="C8" s="77">
        <v>0.8649259227860252</v>
      </c>
      <c r="D8" s="77">
        <v>0.99503610583096791</v>
      </c>
      <c r="E8" s="78">
        <v>0.59003401678694856</v>
      </c>
      <c r="F8" s="77">
        <v>0.63242130810205655</v>
      </c>
      <c r="G8" s="79">
        <v>0.80122201101911594</v>
      </c>
      <c r="H8" s="95"/>
    </row>
    <row r="9" spans="1:8" ht="14.45" customHeight="1">
      <c r="A9" s="71">
        <v>0.15</v>
      </c>
      <c r="B9" s="76">
        <v>0.55000000000000004</v>
      </c>
      <c r="C9" s="77">
        <v>0.84033531420342178</v>
      </c>
      <c r="D9" s="77">
        <v>1.004571271885357</v>
      </c>
      <c r="E9" s="78">
        <v>0.56652530151813429</v>
      </c>
      <c r="F9" s="77">
        <v>0.62065491461612599</v>
      </c>
      <c r="G9" s="79">
        <v>0.82958575387789213</v>
      </c>
      <c r="H9" s="95"/>
    </row>
    <row r="10" spans="1:8" ht="14.45" customHeight="1">
      <c r="A10" s="71">
        <v>0.2</v>
      </c>
      <c r="B10" s="76">
        <v>0.55000000000000004</v>
      </c>
      <c r="C10" s="77">
        <v>0.81062457483459371</v>
      </c>
      <c r="D10" s="77">
        <v>0.98036330068284672</v>
      </c>
      <c r="E10" s="78">
        <v>0.59079384088617615</v>
      </c>
      <c r="F10" s="77">
        <v>0.55504489809088897</v>
      </c>
      <c r="G10" s="79">
        <v>0.78235211950676364</v>
      </c>
      <c r="H10" s="95"/>
    </row>
    <row r="11" spans="1:8" ht="14.45" customHeight="1">
      <c r="A11" s="71">
        <v>0.25</v>
      </c>
      <c r="B11" s="76">
        <v>0.53</v>
      </c>
      <c r="C11" s="77">
        <v>0.77549051153740101</v>
      </c>
      <c r="D11" s="77">
        <v>0.94041774413530699</v>
      </c>
      <c r="E11" s="78">
        <v>0.58353436557639293</v>
      </c>
      <c r="F11" s="77">
        <v>0.51075745484123525</v>
      </c>
      <c r="G11" s="79">
        <v>0.73747757774450096</v>
      </c>
      <c r="H11" s="95"/>
    </row>
    <row r="12" spans="1:8" ht="14.45" customHeight="1">
      <c r="A12" s="71">
        <v>0.3</v>
      </c>
      <c r="B12" s="76">
        <v>0.53</v>
      </c>
      <c r="C12" s="77">
        <v>0.75698562121193003</v>
      </c>
      <c r="D12" s="77">
        <v>0.92196921354327854</v>
      </c>
      <c r="E12" s="78">
        <v>0.58656852265633286</v>
      </c>
      <c r="F12" s="77">
        <v>0.47850245448730849</v>
      </c>
      <c r="G12" s="79">
        <v>0.71131188584922356</v>
      </c>
      <c r="H12" s="95"/>
    </row>
    <row r="13" spans="1:8" ht="14.45" customHeight="1">
      <c r="A13" s="71">
        <v>0.4</v>
      </c>
      <c r="B13" s="76">
        <v>0.5</v>
      </c>
      <c r="C13" s="77">
        <v>0.76111535273259812</v>
      </c>
      <c r="D13" s="77">
        <v>0.90955845340762309</v>
      </c>
      <c r="E13" s="78">
        <v>0.60356795393668627</v>
      </c>
      <c r="F13" s="77">
        <v>0.46368341047092609</v>
      </c>
      <c r="G13" s="79">
        <v>0.68044272730770616</v>
      </c>
      <c r="H13" s="95"/>
    </row>
    <row r="14" spans="1:8" ht="14.45" customHeight="1">
      <c r="A14" s="71">
        <v>0.5</v>
      </c>
      <c r="B14" s="76">
        <v>0.49</v>
      </c>
      <c r="C14" s="77">
        <v>0.75281000997823655</v>
      </c>
      <c r="D14" s="77">
        <v>0.89873406028893366</v>
      </c>
      <c r="E14" s="78">
        <v>0.59705278861182864</v>
      </c>
      <c r="F14" s="77">
        <v>0.45853121893091597</v>
      </c>
      <c r="G14" s="79">
        <v>0.67175209618896736</v>
      </c>
      <c r="H14" s="95"/>
    </row>
    <row r="15" spans="1:8" ht="14.45" customHeight="1">
      <c r="A15" s="71">
        <v>0.75</v>
      </c>
      <c r="B15" s="76">
        <v>0.45</v>
      </c>
      <c r="C15" s="77">
        <v>0.68914703269197641</v>
      </c>
      <c r="D15" s="77">
        <v>0.82305749049999899</v>
      </c>
      <c r="E15" s="78">
        <v>0.54438078517956956</v>
      </c>
      <c r="F15" s="77">
        <v>0.42257921552701949</v>
      </c>
      <c r="G15" s="79">
        <v>0.61731126135478143</v>
      </c>
      <c r="H15" s="95"/>
    </row>
    <row r="16" spans="1:8" ht="14.45" customHeight="1">
      <c r="A16" s="71">
        <v>1</v>
      </c>
      <c r="B16" s="76">
        <v>0.43</v>
      </c>
      <c r="C16" s="77">
        <v>0.6810577127558447</v>
      </c>
      <c r="D16" s="77">
        <v>0.80544373366748756</v>
      </c>
      <c r="E16" s="78">
        <v>0.52961711419128488</v>
      </c>
      <c r="F16" s="77">
        <v>0.42818841700811833</v>
      </c>
      <c r="G16" s="79">
        <v>0.60683220123846282</v>
      </c>
      <c r="H16" s="95"/>
    </row>
    <row r="17" spans="1:8" ht="14.45" customHeight="1">
      <c r="A17" s="71">
        <v>1.5</v>
      </c>
      <c r="B17" s="76">
        <v>0.39</v>
      </c>
      <c r="C17" s="77">
        <v>0.69514166581538106</v>
      </c>
      <c r="D17" s="77">
        <v>0.79707084726050725</v>
      </c>
      <c r="E17" s="78">
        <v>0.54221913681083356</v>
      </c>
      <c r="F17" s="77">
        <v>0.43499464735637561</v>
      </c>
      <c r="G17" s="79">
        <v>0.58422627742057065</v>
      </c>
      <c r="H17" s="95"/>
    </row>
    <row r="18" spans="1:8" ht="14.45" customHeight="1">
      <c r="A18" s="71">
        <v>2</v>
      </c>
      <c r="B18" s="76">
        <v>0.37</v>
      </c>
      <c r="C18" s="77">
        <v>0.68929922838705515</v>
      </c>
      <c r="D18" s="77">
        <v>0.7823256523053489</v>
      </c>
      <c r="E18" s="78">
        <v>0.54019893290389742</v>
      </c>
      <c r="F18" s="77">
        <v>0.42815714304969882</v>
      </c>
      <c r="G18" s="79">
        <v>0.56587855511980678</v>
      </c>
      <c r="H18" s="95"/>
    </row>
    <row r="19" spans="1:8" ht="14.45" customHeight="1">
      <c r="A19" s="71">
        <v>3</v>
      </c>
      <c r="B19" s="76">
        <v>0.37</v>
      </c>
      <c r="C19" s="77">
        <v>0.62014693443894431</v>
      </c>
      <c r="D19" s="77">
        <v>0.71958822968001657</v>
      </c>
      <c r="E19" s="78">
        <v>0.49032165252313592</v>
      </c>
      <c r="F19" s="77">
        <v>0.37969316212041709</v>
      </c>
      <c r="G19" s="79">
        <v>0.52668007116370119</v>
      </c>
      <c r="H19" s="95"/>
    </row>
    <row r="20" spans="1:8" ht="14.45" customHeight="1">
      <c r="A20" s="71">
        <v>4</v>
      </c>
      <c r="B20" s="76">
        <v>0.36</v>
      </c>
      <c r="C20" s="77">
        <v>0.57039346531598412</v>
      </c>
      <c r="D20" s="77">
        <v>0.67449885491020423</v>
      </c>
      <c r="E20" s="78">
        <v>0.47286992164462233</v>
      </c>
      <c r="F20" s="77">
        <v>0.31897138191221092</v>
      </c>
      <c r="G20" s="79">
        <v>0.48098102091349237</v>
      </c>
      <c r="H20" s="95"/>
    </row>
    <row r="21" spans="1:8" ht="14.45" customHeight="1">
      <c r="A21" s="71">
        <v>5</v>
      </c>
      <c r="B21" s="76">
        <v>0.36</v>
      </c>
      <c r="C21" s="77">
        <v>0.57345810927500929</v>
      </c>
      <c r="D21" s="77">
        <v>0.67444733159325976</v>
      </c>
      <c r="E21" s="78">
        <v>0.47637964452979392</v>
      </c>
      <c r="F21" s="77">
        <v>0.31924385251862841</v>
      </c>
      <c r="G21" s="79">
        <v>0.47743233800292129</v>
      </c>
      <c r="H21" s="95"/>
    </row>
    <row r="22" spans="1:8" ht="14.45" customHeight="1">
      <c r="A22" s="71">
        <v>6</v>
      </c>
      <c r="B22" s="76">
        <v>0.35</v>
      </c>
      <c r="C22" s="77">
        <v>0.56343248102147558</v>
      </c>
      <c r="D22" s="77">
        <v>0.66329191210960459</v>
      </c>
      <c r="E22" s="78">
        <v>0.47117717113241608</v>
      </c>
      <c r="F22" s="77">
        <v>0.30894697615233158</v>
      </c>
      <c r="G22" s="79">
        <v>0.46684926268943522</v>
      </c>
      <c r="H22" s="95"/>
    </row>
    <row r="23" spans="1:8" ht="14.45" customHeight="1">
      <c r="A23" s="71">
        <v>7.5</v>
      </c>
      <c r="B23" s="76">
        <v>0.35</v>
      </c>
      <c r="C23" s="77">
        <v>0.54395334407706164</v>
      </c>
      <c r="D23" s="77">
        <v>0.64574704066888156</v>
      </c>
      <c r="E23" s="78">
        <v>0.46749021291572967</v>
      </c>
      <c r="F23" s="77">
        <v>0.27809735949955372</v>
      </c>
      <c r="G23" s="79">
        <v>0.44546845158846432</v>
      </c>
      <c r="H23" s="95"/>
    </row>
    <row r="24" spans="1:8" ht="14.45" customHeight="1" thickBot="1">
      <c r="A24" s="80">
        <v>10</v>
      </c>
      <c r="B24" s="81">
        <v>0.35</v>
      </c>
      <c r="C24" s="82">
        <v>0.58698962362495322</v>
      </c>
      <c r="D24" s="82">
        <v>0.6808684294659022</v>
      </c>
      <c r="E24" s="83">
        <v>0.53059498231874958</v>
      </c>
      <c r="F24" s="82">
        <v>0.25104936363498342</v>
      </c>
      <c r="G24" s="84">
        <v>0.42667409457515709</v>
      </c>
      <c r="H24" s="95"/>
    </row>
    <row r="25" spans="1:8" ht="14.45" customHeight="1">
      <c r="A25" s="96"/>
      <c r="B25" s="96"/>
      <c r="C25" s="96"/>
      <c r="D25" s="96"/>
      <c r="E25" s="97"/>
      <c r="F25" s="96"/>
      <c r="G25" s="96"/>
      <c r="H25" s="95"/>
    </row>
    <row r="26" spans="1:8">
      <c r="A26" s="98"/>
    </row>
  </sheetData>
  <sheetProtection selectLockedCells="1" selectUnlockedCells="1"/>
  <mergeCells count="7">
    <mergeCell ref="A1:A2"/>
    <mergeCell ref="G1:G2"/>
    <mergeCell ref="B1:B2"/>
    <mergeCell ref="C1:C2"/>
    <mergeCell ref="D1:D2"/>
    <mergeCell ref="E1:E2"/>
    <mergeCell ref="F1: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MAIN</vt:lpstr>
      <vt:lpstr>Coefficients</vt:lpstr>
      <vt:lpstr>Sigma</vt:lpstr>
      <vt:lpstr>Coefficients!_Ref3397147</vt:lpstr>
      <vt:lpstr>Coefficients!Cat</vt:lpstr>
      <vt:lpstr>Coefficients!M</vt:lpstr>
      <vt:lpstr>P</vt:lpstr>
      <vt:lpstr>Pstar</vt:lpstr>
      <vt:lpstr>Coefficients!Rhypo</vt:lpstr>
      <vt:lpstr>Rrup</vt:lpstr>
      <vt:lpstr>Rvolc</vt:lpstr>
      <vt:lpstr>Zhypo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thecat0000</dc:creator>
  <cp:lastModifiedBy>Cesar Pajaro Miranda</cp:lastModifiedBy>
  <dcterms:created xsi:type="dcterms:W3CDTF">2015-02-18T21:13:58Z</dcterms:created>
  <dcterms:modified xsi:type="dcterms:W3CDTF">2024-04-29T23:08:03Z</dcterms:modified>
</cp:coreProperties>
</file>